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ad\PS1\Bloomberg Session and Data\IT sector\"/>
    </mc:Choice>
  </mc:AlternateContent>
  <xr:revisionPtr revIDLastSave="0" documentId="13_ncr:1_{1D6D604D-F4A6-4403-9268-11708C303DD0}" xr6:coauthVersionLast="45" xr6:coauthVersionMax="45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BIData" sheetId="2" r:id="rId1"/>
    <sheet name="Sheet1" sheetId="5" r:id="rId2"/>
    <sheet name="ReferenceData" sheetId="3" r:id="rId3"/>
    <sheet name="Sheet3" sheetId="7" r:id="rId4"/>
    <sheet name="Sheet2" sheetId="6" r:id="rId5"/>
    <sheet name="Help-Reference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7" l="1"/>
  <c r="X206" i="6"/>
  <c r="A9" i="3"/>
  <c r="S477" i="3" l="1"/>
  <c r="R477" i="3"/>
  <c r="Q477" i="3"/>
  <c r="P477" i="3"/>
  <c r="O477" i="3"/>
  <c r="N477" i="3"/>
  <c r="M477" i="3"/>
  <c r="E477" i="3"/>
  <c r="D477" i="3"/>
  <c r="C477" i="3"/>
  <c r="B477" i="3"/>
  <c r="A477" i="3"/>
  <c r="S476" i="3"/>
  <c r="R476" i="3"/>
  <c r="Q476" i="3"/>
  <c r="P476" i="3"/>
  <c r="O476" i="3"/>
  <c r="N476" i="3"/>
  <c r="M476" i="3"/>
  <c r="A476" i="3"/>
  <c r="S475" i="3"/>
  <c r="R475" i="3"/>
  <c r="Q475" i="3"/>
  <c r="P475" i="3"/>
  <c r="O475" i="3"/>
  <c r="N475" i="3"/>
  <c r="M475" i="3"/>
  <c r="A475" i="3"/>
  <c r="S474" i="3"/>
  <c r="R474" i="3"/>
  <c r="Q474" i="3"/>
  <c r="P474" i="3"/>
  <c r="O474" i="3"/>
  <c r="N474" i="3"/>
  <c r="M474" i="3"/>
  <c r="A474" i="3"/>
  <c r="S473" i="3"/>
  <c r="R473" i="3"/>
  <c r="Q473" i="3"/>
  <c r="P473" i="3"/>
  <c r="O473" i="3"/>
  <c r="N473" i="3"/>
  <c r="M473" i="3"/>
  <c r="A473" i="3"/>
  <c r="S472" i="3"/>
  <c r="R472" i="3"/>
  <c r="Q472" i="3"/>
  <c r="P472" i="3"/>
  <c r="O472" i="3"/>
  <c r="N472" i="3"/>
  <c r="M472" i="3"/>
  <c r="A472" i="3"/>
  <c r="S471" i="3"/>
  <c r="R471" i="3"/>
  <c r="Q471" i="3"/>
  <c r="P471" i="3"/>
  <c r="O471" i="3"/>
  <c r="N471" i="3"/>
  <c r="M471" i="3"/>
  <c r="A471" i="3"/>
  <c r="S470" i="3"/>
  <c r="R470" i="3"/>
  <c r="Q470" i="3"/>
  <c r="P470" i="3"/>
  <c r="O470" i="3"/>
  <c r="N470" i="3"/>
  <c r="M470" i="3"/>
  <c r="A470" i="3"/>
  <c r="S469" i="3"/>
  <c r="R469" i="3"/>
  <c r="Q469" i="3"/>
  <c r="P469" i="3"/>
  <c r="O469" i="3"/>
  <c r="N469" i="3"/>
  <c r="M469" i="3"/>
  <c r="A469" i="3"/>
  <c r="S468" i="3"/>
  <c r="R468" i="3"/>
  <c r="Q468" i="3"/>
  <c r="P468" i="3"/>
  <c r="O468" i="3"/>
  <c r="N468" i="3"/>
  <c r="M468" i="3"/>
  <c r="A468" i="3"/>
  <c r="S467" i="3"/>
  <c r="R467" i="3"/>
  <c r="Q467" i="3"/>
  <c r="P467" i="3"/>
  <c r="O467" i="3"/>
  <c r="N467" i="3"/>
  <c r="M467" i="3"/>
  <c r="A467" i="3"/>
  <c r="S466" i="3"/>
  <c r="R466" i="3"/>
  <c r="Q466" i="3"/>
  <c r="P466" i="3"/>
  <c r="O466" i="3"/>
  <c r="N466" i="3"/>
  <c r="M466" i="3"/>
  <c r="A466" i="3"/>
  <c r="S465" i="3"/>
  <c r="R465" i="3"/>
  <c r="Q465" i="3"/>
  <c r="P465" i="3"/>
  <c r="O465" i="3"/>
  <c r="N465" i="3"/>
  <c r="M465" i="3"/>
  <c r="A465" i="3"/>
  <c r="S464" i="3"/>
  <c r="R464" i="3"/>
  <c r="Q464" i="3"/>
  <c r="P464" i="3"/>
  <c r="O464" i="3"/>
  <c r="N464" i="3"/>
  <c r="M464" i="3"/>
  <c r="A464" i="3"/>
  <c r="S463" i="3"/>
  <c r="R463" i="3"/>
  <c r="Q463" i="3"/>
  <c r="P463" i="3"/>
  <c r="O463" i="3"/>
  <c r="N463" i="3"/>
  <c r="M463" i="3"/>
  <c r="A463" i="3"/>
  <c r="S462" i="3"/>
  <c r="R462" i="3"/>
  <c r="Q462" i="3"/>
  <c r="P462" i="3"/>
  <c r="O462" i="3"/>
  <c r="N462" i="3"/>
  <c r="M462" i="3"/>
  <c r="A462" i="3"/>
  <c r="S461" i="3"/>
  <c r="R461" i="3"/>
  <c r="Q461" i="3"/>
  <c r="P461" i="3"/>
  <c r="O461" i="3"/>
  <c r="N461" i="3"/>
  <c r="M461" i="3"/>
  <c r="A461" i="3"/>
  <c r="S460" i="3"/>
  <c r="R460" i="3"/>
  <c r="Q460" i="3"/>
  <c r="P460" i="3"/>
  <c r="O460" i="3"/>
  <c r="N460" i="3"/>
  <c r="M460" i="3"/>
  <c r="I460" i="3"/>
  <c r="H460" i="3"/>
  <c r="G460" i="3"/>
  <c r="F460" i="3"/>
  <c r="E460" i="3"/>
  <c r="D460" i="3"/>
  <c r="C460" i="3"/>
  <c r="B460" i="3"/>
  <c r="A460" i="3"/>
  <c r="S459" i="3"/>
  <c r="R459" i="3"/>
  <c r="Q459" i="3"/>
  <c r="P459" i="3"/>
  <c r="O459" i="3"/>
  <c r="N459" i="3"/>
  <c r="M459" i="3"/>
  <c r="E459" i="3"/>
  <c r="D459" i="3"/>
  <c r="C459" i="3"/>
  <c r="B459" i="3"/>
  <c r="A459" i="3"/>
  <c r="S458" i="3"/>
  <c r="R458" i="3"/>
  <c r="Q458" i="3"/>
  <c r="P458" i="3"/>
  <c r="O458" i="3"/>
  <c r="N458" i="3"/>
  <c r="M458" i="3"/>
  <c r="E458" i="3"/>
  <c r="D458" i="3"/>
  <c r="C458" i="3"/>
  <c r="B458" i="3"/>
  <c r="A458" i="3"/>
  <c r="S457" i="3"/>
  <c r="R457" i="3"/>
  <c r="Q457" i="3"/>
  <c r="P457" i="3"/>
  <c r="O457" i="3"/>
  <c r="N457" i="3"/>
  <c r="M457" i="3"/>
  <c r="E457" i="3"/>
  <c r="D457" i="3"/>
  <c r="C457" i="3"/>
  <c r="A457" i="3"/>
  <c r="S456" i="3"/>
  <c r="R456" i="3"/>
  <c r="Q456" i="3"/>
  <c r="P456" i="3"/>
  <c r="O456" i="3"/>
  <c r="N456" i="3"/>
  <c r="M456" i="3"/>
  <c r="E456" i="3"/>
  <c r="D456" i="3"/>
  <c r="C456" i="3"/>
  <c r="B456" i="3"/>
  <c r="A456" i="3"/>
  <c r="S455" i="3"/>
  <c r="R455" i="3"/>
  <c r="Q455" i="3"/>
  <c r="P455" i="3"/>
  <c r="O455" i="3"/>
  <c r="N455" i="3"/>
  <c r="M455" i="3"/>
  <c r="A455" i="3"/>
  <c r="S454" i="3"/>
  <c r="R454" i="3"/>
  <c r="Q454" i="3"/>
  <c r="P454" i="3"/>
  <c r="O454" i="3"/>
  <c r="N454" i="3"/>
  <c r="M454" i="3"/>
  <c r="E454" i="3"/>
  <c r="D454" i="3"/>
  <c r="C454" i="3"/>
  <c r="B454" i="3"/>
  <c r="A454" i="3"/>
  <c r="S453" i="3"/>
  <c r="R453" i="3"/>
  <c r="Q453" i="3"/>
  <c r="P453" i="3"/>
  <c r="O453" i="3"/>
  <c r="N453" i="3"/>
  <c r="M453" i="3"/>
  <c r="E453" i="3"/>
  <c r="D453" i="3"/>
  <c r="C453" i="3"/>
  <c r="B453" i="3"/>
  <c r="A453" i="3"/>
  <c r="S452" i="3"/>
  <c r="R452" i="3"/>
  <c r="Q452" i="3"/>
  <c r="P452" i="3"/>
  <c r="O452" i="3"/>
  <c r="N452" i="3"/>
  <c r="M452" i="3"/>
  <c r="E452" i="3"/>
  <c r="D452" i="3"/>
  <c r="C452" i="3"/>
  <c r="B452" i="3"/>
  <c r="A452" i="3"/>
  <c r="S451" i="3"/>
  <c r="R451" i="3"/>
  <c r="Q451" i="3"/>
  <c r="P451" i="3"/>
  <c r="O451" i="3"/>
  <c r="N451" i="3"/>
  <c r="M451" i="3"/>
  <c r="E451" i="3"/>
  <c r="D451" i="3"/>
  <c r="C451" i="3"/>
  <c r="B451" i="3"/>
  <c r="A451" i="3"/>
  <c r="S450" i="3"/>
  <c r="R450" i="3"/>
  <c r="Q450" i="3"/>
  <c r="P450" i="3"/>
  <c r="O450" i="3"/>
  <c r="N450" i="3"/>
  <c r="M450" i="3"/>
  <c r="E450" i="3"/>
  <c r="D450" i="3"/>
  <c r="C450" i="3"/>
  <c r="B450" i="3"/>
  <c r="A450" i="3"/>
  <c r="S449" i="3"/>
  <c r="R449" i="3"/>
  <c r="Q449" i="3"/>
  <c r="P449" i="3"/>
  <c r="O449" i="3"/>
  <c r="N449" i="3"/>
  <c r="M449" i="3"/>
  <c r="E449" i="3"/>
  <c r="D449" i="3"/>
  <c r="C449" i="3"/>
  <c r="B449" i="3"/>
  <c r="A449" i="3"/>
  <c r="S448" i="3"/>
  <c r="R448" i="3"/>
  <c r="Q448" i="3"/>
  <c r="P448" i="3"/>
  <c r="O448" i="3"/>
  <c r="N448" i="3"/>
  <c r="M448" i="3"/>
  <c r="S447" i="3"/>
  <c r="R447" i="3"/>
  <c r="Q447" i="3"/>
  <c r="P447" i="3"/>
  <c r="O447" i="3"/>
  <c r="N447" i="3"/>
  <c r="M447" i="3"/>
  <c r="S446" i="3"/>
  <c r="R446" i="3"/>
  <c r="Q446" i="3"/>
  <c r="P446" i="3"/>
  <c r="O446" i="3"/>
  <c r="N446" i="3"/>
  <c r="M446" i="3"/>
  <c r="S445" i="3"/>
  <c r="R445" i="3"/>
  <c r="Q445" i="3"/>
  <c r="P445" i="3"/>
  <c r="O445" i="3"/>
  <c r="N445" i="3"/>
  <c r="M445" i="3"/>
  <c r="S444" i="3"/>
  <c r="R444" i="3"/>
  <c r="Q444" i="3"/>
  <c r="P444" i="3"/>
  <c r="O444" i="3"/>
  <c r="N444" i="3"/>
  <c r="M444" i="3"/>
  <c r="S443" i="3"/>
  <c r="R443" i="3"/>
  <c r="Q443" i="3"/>
  <c r="P443" i="3"/>
  <c r="O443" i="3"/>
  <c r="N443" i="3"/>
  <c r="M443" i="3"/>
  <c r="S442" i="3"/>
  <c r="R442" i="3"/>
  <c r="Q442" i="3"/>
  <c r="P442" i="3"/>
  <c r="O442" i="3"/>
  <c r="N442" i="3"/>
  <c r="M442" i="3"/>
  <c r="S441" i="3"/>
  <c r="R441" i="3"/>
  <c r="Q441" i="3"/>
  <c r="P441" i="3"/>
  <c r="O441" i="3"/>
  <c r="N441" i="3"/>
  <c r="M441" i="3"/>
  <c r="S440" i="3"/>
  <c r="R440" i="3"/>
  <c r="Q440" i="3"/>
  <c r="P440" i="3"/>
  <c r="O440" i="3"/>
  <c r="N440" i="3"/>
  <c r="M440" i="3"/>
  <c r="S439" i="3"/>
  <c r="R439" i="3"/>
  <c r="Q439" i="3"/>
  <c r="P439" i="3"/>
  <c r="O439" i="3"/>
  <c r="N439" i="3"/>
  <c r="M439" i="3"/>
  <c r="S438" i="3"/>
  <c r="R438" i="3"/>
  <c r="Q438" i="3"/>
  <c r="P438" i="3"/>
  <c r="O438" i="3"/>
  <c r="N438" i="3"/>
  <c r="M438" i="3"/>
  <c r="S437" i="3"/>
  <c r="R437" i="3"/>
  <c r="Q437" i="3"/>
  <c r="P437" i="3"/>
  <c r="O437" i="3"/>
  <c r="N437" i="3"/>
  <c r="M437" i="3"/>
  <c r="S436" i="3"/>
  <c r="R436" i="3"/>
  <c r="Q436" i="3"/>
  <c r="P436" i="3"/>
  <c r="O436" i="3"/>
  <c r="N436" i="3"/>
  <c r="M436" i="3"/>
  <c r="S435" i="3"/>
  <c r="R435" i="3"/>
  <c r="Q435" i="3"/>
  <c r="P435" i="3"/>
  <c r="O435" i="3"/>
  <c r="N435" i="3"/>
  <c r="M435" i="3"/>
  <c r="S434" i="3"/>
  <c r="R434" i="3"/>
  <c r="Q434" i="3"/>
  <c r="P434" i="3"/>
  <c r="O434" i="3"/>
  <c r="N434" i="3"/>
  <c r="M434" i="3"/>
  <c r="S433" i="3"/>
  <c r="R433" i="3"/>
  <c r="Q433" i="3"/>
  <c r="P433" i="3"/>
  <c r="O433" i="3"/>
  <c r="N433" i="3"/>
  <c r="M433" i="3"/>
  <c r="S432" i="3"/>
  <c r="R432" i="3"/>
  <c r="Q432" i="3"/>
  <c r="P432" i="3"/>
  <c r="O432" i="3"/>
  <c r="N432" i="3"/>
  <c r="M432" i="3"/>
  <c r="S431" i="3"/>
  <c r="R431" i="3"/>
  <c r="Q431" i="3"/>
  <c r="P431" i="3"/>
  <c r="O431" i="3"/>
  <c r="N431" i="3"/>
  <c r="M431" i="3"/>
  <c r="S430" i="3"/>
  <c r="R430" i="3"/>
  <c r="Q430" i="3"/>
  <c r="P430" i="3"/>
  <c r="O430" i="3"/>
  <c r="N430" i="3"/>
  <c r="M430" i="3"/>
  <c r="S429" i="3"/>
  <c r="R429" i="3"/>
  <c r="Q429" i="3"/>
  <c r="P429" i="3"/>
  <c r="O429" i="3"/>
  <c r="N429" i="3"/>
  <c r="M429" i="3"/>
  <c r="S428" i="3"/>
  <c r="R428" i="3"/>
  <c r="Q428" i="3"/>
  <c r="P428" i="3"/>
  <c r="O428" i="3"/>
  <c r="N428" i="3"/>
  <c r="M428" i="3"/>
  <c r="S427" i="3"/>
  <c r="R427" i="3"/>
  <c r="Q427" i="3"/>
  <c r="P427" i="3"/>
  <c r="O427" i="3"/>
  <c r="N427" i="3"/>
  <c r="M427" i="3"/>
  <c r="S426" i="3"/>
  <c r="R426" i="3"/>
  <c r="Q426" i="3"/>
  <c r="P426" i="3"/>
  <c r="O426" i="3"/>
  <c r="N426" i="3"/>
  <c r="M426" i="3"/>
  <c r="S425" i="3"/>
  <c r="R425" i="3"/>
  <c r="Q425" i="3"/>
  <c r="P425" i="3"/>
  <c r="O425" i="3"/>
  <c r="N425" i="3"/>
  <c r="M425" i="3"/>
  <c r="S424" i="3"/>
  <c r="R424" i="3"/>
  <c r="Q424" i="3"/>
  <c r="P424" i="3"/>
  <c r="O424" i="3"/>
  <c r="N424" i="3"/>
  <c r="M424" i="3"/>
  <c r="S423" i="3"/>
  <c r="R423" i="3"/>
  <c r="Q423" i="3"/>
  <c r="P423" i="3"/>
  <c r="O423" i="3"/>
  <c r="N423" i="3"/>
  <c r="M423" i="3"/>
  <c r="S422" i="3"/>
  <c r="R422" i="3"/>
  <c r="Q422" i="3"/>
  <c r="P422" i="3"/>
  <c r="O422" i="3"/>
  <c r="N422" i="3"/>
  <c r="M422" i="3"/>
  <c r="S421" i="3"/>
  <c r="R421" i="3"/>
  <c r="Q421" i="3"/>
  <c r="P421" i="3"/>
  <c r="O421" i="3"/>
  <c r="N421" i="3"/>
  <c r="M421" i="3"/>
  <c r="S420" i="3"/>
  <c r="R420" i="3"/>
  <c r="Q420" i="3"/>
  <c r="P420" i="3"/>
  <c r="O420" i="3"/>
  <c r="N420" i="3"/>
  <c r="M420" i="3"/>
  <c r="S419" i="3"/>
  <c r="R419" i="3"/>
  <c r="Q419" i="3"/>
  <c r="P419" i="3"/>
  <c r="O419" i="3"/>
  <c r="N419" i="3"/>
  <c r="M419" i="3"/>
  <c r="S418" i="3"/>
  <c r="R418" i="3"/>
  <c r="Q418" i="3"/>
  <c r="P418" i="3"/>
  <c r="O418" i="3"/>
  <c r="N418" i="3"/>
  <c r="M418" i="3"/>
  <c r="S417" i="3"/>
  <c r="R417" i="3"/>
  <c r="Q417" i="3"/>
  <c r="P417" i="3"/>
  <c r="O417" i="3"/>
  <c r="N417" i="3"/>
  <c r="M417" i="3"/>
  <c r="S416" i="3"/>
  <c r="R416" i="3"/>
  <c r="Q416" i="3"/>
  <c r="P416" i="3"/>
  <c r="O416" i="3"/>
  <c r="N416" i="3"/>
  <c r="M416" i="3"/>
  <c r="S415" i="3"/>
  <c r="R415" i="3"/>
  <c r="Q415" i="3"/>
  <c r="P415" i="3"/>
  <c r="O415" i="3"/>
  <c r="N415" i="3"/>
  <c r="M415" i="3"/>
  <c r="S414" i="3"/>
  <c r="R414" i="3"/>
  <c r="Q414" i="3"/>
  <c r="P414" i="3"/>
  <c r="O414" i="3"/>
  <c r="N414" i="3"/>
  <c r="M414" i="3"/>
  <c r="S413" i="3"/>
  <c r="R413" i="3"/>
  <c r="Q413" i="3"/>
  <c r="P413" i="3"/>
  <c r="O413" i="3"/>
  <c r="N413" i="3"/>
  <c r="M413" i="3"/>
  <c r="S412" i="3"/>
  <c r="R412" i="3"/>
  <c r="Q412" i="3"/>
  <c r="P412" i="3"/>
  <c r="O412" i="3"/>
  <c r="N412" i="3"/>
  <c r="M412" i="3"/>
  <c r="S411" i="3"/>
  <c r="R411" i="3"/>
  <c r="Q411" i="3"/>
  <c r="P411" i="3"/>
  <c r="O411" i="3"/>
  <c r="N411" i="3"/>
  <c r="M411" i="3"/>
  <c r="S410" i="3"/>
  <c r="R410" i="3"/>
  <c r="Q410" i="3"/>
  <c r="P410" i="3"/>
  <c r="O410" i="3"/>
  <c r="N410" i="3"/>
  <c r="M410" i="3"/>
  <c r="S409" i="3"/>
  <c r="R409" i="3"/>
  <c r="Q409" i="3"/>
  <c r="P409" i="3"/>
  <c r="O409" i="3"/>
  <c r="N409" i="3"/>
  <c r="M409" i="3"/>
  <c r="S408" i="3"/>
  <c r="R408" i="3"/>
  <c r="Q408" i="3"/>
  <c r="P408" i="3"/>
  <c r="O408" i="3"/>
  <c r="N408" i="3"/>
  <c r="M408" i="3"/>
  <c r="S407" i="3"/>
  <c r="R407" i="3"/>
  <c r="Q407" i="3"/>
  <c r="P407" i="3"/>
  <c r="O407" i="3"/>
  <c r="N407" i="3"/>
  <c r="M407" i="3"/>
  <c r="S406" i="3"/>
  <c r="R406" i="3"/>
  <c r="Q406" i="3"/>
  <c r="P406" i="3"/>
  <c r="O406" i="3"/>
  <c r="N406" i="3"/>
  <c r="M406" i="3"/>
  <c r="S405" i="3"/>
  <c r="R405" i="3"/>
  <c r="Q405" i="3"/>
  <c r="P405" i="3"/>
  <c r="O405" i="3"/>
  <c r="N405" i="3"/>
  <c r="M405" i="3"/>
  <c r="S404" i="3"/>
  <c r="R404" i="3"/>
  <c r="Q404" i="3"/>
  <c r="P404" i="3"/>
  <c r="O404" i="3"/>
  <c r="N404" i="3"/>
  <c r="M404" i="3"/>
  <c r="S403" i="3"/>
  <c r="R403" i="3"/>
  <c r="Q403" i="3"/>
  <c r="P403" i="3"/>
  <c r="O403" i="3"/>
  <c r="N403" i="3"/>
  <c r="M403" i="3"/>
  <c r="S402" i="3"/>
  <c r="R402" i="3"/>
  <c r="Q402" i="3"/>
  <c r="P402" i="3"/>
  <c r="O402" i="3"/>
  <c r="N402" i="3"/>
  <c r="M402" i="3"/>
  <c r="S401" i="3"/>
  <c r="R401" i="3"/>
  <c r="Q401" i="3"/>
  <c r="P401" i="3"/>
  <c r="O401" i="3"/>
  <c r="N401" i="3"/>
  <c r="M401" i="3"/>
  <c r="S400" i="3"/>
  <c r="R400" i="3"/>
  <c r="Q400" i="3"/>
  <c r="P400" i="3"/>
  <c r="O400" i="3"/>
  <c r="N400" i="3"/>
  <c r="M400" i="3"/>
  <c r="S399" i="3"/>
  <c r="R399" i="3"/>
  <c r="Q399" i="3"/>
  <c r="P399" i="3"/>
  <c r="O399" i="3"/>
  <c r="N399" i="3"/>
  <c r="M399" i="3"/>
  <c r="S398" i="3"/>
  <c r="R398" i="3"/>
  <c r="Q398" i="3"/>
  <c r="P398" i="3"/>
  <c r="O398" i="3"/>
  <c r="N398" i="3"/>
  <c r="M398" i="3"/>
  <c r="S397" i="3"/>
  <c r="R397" i="3"/>
  <c r="Q397" i="3"/>
  <c r="P397" i="3"/>
  <c r="O397" i="3"/>
  <c r="N397" i="3"/>
  <c r="M397" i="3"/>
  <c r="S396" i="3"/>
  <c r="R396" i="3"/>
  <c r="Q396" i="3"/>
  <c r="P396" i="3"/>
  <c r="O396" i="3"/>
  <c r="N396" i="3"/>
  <c r="M396" i="3"/>
  <c r="S395" i="3"/>
  <c r="R395" i="3"/>
  <c r="Q395" i="3"/>
  <c r="P395" i="3"/>
  <c r="O395" i="3"/>
  <c r="N395" i="3"/>
  <c r="M395" i="3"/>
  <c r="S394" i="3"/>
  <c r="R394" i="3"/>
  <c r="Q394" i="3"/>
  <c r="P394" i="3"/>
  <c r="O394" i="3"/>
  <c r="N394" i="3"/>
  <c r="M394" i="3"/>
  <c r="S393" i="3"/>
  <c r="R393" i="3"/>
  <c r="Q393" i="3"/>
  <c r="P393" i="3"/>
  <c r="O393" i="3"/>
  <c r="N393" i="3"/>
  <c r="M393" i="3"/>
  <c r="S392" i="3"/>
  <c r="R392" i="3"/>
  <c r="Q392" i="3"/>
  <c r="P392" i="3"/>
  <c r="O392" i="3"/>
  <c r="N392" i="3"/>
  <c r="M392" i="3"/>
  <c r="S391" i="3"/>
  <c r="R391" i="3"/>
  <c r="Q391" i="3"/>
  <c r="P391" i="3"/>
  <c r="O391" i="3"/>
  <c r="N391" i="3"/>
  <c r="M391" i="3"/>
  <c r="S390" i="3"/>
  <c r="R390" i="3"/>
  <c r="Q390" i="3"/>
  <c r="P390" i="3"/>
  <c r="O390" i="3"/>
  <c r="N390" i="3"/>
  <c r="M390" i="3"/>
  <c r="S389" i="3"/>
  <c r="R389" i="3"/>
  <c r="Q389" i="3"/>
  <c r="P389" i="3"/>
  <c r="O389" i="3"/>
  <c r="N389" i="3"/>
  <c r="M389" i="3"/>
  <c r="S388" i="3"/>
  <c r="R388" i="3"/>
  <c r="Q388" i="3"/>
  <c r="P388" i="3"/>
  <c r="O388" i="3"/>
  <c r="N388" i="3"/>
  <c r="M388" i="3"/>
  <c r="S387" i="3"/>
  <c r="R387" i="3"/>
  <c r="Q387" i="3"/>
  <c r="P387" i="3"/>
  <c r="O387" i="3"/>
  <c r="N387" i="3"/>
  <c r="M387" i="3"/>
  <c r="S386" i="3"/>
  <c r="R386" i="3"/>
  <c r="Q386" i="3"/>
  <c r="P386" i="3"/>
  <c r="O386" i="3"/>
  <c r="N386" i="3"/>
  <c r="M386" i="3"/>
  <c r="S385" i="3"/>
  <c r="R385" i="3"/>
  <c r="Q385" i="3"/>
  <c r="P385" i="3"/>
  <c r="O385" i="3"/>
  <c r="N385" i="3"/>
  <c r="M385" i="3"/>
  <c r="S384" i="3"/>
  <c r="R384" i="3"/>
  <c r="Q384" i="3"/>
  <c r="P384" i="3"/>
  <c r="O384" i="3"/>
  <c r="N384" i="3"/>
  <c r="M384" i="3"/>
  <c r="S383" i="3"/>
  <c r="R383" i="3"/>
  <c r="Q383" i="3"/>
  <c r="P383" i="3"/>
  <c r="O383" i="3"/>
  <c r="N383" i="3"/>
  <c r="M383" i="3"/>
  <c r="S382" i="3"/>
  <c r="R382" i="3"/>
  <c r="Q382" i="3"/>
  <c r="P382" i="3"/>
  <c r="O382" i="3"/>
  <c r="N382" i="3"/>
  <c r="M382" i="3"/>
  <c r="S381" i="3"/>
  <c r="R381" i="3"/>
  <c r="Q381" i="3"/>
  <c r="P381" i="3"/>
  <c r="O381" i="3"/>
  <c r="N381" i="3"/>
  <c r="M381" i="3"/>
  <c r="S380" i="3"/>
  <c r="R380" i="3"/>
  <c r="Q380" i="3"/>
  <c r="P380" i="3"/>
  <c r="O380" i="3"/>
  <c r="N380" i="3"/>
  <c r="M380" i="3"/>
  <c r="S379" i="3"/>
  <c r="R379" i="3"/>
  <c r="Q379" i="3"/>
  <c r="P379" i="3"/>
  <c r="O379" i="3"/>
  <c r="N379" i="3"/>
  <c r="M379" i="3"/>
  <c r="S378" i="3"/>
  <c r="R378" i="3"/>
  <c r="Q378" i="3"/>
  <c r="P378" i="3"/>
  <c r="O378" i="3"/>
  <c r="N378" i="3"/>
  <c r="M378" i="3"/>
  <c r="S377" i="3"/>
  <c r="R377" i="3"/>
  <c r="Q377" i="3"/>
  <c r="P377" i="3"/>
  <c r="O377" i="3"/>
  <c r="N377" i="3"/>
  <c r="M377" i="3"/>
  <c r="S376" i="3"/>
  <c r="R376" i="3"/>
  <c r="Q376" i="3"/>
  <c r="P376" i="3"/>
  <c r="O376" i="3"/>
  <c r="N376" i="3"/>
  <c r="M376" i="3"/>
  <c r="S375" i="3"/>
  <c r="R375" i="3"/>
  <c r="Q375" i="3"/>
  <c r="P375" i="3"/>
  <c r="O375" i="3"/>
  <c r="N375" i="3"/>
  <c r="M375" i="3"/>
  <c r="S374" i="3"/>
  <c r="R374" i="3"/>
  <c r="Q374" i="3"/>
  <c r="P374" i="3"/>
  <c r="O374" i="3"/>
  <c r="N374" i="3"/>
  <c r="M374" i="3"/>
  <c r="S373" i="3"/>
  <c r="R373" i="3"/>
  <c r="Q373" i="3"/>
  <c r="P373" i="3"/>
  <c r="O373" i="3"/>
  <c r="N373" i="3"/>
  <c r="M373" i="3"/>
  <c r="S372" i="3"/>
  <c r="R372" i="3"/>
  <c r="Q372" i="3"/>
  <c r="P372" i="3"/>
  <c r="O372" i="3"/>
  <c r="N372" i="3"/>
  <c r="M372" i="3"/>
  <c r="S371" i="3"/>
  <c r="R371" i="3"/>
  <c r="Q371" i="3"/>
  <c r="P371" i="3"/>
  <c r="O371" i="3"/>
  <c r="N371" i="3"/>
  <c r="M371" i="3"/>
  <c r="S370" i="3"/>
  <c r="R370" i="3"/>
  <c r="Q370" i="3"/>
  <c r="P370" i="3"/>
  <c r="O370" i="3"/>
  <c r="N370" i="3"/>
  <c r="M370" i="3"/>
  <c r="S369" i="3"/>
  <c r="R369" i="3"/>
  <c r="Q369" i="3"/>
  <c r="P369" i="3"/>
  <c r="O369" i="3"/>
  <c r="N369" i="3"/>
  <c r="M369" i="3"/>
  <c r="S368" i="3"/>
  <c r="R368" i="3"/>
  <c r="Q368" i="3"/>
  <c r="P368" i="3"/>
  <c r="O368" i="3"/>
  <c r="N368" i="3"/>
  <c r="M368" i="3"/>
  <c r="S367" i="3"/>
  <c r="R367" i="3"/>
  <c r="Q367" i="3"/>
  <c r="P367" i="3"/>
  <c r="O367" i="3"/>
  <c r="N367" i="3"/>
  <c r="M367" i="3"/>
  <c r="S366" i="3"/>
  <c r="R366" i="3"/>
  <c r="Q366" i="3"/>
  <c r="P366" i="3"/>
  <c r="O366" i="3"/>
  <c r="N366" i="3"/>
  <c r="M366" i="3"/>
  <c r="S365" i="3"/>
  <c r="R365" i="3"/>
  <c r="Q365" i="3"/>
  <c r="P365" i="3"/>
  <c r="O365" i="3"/>
  <c r="N365" i="3"/>
  <c r="M365" i="3"/>
  <c r="S364" i="3"/>
  <c r="R364" i="3"/>
  <c r="Q364" i="3"/>
  <c r="P364" i="3"/>
  <c r="O364" i="3"/>
  <c r="N364" i="3"/>
  <c r="M364" i="3"/>
  <c r="S363" i="3"/>
  <c r="R363" i="3"/>
  <c r="Q363" i="3"/>
  <c r="P363" i="3"/>
  <c r="O363" i="3"/>
  <c r="N363" i="3"/>
  <c r="M363" i="3"/>
  <c r="S362" i="3"/>
  <c r="R362" i="3"/>
  <c r="Q362" i="3"/>
  <c r="P362" i="3"/>
  <c r="O362" i="3"/>
  <c r="N362" i="3"/>
  <c r="M362" i="3"/>
  <c r="S361" i="3"/>
  <c r="R361" i="3"/>
  <c r="Q361" i="3"/>
  <c r="P361" i="3"/>
  <c r="O361" i="3"/>
  <c r="N361" i="3"/>
  <c r="M361" i="3"/>
  <c r="S360" i="3"/>
  <c r="R360" i="3"/>
  <c r="Q360" i="3"/>
  <c r="P360" i="3"/>
  <c r="O360" i="3"/>
  <c r="N360" i="3"/>
  <c r="M360" i="3"/>
  <c r="S359" i="3"/>
  <c r="R359" i="3"/>
  <c r="Q359" i="3"/>
  <c r="P359" i="3"/>
  <c r="O359" i="3"/>
  <c r="N359" i="3"/>
  <c r="M359" i="3"/>
  <c r="S358" i="3"/>
  <c r="R358" i="3"/>
  <c r="Q358" i="3"/>
  <c r="P358" i="3"/>
  <c r="O358" i="3"/>
  <c r="N358" i="3"/>
  <c r="M358" i="3"/>
  <c r="S357" i="3"/>
  <c r="R357" i="3"/>
  <c r="Q357" i="3"/>
  <c r="P357" i="3"/>
  <c r="O357" i="3"/>
  <c r="N357" i="3"/>
  <c r="M357" i="3"/>
  <c r="S356" i="3"/>
  <c r="R356" i="3"/>
  <c r="Q356" i="3"/>
  <c r="P356" i="3"/>
  <c r="O356" i="3"/>
  <c r="N356" i="3"/>
  <c r="M356" i="3"/>
  <c r="S355" i="3"/>
  <c r="R355" i="3"/>
  <c r="Q355" i="3"/>
  <c r="P355" i="3"/>
  <c r="O355" i="3"/>
  <c r="N355" i="3"/>
  <c r="M355" i="3"/>
  <c r="S354" i="3"/>
  <c r="R354" i="3"/>
  <c r="Q354" i="3"/>
  <c r="P354" i="3"/>
  <c r="O354" i="3"/>
  <c r="N354" i="3"/>
  <c r="M354" i="3"/>
  <c r="S353" i="3"/>
  <c r="R353" i="3"/>
  <c r="Q353" i="3"/>
  <c r="P353" i="3"/>
  <c r="O353" i="3"/>
  <c r="N353" i="3"/>
  <c r="M353" i="3"/>
  <c r="S352" i="3"/>
  <c r="R352" i="3"/>
  <c r="Q352" i="3"/>
  <c r="P352" i="3"/>
  <c r="O352" i="3"/>
  <c r="N352" i="3"/>
  <c r="M352" i="3"/>
  <c r="S351" i="3"/>
  <c r="R351" i="3"/>
  <c r="Q351" i="3"/>
  <c r="P351" i="3"/>
  <c r="O351" i="3"/>
  <c r="N351" i="3"/>
  <c r="M351" i="3"/>
  <c r="S350" i="3"/>
  <c r="R350" i="3"/>
  <c r="Q350" i="3"/>
  <c r="P350" i="3"/>
  <c r="O350" i="3"/>
  <c r="N350" i="3"/>
  <c r="M350" i="3"/>
  <c r="S349" i="3"/>
  <c r="R349" i="3"/>
  <c r="Q349" i="3"/>
  <c r="P349" i="3"/>
  <c r="O349" i="3"/>
  <c r="N349" i="3"/>
  <c r="M349" i="3"/>
  <c r="S348" i="3"/>
  <c r="R348" i="3"/>
  <c r="Q348" i="3"/>
  <c r="P348" i="3"/>
  <c r="O348" i="3"/>
  <c r="N348" i="3"/>
  <c r="M348" i="3"/>
  <c r="S347" i="3"/>
  <c r="R347" i="3"/>
  <c r="Q347" i="3"/>
  <c r="P347" i="3"/>
  <c r="O347" i="3"/>
  <c r="N347" i="3"/>
  <c r="M347" i="3"/>
  <c r="S346" i="3"/>
  <c r="R346" i="3"/>
  <c r="Q346" i="3"/>
  <c r="P346" i="3"/>
  <c r="O346" i="3"/>
  <c r="N346" i="3"/>
  <c r="M346" i="3"/>
  <c r="S345" i="3"/>
  <c r="R345" i="3"/>
  <c r="Q345" i="3"/>
  <c r="P345" i="3"/>
  <c r="O345" i="3"/>
  <c r="N345" i="3"/>
  <c r="M345" i="3"/>
  <c r="S344" i="3"/>
  <c r="R344" i="3"/>
  <c r="Q344" i="3"/>
  <c r="P344" i="3"/>
  <c r="O344" i="3"/>
  <c r="N344" i="3"/>
  <c r="M344" i="3"/>
  <c r="S343" i="3"/>
  <c r="R343" i="3"/>
  <c r="Q343" i="3"/>
  <c r="P343" i="3"/>
  <c r="O343" i="3"/>
  <c r="N343" i="3"/>
  <c r="M343" i="3"/>
  <c r="S342" i="3"/>
  <c r="R342" i="3"/>
  <c r="Q342" i="3"/>
  <c r="P342" i="3"/>
  <c r="O342" i="3"/>
  <c r="N342" i="3"/>
  <c r="M342" i="3"/>
  <c r="S341" i="3"/>
  <c r="R341" i="3"/>
  <c r="Q341" i="3"/>
  <c r="P341" i="3"/>
  <c r="O341" i="3"/>
  <c r="N341" i="3"/>
  <c r="M341" i="3"/>
  <c r="S340" i="3"/>
  <c r="R340" i="3"/>
  <c r="Q340" i="3"/>
  <c r="P340" i="3"/>
  <c r="O340" i="3"/>
  <c r="N340" i="3"/>
  <c r="M340" i="3"/>
  <c r="S339" i="3"/>
  <c r="R339" i="3"/>
  <c r="Q339" i="3"/>
  <c r="P339" i="3"/>
  <c r="O339" i="3"/>
  <c r="N339" i="3"/>
  <c r="M339" i="3"/>
  <c r="S338" i="3"/>
  <c r="R338" i="3"/>
  <c r="Q338" i="3"/>
  <c r="P338" i="3"/>
  <c r="O338" i="3"/>
  <c r="N338" i="3"/>
  <c r="M338" i="3"/>
  <c r="S337" i="3"/>
  <c r="R337" i="3"/>
  <c r="Q337" i="3"/>
  <c r="P337" i="3"/>
  <c r="O337" i="3"/>
  <c r="N337" i="3"/>
  <c r="M337" i="3"/>
  <c r="S336" i="3"/>
  <c r="R336" i="3"/>
  <c r="Q336" i="3"/>
  <c r="P336" i="3"/>
  <c r="O336" i="3"/>
  <c r="N336" i="3"/>
  <c r="M336" i="3"/>
  <c r="S335" i="3"/>
  <c r="R335" i="3"/>
  <c r="Q335" i="3"/>
  <c r="P335" i="3"/>
  <c r="O335" i="3"/>
  <c r="N335" i="3"/>
  <c r="M335" i="3"/>
  <c r="S334" i="3"/>
  <c r="R334" i="3"/>
  <c r="Q334" i="3"/>
  <c r="P334" i="3"/>
  <c r="O334" i="3"/>
  <c r="N334" i="3"/>
  <c r="M334" i="3"/>
  <c r="S333" i="3"/>
  <c r="R333" i="3"/>
  <c r="Q333" i="3"/>
  <c r="P333" i="3"/>
  <c r="O333" i="3"/>
  <c r="N333" i="3"/>
  <c r="M333" i="3"/>
  <c r="S332" i="3"/>
  <c r="R332" i="3"/>
  <c r="Q332" i="3"/>
  <c r="P332" i="3"/>
  <c r="O332" i="3"/>
  <c r="N332" i="3"/>
  <c r="M332" i="3"/>
  <c r="S331" i="3"/>
  <c r="R331" i="3"/>
  <c r="Q331" i="3"/>
  <c r="P331" i="3"/>
  <c r="O331" i="3"/>
  <c r="N331" i="3"/>
  <c r="M331" i="3"/>
  <c r="S330" i="3"/>
  <c r="R330" i="3"/>
  <c r="Q330" i="3"/>
  <c r="P330" i="3"/>
  <c r="O330" i="3"/>
  <c r="N330" i="3"/>
  <c r="M330" i="3"/>
  <c r="S329" i="3"/>
  <c r="R329" i="3"/>
  <c r="Q329" i="3"/>
  <c r="P329" i="3"/>
  <c r="O329" i="3"/>
  <c r="N329" i="3"/>
  <c r="M329" i="3"/>
  <c r="S328" i="3"/>
  <c r="R328" i="3"/>
  <c r="Q328" i="3"/>
  <c r="P328" i="3"/>
  <c r="O328" i="3"/>
  <c r="N328" i="3"/>
  <c r="M328" i="3"/>
  <c r="S327" i="3"/>
  <c r="R327" i="3"/>
  <c r="Q327" i="3"/>
  <c r="P327" i="3"/>
  <c r="O327" i="3"/>
  <c r="N327" i="3"/>
  <c r="M327" i="3"/>
  <c r="S326" i="3"/>
  <c r="R326" i="3"/>
  <c r="Q326" i="3"/>
  <c r="P326" i="3"/>
  <c r="O326" i="3"/>
  <c r="N326" i="3"/>
  <c r="M326" i="3"/>
  <c r="S325" i="3"/>
  <c r="R325" i="3"/>
  <c r="Q325" i="3"/>
  <c r="P325" i="3"/>
  <c r="O325" i="3"/>
  <c r="N325" i="3"/>
  <c r="M325" i="3"/>
  <c r="S324" i="3"/>
  <c r="R324" i="3"/>
  <c r="Q324" i="3"/>
  <c r="P324" i="3"/>
  <c r="O324" i="3"/>
  <c r="N324" i="3"/>
  <c r="M324" i="3"/>
  <c r="S323" i="3"/>
  <c r="R323" i="3"/>
  <c r="Q323" i="3"/>
  <c r="P323" i="3"/>
  <c r="O323" i="3"/>
  <c r="N323" i="3"/>
  <c r="M323" i="3"/>
  <c r="S322" i="3"/>
  <c r="R322" i="3"/>
  <c r="Q322" i="3"/>
  <c r="P322" i="3"/>
  <c r="O322" i="3"/>
  <c r="N322" i="3"/>
  <c r="M322" i="3"/>
  <c r="S321" i="3"/>
  <c r="R321" i="3"/>
  <c r="Q321" i="3"/>
  <c r="P321" i="3"/>
  <c r="O321" i="3"/>
  <c r="N321" i="3"/>
  <c r="M321" i="3"/>
  <c r="S320" i="3"/>
  <c r="R320" i="3"/>
  <c r="Q320" i="3"/>
  <c r="P320" i="3"/>
  <c r="O320" i="3"/>
  <c r="N320" i="3"/>
  <c r="M320" i="3"/>
  <c r="S319" i="3"/>
  <c r="R319" i="3"/>
  <c r="Q319" i="3"/>
  <c r="P319" i="3"/>
  <c r="O319" i="3"/>
  <c r="N319" i="3"/>
  <c r="M319" i="3"/>
  <c r="S318" i="3"/>
  <c r="R318" i="3"/>
  <c r="Q318" i="3"/>
  <c r="P318" i="3"/>
  <c r="O318" i="3"/>
  <c r="N318" i="3"/>
  <c r="M318" i="3"/>
  <c r="S317" i="3"/>
  <c r="R317" i="3"/>
  <c r="Q317" i="3"/>
  <c r="P317" i="3"/>
  <c r="O317" i="3"/>
  <c r="N317" i="3"/>
  <c r="M317" i="3"/>
  <c r="S316" i="3"/>
  <c r="R316" i="3"/>
  <c r="Q316" i="3"/>
  <c r="P316" i="3"/>
  <c r="O316" i="3"/>
  <c r="N316" i="3"/>
  <c r="M316" i="3"/>
  <c r="S315" i="3"/>
  <c r="R315" i="3"/>
  <c r="Q315" i="3"/>
  <c r="P315" i="3"/>
  <c r="O315" i="3"/>
  <c r="N315" i="3"/>
  <c r="M315" i="3"/>
  <c r="S314" i="3"/>
  <c r="R314" i="3"/>
  <c r="Q314" i="3"/>
  <c r="P314" i="3"/>
  <c r="O314" i="3"/>
  <c r="N314" i="3"/>
  <c r="M314" i="3"/>
  <c r="S313" i="3"/>
  <c r="R313" i="3"/>
  <c r="Q313" i="3"/>
  <c r="P313" i="3"/>
  <c r="O313" i="3"/>
  <c r="N313" i="3"/>
  <c r="M313" i="3"/>
  <c r="S312" i="3"/>
  <c r="R312" i="3"/>
  <c r="Q312" i="3"/>
  <c r="P312" i="3"/>
  <c r="O312" i="3"/>
  <c r="N312" i="3"/>
  <c r="M312" i="3"/>
  <c r="S311" i="3"/>
  <c r="R311" i="3"/>
  <c r="Q311" i="3"/>
  <c r="P311" i="3"/>
  <c r="O311" i="3"/>
  <c r="N311" i="3"/>
  <c r="M311" i="3"/>
  <c r="S310" i="3"/>
  <c r="R310" i="3"/>
  <c r="Q310" i="3"/>
  <c r="P310" i="3"/>
  <c r="O310" i="3"/>
  <c r="N310" i="3"/>
  <c r="M310" i="3"/>
  <c r="S309" i="3"/>
  <c r="R309" i="3"/>
  <c r="Q309" i="3"/>
  <c r="P309" i="3"/>
  <c r="O309" i="3"/>
  <c r="N309" i="3"/>
  <c r="M309" i="3"/>
  <c r="S308" i="3"/>
  <c r="R308" i="3"/>
  <c r="Q308" i="3"/>
  <c r="P308" i="3"/>
  <c r="O308" i="3"/>
  <c r="N308" i="3"/>
  <c r="M308" i="3"/>
  <c r="S307" i="3"/>
  <c r="R307" i="3"/>
  <c r="Q307" i="3"/>
  <c r="P307" i="3"/>
  <c r="O307" i="3"/>
  <c r="N307" i="3"/>
  <c r="M307" i="3"/>
  <c r="S306" i="3"/>
  <c r="R306" i="3"/>
  <c r="Q306" i="3"/>
  <c r="P306" i="3"/>
  <c r="O306" i="3"/>
  <c r="N306" i="3"/>
  <c r="M306" i="3"/>
  <c r="S305" i="3"/>
  <c r="R305" i="3"/>
  <c r="Q305" i="3"/>
  <c r="P305" i="3"/>
  <c r="O305" i="3"/>
  <c r="N305" i="3"/>
  <c r="M305" i="3"/>
  <c r="S304" i="3"/>
  <c r="R304" i="3"/>
  <c r="Q304" i="3"/>
  <c r="P304" i="3"/>
  <c r="O304" i="3"/>
  <c r="N304" i="3"/>
  <c r="M304" i="3"/>
  <c r="S303" i="3"/>
  <c r="R303" i="3"/>
  <c r="Q303" i="3"/>
  <c r="P303" i="3"/>
  <c r="O303" i="3"/>
  <c r="N303" i="3"/>
  <c r="M303" i="3"/>
  <c r="S302" i="3"/>
  <c r="R302" i="3"/>
  <c r="Q302" i="3"/>
  <c r="P302" i="3"/>
  <c r="O302" i="3"/>
  <c r="N302" i="3"/>
  <c r="M302" i="3"/>
  <c r="S301" i="3"/>
  <c r="R301" i="3"/>
  <c r="Q301" i="3"/>
  <c r="P301" i="3"/>
  <c r="O301" i="3"/>
  <c r="N301" i="3"/>
  <c r="M301" i="3"/>
  <c r="S300" i="3"/>
  <c r="R300" i="3"/>
  <c r="Q300" i="3"/>
  <c r="P300" i="3"/>
  <c r="O300" i="3"/>
  <c r="N300" i="3"/>
  <c r="M300" i="3"/>
  <c r="S299" i="3"/>
  <c r="R299" i="3"/>
  <c r="Q299" i="3"/>
  <c r="P299" i="3"/>
  <c r="O299" i="3"/>
  <c r="N299" i="3"/>
  <c r="M299" i="3"/>
  <c r="S298" i="3"/>
  <c r="R298" i="3"/>
  <c r="Q298" i="3"/>
  <c r="P298" i="3"/>
  <c r="O298" i="3"/>
  <c r="N298" i="3"/>
  <c r="M298" i="3"/>
  <c r="S297" i="3"/>
  <c r="R297" i="3"/>
  <c r="Q297" i="3"/>
  <c r="P297" i="3"/>
  <c r="O297" i="3"/>
  <c r="N297" i="3"/>
  <c r="M297" i="3"/>
  <c r="S296" i="3"/>
  <c r="R296" i="3"/>
  <c r="Q296" i="3"/>
  <c r="P296" i="3"/>
  <c r="O296" i="3"/>
  <c r="N296" i="3"/>
  <c r="M296" i="3"/>
  <c r="S295" i="3"/>
  <c r="R295" i="3"/>
  <c r="Q295" i="3"/>
  <c r="P295" i="3"/>
  <c r="O295" i="3"/>
  <c r="N295" i="3"/>
  <c r="M295" i="3"/>
  <c r="S294" i="3"/>
  <c r="R294" i="3"/>
  <c r="Q294" i="3"/>
  <c r="P294" i="3"/>
  <c r="O294" i="3"/>
  <c r="N294" i="3"/>
  <c r="M294" i="3"/>
  <c r="E294" i="3"/>
  <c r="D294" i="3"/>
  <c r="C294" i="3"/>
  <c r="B294" i="3"/>
  <c r="S293" i="3"/>
  <c r="R293" i="3"/>
  <c r="Q293" i="3"/>
  <c r="P293" i="3"/>
  <c r="O293" i="3"/>
  <c r="N293" i="3"/>
  <c r="M293" i="3"/>
  <c r="E293" i="3"/>
  <c r="D293" i="3"/>
  <c r="C293" i="3"/>
  <c r="B293" i="3"/>
  <c r="S292" i="3"/>
  <c r="R292" i="3"/>
  <c r="Q292" i="3"/>
  <c r="P292" i="3"/>
  <c r="O292" i="3"/>
  <c r="N292" i="3"/>
  <c r="M292" i="3"/>
  <c r="E292" i="3"/>
  <c r="D292" i="3"/>
  <c r="C292" i="3"/>
  <c r="B292" i="3"/>
  <c r="S291" i="3"/>
  <c r="R291" i="3"/>
  <c r="Q291" i="3"/>
  <c r="P291" i="3"/>
  <c r="O291" i="3"/>
  <c r="N291" i="3"/>
  <c r="M291" i="3"/>
  <c r="E291" i="3"/>
  <c r="D291" i="3"/>
  <c r="C291" i="3"/>
  <c r="B291" i="3"/>
  <c r="S290" i="3"/>
  <c r="R290" i="3"/>
  <c r="Q290" i="3"/>
  <c r="P290" i="3"/>
  <c r="O290" i="3"/>
  <c r="N290" i="3"/>
  <c r="M290" i="3"/>
  <c r="E290" i="3"/>
  <c r="D290" i="3"/>
  <c r="C290" i="3"/>
  <c r="B290" i="3"/>
  <c r="S289" i="3"/>
  <c r="R289" i="3"/>
  <c r="Q289" i="3"/>
  <c r="P289" i="3"/>
  <c r="O289" i="3"/>
  <c r="N289" i="3"/>
  <c r="M289" i="3"/>
  <c r="E289" i="3"/>
  <c r="D289" i="3"/>
  <c r="C289" i="3"/>
  <c r="B289" i="3"/>
  <c r="S288" i="3"/>
  <c r="R288" i="3"/>
  <c r="Q288" i="3"/>
  <c r="P288" i="3"/>
  <c r="O288" i="3"/>
  <c r="N288" i="3"/>
  <c r="M288" i="3"/>
  <c r="E288" i="3"/>
  <c r="D288" i="3"/>
  <c r="C288" i="3"/>
  <c r="B288" i="3"/>
  <c r="S287" i="3"/>
  <c r="R287" i="3"/>
  <c r="Q287" i="3"/>
  <c r="P287" i="3"/>
  <c r="O287" i="3"/>
  <c r="N287" i="3"/>
  <c r="M287" i="3"/>
  <c r="E287" i="3"/>
  <c r="D287" i="3"/>
  <c r="C287" i="3"/>
  <c r="B287" i="3"/>
  <c r="S286" i="3"/>
  <c r="R286" i="3"/>
  <c r="Q286" i="3"/>
  <c r="P286" i="3"/>
  <c r="O286" i="3"/>
  <c r="N286" i="3"/>
  <c r="M286" i="3"/>
  <c r="E286" i="3"/>
  <c r="D286" i="3"/>
  <c r="C286" i="3"/>
  <c r="B286" i="3"/>
  <c r="S285" i="3"/>
  <c r="R285" i="3"/>
  <c r="Q285" i="3"/>
  <c r="P285" i="3"/>
  <c r="O285" i="3"/>
  <c r="N285" i="3"/>
  <c r="M285" i="3"/>
  <c r="E285" i="3"/>
  <c r="D285" i="3"/>
  <c r="C285" i="3"/>
  <c r="B285" i="3"/>
  <c r="S284" i="3"/>
  <c r="R284" i="3"/>
  <c r="Q284" i="3"/>
  <c r="P284" i="3"/>
  <c r="O284" i="3"/>
  <c r="N284" i="3"/>
  <c r="M284" i="3"/>
  <c r="E284" i="3"/>
  <c r="D284" i="3"/>
  <c r="C284" i="3"/>
  <c r="B284" i="3"/>
  <c r="S283" i="3"/>
  <c r="R283" i="3"/>
  <c r="Q283" i="3"/>
  <c r="P283" i="3"/>
  <c r="O283" i="3"/>
  <c r="N283" i="3"/>
  <c r="M283" i="3"/>
  <c r="E283" i="3"/>
  <c r="D283" i="3"/>
  <c r="C283" i="3"/>
  <c r="B283" i="3"/>
  <c r="S282" i="3"/>
  <c r="R282" i="3"/>
  <c r="Q282" i="3"/>
  <c r="P282" i="3"/>
  <c r="O282" i="3"/>
  <c r="N282" i="3"/>
  <c r="M282" i="3"/>
  <c r="E282" i="3"/>
  <c r="D282" i="3"/>
  <c r="C282" i="3"/>
  <c r="B282" i="3"/>
  <c r="S281" i="3"/>
  <c r="R281" i="3"/>
  <c r="Q281" i="3"/>
  <c r="P281" i="3"/>
  <c r="O281" i="3"/>
  <c r="N281" i="3"/>
  <c r="M281" i="3"/>
  <c r="E281" i="3"/>
  <c r="D281" i="3"/>
  <c r="C281" i="3"/>
  <c r="B281" i="3"/>
  <c r="S280" i="3"/>
  <c r="R280" i="3"/>
  <c r="Q280" i="3"/>
  <c r="P280" i="3"/>
  <c r="O280" i="3"/>
  <c r="N280" i="3"/>
  <c r="M280" i="3"/>
  <c r="E280" i="3"/>
  <c r="D280" i="3"/>
  <c r="C280" i="3"/>
  <c r="B280" i="3"/>
  <c r="S279" i="3"/>
  <c r="R279" i="3"/>
  <c r="Q279" i="3"/>
  <c r="P279" i="3"/>
  <c r="O279" i="3"/>
  <c r="N279" i="3"/>
  <c r="M279" i="3"/>
  <c r="E279" i="3"/>
  <c r="D279" i="3"/>
  <c r="C279" i="3"/>
  <c r="B279" i="3"/>
  <c r="S278" i="3"/>
  <c r="R278" i="3"/>
  <c r="Q278" i="3"/>
  <c r="P278" i="3"/>
  <c r="O278" i="3"/>
  <c r="N278" i="3"/>
  <c r="M278" i="3"/>
  <c r="E278" i="3"/>
  <c r="D278" i="3"/>
  <c r="C278" i="3"/>
  <c r="B278" i="3"/>
  <c r="S277" i="3"/>
  <c r="R277" i="3"/>
  <c r="Q277" i="3"/>
  <c r="P277" i="3"/>
  <c r="O277" i="3"/>
  <c r="N277" i="3"/>
  <c r="M277" i="3"/>
  <c r="E277" i="3"/>
  <c r="D277" i="3"/>
  <c r="C277" i="3"/>
  <c r="B277" i="3"/>
  <c r="S276" i="3"/>
  <c r="R276" i="3"/>
  <c r="Q276" i="3"/>
  <c r="P276" i="3"/>
  <c r="O276" i="3"/>
  <c r="N276" i="3"/>
  <c r="M276" i="3"/>
  <c r="E276" i="3"/>
  <c r="D276" i="3"/>
  <c r="C276" i="3"/>
  <c r="B276" i="3"/>
  <c r="S275" i="3"/>
  <c r="R275" i="3"/>
  <c r="Q275" i="3"/>
  <c r="P275" i="3"/>
  <c r="O275" i="3"/>
  <c r="N275" i="3"/>
  <c r="M275" i="3"/>
  <c r="E275" i="3"/>
  <c r="D275" i="3"/>
  <c r="C275" i="3"/>
  <c r="B275" i="3"/>
  <c r="S274" i="3"/>
  <c r="R274" i="3"/>
  <c r="Q274" i="3"/>
  <c r="P274" i="3"/>
  <c r="O274" i="3"/>
  <c r="N274" i="3"/>
  <c r="M274" i="3"/>
  <c r="E274" i="3"/>
  <c r="D274" i="3"/>
  <c r="C274" i="3"/>
  <c r="B274" i="3"/>
  <c r="S273" i="3"/>
  <c r="R273" i="3"/>
  <c r="Q273" i="3"/>
  <c r="P273" i="3"/>
  <c r="O273" i="3"/>
  <c r="N273" i="3"/>
  <c r="M273" i="3"/>
  <c r="E273" i="3"/>
  <c r="D273" i="3"/>
  <c r="C273" i="3"/>
  <c r="B273" i="3"/>
  <c r="S272" i="3"/>
  <c r="R272" i="3"/>
  <c r="Q272" i="3"/>
  <c r="P272" i="3"/>
  <c r="O272" i="3"/>
  <c r="N272" i="3"/>
  <c r="M272" i="3"/>
  <c r="E272" i="3"/>
  <c r="D272" i="3"/>
  <c r="C272" i="3"/>
  <c r="B272" i="3"/>
  <c r="S271" i="3"/>
  <c r="R271" i="3"/>
  <c r="Q271" i="3"/>
  <c r="P271" i="3"/>
  <c r="O271" i="3"/>
  <c r="N271" i="3"/>
  <c r="M271" i="3"/>
  <c r="E271" i="3"/>
  <c r="D271" i="3"/>
  <c r="C271" i="3"/>
  <c r="B271" i="3"/>
  <c r="S270" i="3"/>
  <c r="R270" i="3"/>
  <c r="Q270" i="3"/>
  <c r="P270" i="3"/>
  <c r="O270" i="3"/>
  <c r="N270" i="3"/>
  <c r="M270" i="3"/>
  <c r="E270" i="3"/>
  <c r="D270" i="3"/>
  <c r="C270" i="3"/>
  <c r="B270" i="3"/>
  <c r="S269" i="3"/>
  <c r="R269" i="3"/>
  <c r="Q269" i="3"/>
  <c r="P269" i="3"/>
  <c r="O269" i="3"/>
  <c r="N269" i="3"/>
  <c r="M269" i="3"/>
  <c r="E269" i="3"/>
  <c r="D269" i="3"/>
  <c r="C269" i="3"/>
  <c r="B269" i="3"/>
  <c r="S268" i="3"/>
  <c r="R268" i="3"/>
  <c r="Q268" i="3"/>
  <c r="P268" i="3"/>
  <c r="O268" i="3"/>
  <c r="N268" i="3"/>
  <c r="M268" i="3"/>
  <c r="E268" i="3"/>
  <c r="D268" i="3"/>
  <c r="C268" i="3"/>
  <c r="B268" i="3"/>
  <c r="S267" i="3"/>
  <c r="R267" i="3"/>
  <c r="Q267" i="3"/>
  <c r="P267" i="3"/>
  <c r="O267" i="3"/>
  <c r="N267" i="3"/>
  <c r="M267" i="3"/>
  <c r="E267" i="3"/>
  <c r="D267" i="3"/>
  <c r="C267" i="3"/>
  <c r="B267" i="3"/>
  <c r="S266" i="3"/>
  <c r="R266" i="3"/>
  <c r="Q266" i="3"/>
  <c r="P266" i="3"/>
  <c r="O266" i="3"/>
  <c r="N266" i="3"/>
  <c r="M266" i="3"/>
  <c r="E266" i="3"/>
  <c r="D266" i="3"/>
  <c r="C266" i="3"/>
  <c r="B266" i="3"/>
  <c r="S265" i="3"/>
  <c r="R265" i="3"/>
  <c r="Q265" i="3"/>
  <c r="P265" i="3"/>
  <c r="O265" i="3"/>
  <c r="N265" i="3"/>
  <c r="M265" i="3"/>
  <c r="E265" i="3"/>
  <c r="D265" i="3"/>
  <c r="C265" i="3"/>
  <c r="B265" i="3"/>
  <c r="S264" i="3"/>
  <c r="R264" i="3"/>
  <c r="Q264" i="3"/>
  <c r="P264" i="3"/>
  <c r="O264" i="3"/>
  <c r="N264" i="3"/>
  <c r="M264" i="3"/>
  <c r="E264" i="3"/>
  <c r="D264" i="3"/>
  <c r="C264" i="3"/>
  <c r="B264" i="3"/>
  <c r="S263" i="3"/>
  <c r="R263" i="3"/>
  <c r="Q263" i="3"/>
  <c r="P263" i="3"/>
  <c r="O263" i="3"/>
  <c r="N263" i="3"/>
  <c r="M263" i="3"/>
  <c r="E263" i="3"/>
  <c r="D263" i="3"/>
  <c r="C263" i="3"/>
  <c r="B263" i="3"/>
  <c r="S262" i="3"/>
  <c r="R262" i="3"/>
  <c r="Q262" i="3"/>
  <c r="P262" i="3"/>
  <c r="O262" i="3"/>
  <c r="N262" i="3"/>
  <c r="M262" i="3"/>
  <c r="E262" i="3"/>
  <c r="D262" i="3"/>
  <c r="C262" i="3"/>
  <c r="B262" i="3"/>
  <c r="S261" i="3"/>
  <c r="R261" i="3"/>
  <c r="Q261" i="3"/>
  <c r="P261" i="3"/>
  <c r="O261" i="3"/>
  <c r="N261" i="3"/>
  <c r="M261" i="3"/>
  <c r="E261" i="3"/>
  <c r="D261" i="3"/>
  <c r="C261" i="3"/>
  <c r="B261" i="3"/>
  <c r="S260" i="3"/>
  <c r="R260" i="3"/>
  <c r="Q260" i="3"/>
  <c r="P260" i="3"/>
  <c r="O260" i="3"/>
  <c r="N260" i="3"/>
  <c r="M260" i="3"/>
  <c r="E260" i="3"/>
  <c r="D260" i="3"/>
  <c r="C260" i="3"/>
  <c r="B260" i="3"/>
  <c r="S259" i="3"/>
  <c r="R259" i="3"/>
  <c r="Q259" i="3"/>
  <c r="P259" i="3"/>
  <c r="O259" i="3"/>
  <c r="N259" i="3"/>
  <c r="M259" i="3"/>
  <c r="E259" i="3"/>
  <c r="D259" i="3"/>
  <c r="C259" i="3"/>
  <c r="B259" i="3"/>
  <c r="S258" i="3"/>
  <c r="R258" i="3"/>
  <c r="Q258" i="3"/>
  <c r="P258" i="3"/>
  <c r="O258" i="3"/>
  <c r="N258" i="3"/>
  <c r="M258" i="3"/>
  <c r="E258" i="3"/>
  <c r="D258" i="3"/>
  <c r="C258" i="3"/>
  <c r="B258" i="3"/>
  <c r="S257" i="3"/>
  <c r="R257" i="3"/>
  <c r="Q257" i="3"/>
  <c r="P257" i="3"/>
  <c r="O257" i="3"/>
  <c r="N257" i="3"/>
  <c r="M257" i="3"/>
  <c r="E257" i="3"/>
  <c r="D257" i="3"/>
  <c r="C257" i="3"/>
  <c r="B257" i="3"/>
  <c r="S256" i="3"/>
  <c r="R256" i="3"/>
  <c r="Q256" i="3"/>
  <c r="P256" i="3"/>
  <c r="O256" i="3"/>
  <c r="N256" i="3"/>
  <c r="M256" i="3"/>
  <c r="E256" i="3"/>
  <c r="D256" i="3"/>
  <c r="C256" i="3"/>
  <c r="B256" i="3"/>
  <c r="S255" i="3"/>
  <c r="R255" i="3"/>
  <c r="Q255" i="3"/>
  <c r="P255" i="3"/>
  <c r="O255" i="3"/>
  <c r="N255" i="3"/>
  <c r="M255" i="3"/>
  <c r="E255" i="3"/>
  <c r="D255" i="3"/>
  <c r="C255" i="3"/>
  <c r="B255" i="3"/>
  <c r="S254" i="3"/>
  <c r="R254" i="3"/>
  <c r="Q254" i="3"/>
  <c r="P254" i="3"/>
  <c r="O254" i="3"/>
  <c r="N254" i="3"/>
  <c r="M254" i="3"/>
  <c r="E254" i="3"/>
  <c r="D254" i="3"/>
  <c r="C254" i="3"/>
  <c r="B254" i="3"/>
  <c r="S253" i="3"/>
  <c r="R253" i="3"/>
  <c r="Q253" i="3"/>
  <c r="P253" i="3"/>
  <c r="O253" i="3"/>
  <c r="N253" i="3"/>
  <c r="M253" i="3"/>
  <c r="E253" i="3"/>
  <c r="D253" i="3"/>
  <c r="C253" i="3"/>
  <c r="B253" i="3"/>
  <c r="S252" i="3"/>
  <c r="R252" i="3"/>
  <c r="Q252" i="3"/>
  <c r="P252" i="3"/>
  <c r="O252" i="3"/>
  <c r="N252" i="3"/>
  <c r="M252" i="3"/>
  <c r="E252" i="3"/>
  <c r="D252" i="3"/>
  <c r="C252" i="3"/>
  <c r="B252" i="3"/>
  <c r="S251" i="3"/>
  <c r="R251" i="3"/>
  <c r="Q251" i="3"/>
  <c r="P251" i="3"/>
  <c r="O251" i="3"/>
  <c r="N251" i="3"/>
  <c r="M251" i="3"/>
  <c r="E251" i="3"/>
  <c r="D251" i="3"/>
  <c r="C251" i="3"/>
  <c r="B251" i="3"/>
  <c r="S250" i="3"/>
  <c r="R250" i="3"/>
  <c r="Q250" i="3"/>
  <c r="P250" i="3"/>
  <c r="O250" i="3"/>
  <c r="N250" i="3"/>
  <c r="M250" i="3"/>
  <c r="E250" i="3"/>
  <c r="D250" i="3"/>
  <c r="C250" i="3"/>
  <c r="B250" i="3"/>
  <c r="S249" i="3"/>
  <c r="R249" i="3"/>
  <c r="Q249" i="3"/>
  <c r="P249" i="3"/>
  <c r="O249" i="3"/>
  <c r="N249" i="3"/>
  <c r="M249" i="3"/>
  <c r="E249" i="3"/>
  <c r="D249" i="3"/>
  <c r="C249" i="3"/>
  <c r="B249" i="3"/>
  <c r="S248" i="3"/>
  <c r="R248" i="3"/>
  <c r="Q248" i="3"/>
  <c r="P248" i="3"/>
  <c r="O248" i="3"/>
  <c r="N248" i="3"/>
  <c r="M248" i="3"/>
  <c r="E248" i="3"/>
  <c r="D248" i="3"/>
  <c r="C248" i="3"/>
  <c r="B248" i="3"/>
  <c r="S247" i="3"/>
  <c r="R247" i="3"/>
  <c r="Q247" i="3"/>
  <c r="P247" i="3"/>
  <c r="O247" i="3"/>
  <c r="N247" i="3"/>
  <c r="M247" i="3"/>
  <c r="E247" i="3"/>
  <c r="D247" i="3"/>
  <c r="C247" i="3"/>
  <c r="B247" i="3"/>
  <c r="S246" i="3"/>
  <c r="R246" i="3"/>
  <c r="Q246" i="3"/>
  <c r="P246" i="3"/>
  <c r="O246" i="3"/>
  <c r="N246" i="3"/>
  <c r="M246" i="3"/>
  <c r="E246" i="3"/>
  <c r="D246" i="3"/>
  <c r="C246" i="3"/>
  <c r="B246" i="3"/>
  <c r="S245" i="3"/>
  <c r="R245" i="3"/>
  <c r="Q245" i="3"/>
  <c r="P245" i="3"/>
  <c r="O245" i="3"/>
  <c r="N245" i="3"/>
  <c r="M245" i="3"/>
  <c r="E245" i="3"/>
  <c r="D245" i="3"/>
  <c r="C245" i="3"/>
  <c r="B245" i="3"/>
  <c r="S244" i="3"/>
  <c r="R244" i="3"/>
  <c r="Q244" i="3"/>
  <c r="P244" i="3"/>
  <c r="O244" i="3"/>
  <c r="N244" i="3"/>
  <c r="M244" i="3"/>
  <c r="E244" i="3"/>
  <c r="D244" i="3"/>
  <c r="C244" i="3"/>
  <c r="B244" i="3"/>
  <c r="S243" i="3"/>
  <c r="R243" i="3"/>
  <c r="Q243" i="3"/>
  <c r="P243" i="3"/>
  <c r="O243" i="3"/>
  <c r="N243" i="3"/>
  <c r="M243" i="3"/>
  <c r="S242" i="3"/>
  <c r="R242" i="3"/>
  <c r="Q242" i="3"/>
  <c r="P242" i="3"/>
  <c r="O242" i="3"/>
  <c r="N242" i="3"/>
  <c r="M242" i="3"/>
  <c r="A242" i="3"/>
  <c r="S241" i="3"/>
  <c r="R241" i="3"/>
  <c r="Q241" i="3"/>
  <c r="P241" i="3"/>
  <c r="O241" i="3"/>
  <c r="N241" i="3"/>
  <c r="M241" i="3"/>
  <c r="B241" i="3"/>
  <c r="B457" i="3" s="1"/>
  <c r="A241" i="3"/>
  <c r="S240" i="3"/>
  <c r="R240" i="3"/>
  <c r="Q240" i="3"/>
  <c r="P240" i="3"/>
  <c r="O240" i="3"/>
  <c r="N240" i="3"/>
  <c r="M240" i="3"/>
  <c r="C240" i="3"/>
  <c r="A240" i="3"/>
  <c r="S239" i="3"/>
  <c r="R239" i="3"/>
  <c r="Q239" i="3"/>
  <c r="P239" i="3"/>
  <c r="O239" i="3"/>
  <c r="N239" i="3"/>
  <c r="M239" i="3"/>
  <c r="B239" i="3"/>
  <c r="B240" i="3" s="1"/>
  <c r="A239" i="3"/>
  <c r="S238" i="3"/>
  <c r="R238" i="3"/>
  <c r="Q238" i="3"/>
  <c r="P238" i="3"/>
  <c r="O238" i="3"/>
  <c r="N238" i="3"/>
  <c r="M238" i="3"/>
  <c r="C238" i="3"/>
  <c r="B238" i="3"/>
  <c r="A238" i="3"/>
  <c r="S237" i="3"/>
  <c r="R237" i="3"/>
  <c r="Q237" i="3"/>
  <c r="P237" i="3"/>
  <c r="O237" i="3"/>
  <c r="N237" i="3"/>
  <c r="M237" i="3"/>
  <c r="B237" i="3"/>
  <c r="A237" i="3"/>
  <c r="S236" i="3"/>
  <c r="R236" i="3"/>
  <c r="Q236" i="3"/>
  <c r="P236" i="3"/>
  <c r="O236" i="3"/>
  <c r="N236" i="3"/>
  <c r="M236" i="3"/>
  <c r="S235" i="3"/>
  <c r="R235" i="3"/>
  <c r="Q235" i="3"/>
  <c r="P235" i="3"/>
  <c r="O235" i="3"/>
  <c r="N235" i="3"/>
  <c r="M235" i="3"/>
  <c r="A235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S233" i="3"/>
  <c r="R233" i="3"/>
  <c r="Q233" i="3"/>
  <c r="P233" i="3"/>
  <c r="O233" i="3"/>
  <c r="N233" i="3"/>
  <c r="M233" i="3"/>
  <c r="S232" i="3"/>
  <c r="R232" i="3"/>
  <c r="Q232" i="3"/>
  <c r="P232" i="3"/>
  <c r="O232" i="3"/>
  <c r="N232" i="3"/>
  <c r="M232" i="3"/>
  <c r="S231" i="3"/>
  <c r="R231" i="3"/>
  <c r="Q231" i="3"/>
  <c r="P231" i="3"/>
  <c r="O231" i="3"/>
  <c r="N231" i="3"/>
  <c r="M231" i="3"/>
  <c r="S230" i="3"/>
  <c r="R230" i="3"/>
  <c r="Q230" i="3"/>
  <c r="P230" i="3"/>
  <c r="O230" i="3"/>
  <c r="N230" i="3"/>
  <c r="M230" i="3"/>
  <c r="S229" i="3"/>
  <c r="R229" i="3"/>
  <c r="Q229" i="3"/>
  <c r="P229" i="3"/>
  <c r="O229" i="3"/>
  <c r="N229" i="3"/>
  <c r="M229" i="3"/>
  <c r="S228" i="3"/>
  <c r="R228" i="3"/>
  <c r="Q228" i="3"/>
  <c r="P228" i="3"/>
  <c r="O228" i="3"/>
  <c r="N228" i="3"/>
  <c r="M228" i="3"/>
  <c r="S227" i="3"/>
  <c r="R227" i="3"/>
  <c r="Q227" i="3"/>
  <c r="P227" i="3"/>
  <c r="O227" i="3"/>
  <c r="N227" i="3"/>
  <c r="M227" i="3"/>
  <c r="S226" i="3"/>
  <c r="R226" i="3"/>
  <c r="Q226" i="3"/>
  <c r="P226" i="3"/>
  <c r="O226" i="3"/>
  <c r="N226" i="3"/>
  <c r="M226" i="3"/>
  <c r="E226" i="3"/>
  <c r="B226" i="3"/>
  <c r="A226" i="3"/>
  <c r="S225" i="3"/>
  <c r="R225" i="3"/>
  <c r="Q225" i="3"/>
  <c r="P225" i="3"/>
  <c r="O225" i="3"/>
  <c r="N225" i="3"/>
  <c r="M225" i="3"/>
  <c r="E225" i="3"/>
  <c r="E448" i="3" s="1"/>
  <c r="D225" i="3"/>
  <c r="D448" i="3" s="1"/>
  <c r="C225" i="3"/>
  <c r="C448" i="3" s="1"/>
  <c r="B225" i="3"/>
  <c r="B448" i="3" s="1"/>
  <c r="A225" i="3"/>
  <c r="A448" i="3" s="1"/>
  <c r="S224" i="3"/>
  <c r="R224" i="3"/>
  <c r="Q224" i="3"/>
  <c r="P224" i="3"/>
  <c r="O224" i="3"/>
  <c r="N224" i="3"/>
  <c r="M224" i="3"/>
  <c r="E224" i="3"/>
  <c r="E447" i="3" s="1"/>
  <c r="D224" i="3"/>
  <c r="D447" i="3" s="1"/>
  <c r="C224" i="3"/>
  <c r="C447" i="3" s="1"/>
  <c r="B224" i="3"/>
  <c r="B447" i="3" s="1"/>
  <c r="A224" i="3"/>
  <c r="A447" i="3" s="1"/>
  <c r="S223" i="3"/>
  <c r="R223" i="3"/>
  <c r="Q223" i="3"/>
  <c r="P223" i="3"/>
  <c r="O223" i="3"/>
  <c r="N223" i="3"/>
  <c r="M223" i="3"/>
  <c r="E223" i="3"/>
  <c r="E446" i="3" s="1"/>
  <c r="D223" i="3"/>
  <c r="D446" i="3" s="1"/>
  <c r="C223" i="3"/>
  <c r="C446" i="3" s="1"/>
  <c r="B223" i="3"/>
  <c r="B446" i="3" s="1"/>
  <c r="A223" i="3"/>
  <c r="A446" i="3" s="1"/>
  <c r="S222" i="3"/>
  <c r="R222" i="3"/>
  <c r="Q222" i="3"/>
  <c r="P222" i="3"/>
  <c r="O222" i="3"/>
  <c r="N222" i="3"/>
  <c r="M222" i="3"/>
  <c r="E222" i="3"/>
  <c r="E445" i="3" s="1"/>
  <c r="D222" i="3"/>
  <c r="D445" i="3" s="1"/>
  <c r="C222" i="3"/>
  <c r="C445" i="3" s="1"/>
  <c r="B222" i="3"/>
  <c r="B445" i="3" s="1"/>
  <c r="A222" i="3"/>
  <c r="A445" i="3" s="1"/>
  <c r="S221" i="3"/>
  <c r="R221" i="3"/>
  <c r="Q221" i="3"/>
  <c r="P221" i="3"/>
  <c r="O221" i="3"/>
  <c r="N221" i="3"/>
  <c r="M221" i="3"/>
  <c r="E221" i="3"/>
  <c r="B221" i="3"/>
  <c r="B221" i="2" s="1"/>
  <c r="A221" i="3"/>
  <c r="S220" i="3"/>
  <c r="R220" i="3"/>
  <c r="Q220" i="3"/>
  <c r="P220" i="3"/>
  <c r="O220" i="3"/>
  <c r="N220" i="3"/>
  <c r="M220" i="3"/>
  <c r="E220" i="3"/>
  <c r="E444" i="3" s="1"/>
  <c r="D220" i="3"/>
  <c r="D444" i="3" s="1"/>
  <c r="C220" i="3"/>
  <c r="C444" i="3" s="1"/>
  <c r="B220" i="3"/>
  <c r="B444" i="3" s="1"/>
  <c r="A220" i="3"/>
  <c r="A444" i="3" s="1"/>
  <c r="S219" i="3"/>
  <c r="R219" i="3"/>
  <c r="Q219" i="3"/>
  <c r="P219" i="3"/>
  <c r="O219" i="3"/>
  <c r="N219" i="3"/>
  <c r="M219" i="3"/>
  <c r="E219" i="3"/>
  <c r="E443" i="3" s="1"/>
  <c r="D219" i="3"/>
  <c r="D443" i="3" s="1"/>
  <c r="C219" i="3"/>
  <c r="C443" i="3" s="1"/>
  <c r="B219" i="3"/>
  <c r="B443" i="3" s="1"/>
  <c r="A219" i="3"/>
  <c r="A443" i="3" s="1"/>
  <c r="S218" i="3"/>
  <c r="R218" i="3"/>
  <c r="Q218" i="3"/>
  <c r="P218" i="3"/>
  <c r="O218" i="3"/>
  <c r="N218" i="3"/>
  <c r="M218" i="3"/>
  <c r="E218" i="3"/>
  <c r="E442" i="3" s="1"/>
  <c r="D218" i="3"/>
  <c r="D442" i="3" s="1"/>
  <c r="C218" i="3"/>
  <c r="C442" i="3" s="1"/>
  <c r="B218" i="3"/>
  <c r="B442" i="3" s="1"/>
  <c r="A218" i="3"/>
  <c r="A442" i="3" s="1"/>
  <c r="S217" i="3"/>
  <c r="R217" i="3"/>
  <c r="Q217" i="3"/>
  <c r="P217" i="3"/>
  <c r="O217" i="3"/>
  <c r="N217" i="3"/>
  <c r="M217" i="3"/>
  <c r="E217" i="3"/>
  <c r="E441" i="3" s="1"/>
  <c r="D217" i="3"/>
  <c r="D441" i="3" s="1"/>
  <c r="C217" i="3"/>
  <c r="C441" i="3" s="1"/>
  <c r="B217" i="3"/>
  <c r="B441" i="3" s="1"/>
  <c r="A217" i="3"/>
  <c r="A441" i="3" s="1"/>
  <c r="S216" i="3"/>
  <c r="R216" i="3"/>
  <c r="Q216" i="3"/>
  <c r="P216" i="3"/>
  <c r="O216" i="3"/>
  <c r="N216" i="3"/>
  <c r="M216" i="3"/>
  <c r="E216" i="3"/>
  <c r="E440" i="3" s="1"/>
  <c r="D216" i="3"/>
  <c r="D440" i="3" s="1"/>
  <c r="C216" i="3"/>
  <c r="C440" i="3" s="1"/>
  <c r="B216" i="3"/>
  <c r="B440" i="3" s="1"/>
  <c r="A216" i="3"/>
  <c r="A440" i="3" s="1"/>
  <c r="S215" i="3"/>
  <c r="R215" i="3"/>
  <c r="Q215" i="3"/>
  <c r="P215" i="3"/>
  <c r="O215" i="3"/>
  <c r="N215" i="3"/>
  <c r="M215" i="3"/>
  <c r="E215" i="3"/>
  <c r="B215" i="3"/>
  <c r="A215" i="3"/>
  <c r="S214" i="3"/>
  <c r="R214" i="3"/>
  <c r="Q214" i="3"/>
  <c r="P214" i="3"/>
  <c r="O214" i="3"/>
  <c r="N214" i="3"/>
  <c r="M214" i="3"/>
  <c r="E214" i="3"/>
  <c r="B214" i="3"/>
  <c r="A214" i="3"/>
  <c r="S213" i="3"/>
  <c r="R213" i="3"/>
  <c r="Q213" i="3"/>
  <c r="P213" i="3"/>
  <c r="O213" i="3"/>
  <c r="N213" i="3"/>
  <c r="M213" i="3"/>
  <c r="E213" i="3"/>
  <c r="E439" i="3" s="1"/>
  <c r="D213" i="3"/>
  <c r="D439" i="3" s="1"/>
  <c r="C213" i="3"/>
  <c r="C439" i="3" s="1"/>
  <c r="B213" i="3"/>
  <c r="B439" i="3" s="1"/>
  <c r="A213" i="3"/>
  <c r="A439" i="3" s="1"/>
  <c r="S212" i="3"/>
  <c r="R212" i="3"/>
  <c r="Q212" i="3"/>
  <c r="P212" i="3"/>
  <c r="O212" i="3"/>
  <c r="N212" i="3"/>
  <c r="M212" i="3"/>
  <c r="E212" i="3"/>
  <c r="E438" i="3" s="1"/>
  <c r="D212" i="3"/>
  <c r="D438" i="3" s="1"/>
  <c r="C212" i="3"/>
  <c r="C438" i="3" s="1"/>
  <c r="B212" i="3"/>
  <c r="B438" i="3" s="1"/>
  <c r="A212" i="3"/>
  <c r="A438" i="3" s="1"/>
  <c r="S211" i="3"/>
  <c r="R211" i="3"/>
  <c r="Q211" i="3"/>
  <c r="P211" i="3"/>
  <c r="O211" i="3"/>
  <c r="N211" i="3"/>
  <c r="M211" i="3"/>
  <c r="E211" i="3"/>
  <c r="E437" i="3" s="1"/>
  <c r="D211" i="3"/>
  <c r="D437" i="3" s="1"/>
  <c r="C211" i="3"/>
  <c r="C437" i="3" s="1"/>
  <c r="B211" i="3"/>
  <c r="B437" i="3" s="1"/>
  <c r="A211" i="3"/>
  <c r="A437" i="3" s="1"/>
  <c r="S210" i="3"/>
  <c r="R210" i="3"/>
  <c r="Q210" i="3"/>
  <c r="P210" i="3"/>
  <c r="O210" i="3"/>
  <c r="N210" i="3"/>
  <c r="M210" i="3"/>
  <c r="E210" i="3"/>
  <c r="E436" i="3" s="1"/>
  <c r="D210" i="3"/>
  <c r="D436" i="3" s="1"/>
  <c r="C210" i="3"/>
  <c r="C436" i="3" s="1"/>
  <c r="B210" i="3"/>
  <c r="B436" i="3" s="1"/>
  <c r="A210" i="3"/>
  <c r="A436" i="3" s="1"/>
  <c r="S209" i="3"/>
  <c r="R209" i="3"/>
  <c r="Q209" i="3"/>
  <c r="P209" i="3"/>
  <c r="O209" i="3"/>
  <c r="N209" i="3"/>
  <c r="M209" i="3"/>
  <c r="E209" i="3"/>
  <c r="E209" i="2" s="1"/>
  <c r="B209" i="3"/>
  <c r="A209" i="3"/>
  <c r="S208" i="3"/>
  <c r="R208" i="3"/>
  <c r="Q208" i="3"/>
  <c r="P208" i="3"/>
  <c r="O208" i="3"/>
  <c r="N208" i="3"/>
  <c r="M208" i="3"/>
  <c r="E208" i="3"/>
  <c r="B208" i="3"/>
  <c r="A208" i="3"/>
  <c r="A208" i="2" s="1"/>
  <c r="S207" i="3"/>
  <c r="R207" i="3"/>
  <c r="Q207" i="3"/>
  <c r="P207" i="3"/>
  <c r="O207" i="3"/>
  <c r="N207" i="3"/>
  <c r="M207" i="3"/>
  <c r="E207" i="3"/>
  <c r="E435" i="3" s="1"/>
  <c r="D207" i="3"/>
  <c r="D435" i="3" s="1"/>
  <c r="C207" i="3"/>
  <c r="C435" i="3" s="1"/>
  <c r="B207" i="3"/>
  <c r="B435" i="3" s="1"/>
  <c r="A207" i="3"/>
  <c r="A435" i="3" s="1"/>
  <c r="S206" i="3"/>
  <c r="R206" i="3"/>
  <c r="Q206" i="3"/>
  <c r="P206" i="3"/>
  <c r="O206" i="3"/>
  <c r="N206" i="3"/>
  <c r="M206" i="3"/>
  <c r="E206" i="3"/>
  <c r="E434" i="3" s="1"/>
  <c r="D206" i="3"/>
  <c r="D434" i="3" s="1"/>
  <c r="C206" i="3"/>
  <c r="C434" i="3" s="1"/>
  <c r="B206" i="3"/>
  <c r="B434" i="3" s="1"/>
  <c r="A206" i="3"/>
  <c r="A434" i="3" s="1"/>
  <c r="S205" i="3"/>
  <c r="R205" i="3"/>
  <c r="Q205" i="3"/>
  <c r="P205" i="3"/>
  <c r="O205" i="3"/>
  <c r="N205" i="3"/>
  <c r="M205" i="3"/>
  <c r="E205" i="3"/>
  <c r="E433" i="3" s="1"/>
  <c r="D205" i="3"/>
  <c r="D433" i="3" s="1"/>
  <c r="C205" i="3"/>
  <c r="C433" i="3" s="1"/>
  <c r="B205" i="3"/>
  <c r="B433" i="3" s="1"/>
  <c r="A205" i="3"/>
  <c r="A433" i="3" s="1"/>
  <c r="S204" i="3"/>
  <c r="R204" i="3"/>
  <c r="Q204" i="3"/>
  <c r="P204" i="3"/>
  <c r="O204" i="3"/>
  <c r="N204" i="3"/>
  <c r="M204" i="3"/>
  <c r="E204" i="3"/>
  <c r="E432" i="3" s="1"/>
  <c r="D204" i="3"/>
  <c r="D432" i="3" s="1"/>
  <c r="C204" i="3"/>
  <c r="C432" i="3" s="1"/>
  <c r="B204" i="3"/>
  <c r="B432" i="3" s="1"/>
  <c r="A204" i="3"/>
  <c r="A432" i="3" s="1"/>
  <c r="S203" i="3"/>
  <c r="R203" i="3"/>
  <c r="Q203" i="3"/>
  <c r="P203" i="3"/>
  <c r="O203" i="3"/>
  <c r="N203" i="3"/>
  <c r="M203" i="3"/>
  <c r="E203" i="3"/>
  <c r="B203" i="3"/>
  <c r="B203" i="2" s="1"/>
  <c r="A203" i="3"/>
  <c r="S202" i="3"/>
  <c r="R202" i="3"/>
  <c r="Q202" i="3"/>
  <c r="P202" i="3"/>
  <c r="O202" i="3"/>
  <c r="N202" i="3"/>
  <c r="M202" i="3"/>
  <c r="E202" i="3"/>
  <c r="B202" i="3"/>
  <c r="B202" i="2" s="1"/>
  <c r="A202" i="3"/>
  <c r="S201" i="3"/>
  <c r="R201" i="3"/>
  <c r="Q201" i="3"/>
  <c r="P201" i="3"/>
  <c r="O201" i="3"/>
  <c r="N201" i="3"/>
  <c r="M201" i="3"/>
  <c r="E201" i="3"/>
  <c r="E431" i="3" s="1"/>
  <c r="D201" i="3"/>
  <c r="D431" i="3" s="1"/>
  <c r="C201" i="3"/>
  <c r="C431" i="3" s="1"/>
  <c r="B201" i="3"/>
  <c r="B431" i="3" s="1"/>
  <c r="A201" i="3"/>
  <c r="A431" i="3" s="1"/>
  <c r="S200" i="3"/>
  <c r="R200" i="3"/>
  <c r="Q200" i="3"/>
  <c r="P200" i="3"/>
  <c r="O200" i="3"/>
  <c r="N200" i="3"/>
  <c r="M200" i="3"/>
  <c r="E200" i="3"/>
  <c r="E430" i="3" s="1"/>
  <c r="D200" i="3"/>
  <c r="D430" i="3" s="1"/>
  <c r="C200" i="3"/>
  <c r="C430" i="3" s="1"/>
  <c r="B200" i="3"/>
  <c r="B430" i="3" s="1"/>
  <c r="A200" i="3"/>
  <c r="A430" i="3" s="1"/>
  <c r="S199" i="3"/>
  <c r="R199" i="3"/>
  <c r="Q199" i="3"/>
  <c r="P199" i="3"/>
  <c r="O199" i="3"/>
  <c r="N199" i="3"/>
  <c r="M199" i="3"/>
  <c r="E199" i="3"/>
  <c r="E429" i="3" s="1"/>
  <c r="D199" i="3"/>
  <c r="D429" i="3" s="1"/>
  <c r="C199" i="3"/>
  <c r="C429" i="3" s="1"/>
  <c r="B199" i="3"/>
  <c r="B429" i="3" s="1"/>
  <c r="A199" i="3"/>
  <c r="A429" i="3" s="1"/>
  <c r="S198" i="3"/>
  <c r="R198" i="3"/>
  <c r="Q198" i="3"/>
  <c r="P198" i="3"/>
  <c r="O198" i="3"/>
  <c r="N198" i="3"/>
  <c r="M198" i="3"/>
  <c r="E198" i="3"/>
  <c r="E428" i="3" s="1"/>
  <c r="D198" i="3"/>
  <c r="D428" i="3" s="1"/>
  <c r="C198" i="3"/>
  <c r="C428" i="3" s="1"/>
  <c r="B198" i="3"/>
  <c r="B428" i="3" s="1"/>
  <c r="A198" i="3"/>
  <c r="A428" i="3" s="1"/>
  <c r="S197" i="3"/>
  <c r="R197" i="3"/>
  <c r="Q197" i="3"/>
  <c r="P197" i="3"/>
  <c r="O197" i="3"/>
  <c r="N197" i="3"/>
  <c r="M197" i="3"/>
  <c r="E197" i="3"/>
  <c r="E427" i="3" s="1"/>
  <c r="D197" i="3"/>
  <c r="D427" i="3" s="1"/>
  <c r="C197" i="3"/>
  <c r="C427" i="3" s="1"/>
  <c r="B197" i="3"/>
  <c r="B427" i="3" s="1"/>
  <c r="A197" i="3"/>
  <c r="A427" i="3" s="1"/>
  <c r="S196" i="3"/>
  <c r="R196" i="3"/>
  <c r="Q196" i="3"/>
  <c r="P196" i="3"/>
  <c r="O196" i="3"/>
  <c r="N196" i="3"/>
  <c r="M196" i="3"/>
  <c r="E196" i="3"/>
  <c r="B196" i="3"/>
  <c r="A196" i="3"/>
  <c r="S195" i="3"/>
  <c r="R195" i="3"/>
  <c r="Q195" i="3"/>
  <c r="P195" i="3"/>
  <c r="O195" i="3"/>
  <c r="N195" i="3"/>
  <c r="M195" i="3"/>
  <c r="E195" i="3"/>
  <c r="E426" i="3" s="1"/>
  <c r="D195" i="3"/>
  <c r="D426" i="3" s="1"/>
  <c r="C195" i="3"/>
  <c r="C426" i="3" s="1"/>
  <c r="B195" i="3"/>
  <c r="B426" i="3" s="1"/>
  <c r="A195" i="3"/>
  <c r="A426" i="3" s="1"/>
  <c r="S194" i="3"/>
  <c r="R194" i="3"/>
  <c r="Q194" i="3"/>
  <c r="P194" i="3"/>
  <c r="O194" i="3"/>
  <c r="N194" i="3"/>
  <c r="M194" i="3"/>
  <c r="E194" i="3"/>
  <c r="B194" i="3"/>
  <c r="A194" i="3"/>
  <c r="S193" i="3"/>
  <c r="R193" i="3"/>
  <c r="Q193" i="3"/>
  <c r="P193" i="3"/>
  <c r="O193" i="3"/>
  <c r="N193" i="3"/>
  <c r="M193" i="3"/>
  <c r="E193" i="3"/>
  <c r="B193" i="3"/>
  <c r="A193" i="3"/>
  <c r="S192" i="3"/>
  <c r="R192" i="3"/>
  <c r="Q192" i="3"/>
  <c r="P192" i="3"/>
  <c r="O192" i="3"/>
  <c r="N192" i="3"/>
  <c r="M192" i="3"/>
  <c r="E192" i="3"/>
  <c r="E425" i="3" s="1"/>
  <c r="D192" i="3"/>
  <c r="D425" i="3" s="1"/>
  <c r="C192" i="3"/>
  <c r="C425" i="3" s="1"/>
  <c r="B192" i="3"/>
  <c r="B425" i="3" s="1"/>
  <c r="A192" i="3"/>
  <c r="A425" i="3" s="1"/>
  <c r="S191" i="3"/>
  <c r="R191" i="3"/>
  <c r="Q191" i="3"/>
  <c r="P191" i="3"/>
  <c r="O191" i="3"/>
  <c r="N191" i="3"/>
  <c r="M191" i="3"/>
  <c r="E191" i="3"/>
  <c r="E424" i="3" s="1"/>
  <c r="D191" i="3"/>
  <c r="D424" i="3" s="1"/>
  <c r="C191" i="3"/>
  <c r="C424" i="3" s="1"/>
  <c r="B191" i="3"/>
  <c r="B424" i="3" s="1"/>
  <c r="A191" i="3"/>
  <c r="A424" i="3" s="1"/>
  <c r="S190" i="3"/>
  <c r="R190" i="3"/>
  <c r="Q190" i="3"/>
  <c r="P190" i="3"/>
  <c r="O190" i="3"/>
  <c r="N190" i="3"/>
  <c r="M190" i="3"/>
  <c r="E190" i="3"/>
  <c r="B190" i="3"/>
  <c r="A190" i="3"/>
  <c r="A190" i="2" s="1"/>
  <c r="S189" i="3"/>
  <c r="R189" i="3"/>
  <c r="Q189" i="3"/>
  <c r="P189" i="3"/>
  <c r="O189" i="3"/>
  <c r="N189" i="3"/>
  <c r="M189" i="3"/>
  <c r="E189" i="3"/>
  <c r="B189" i="3"/>
  <c r="A189" i="3"/>
  <c r="S188" i="3"/>
  <c r="R188" i="3"/>
  <c r="Q188" i="3"/>
  <c r="P188" i="3"/>
  <c r="O188" i="3"/>
  <c r="N188" i="3"/>
  <c r="M188" i="3"/>
  <c r="E188" i="3"/>
  <c r="E423" i="3" s="1"/>
  <c r="D188" i="3"/>
  <c r="D423" i="3" s="1"/>
  <c r="C188" i="3"/>
  <c r="C423" i="3" s="1"/>
  <c r="B188" i="3"/>
  <c r="B423" i="3" s="1"/>
  <c r="A188" i="3"/>
  <c r="A423" i="3" s="1"/>
  <c r="S187" i="3"/>
  <c r="R187" i="3"/>
  <c r="Q187" i="3"/>
  <c r="P187" i="3"/>
  <c r="O187" i="3"/>
  <c r="N187" i="3"/>
  <c r="M187" i="3"/>
  <c r="E187" i="3"/>
  <c r="E422" i="3" s="1"/>
  <c r="D187" i="3"/>
  <c r="D422" i="3" s="1"/>
  <c r="C187" i="3"/>
  <c r="C422" i="3" s="1"/>
  <c r="B187" i="3"/>
  <c r="B422" i="3" s="1"/>
  <c r="A187" i="3"/>
  <c r="A422" i="3" s="1"/>
  <c r="S186" i="3"/>
  <c r="R186" i="3"/>
  <c r="Q186" i="3"/>
  <c r="P186" i="3"/>
  <c r="O186" i="3"/>
  <c r="N186" i="3"/>
  <c r="M186" i="3"/>
  <c r="E186" i="3"/>
  <c r="E421" i="3" s="1"/>
  <c r="D186" i="3"/>
  <c r="D421" i="3" s="1"/>
  <c r="C186" i="3"/>
  <c r="C421" i="3" s="1"/>
  <c r="B186" i="3"/>
  <c r="B421" i="3" s="1"/>
  <c r="A186" i="3"/>
  <c r="A421" i="3" s="1"/>
  <c r="S185" i="3"/>
  <c r="R185" i="3"/>
  <c r="Q185" i="3"/>
  <c r="P185" i="3"/>
  <c r="O185" i="3"/>
  <c r="N185" i="3"/>
  <c r="M185" i="3"/>
  <c r="E185" i="3"/>
  <c r="E420" i="3" s="1"/>
  <c r="D185" i="3"/>
  <c r="D420" i="3" s="1"/>
  <c r="C185" i="3"/>
  <c r="C420" i="3" s="1"/>
  <c r="B185" i="3"/>
  <c r="B420" i="3" s="1"/>
  <c r="A185" i="3"/>
  <c r="A420" i="3" s="1"/>
  <c r="S184" i="3"/>
  <c r="R184" i="3"/>
  <c r="Q184" i="3"/>
  <c r="P184" i="3"/>
  <c r="O184" i="3"/>
  <c r="N184" i="3"/>
  <c r="M184" i="3"/>
  <c r="E184" i="3"/>
  <c r="E419" i="3" s="1"/>
  <c r="D184" i="3"/>
  <c r="D419" i="3" s="1"/>
  <c r="C184" i="3"/>
  <c r="C419" i="3" s="1"/>
  <c r="B184" i="3"/>
  <c r="B419" i="3" s="1"/>
  <c r="A184" i="3"/>
  <c r="A419" i="3" s="1"/>
  <c r="S183" i="3"/>
  <c r="R183" i="3"/>
  <c r="Q183" i="3"/>
  <c r="P183" i="3"/>
  <c r="O183" i="3"/>
  <c r="N183" i="3"/>
  <c r="M183" i="3"/>
  <c r="E183" i="3"/>
  <c r="E418" i="3" s="1"/>
  <c r="D183" i="3"/>
  <c r="D418" i="3" s="1"/>
  <c r="C183" i="3"/>
  <c r="C418" i="3" s="1"/>
  <c r="B183" i="3"/>
  <c r="B418" i="3" s="1"/>
  <c r="A183" i="3"/>
  <c r="A418" i="3" s="1"/>
  <c r="S182" i="3"/>
  <c r="R182" i="3"/>
  <c r="Q182" i="3"/>
  <c r="P182" i="3"/>
  <c r="O182" i="3"/>
  <c r="N182" i="3"/>
  <c r="M182" i="3"/>
  <c r="E182" i="3"/>
  <c r="E417" i="3" s="1"/>
  <c r="D182" i="3"/>
  <c r="D417" i="3" s="1"/>
  <c r="C182" i="3"/>
  <c r="C417" i="3" s="1"/>
  <c r="B182" i="3"/>
  <c r="B417" i="3" s="1"/>
  <c r="A182" i="3"/>
  <c r="A417" i="3" s="1"/>
  <c r="S181" i="3"/>
  <c r="R181" i="3"/>
  <c r="Q181" i="3"/>
  <c r="P181" i="3"/>
  <c r="O181" i="3"/>
  <c r="N181" i="3"/>
  <c r="M181" i="3"/>
  <c r="E181" i="3"/>
  <c r="B181" i="3"/>
  <c r="A181" i="3"/>
  <c r="S180" i="3"/>
  <c r="R180" i="3"/>
  <c r="Q180" i="3"/>
  <c r="P180" i="3"/>
  <c r="O180" i="3"/>
  <c r="N180" i="3"/>
  <c r="M180" i="3"/>
  <c r="E180" i="3"/>
  <c r="B180" i="3"/>
  <c r="A180" i="3"/>
  <c r="S179" i="3"/>
  <c r="R179" i="3"/>
  <c r="Q179" i="3"/>
  <c r="P179" i="3"/>
  <c r="O179" i="3"/>
  <c r="N179" i="3"/>
  <c r="M179" i="3"/>
  <c r="E179" i="3"/>
  <c r="E416" i="3" s="1"/>
  <c r="D179" i="3"/>
  <c r="D416" i="3" s="1"/>
  <c r="C179" i="3"/>
  <c r="C416" i="3" s="1"/>
  <c r="B179" i="3"/>
  <c r="B416" i="3" s="1"/>
  <c r="A179" i="3"/>
  <c r="A416" i="3" s="1"/>
  <c r="S178" i="3"/>
  <c r="R178" i="3"/>
  <c r="Q178" i="3"/>
  <c r="P178" i="3"/>
  <c r="O178" i="3"/>
  <c r="N178" i="3"/>
  <c r="M178" i="3"/>
  <c r="E178" i="3"/>
  <c r="E415" i="3" s="1"/>
  <c r="D178" i="3"/>
  <c r="D415" i="3" s="1"/>
  <c r="C178" i="3"/>
  <c r="C415" i="3" s="1"/>
  <c r="B178" i="3"/>
  <c r="B415" i="3" s="1"/>
  <c r="A178" i="3"/>
  <c r="A415" i="3" s="1"/>
  <c r="S177" i="3"/>
  <c r="R177" i="3"/>
  <c r="Q177" i="3"/>
  <c r="P177" i="3"/>
  <c r="O177" i="3"/>
  <c r="N177" i="3"/>
  <c r="M177" i="3"/>
  <c r="E177" i="3"/>
  <c r="E414" i="3" s="1"/>
  <c r="D177" i="3"/>
  <c r="D414" i="3" s="1"/>
  <c r="C177" i="3"/>
  <c r="C414" i="3" s="1"/>
  <c r="B177" i="3"/>
  <c r="B414" i="3" s="1"/>
  <c r="A177" i="3"/>
  <c r="A414" i="3" s="1"/>
  <c r="S176" i="3"/>
  <c r="R176" i="3"/>
  <c r="Q176" i="3"/>
  <c r="P176" i="3"/>
  <c r="O176" i="3"/>
  <c r="N176" i="3"/>
  <c r="M176" i="3"/>
  <c r="E176" i="3"/>
  <c r="E413" i="3" s="1"/>
  <c r="D176" i="3"/>
  <c r="D413" i="3" s="1"/>
  <c r="C176" i="3"/>
  <c r="C413" i="3" s="1"/>
  <c r="B176" i="3"/>
  <c r="B413" i="3" s="1"/>
  <c r="A176" i="3"/>
  <c r="A413" i="3" s="1"/>
  <c r="S175" i="3"/>
  <c r="R175" i="3"/>
  <c r="Q175" i="3"/>
  <c r="P175" i="3"/>
  <c r="O175" i="3"/>
  <c r="N175" i="3"/>
  <c r="M175" i="3"/>
  <c r="E175" i="3"/>
  <c r="E412" i="3" s="1"/>
  <c r="D175" i="3"/>
  <c r="D412" i="3" s="1"/>
  <c r="C175" i="3"/>
  <c r="C412" i="3" s="1"/>
  <c r="B175" i="3"/>
  <c r="B412" i="3" s="1"/>
  <c r="A175" i="3"/>
  <c r="A412" i="3" s="1"/>
  <c r="S174" i="3"/>
  <c r="R174" i="3"/>
  <c r="Q174" i="3"/>
  <c r="P174" i="3"/>
  <c r="O174" i="3"/>
  <c r="N174" i="3"/>
  <c r="M174" i="3"/>
  <c r="E174" i="3"/>
  <c r="B174" i="3"/>
  <c r="A174" i="3"/>
  <c r="S173" i="3"/>
  <c r="R173" i="3"/>
  <c r="Q173" i="3"/>
  <c r="P173" i="3"/>
  <c r="O173" i="3"/>
  <c r="N173" i="3"/>
  <c r="M173" i="3"/>
  <c r="E173" i="3"/>
  <c r="E411" i="3" s="1"/>
  <c r="D173" i="3"/>
  <c r="D411" i="3" s="1"/>
  <c r="C173" i="3"/>
  <c r="C411" i="3" s="1"/>
  <c r="B173" i="3"/>
  <c r="B411" i="3" s="1"/>
  <c r="A173" i="3"/>
  <c r="A411" i="3" s="1"/>
  <c r="S172" i="3"/>
  <c r="R172" i="3"/>
  <c r="Q172" i="3"/>
  <c r="P172" i="3"/>
  <c r="O172" i="3"/>
  <c r="N172" i="3"/>
  <c r="M172" i="3"/>
  <c r="E172" i="3"/>
  <c r="E410" i="3" s="1"/>
  <c r="D172" i="3"/>
  <c r="D410" i="3" s="1"/>
  <c r="C172" i="3"/>
  <c r="C410" i="3" s="1"/>
  <c r="B172" i="3"/>
  <c r="B410" i="3" s="1"/>
  <c r="A172" i="3"/>
  <c r="A410" i="3" s="1"/>
  <c r="S171" i="3"/>
  <c r="R171" i="3"/>
  <c r="Q171" i="3"/>
  <c r="P171" i="3"/>
  <c r="O171" i="3"/>
  <c r="N171" i="3"/>
  <c r="M171" i="3"/>
  <c r="E171" i="3"/>
  <c r="E409" i="3" s="1"/>
  <c r="D171" i="3"/>
  <c r="D409" i="3" s="1"/>
  <c r="C171" i="3"/>
  <c r="C409" i="3" s="1"/>
  <c r="B171" i="3"/>
  <c r="B409" i="3" s="1"/>
  <c r="A171" i="3"/>
  <c r="A409" i="3" s="1"/>
  <c r="S170" i="3"/>
  <c r="R170" i="3"/>
  <c r="Q170" i="3"/>
  <c r="P170" i="3"/>
  <c r="O170" i="3"/>
  <c r="N170" i="3"/>
  <c r="M170" i="3"/>
  <c r="E170" i="3"/>
  <c r="E408" i="3" s="1"/>
  <c r="D170" i="3"/>
  <c r="D408" i="3" s="1"/>
  <c r="C170" i="3"/>
  <c r="C408" i="3" s="1"/>
  <c r="B170" i="3"/>
  <c r="B408" i="3" s="1"/>
  <c r="A170" i="3"/>
  <c r="A408" i="3" s="1"/>
  <c r="S169" i="3"/>
  <c r="R169" i="3"/>
  <c r="Q169" i="3"/>
  <c r="P169" i="3"/>
  <c r="O169" i="3"/>
  <c r="N169" i="3"/>
  <c r="M169" i="3"/>
  <c r="E169" i="3"/>
  <c r="E407" i="3" s="1"/>
  <c r="D169" i="3"/>
  <c r="D407" i="3" s="1"/>
  <c r="C169" i="3"/>
  <c r="C407" i="3" s="1"/>
  <c r="B169" i="3"/>
  <c r="B407" i="3" s="1"/>
  <c r="A169" i="3"/>
  <c r="A407" i="3" s="1"/>
  <c r="S168" i="3"/>
  <c r="R168" i="3"/>
  <c r="Q168" i="3"/>
  <c r="P168" i="3"/>
  <c r="O168" i="3"/>
  <c r="N168" i="3"/>
  <c r="M168" i="3"/>
  <c r="E168" i="3"/>
  <c r="B168" i="3"/>
  <c r="A168" i="3"/>
  <c r="S167" i="3"/>
  <c r="R167" i="3"/>
  <c r="Q167" i="3"/>
  <c r="P167" i="3"/>
  <c r="O167" i="3"/>
  <c r="N167" i="3"/>
  <c r="M167" i="3"/>
  <c r="E167" i="3"/>
  <c r="B167" i="3"/>
  <c r="A167" i="3"/>
  <c r="A167" i="2" s="1"/>
  <c r="S166" i="3"/>
  <c r="R166" i="3"/>
  <c r="Q166" i="3"/>
  <c r="P166" i="3"/>
  <c r="O166" i="3"/>
  <c r="N166" i="3"/>
  <c r="M166" i="3"/>
  <c r="E166" i="3"/>
  <c r="E406" i="3" s="1"/>
  <c r="D166" i="3"/>
  <c r="D406" i="3" s="1"/>
  <c r="C166" i="3"/>
  <c r="C406" i="3" s="1"/>
  <c r="B166" i="3"/>
  <c r="B406" i="3" s="1"/>
  <c r="A166" i="3"/>
  <c r="A406" i="3" s="1"/>
  <c r="S165" i="3"/>
  <c r="R165" i="3"/>
  <c r="Q165" i="3"/>
  <c r="P165" i="3"/>
  <c r="O165" i="3"/>
  <c r="N165" i="3"/>
  <c r="M165" i="3"/>
  <c r="E165" i="3"/>
  <c r="E405" i="3" s="1"/>
  <c r="D165" i="3"/>
  <c r="D405" i="3" s="1"/>
  <c r="C165" i="3"/>
  <c r="C405" i="3" s="1"/>
  <c r="B165" i="3"/>
  <c r="B405" i="3" s="1"/>
  <c r="A165" i="3"/>
  <c r="A405" i="3" s="1"/>
  <c r="S164" i="3"/>
  <c r="R164" i="3"/>
  <c r="Q164" i="3"/>
  <c r="P164" i="3"/>
  <c r="O164" i="3"/>
  <c r="N164" i="3"/>
  <c r="M164" i="3"/>
  <c r="E164" i="3"/>
  <c r="E404" i="3" s="1"/>
  <c r="D164" i="3"/>
  <c r="D404" i="3" s="1"/>
  <c r="C164" i="3"/>
  <c r="C404" i="3" s="1"/>
  <c r="B164" i="3"/>
  <c r="B404" i="3" s="1"/>
  <c r="A164" i="3"/>
  <c r="A404" i="3" s="1"/>
  <c r="S163" i="3"/>
  <c r="R163" i="3"/>
  <c r="Q163" i="3"/>
  <c r="P163" i="3"/>
  <c r="O163" i="3"/>
  <c r="N163" i="3"/>
  <c r="M163" i="3"/>
  <c r="E163" i="3"/>
  <c r="E403" i="3" s="1"/>
  <c r="D163" i="3"/>
  <c r="D403" i="3" s="1"/>
  <c r="C163" i="3"/>
  <c r="C403" i="3" s="1"/>
  <c r="B163" i="3"/>
  <c r="B403" i="3" s="1"/>
  <c r="A163" i="3"/>
  <c r="A403" i="3" s="1"/>
  <c r="S162" i="3"/>
  <c r="R162" i="3"/>
  <c r="Q162" i="3"/>
  <c r="P162" i="3"/>
  <c r="O162" i="3"/>
  <c r="N162" i="3"/>
  <c r="M162" i="3"/>
  <c r="E162" i="3"/>
  <c r="E402" i="3" s="1"/>
  <c r="D162" i="3"/>
  <c r="D402" i="3" s="1"/>
  <c r="C162" i="3"/>
  <c r="C402" i="3" s="1"/>
  <c r="B162" i="3"/>
  <c r="B402" i="3" s="1"/>
  <c r="A162" i="3"/>
  <c r="A402" i="3" s="1"/>
  <c r="S161" i="3"/>
  <c r="R161" i="3"/>
  <c r="Q161" i="3"/>
  <c r="P161" i="3"/>
  <c r="O161" i="3"/>
  <c r="N161" i="3"/>
  <c r="M161" i="3"/>
  <c r="E161" i="3"/>
  <c r="B161" i="3"/>
  <c r="A161" i="3"/>
  <c r="S160" i="3"/>
  <c r="R160" i="3"/>
  <c r="Q160" i="3"/>
  <c r="P160" i="3"/>
  <c r="O160" i="3"/>
  <c r="N160" i="3"/>
  <c r="M160" i="3"/>
  <c r="E160" i="3"/>
  <c r="E401" i="3" s="1"/>
  <c r="D160" i="3"/>
  <c r="D401" i="3" s="1"/>
  <c r="C160" i="3"/>
  <c r="C401" i="3" s="1"/>
  <c r="B160" i="3"/>
  <c r="B401" i="3" s="1"/>
  <c r="A160" i="3"/>
  <c r="A401" i="3" s="1"/>
  <c r="S159" i="3"/>
  <c r="R159" i="3"/>
  <c r="Q159" i="3"/>
  <c r="P159" i="3"/>
  <c r="O159" i="3"/>
  <c r="N159" i="3"/>
  <c r="M159" i="3"/>
  <c r="E159" i="3"/>
  <c r="E400" i="3" s="1"/>
  <c r="D159" i="3"/>
  <c r="D400" i="3" s="1"/>
  <c r="C159" i="3"/>
  <c r="C400" i="3" s="1"/>
  <c r="B159" i="3"/>
  <c r="B400" i="3" s="1"/>
  <c r="A159" i="3"/>
  <c r="A400" i="3" s="1"/>
  <c r="S158" i="3"/>
  <c r="R158" i="3"/>
  <c r="Q158" i="3"/>
  <c r="P158" i="3"/>
  <c r="O158" i="3"/>
  <c r="N158" i="3"/>
  <c r="M158" i="3"/>
  <c r="E158" i="3"/>
  <c r="E399" i="3" s="1"/>
  <c r="D158" i="3"/>
  <c r="D399" i="3" s="1"/>
  <c r="C158" i="3"/>
  <c r="C399" i="3" s="1"/>
  <c r="B158" i="3"/>
  <c r="B399" i="3" s="1"/>
  <c r="A158" i="3"/>
  <c r="A399" i="3" s="1"/>
  <c r="S157" i="3"/>
  <c r="R157" i="3"/>
  <c r="Q157" i="3"/>
  <c r="P157" i="3"/>
  <c r="O157" i="3"/>
  <c r="N157" i="3"/>
  <c r="M157" i="3"/>
  <c r="E157" i="3"/>
  <c r="E398" i="3" s="1"/>
  <c r="D157" i="3"/>
  <c r="D398" i="3" s="1"/>
  <c r="C157" i="3"/>
  <c r="C398" i="3" s="1"/>
  <c r="B157" i="3"/>
  <c r="B398" i="3" s="1"/>
  <c r="A157" i="3"/>
  <c r="A398" i="3" s="1"/>
  <c r="S156" i="3"/>
  <c r="R156" i="3"/>
  <c r="Q156" i="3"/>
  <c r="P156" i="3"/>
  <c r="O156" i="3"/>
  <c r="N156" i="3"/>
  <c r="M156" i="3"/>
  <c r="E156" i="3"/>
  <c r="E397" i="3" s="1"/>
  <c r="D156" i="3"/>
  <c r="D397" i="3" s="1"/>
  <c r="C156" i="3"/>
  <c r="C397" i="3" s="1"/>
  <c r="B156" i="3"/>
  <c r="B397" i="3" s="1"/>
  <c r="A156" i="3"/>
  <c r="A397" i="3" s="1"/>
  <c r="S155" i="3"/>
  <c r="R155" i="3"/>
  <c r="Q155" i="3"/>
  <c r="P155" i="3"/>
  <c r="O155" i="3"/>
  <c r="N155" i="3"/>
  <c r="M155" i="3"/>
  <c r="E155" i="3"/>
  <c r="B155" i="3"/>
  <c r="B155" i="2" s="1"/>
  <c r="A155" i="3"/>
  <c r="S154" i="3"/>
  <c r="R154" i="3"/>
  <c r="Q154" i="3"/>
  <c r="P154" i="3"/>
  <c r="O154" i="3"/>
  <c r="N154" i="3"/>
  <c r="M154" i="3"/>
  <c r="E154" i="3"/>
  <c r="E396" i="3" s="1"/>
  <c r="D154" i="3"/>
  <c r="D396" i="3" s="1"/>
  <c r="C154" i="3"/>
  <c r="C396" i="3" s="1"/>
  <c r="B154" i="3"/>
  <c r="B396" i="3" s="1"/>
  <c r="A154" i="3"/>
  <c r="A396" i="3" s="1"/>
  <c r="S153" i="3"/>
  <c r="R153" i="3"/>
  <c r="Q153" i="3"/>
  <c r="P153" i="3"/>
  <c r="O153" i="3"/>
  <c r="N153" i="3"/>
  <c r="M153" i="3"/>
  <c r="E153" i="3"/>
  <c r="E395" i="3" s="1"/>
  <c r="D153" i="3"/>
  <c r="D395" i="3" s="1"/>
  <c r="C153" i="3"/>
  <c r="C395" i="3" s="1"/>
  <c r="B153" i="3"/>
  <c r="B395" i="3" s="1"/>
  <c r="A153" i="3"/>
  <c r="A395" i="3" s="1"/>
  <c r="S152" i="3"/>
  <c r="R152" i="3"/>
  <c r="Q152" i="3"/>
  <c r="P152" i="3"/>
  <c r="O152" i="3"/>
  <c r="N152" i="3"/>
  <c r="M152" i="3"/>
  <c r="E152" i="3"/>
  <c r="E394" i="3" s="1"/>
  <c r="D152" i="3"/>
  <c r="D394" i="3" s="1"/>
  <c r="C152" i="3"/>
  <c r="C394" i="3" s="1"/>
  <c r="B152" i="3"/>
  <c r="B394" i="3" s="1"/>
  <c r="A152" i="3"/>
  <c r="A394" i="3" s="1"/>
  <c r="S151" i="3"/>
  <c r="R151" i="3"/>
  <c r="Q151" i="3"/>
  <c r="P151" i="3"/>
  <c r="O151" i="3"/>
  <c r="N151" i="3"/>
  <c r="M151" i="3"/>
  <c r="E151" i="3"/>
  <c r="E393" i="3" s="1"/>
  <c r="D151" i="3"/>
  <c r="D393" i="3" s="1"/>
  <c r="C151" i="3"/>
  <c r="C393" i="3" s="1"/>
  <c r="B151" i="3"/>
  <c r="B393" i="3" s="1"/>
  <c r="A151" i="3"/>
  <c r="A393" i="3" s="1"/>
  <c r="S150" i="3"/>
  <c r="R150" i="3"/>
  <c r="Q150" i="3"/>
  <c r="P150" i="3"/>
  <c r="O150" i="3"/>
  <c r="N150" i="3"/>
  <c r="M150" i="3"/>
  <c r="E150" i="3"/>
  <c r="E392" i="3" s="1"/>
  <c r="D150" i="3"/>
  <c r="D392" i="3" s="1"/>
  <c r="C150" i="3"/>
  <c r="C392" i="3" s="1"/>
  <c r="B150" i="3"/>
  <c r="B392" i="3" s="1"/>
  <c r="A150" i="3"/>
  <c r="A392" i="3" s="1"/>
  <c r="S149" i="3"/>
  <c r="R149" i="3"/>
  <c r="Q149" i="3"/>
  <c r="P149" i="3"/>
  <c r="O149" i="3"/>
  <c r="N149" i="3"/>
  <c r="M149" i="3"/>
  <c r="E149" i="3"/>
  <c r="B149" i="3"/>
  <c r="A149" i="3"/>
  <c r="S148" i="3"/>
  <c r="R148" i="3"/>
  <c r="Q148" i="3"/>
  <c r="P148" i="3"/>
  <c r="O148" i="3"/>
  <c r="N148" i="3"/>
  <c r="M148" i="3"/>
  <c r="E148" i="3"/>
  <c r="E391" i="3" s="1"/>
  <c r="D148" i="3"/>
  <c r="D391" i="3" s="1"/>
  <c r="C148" i="3"/>
  <c r="C391" i="3" s="1"/>
  <c r="B148" i="3"/>
  <c r="B391" i="3" s="1"/>
  <c r="A148" i="3"/>
  <c r="A391" i="3" s="1"/>
  <c r="S147" i="3"/>
  <c r="R147" i="3"/>
  <c r="Q147" i="3"/>
  <c r="P147" i="3"/>
  <c r="O147" i="3"/>
  <c r="N147" i="3"/>
  <c r="M147" i="3"/>
  <c r="E147" i="3"/>
  <c r="E390" i="3" s="1"/>
  <c r="D147" i="3"/>
  <c r="D390" i="3" s="1"/>
  <c r="C147" i="3"/>
  <c r="C390" i="3" s="1"/>
  <c r="B147" i="3"/>
  <c r="B390" i="3" s="1"/>
  <c r="A147" i="3"/>
  <c r="A390" i="3" s="1"/>
  <c r="S146" i="3"/>
  <c r="R146" i="3"/>
  <c r="Q146" i="3"/>
  <c r="P146" i="3"/>
  <c r="O146" i="3"/>
  <c r="N146" i="3"/>
  <c r="M146" i="3"/>
  <c r="E146" i="3"/>
  <c r="E389" i="3" s="1"/>
  <c r="D146" i="3"/>
  <c r="D389" i="3" s="1"/>
  <c r="C146" i="3"/>
  <c r="C389" i="3" s="1"/>
  <c r="B146" i="3"/>
  <c r="B389" i="3" s="1"/>
  <c r="A146" i="3"/>
  <c r="A389" i="3" s="1"/>
  <c r="S145" i="3"/>
  <c r="R145" i="3"/>
  <c r="Q145" i="3"/>
  <c r="P145" i="3"/>
  <c r="O145" i="3"/>
  <c r="N145" i="3"/>
  <c r="M145" i="3"/>
  <c r="E145" i="3"/>
  <c r="E388" i="3" s="1"/>
  <c r="D145" i="3"/>
  <c r="D388" i="3" s="1"/>
  <c r="C145" i="3"/>
  <c r="C388" i="3" s="1"/>
  <c r="B145" i="3"/>
  <c r="B388" i="3" s="1"/>
  <c r="A145" i="3"/>
  <c r="A388" i="3" s="1"/>
  <c r="S144" i="3"/>
  <c r="R144" i="3"/>
  <c r="Q144" i="3"/>
  <c r="P144" i="3"/>
  <c r="O144" i="3"/>
  <c r="N144" i="3"/>
  <c r="M144" i="3"/>
  <c r="E144" i="3"/>
  <c r="E387" i="3" s="1"/>
  <c r="D144" i="3"/>
  <c r="D387" i="3" s="1"/>
  <c r="C144" i="3"/>
  <c r="C387" i="3" s="1"/>
  <c r="B144" i="3"/>
  <c r="B387" i="3" s="1"/>
  <c r="A144" i="3"/>
  <c r="A387" i="3" s="1"/>
  <c r="S143" i="3"/>
  <c r="R143" i="3"/>
  <c r="Q143" i="3"/>
  <c r="P143" i="3"/>
  <c r="O143" i="3"/>
  <c r="N143" i="3"/>
  <c r="M143" i="3"/>
  <c r="E143" i="3"/>
  <c r="B143" i="3"/>
  <c r="A143" i="3"/>
  <c r="S142" i="3"/>
  <c r="R142" i="3"/>
  <c r="Q142" i="3"/>
  <c r="P142" i="3"/>
  <c r="O142" i="3"/>
  <c r="N142" i="3"/>
  <c r="M142" i="3"/>
  <c r="E142" i="3"/>
  <c r="E386" i="3" s="1"/>
  <c r="D142" i="3"/>
  <c r="D386" i="3" s="1"/>
  <c r="C142" i="3"/>
  <c r="C386" i="3" s="1"/>
  <c r="B142" i="3"/>
  <c r="B386" i="3" s="1"/>
  <c r="A142" i="3"/>
  <c r="A386" i="3" s="1"/>
  <c r="S141" i="3"/>
  <c r="R141" i="3"/>
  <c r="Q141" i="3"/>
  <c r="P141" i="3"/>
  <c r="O141" i="3"/>
  <c r="N141" i="3"/>
  <c r="M141" i="3"/>
  <c r="E141" i="3"/>
  <c r="E385" i="3" s="1"/>
  <c r="D141" i="3"/>
  <c r="D385" i="3" s="1"/>
  <c r="C141" i="3"/>
  <c r="C385" i="3" s="1"/>
  <c r="B141" i="3"/>
  <c r="B385" i="3" s="1"/>
  <c r="A141" i="3"/>
  <c r="A385" i="3" s="1"/>
  <c r="S140" i="3"/>
  <c r="R140" i="3"/>
  <c r="Q140" i="3"/>
  <c r="P140" i="3"/>
  <c r="O140" i="3"/>
  <c r="N140" i="3"/>
  <c r="M140" i="3"/>
  <c r="E140" i="3"/>
  <c r="E384" i="3" s="1"/>
  <c r="D140" i="3"/>
  <c r="D384" i="3" s="1"/>
  <c r="C140" i="3"/>
  <c r="C384" i="3" s="1"/>
  <c r="B140" i="3"/>
  <c r="B384" i="3" s="1"/>
  <c r="A140" i="3"/>
  <c r="A384" i="3" s="1"/>
  <c r="S139" i="3"/>
  <c r="R139" i="3"/>
  <c r="Q139" i="3"/>
  <c r="P139" i="3"/>
  <c r="O139" i="3"/>
  <c r="N139" i="3"/>
  <c r="M139" i="3"/>
  <c r="E139" i="3"/>
  <c r="E383" i="3" s="1"/>
  <c r="D139" i="3"/>
  <c r="D383" i="3" s="1"/>
  <c r="C139" i="3"/>
  <c r="C383" i="3" s="1"/>
  <c r="B139" i="3"/>
  <c r="B383" i="3" s="1"/>
  <c r="A139" i="3"/>
  <c r="A383" i="3" s="1"/>
  <c r="S138" i="3"/>
  <c r="R138" i="3"/>
  <c r="Q138" i="3"/>
  <c r="P138" i="3"/>
  <c r="O138" i="3"/>
  <c r="N138" i="3"/>
  <c r="M138" i="3"/>
  <c r="E138" i="3"/>
  <c r="E382" i="3" s="1"/>
  <c r="D138" i="3"/>
  <c r="D382" i="3" s="1"/>
  <c r="C138" i="3"/>
  <c r="C382" i="3" s="1"/>
  <c r="B138" i="3"/>
  <c r="B382" i="3" s="1"/>
  <c r="A138" i="3"/>
  <c r="A382" i="3" s="1"/>
  <c r="S137" i="3"/>
  <c r="R137" i="3"/>
  <c r="Q137" i="3"/>
  <c r="P137" i="3"/>
  <c r="O137" i="3"/>
  <c r="N137" i="3"/>
  <c r="M137" i="3"/>
  <c r="E137" i="3"/>
  <c r="E137" i="2" s="1"/>
  <c r="B137" i="3"/>
  <c r="A137" i="3"/>
  <c r="S136" i="3"/>
  <c r="R136" i="3"/>
  <c r="Q136" i="3"/>
  <c r="P136" i="3"/>
  <c r="O136" i="3"/>
  <c r="N136" i="3"/>
  <c r="M136" i="3"/>
  <c r="E136" i="3"/>
  <c r="E381" i="3" s="1"/>
  <c r="D136" i="3"/>
  <c r="D381" i="3" s="1"/>
  <c r="C136" i="3"/>
  <c r="C381" i="3" s="1"/>
  <c r="B136" i="3"/>
  <c r="B381" i="3" s="1"/>
  <c r="A136" i="3"/>
  <c r="A381" i="3" s="1"/>
  <c r="S135" i="3"/>
  <c r="R135" i="3"/>
  <c r="Q135" i="3"/>
  <c r="P135" i="3"/>
  <c r="O135" i="3"/>
  <c r="N135" i="3"/>
  <c r="M135" i="3"/>
  <c r="E135" i="3"/>
  <c r="E380" i="3" s="1"/>
  <c r="D135" i="3"/>
  <c r="D380" i="3" s="1"/>
  <c r="C135" i="3"/>
  <c r="C380" i="3" s="1"/>
  <c r="B135" i="3"/>
  <c r="B380" i="3" s="1"/>
  <c r="A135" i="3"/>
  <c r="A380" i="3" s="1"/>
  <c r="S134" i="3"/>
  <c r="R134" i="3"/>
  <c r="Q134" i="3"/>
  <c r="P134" i="3"/>
  <c r="O134" i="3"/>
  <c r="N134" i="3"/>
  <c r="M134" i="3"/>
  <c r="E134" i="3"/>
  <c r="E379" i="3" s="1"/>
  <c r="D134" i="3"/>
  <c r="D379" i="3" s="1"/>
  <c r="C134" i="3"/>
  <c r="C379" i="3" s="1"/>
  <c r="B134" i="3"/>
  <c r="B379" i="3" s="1"/>
  <c r="A134" i="3"/>
  <c r="A379" i="3" s="1"/>
  <c r="S133" i="3"/>
  <c r="R133" i="3"/>
  <c r="Q133" i="3"/>
  <c r="P133" i="3"/>
  <c r="O133" i="3"/>
  <c r="N133" i="3"/>
  <c r="M133" i="3"/>
  <c r="E133" i="3"/>
  <c r="E378" i="3" s="1"/>
  <c r="D133" i="3"/>
  <c r="D378" i="3" s="1"/>
  <c r="C133" i="3"/>
  <c r="C378" i="3" s="1"/>
  <c r="B133" i="3"/>
  <c r="B378" i="3" s="1"/>
  <c r="A133" i="3"/>
  <c r="A378" i="3" s="1"/>
  <c r="S132" i="3"/>
  <c r="R132" i="3"/>
  <c r="Q132" i="3"/>
  <c r="P132" i="3"/>
  <c r="O132" i="3"/>
  <c r="N132" i="3"/>
  <c r="M132" i="3"/>
  <c r="E132" i="3"/>
  <c r="E377" i="3" s="1"/>
  <c r="D132" i="3"/>
  <c r="D377" i="3" s="1"/>
  <c r="C132" i="3"/>
  <c r="C377" i="3" s="1"/>
  <c r="B132" i="3"/>
  <c r="B377" i="3" s="1"/>
  <c r="A132" i="3"/>
  <c r="A377" i="3" s="1"/>
  <c r="S131" i="3"/>
  <c r="R131" i="3"/>
  <c r="Q131" i="3"/>
  <c r="P131" i="3"/>
  <c r="O131" i="3"/>
  <c r="N131" i="3"/>
  <c r="M131" i="3"/>
  <c r="E131" i="3"/>
  <c r="B131" i="3"/>
  <c r="A131" i="3"/>
  <c r="A131" i="2" s="1"/>
  <c r="S130" i="3"/>
  <c r="R130" i="3"/>
  <c r="Q130" i="3"/>
  <c r="P130" i="3"/>
  <c r="O130" i="3"/>
  <c r="N130" i="3"/>
  <c r="M130" i="3"/>
  <c r="E130" i="3"/>
  <c r="E376" i="3" s="1"/>
  <c r="D130" i="3"/>
  <c r="D376" i="3" s="1"/>
  <c r="C130" i="3"/>
  <c r="C376" i="3" s="1"/>
  <c r="B130" i="3"/>
  <c r="B376" i="3" s="1"/>
  <c r="A130" i="3"/>
  <c r="A376" i="3" s="1"/>
  <c r="S129" i="3"/>
  <c r="R129" i="3"/>
  <c r="Q129" i="3"/>
  <c r="P129" i="3"/>
  <c r="O129" i="3"/>
  <c r="N129" i="3"/>
  <c r="M129" i="3"/>
  <c r="E129" i="3"/>
  <c r="E375" i="3" s="1"/>
  <c r="D129" i="3"/>
  <c r="D375" i="3" s="1"/>
  <c r="C129" i="3"/>
  <c r="C375" i="3" s="1"/>
  <c r="B129" i="3"/>
  <c r="B375" i="3" s="1"/>
  <c r="A129" i="3"/>
  <c r="A375" i="3" s="1"/>
  <c r="S128" i="3"/>
  <c r="R128" i="3"/>
  <c r="Q128" i="3"/>
  <c r="P128" i="3"/>
  <c r="O128" i="3"/>
  <c r="N128" i="3"/>
  <c r="M128" i="3"/>
  <c r="E128" i="3"/>
  <c r="E374" i="3" s="1"/>
  <c r="D128" i="3"/>
  <c r="D374" i="3" s="1"/>
  <c r="C128" i="3"/>
  <c r="C374" i="3" s="1"/>
  <c r="B128" i="3"/>
  <c r="B374" i="3" s="1"/>
  <c r="A128" i="3"/>
  <c r="A374" i="3" s="1"/>
  <c r="S127" i="3"/>
  <c r="R127" i="3"/>
  <c r="Q127" i="3"/>
  <c r="P127" i="3"/>
  <c r="O127" i="3"/>
  <c r="N127" i="3"/>
  <c r="M127" i="3"/>
  <c r="E127" i="3"/>
  <c r="E373" i="3" s="1"/>
  <c r="D127" i="3"/>
  <c r="D373" i="3" s="1"/>
  <c r="C127" i="3"/>
  <c r="C373" i="3" s="1"/>
  <c r="B127" i="3"/>
  <c r="B373" i="3" s="1"/>
  <c r="A127" i="3"/>
  <c r="A373" i="3" s="1"/>
  <c r="S126" i="3"/>
  <c r="R126" i="3"/>
  <c r="Q126" i="3"/>
  <c r="P126" i="3"/>
  <c r="O126" i="3"/>
  <c r="N126" i="3"/>
  <c r="M126" i="3"/>
  <c r="E126" i="3"/>
  <c r="E372" i="3" s="1"/>
  <c r="D126" i="3"/>
  <c r="D372" i="3" s="1"/>
  <c r="C126" i="3"/>
  <c r="C372" i="3" s="1"/>
  <c r="B126" i="3"/>
  <c r="B372" i="3" s="1"/>
  <c r="A126" i="3"/>
  <c r="A372" i="3" s="1"/>
  <c r="S125" i="3"/>
  <c r="R125" i="3"/>
  <c r="Q125" i="3"/>
  <c r="P125" i="3"/>
  <c r="O125" i="3"/>
  <c r="N125" i="3"/>
  <c r="M125" i="3"/>
  <c r="E125" i="3"/>
  <c r="B125" i="3"/>
  <c r="A125" i="3"/>
  <c r="S124" i="3"/>
  <c r="R124" i="3"/>
  <c r="Q124" i="3"/>
  <c r="P124" i="3"/>
  <c r="O124" i="3"/>
  <c r="N124" i="3"/>
  <c r="M124" i="3"/>
  <c r="E124" i="3"/>
  <c r="E371" i="3" s="1"/>
  <c r="D124" i="3"/>
  <c r="D371" i="3" s="1"/>
  <c r="C124" i="3"/>
  <c r="C371" i="3" s="1"/>
  <c r="B124" i="3"/>
  <c r="B371" i="3" s="1"/>
  <c r="A124" i="3"/>
  <c r="A371" i="3" s="1"/>
  <c r="S123" i="3"/>
  <c r="R123" i="3"/>
  <c r="Q123" i="3"/>
  <c r="P123" i="3"/>
  <c r="O123" i="3"/>
  <c r="N123" i="3"/>
  <c r="M123" i="3"/>
  <c r="E123" i="3"/>
  <c r="E370" i="3" s="1"/>
  <c r="D123" i="3"/>
  <c r="D370" i="3" s="1"/>
  <c r="C123" i="3"/>
  <c r="C370" i="3" s="1"/>
  <c r="B123" i="3"/>
  <c r="B370" i="3" s="1"/>
  <c r="A123" i="3"/>
  <c r="A370" i="3" s="1"/>
  <c r="S122" i="3"/>
  <c r="R122" i="3"/>
  <c r="Q122" i="3"/>
  <c r="P122" i="3"/>
  <c r="O122" i="3"/>
  <c r="N122" i="3"/>
  <c r="M122" i="3"/>
  <c r="E122" i="3"/>
  <c r="E369" i="3" s="1"/>
  <c r="D122" i="3"/>
  <c r="D369" i="3" s="1"/>
  <c r="C122" i="3"/>
  <c r="C369" i="3" s="1"/>
  <c r="B122" i="3"/>
  <c r="B369" i="3" s="1"/>
  <c r="A122" i="3"/>
  <c r="A369" i="3" s="1"/>
  <c r="S121" i="3"/>
  <c r="R121" i="3"/>
  <c r="Q121" i="3"/>
  <c r="P121" i="3"/>
  <c r="O121" i="3"/>
  <c r="N121" i="3"/>
  <c r="M121" i="3"/>
  <c r="E121" i="3"/>
  <c r="E368" i="3" s="1"/>
  <c r="D121" i="3"/>
  <c r="D368" i="3" s="1"/>
  <c r="C121" i="3"/>
  <c r="C368" i="3" s="1"/>
  <c r="B121" i="3"/>
  <c r="B368" i="3" s="1"/>
  <c r="A121" i="3"/>
  <c r="A368" i="3" s="1"/>
  <c r="S120" i="3"/>
  <c r="R120" i="3"/>
  <c r="Q120" i="3"/>
  <c r="P120" i="3"/>
  <c r="O120" i="3"/>
  <c r="N120" i="3"/>
  <c r="M120" i="3"/>
  <c r="E120" i="3"/>
  <c r="E367" i="3" s="1"/>
  <c r="D120" i="3"/>
  <c r="D367" i="3" s="1"/>
  <c r="C120" i="3"/>
  <c r="C367" i="3" s="1"/>
  <c r="B120" i="3"/>
  <c r="B367" i="3" s="1"/>
  <c r="A120" i="3"/>
  <c r="A367" i="3" s="1"/>
  <c r="S119" i="3"/>
  <c r="R119" i="3"/>
  <c r="Q119" i="3"/>
  <c r="P119" i="3"/>
  <c r="O119" i="3"/>
  <c r="N119" i="3"/>
  <c r="M119" i="3"/>
  <c r="E119" i="3"/>
  <c r="B119" i="3"/>
  <c r="B119" i="2" s="1"/>
  <c r="A119" i="3"/>
  <c r="S118" i="3"/>
  <c r="R118" i="3"/>
  <c r="Q118" i="3"/>
  <c r="P118" i="3"/>
  <c r="O118" i="3"/>
  <c r="N118" i="3"/>
  <c r="M118" i="3"/>
  <c r="E118" i="3"/>
  <c r="B118" i="3"/>
  <c r="A118" i="3"/>
  <c r="S117" i="3"/>
  <c r="R117" i="3"/>
  <c r="Q117" i="3"/>
  <c r="P117" i="3"/>
  <c r="O117" i="3"/>
  <c r="N117" i="3"/>
  <c r="M117" i="3"/>
  <c r="E117" i="3"/>
  <c r="E366" i="3" s="1"/>
  <c r="D117" i="3"/>
  <c r="D366" i="3" s="1"/>
  <c r="C117" i="3"/>
  <c r="C366" i="3" s="1"/>
  <c r="B117" i="3"/>
  <c r="B366" i="3" s="1"/>
  <c r="A117" i="3"/>
  <c r="A366" i="3" s="1"/>
  <c r="S116" i="3"/>
  <c r="R116" i="3"/>
  <c r="Q116" i="3"/>
  <c r="P116" i="3"/>
  <c r="O116" i="3"/>
  <c r="N116" i="3"/>
  <c r="M116" i="3"/>
  <c r="E116" i="3"/>
  <c r="E365" i="3" s="1"/>
  <c r="D116" i="3"/>
  <c r="D365" i="3" s="1"/>
  <c r="C116" i="3"/>
  <c r="C365" i="3" s="1"/>
  <c r="B116" i="3"/>
  <c r="B365" i="3" s="1"/>
  <c r="A116" i="3"/>
  <c r="A365" i="3" s="1"/>
  <c r="S115" i="3"/>
  <c r="R115" i="3"/>
  <c r="Q115" i="3"/>
  <c r="P115" i="3"/>
  <c r="O115" i="3"/>
  <c r="N115" i="3"/>
  <c r="M115" i="3"/>
  <c r="E115" i="3"/>
  <c r="E364" i="3" s="1"/>
  <c r="D115" i="3"/>
  <c r="D364" i="3" s="1"/>
  <c r="C115" i="3"/>
  <c r="C364" i="3" s="1"/>
  <c r="B115" i="3"/>
  <c r="B364" i="3" s="1"/>
  <c r="A115" i="3"/>
  <c r="A364" i="3" s="1"/>
  <c r="S114" i="3"/>
  <c r="R114" i="3"/>
  <c r="Q114" i="3"/>
  <c r="P114" i="3"/>
  <c r="O114" i="3"/>
  <c r="N114" i="3"/>
  <c r="M114" i="3"/>
  <c r="E114" i="3"/>
  <c r="E363" i="3" s="1"/>
  <c r="D114" i="3"/>
  <c r="D363" i="3" s="1"/>
  <c r="C114" i="3"/>
  <c r="C363" i="3" s="1"/>
  <c r="B114" i="3"/>
  <c r="B363" i="3" s="1"/>
  <c r="A114" i="3"/>
  <c r="A363" i="3" s="1"/>
  <c r="S113" i="3"/>
  <c r="R113" i="3"/>
  <c r="Q113" i="3"/>
  <c r="P113" i="3"/>
  <c r="O113" i="3"/>
  <c r="N113" i="3"/>
  <c r="M113" i="3"/>
  <c r="E113" i="3"/>
  <c r="E362" i="3" s="1"/>
  <c r="D113" i="3"/>
  <c r="D362" i="3" s="1"/>
  <c r="C113" i="3"/>
  <c r="C362" i="3" s="1"/>
  <c r="B113" i="3"/>
  <c r="B362" i="3" s="1"/>
  <c r="A113" i="3"/>
  <c r="A362" i="3" s="1"/>
  <c r="S112" i="3"/>
  <c r="R112" i="3"/>
  <c r="Q112" i="3"/>
  <c r="P112" i="3"/>
  <c r="O112" i="3"/>
  <c r="N112" i="3"/>
  <c r="M112" i="3"/>
  <c r="E112" i="3"/>
  <c r="B112" i="3"/>
  <c r="B112" i="2" s="1"/>
  <c r="A112" i="3"/>
  <c r="S111" i="3"/>
  <c r="R111" i="3"/>
  <c r="Q111" i="3"/>
  <c r="P111" i="3"/>
  <c r="O111" i="3"/>
  <c r="N111" i="3"/>
  <c r="M111" i="3"/>
  <c r="E111" i="3"/>
  <c r="E361" i="3" s="1"/>
  <c r="D111" i="3"/>
  <c r="D361" i="3" s="1"/>
  <c r="C111" i="3"/>
  <c r="C361" i="3" s="1"/>
  <c r="B111" i="3"/>
  <c r="B361" i="3" s="1"/>
  <c r="A111" i="3"/>
  <c r="A361" i="3" s="1"/>
  <c r="S110" i="3"/>
  <c r="R110" i="3"/>
  <c r="Q110" i="3"/>
  <c r="P110" i="3"/>
  <c r="O110" i="3"/>
  <c r="N110" i="3"/>
  <c r="M110" i="3"/>
  <c r="E110" i="3"/>
  <c r="E360" i="3" s="1"/>
  <c r="D110" i="3"/>
  <c r="D360" i="3" s="1"/>
  <c r="C110" i="3"/>
  <c r="C360" i="3" s="1"/>
  <c r="B110" i="3"/>
  <c r="B360" i="3" s="1"/>
  <c r="A110" i="3"/>
  <c r="A360" i="3" s="1"/>
  <c r="S109" i="3"/>
  <c r="R109" i="3"/>
  <c r="Q109" i="3"/>
  <c r="P109" i="3"/>
  <c r="O109" i="3"/>
  <c r="N109" i="3"/>
  <c r="M109" i="3"/>
  <c r="E109" i="3"/>
  <c r="E359" i="3" s="1"/>
  <c r="D109" i="3"/>
  <c r="D359" i="3" s="1"/>
  <c r="C109" i="3"/>
  <c r="C359" i="3" s="1"/>
  <c r="B109" i="3"/>
  <c r="B359" i="3" s="1"/>
  <c r="A109" i="3"/>
  <c r="A359" i="3" s="1"/>
  <c r="S108" i="3"/>
  <c r="R108" i="3"/>
  <c r="Q108" i="3"/>
  <c r="P108" i="3"/>
  <c r="O108" i="3"/>
  <c r="N108" i="3"/>
  <c r="M108" i="3"/>
  <c r="E108" i="3"/>
  <c r="E358" i="3" s="1"/>
  <c r="D108" i="3"/>
  <c r="D358" i="3" s="1"/>
  <c r="C108" i="3"/>
  <c r="C358" i="3" s="1"/>
  <c r="B108" i="3"/>
  <c r="B358" i="3" s="1"/>
  <c r="A108" i="3"/>
  <c r="A358" i="3" s="1"/>
  <c r="S107" i="3"/>
  <c r="R107" i="3"/>
  <c r="Q107" i="3"/>
  <c r="P107" i="3"/>
  <c r="O107" i="3"/>
  <c r="N107" i="3"/>
  <c r="M107" i="3"/>
  <c r="E107" i="3"/>
  <c r="E357" i="3" s="1"/>
  <c r="D107" i="3"/>
  <c r="D357" i="3" s="1"/>
  <c r="C107" i="3"/>
  <c r="C357" i="3" s="1"/>
  <c r="B107" i="3"/>
  <c r="B357" i="3" s="1"/>
  <c r="A107" i="3"/>
  <c r="A357" i="3" s="1"/>
  <c r="S106" i="3"/>
  <c r="R106" i="3"/>
  <c r="Q106" i="3"/>
  <c r="P106" i="3"/>
  <c r="O106" i="3"/>
  <c r="N106" i="3"/>
  <c r="M106" i="3"/>
  <c r="E106" i="3"/>
  <c r="E106" i="2" s="1"/>
  <c r="B106" i="3"/>
  <c r="A106" i="3"/>
  <c r="S105" i="3"/>
  <c r="R105" i="3"/>
  <c r="Q105" i="3"/>
  <c r="P105" i="3"/>
  <c r="O105" i="3"/>
  <c r="N105" i="3"/>
  <c r="M105" i="3"/>
  <c r="E105" i="3"/>
  <c r="E356" i="3" s="1"/>
  <c r="D105" i="3"/>
  <c r="D356" i="3" s="1"/>
  <c r="C105" i="3"/>
  <c r="C356" i="3" s="1"/>
  <c r="B105" i="3"/>
  <c r="B356" i="3" s="1"/>
  <c r="A105" i="3"/>
  <c r="A356" i="3" s="1"/>
  <c r="S104" i="3"/>
  <c r="R104" i="3"/>
  <c r="Q104" i="3"/>
  <c r="P104" i="3"/>
  <c r="O104" i="3"/>
  <c r="N104" i="3"/>
  <c r="M104" i="3"/>
  <c r="E104" i="3"/>
  <c r="E355" i="3" s="1"/>
  <c r="D104" i="3"/>
  <c r="D355" i="3" s="1"/>
  <c r="C104" i="3"/>
  <c r="C355" i="3" s="1"/>
  <c r="B104" i="3"/>
  <c r="B355" i="3" s="1"/>
  <c r="A104" i="3"/>
  <c r="A355" i="3" s="1"/>
  <c r="S103" i="3"/>
  <c r="R103" i="3"/>
  <c r="Q103" i="3"/>
  <c r="P103" i="3"/>
  <c r="O103" i="3"/>
  <c r="N103" i="3"/>
  <c r="M103" i="3"/>
  <c r="E103" i="3"/>
  <c r="E354" i="3" s="1"/>
  <c r="D103" i="3"/>
  <c r="D354" i="3" s="1"/>
  <c r="C103" i="3"/>
  <c r="C354" i="3" s="1"/>
  <c r="B103" i="3"/>
  <c r="B354" i="3" s="1"/>
  <c r="A103" i="3"/>
  <c r="A354" i="3" s="1"/>
  <c r="S102" i="3"/>
  <c r="R102" i="3"/>
  <c r="Q102" i="3"/>
  <c r="P102" i="3"/>
  <c r="O102" i="3"/>
  <c r="N102" i="3"/>
  <c r="M102" i="3"/>
  <c r="E102" i="3"/>
  <c r="E353" i="3" s="1"/>
  <c r="D102" i="3"/>
  <c r="D353" i="3" s="1"/>
  <c r="C102" i="3"/>
  <c r="C353" i="3" s="1"/>
  <c r="B102" i="3"/>
  <c r="B353" i="3" s="1"/>
  <c r="A102" i="3"/>
  <c r="A353" i="3" s="1"/>
  <c r="S101" i="3"/>
  <c r="R101" i="3"/>
  <c r="Q101" i="3"/>
  <c r="P101" i="3"/>
  <c r="O101" i="3"/>
  <c r="N101" i="3"/>
  <c r="M101" i="3"/>
  <c r="E101" i="3"/>
  <c r="E352" i="3" s="1"/>
  <c r="D101" i="3"/>
  <c r="D352" i="3" s="1"/>
  <c r="C101" i="3"/>
  <c r="C352" i="3" s="1"/>
  <c r="B101" i="3"/>
  <c r="B352" i="3" s="1"/>
  <c r="A101" i="3"/>
  <c r="A352" i="3" s="1"/>
  <c r="S100" i="3"/>
  <c r="R100" i="3"/>
  <c r="Q100" i="3"/>
  <c r="P100" i="3"/>
  <c r="O100" i="3"/>
  <c r="N100" i="3"/>
  <c r="M100" i="3"/>
  <c r="E100" i="3"/>
  <c r="E100" i="2" s="1"/>
  <c r="B100" i="3"/>
  <c r="A100" i="3"/>
  <c r="A100" i="2" s="1"/>
  <c r="S99" i="3"/>
  <c r="R99" i="3"/>
  <c r="Q99" i="3"/>
  <c r="P99" i="3"/>
  <c r="O99" i="3"/>
  <c r="N99" i="3"/>
  <c r="M99" i="3"/>
  <c r="E99" i="3"/>
  <c r="B99" i="3"/>
  <c r="A99" i="3"/>
  <c r="A99" i="2" s="1"/>
  <c r="S98" i="3"/>
  <c r="R98" i="3"/>
  <c r="Q98" i="3"/>
  <c r="P98" i="3"/>
  <c r="O98" i="3"/>
  <c r="N98" i="3"/>
  <c r="M98" i="3"/>
  <c r="E98" i="3"/>
  <c r="E351" i="3" s="1"/>
  <c r="D98" i="3"/>
  <c r="D351" i="3" s="1"/>
  <c r="C98" i="3"/>
  <c r="C351" i="3" s="1"/>
  <c r="B98" i="3"/>
  <c r="B351" i="3" s="1"/>
  <c r="A98" i="3"/>
  <c r="A351" i="3" s="1"/>
  <c r="S97" i="3"/>
  <c r="R97" i="3"/>
  <c r="Q97" i="3"/>
  <c r="P97" i="3"/>
  <c r="O97" i="3"/>
  <c r="N97" i="3"/>
  <c r="M97" i="3"/>
  <c r="E97" i="3"/>
  <c r="E350" i="3" s="1"/>
  <c r="D97" i="3"/>
  <c r="D350" i="3" s="1"/>
  <c r="C97" i="3"/>
  <c r="C350" i="3" s="1"/>
  <c r="B97" i="3"/>
  <c r="B350" i="3" s="1"/>
  <c r="A97" i="3"/>
  <c r="A350" i="3" s="1"/>
  <c r="S96" i="3"/>
  <c r="R96" i="3"/>
  <c r="Q96" i="3"/>
  <c r="P96" i="3"/>
  <c r="O96" i="3"/>
  <c r="N96" i="3"/>
  <c r="M96" i="3"/>
  <c r="E96" i="3"/>
  <c r="E349" i="3" s="1"/>
  <c r="D96" i="3"/>
  <c r="D349" i="3" s="1"/>
  <c r="C96" i="3"/>
  <c r="C349" i="3" s="1"/>
  <c r="B96" i="3"/>
  <c r="B349" i="3" s="1"/>
  <c r="A96" i="3"/>
  <c r="A349" i="3" s="1"/>
  <c r="S95" i="3"/>
  <c r="R95" i="3"/>
  <c r="Q95" i="3"/>
  <c r="P95" i="3"/>
  <c r="O95" i="3"/>
  <c r="N95" i="3"/>
  <c r="M95" i="3"/>
  <c r="E95" i="3"/>
  <c r="E348" i="3" s="1"/>
  <c r="D95" i="3"/>
  <c r="D348" i="3" s="1"/>
  <c r="C95" i="3"/>
  <c r="C348" i="3" s="1"/>
  <c r="B95" i="3"/>
  <c r="B348" i="3" s="1"/>
  <c r="A95" i="3"/>
  <c r="A348" i="3" s="1"/>
  <c r="S94" i="3"/>
  <c r="R94" i="3"/>
  <c r="Q94" i="3"/>
  <c r="P94" i="3"/>
  <c r="O94" i="3"/>
  <c r="N94" i="3"/>
  <c r="M94" i="3"/>
  <c r="E94" i="3"/>
  <c r="E347" i="3" s="1"/>
  <c r="D94" i="3"/>
  <c r="D347" i="3" s="1"/>
  <c r="C94" i="3"/>
  <c r="C347" i="3" s="1"/>
  <c r="B94" i="3"/>
  <c r="B347" i="3" s="1"/>
  <c r="A94" i="3"/>
  <c r="A347" i="3" s="1"/>
  <c r="S93" i="3"/>
  <c r="R93" i="3"/>
  <c r="Q93" i="3"/>
  <c r="P93" i="3"/>
  <c r="O93" i="3"/>
  <c r="N93" i="3"/>
  <c r="M93" i="3"/>
  <c r="E93" i="3"/>
  <c r="B93" i="3"/>
  <c r="B93" i="2" s="1"/>
  <c r="A93" i="3"/>
  <c r="S92" i="3"/>
  <c r="R92" i="3"/>
  <c r="Q92" i="3"/>
  <c r="P92" i="3"/>
  <c r="O92" i="3"/>
  <c r="N92" i="3"/>
  <c r="M92" i="3"/>
  <c r="E92" i="3"/>
  <c r="B92" i="3"/>
  <c r="A92" i="3"/>
  <c r="S91" i="3"/>
  <c r="R91" i="3"/>
  <c r="Q91" i="3"/>
  <c r="P91" i="3"/>
  <c r="O91" i="3"/>
  <c r="N91" i="3"/>
  <c r="M91" i="3"/>
  <c r="E91" i="3"/>
  <c r="E346" i="3" s="1"/>
  <c r="D91" i="3"/>
  <c r="D346" i="3" s="1"/>
  <c r="C91" i="3"/>
  <c r="C346" i="3" s="1"/>
  <c r="B91" i="3"/>
  <c r="B346" i="3" s="1"/>
  <c r="A91" i="3"/>
  <c r="A346" i="3" s="1"/>
  <c r="S90" i="3"/>
  <c r="R90" i="3"/>
  <c r="Q90" i="3"/>
  <c r="P90" i="3"/>
  <c r="O90" i="3"/>
  <c r="N90" i="3"/>
  <c r="M90" i="3"/>
  <c r="E90" i="3"/>
  <c r="E345" i="3" s="1"/>
  <c r="D90" i="3"/>
  <c r="D345" i="3" s="1"/>
  <c r="C90" i="3"/>
  <c r="C345" i="3" s="1"/>
  <c r="B90" i="3"/>
  <c r="B345" i="3" s="1"/>
  <c r="A90" i="3"/>
  <c r="A345" i="3" s="1"/>
  <c r="S89" i="3"/>
  <c r="R89" i="3"/>
  <c r="Q89" i="3"/>
  <c r="P89" i="3"/>
  <c r="O89" i="3"/>
  <c r="N89" i="3"/>
  <c r="M89" i="3"/>
  <c r="E89" i="3"/>
  <c r="E344" i="3" s="1"/>
  <c r="D89" i="3"/>
  <c r="D344" i="3" s="1"/>
  <c r="C89" i="3"/>
  <c r="C344" i="3" s="1"/>
  <c r="B89" i="3"/>
  <c r="B344" i="3" s="1"/>
  <c r="A89" i="3"/>
  <c r="A344" i="3" s="1"/>
  <c r="S88" i="3"/>
  <c r="R88" i="3"/>
  <c r="Q88" i="3"/>
  <c r="P88" i="3"/>
  <c r="O88" i="3"/>
  <c r="N88" i="3"/>
  <c r="M88" i="3"/>
  <c r="E88" i="3"/>
  <c r="E343" i="3" s="1"/>
  <c r="D88" i="3"/>
  <c r="D343" i="3" s="1"/>
  <c r="C88" i="3"/>
  <c r="C343" i="3" s="1"/>
  <c r="B88" i="3"/>
  <c r="B343" i="3" s="1"/>
  <c r="A88" i="3"/>
  <c r="A343" i="3" s="1"/>
  <c r="S87" i="3"/>
  <c r="R87" i="3"/>
  <c r="Q87" i="3"/>
  <c r="P87" i="3"/>
  <c r="O87" i="3"/>
  <c r="N87" i="3"/>
  <c r="M87" i="3"/>
  <c r="E87" i="3"/>
  <c r="E342" i="3" s="1"/>
  <c r="D87" i="3"/>
  <c r="D342" i="3" s="1"/>
  <c r="C87" i="3"/>
  <c r="C342" i="3" s="1"/>
  <c r="B87" i="3"/>
  <c r="B342" i="3" s="1"/>
  <c r="A87" i="3"/>
  <c r="A342" i="3" s="1"/>
  <c r="S86" i="3"/>
  <c r="R86" i="3"/>
  <c r="Q86" i="3"/>
  <c r="P86" i="3"/>
  <c r="O86" i="3"/>
  <c r="N86" i="3"/>
  <c r="M86" i="3"/>
  <c r="E86" i="3"/>
  <c r="E341" i="3" s="1"/>
  <c r="D86" i="3"/>
  <c r="D341" i="3" s="1"/>
  <c r="C86" i="3"/>
  <c r="C341" i="3" s="1"/>
  <c r="B86" i="3"/>
  <c r="B341" i="3" s="1"/>
  <c r="A86" i="3"/>
  <c r="A341" i="3" s="1"/>
  <c r="S85" i="3"/>
  <c r="R85" i="3"/>
  <c r="Q85" i="3"/>
  <c r="P85" i="3"/>
  <c r="O85" i="3"/>
  <c r="N85" i="3"/>
  <c r="M85" i="3"/>
  <c r="E85" i="3"/>
  <c r="B85" i="3"/>
  <c r="A85" i="3"/>
  <c r="S84" i="3"/>
  <c r="R84" i="3"/>
  <c r="Q84" i="3"/>
  <c r="P84" i="3"/>
  <c r="O84" i="3"/>
  <c r="N84" i="3"/>
  <c r="M84" i="3"/>
  <c r="E84" i="3"/>
  <c r="E340" i="3" s="1"/>
  <c r="D84" i="3"/>
  <c r="D340" i="3" s="1"/>
  <c r="C84" i="3"/>
  <c r="C340" i="3" s="1"/>
  <c r="B84" i="3"/>
  <c r="B340" i="3" s="1"/>
  <c r="A84" i="3"/>
  <c r="A340" i="3" s="1"/>
  <c r="S83" i="3"/>
  <c r="R83" i="3"/>
  <c r="Q83" i="3"/>
  <c r="P83" i="3"/>
  <c r="O83" i="3"/>
  <c r="N83" i="3"/>
  <c r="M83" i="3"/>
  <c r="E83" i="3"/>
  <c r="E339" i="3" s="1"/>
  <c r="D83" i="3"/>
  <c r="D339" i="3" s="1"/>
  <c r="C83" i="3"/>
  <c r="C339" i="3" s="1"/>
  <c r="B83" i="3"/>
  <c r="B339" i="3" s="1"/>
  <c r="A83" i="3"/>
  <c r="A339" i="3" s="1"/>
  <c r="S82" i="3"/>
  <c r="R82" i="3"/>
  <c r="Q82" i="3"/>
  <c r="P82" i="3"/>
  <c r="O82" i="3"/>
  <c r="N82" i="3"/>
  <c r="M82" i="3"/>
  <c r="E82" i="3"/>
  <c r="E338" i="3" s="1"/>
  <c r="D82" i="3"/>
  <c r="D338" i="3" s="1"/>
  <c r="C82" i="3"/>
  <c r="C338" i="3" s="1"/>
  <c r="B82" i="3"/>
  <c r="B338" i="3" s="1"/>
  <c r="A82" i="3"/>
  <c r="A338" i="3" s="1"/>
  <c r="S81" i="3"/>
  <c r="R81" i="3"/>
  <c r="Q81" i="3"/>
  <c r="P81" i="3"/>
  <c r="O81" i="3"/>
  <c r="N81" i="3"/>
  <c r="M81" i="3"/>
  <c r="E81" i="3"/>
  <c r="E337" i="3" s="1"/>
  <c r="D81" i="3"/>
  <c r="D337" i="3" s="1"/>
  <c r="C81" i="3"/>
  <c r="C337" i="3" s="1"/>
  <c r="B81" i="3"/>
  <c r="B337" i="3" s="1"/>
  <c r="A81" i="3"/>
  <c r="A337" i="3" s="1"/>
  <c r="S80" i="3"/>
  <c r="R80" i="3"/>
  <c r="Q80" i="3"/>
  <c r="P80" i="3"/>
  <c r="O80" i="3"/>
  <c r="N80" i="3"/>
  <c r="M80" i="3"/>
  <c r="E80" i="3"/>
  <c r="E336" i="3" s="1"/>
  <c r="D80" i="3"/>
  <c r="D336" i="3" s="1"/>
  <c r="C80" i="3"/>
  <c r="C336" i="3" s="1"/>
  <c r="B80" i="3"/>
  <c r="B336" i="3" s="1"/>
  <c r="A80" i="3"/>
  <c r="A336" i="3" s="1"/>
  <c r="S79" i="3"/>
  <c r="R79" i="3"/>
  <c r="Q79" i="3"/>
  <c r="P79" i="3"/>
  <c r="O79" i="3"/>
  <c r="N79" i="3"/>
  <c r="M79" i="3"/>
  <c r="E79" i="3"/>
  <c r="E335" i="3" s="1"/>
  <c r="D79" i="3"/>
  <c r="D335" i="3" s="1"/>
  <c r="C79" i="3"/>
  <c r="C335" i="3" s="1"/>
  <c r="B79" i="3"/>
  <c r="B335" i="3" s="1"/>
  <c r="A79" i="3"/>
  <c r="A335" i="3" s="1"/>
  <c r="S78" i="3"/>
  <c r="R78" i="3"/>
  <c r="Q78" i="3"/>
  <c r="P78" i="3"/>
  <c r="O78" i="3"/>
  <c r="N78" i="3"/>
  <c r="M78" i="3"/>
  <c r="E78" i="3"/>
  <c r="E78" i="2" s="1"/>
  <c r="B78" i="3"/>
  <c r="A78" i="3"/>
  <c r="S77" i="3"/>
  <c r="R77" i="3"/>
  <c r="Q77" i="3"/>
  <c r="P77" i="3"/>
  <c r="O77" i="3"/>
  <c r="N77" i="3"/>
  <c r="M77" i="3"/>
  <c r="E77" i="3"/>
  <c r="E334" i="3" s="1"/>
  <c r="D77" i="3"/>
  <c r="D334" i="3" s="1"/>
  <c r="C77" i="3"/>
  <c r="C334" i="3" s="1"/>
  <c r="B77" i="3"/>
  <c r="B334" i="3" s="1"/>
  <c r="A77" i="3"/>
  <c r="A334" i="3" s="1"/>
  <c r="S76" i="3"/>
  <c r="R76" i="3"/>
  <c r="Q76" i="3"/>
  <c r="P76" i="3"/>
  <c r="O76" i="3"/>
  <c r="N76" i="3"/>
  <c r="M76" i="3"/>
  <c r="E76" i="3"/>
  <c r="E333" i="3" s="1"/>
  <c r="D76" i="3"/>
  <c r="D333" i="3" s="1"/>
  <c r="C76" i="3"/>
  <c r="C333" i="3" s="1"/>
  <c r="B76" i="3"/>
  <c r="B333" i="3" s="1"/>
  <c r="A76" i="3"/>
  <c r="A333" i="3" s="1"/>
  <c r="S75" i="3"/>
  <c r="R75" i="3"/>
  <c r="Q75" i="3"/>
  <c r="P75" i="3"/>
  <c r="O75" i="3"/>
  <c r="N75" i="3"/>
  <c r="M75" i="3"/>
  <c r="E75" i="3"/>
  <c r="E332" i="3" s="1"/>
  <c r="D75" i="3"/>
  <c r="D332" i="3" s="1"/>
  <c r="C75" i="3"/>
  <c r="C332" i="3" s="1"/>
  <c r="B75" i="3"/>
  <c r="B332" i="3" s="1"/>
  <c r="A75" i="3"/>
  <c r="A332" i="3" s="1"/>
  <c r="S74" i="3"/>
  <c r="R74" i="3"/>
  <c r="Q74" i="3"/>
  <c r="P74" i="3"/>
  <c r="O74" i="3"/>
  <c r="N74" i="3"/>
  <c r="M74" i="3"/>
  <c r="E74" i="3"/>
  <c r="E331" i="3" s="1"/>
  <c r="D74" i="3"/>
  <c r="D331" i="3" s="1"/>
  <c r="C74" i="3"/>
  <c r="C331" i="3" s="1"/>
  <c r="B74" i="3"/>
  <c r="B331" i="3" s="1"/>
  <c r="A74" i="3"/>
  <c r="A331" i="3" s="1"/>
  <c r="S73" i="3"/>
  <c r="R73" i="3"/>
  <c r="Q73" i="3"/>
  <c r="P73" i="3"/>
  <c r="O73" i="3"/>
  <c r="N73" i="3"/>
  <c r="M73" i="3"/>
  <c r="E73" i="3"/>
  <c r="E330" i="3" s="1"/>
  <c r="D73" i="3"/>
  <c r="D330" i="3" s="1"/>
  <c r="C73" i="3"/>
  <c r="C330" i="3" s="1"/>
  <c r="B73" i="3"/>
  <c r="B330" i="3" s="1"/>
  <c r="A73" i="3"/>
  <c r="A330" i="3" s="1"/>
  <c r="S72" i="3"/>
  <c r="R72" i="3"/>
  <c r="Q72" i="3"/>
  <c r="P72" i="3"/>
  <c r="O72" i="3"/>
  <c r="N72" i="3"/>
  <c r="M72" i="3"/>
  <c r="E72" i="3"/>
  <c r="E329" i="3" s="1"/>
  <c r="D72" i="3"/>
  <c r="D329" i="3" s="1"/>
  <c r="C72" i="3"/>
  <c r="C329" i="3" s="1"/>
  <c r="B72" i="3"/>
  <c r="B329" i="3" s="1"/>
  <c r="A72" i="3"/>
  <c r="A329" i="3" s="1"/>
  <c r="S71" i="3"/>
  <c r="R71" i="3"/>
  <c r="Q71" i="3"/>
  <c r="P71" i="3"/>
  <c r="O71" i="3"/>
  <c r="N71" i="3"/>
  <c r="M71" i="3"/>
  <c r="E71" i="3"/>
  <c r="E328" i="3" s="1"/>
  <c r="D71" i="3"/>
  <c r="D328" i="3" s="1"/>
  <c r="C71" i="3"/>
  <c r="C328" i="3" s="1"/>
  <c r="B71" i="3"/>
  <c r="B328" i="3" s="1"/>
  <c r="A71" i="3"/>
  <c r="A328" i="3" s="1"/>
  <c r="S70" i="3"/>
  <c r="R70" i="3"/>
  <c r="Q70" i="3"/>
  <c r="P70" i="3"/>
  <c r="O70" i="3"/>
  <c r="N70" i="3"/>
  <c r="M70" i="3"/>
  <c r="E70" i="3"/>
  <c r="B70" i="3"/>
  <c r="A70" i="3"/>
  <c r="A70" i="2" s="1"/>
  <c r="S69" i="3"/>
  <c r="R69" i="3"/>
  <c r="Q69" i="3"/>
  <c r="P69" i="3"/>
  <c r="O69" i="3"/>
  <c r="N69" i="3"/>
  <c r="M69" i="3"/>
  <c r="E69" i="3"/>
  <c r="B69" i="3"/>
  <c r="A69" i="3"/>
  <c r="A69" i="2" s="1"/>
  <c r="S68" i="3"/>
  <c r="R68" i="3"/>
  <c r="Q68" i="3"/>
  <c r="P68" i="3"/>
  <c r="O68" i="3"/>
  <c r="N68" i="3"/>
  <c r="M68" i="3"/>
  <c r="E68" i="3"/>
  <c r="B68" i="3"/>
  <c r="B68" i="2" s="1"/>
  <c r="A68" i="3"/>
  <c r="S67" i="3"/>
  <c r="R67" i="3"/>
  <c r="Q67" i="3"/>
  <c r="P67" i="3"/>
  <c r="O67" i="3"/>
  <c r="N67" i="3"/>
  <c r="M67" i="3"/>
  <c r="E67" i="3"/>
  <c r="B67" i="3"/>
  <c r="A67" i="3"/>
  <c r="S66" i="3"/>
  <c r="R66" i="3"/>
  <c r="Q66" i="3"/>
  <c r="P66" i="3"/>
  <c r="O66" i="3"/>
  <c r="N66" i="3"/>
  <c r="M66" i="3"/>
  <c r="E66" i="3"/>
  <c r="E327" i="3" s="1"/>
  <c r="D66" i="3"/>
  <c r="D327" i="3" s="1"/>
  <c r="C66" i="3"/>
  <c r="C327" i="3" s="1"/>
  <c r="B66" i="3"/>
  <c r="B327" i="3" s="1"/>
  <c r="A66" i="3"/>
  <c r="A327" i="3" s="1"/>
  <c r="S65" i="3"/>
  <c r="R65" i="3"/>
  <c r="Q65" i="3"/>
  <c r="P65" i="3"/>
  <c r="O65" i="3"/>
  <c r="N65" i="3"/>
  <c r="M65" i="3"/>
  <c r="E65" i="3"/>
  <c r="E326" i="3" s="1"/>
  <c r="D65" i="3"/>
  <c r="D326" i="3" s="1"/>
  <c r="C65" i="3"/>
  <c r="C326" i="3" s="1"/>
  <c r="B65" i="3"/>
  <c r="B326" i="3" s="1"/>
  <c r="A65" i="3"/>
  <c r="A326" i="3" s="1"/>
  <c r="S64" i="3"/>
  <c r="R64" i="3"/>
  <c r="Q64" i="3"/>
  <c r="P64" i="3"/>
  <c r="O64" i="3"/>
  <c r="N64" i="3"/>
  <c r="M64" i="3"/>
  <c r="E64" i="3"/>
  <c r="E325" i="3" s="1"/>
  <c r="D64" i="3"/>
  <c r="D325" i="3" s="1"/>
  <c r="C64" i="3"/>
  <c r="C325" i="3" s="1"/>
  <c r="B64" i="3"/>
  <c r="B325" i="3" s="1"/>
  <c r="A64" i="3"/>
  <c r="A325" i="3" s="1"/>
  <c r="S63" i="3"/>
  <c r="R63" i="3"/>
  <c r="Q63" i="3"/>
  <c r="P63" i="3"/>
  <c r="O63" i="3"/>
  <c r="N63" i="3"/>
  <c r="M63" i="3"/>
  <c r="E63" i="3"/>
  <c r="E324" i="3" s="1"/>
  <c r="D63" i="3"/>
  <c r="D324" i="3" s="1"/>
  <c r="C63" i="3"/>
  <c r="C324" i="3" s="1"/>
  <c r="B63" i="3"/>
  <c r="B324" i="3" s="1"/>
  <c r="A63" i="3"/>
  <c r="A324" i="3" s="1"/>
  <c r="S62" i="3"/>
  <c r="R62" i="3"/>
  <c r="Q62" i="3"/>
  <c r="P62" i="3"/>
  <c r="O62" i="3"/>
  <c r="N62" i="3"/>
  <c r="M62" i="3"/>
  <c r="E62" i="3"/>
  <c r="E323" i="3" s="1"/>
  <c r="D62" i="3"/>
  <c r="D323" i="3" s="1"/>
  <c r="C62" i="3"/>
  <c r="C323" i="3" s="1"/>
  <c r="B62" i="3"/>
  <c r="B323" i="3" s="1"/>
  <c r="A62" i="3"/>
  <c r="A323" i="3" s="1"/>
  <c r="S61" i="3"/>
  <c r="R61" i="3"/>
  <c r="Q61" i="3"/>
  <c r="P61" i="3"/>
  <c r="O61" i="3"/>
  <c r="N61" i="3"/>
  <c r="M61" i="3"/>
  <c r="E61" i="3"/>
  <c r="E322" i="3" s="1"/>
  <c r="D61" i="3"/>
  <c r="D322" i="3" s="1"/>
  <c r="C61" i="3"/>
  <c r="C322" i="3" s="1"/>
  <c r="B61" i="3"/>
  <c r="B322" i="3" s="1"/>
  <c r="A61" i="3"/>
  <c r="A322" i="3" s="1"/>
  <c r="S60" i="3"/>
  <c r="R60" i="3"/>
  <c r="Q60" i="3"/>
  <c r="P60" i="3"/>
  <c r="O60" i="3"/>
  <c r="N60" i="3"/>
  <c r="M60" i="3"/>
  <c r="E60" i="3"/>
  <c r="B60" i="3"/>
  <c r="A60" i="3"/>
  <c r="S59" i="3"/>
  <c r="R59" i="3"/>
  <c r="Q59" i="3"/>
  <c r="P59" i="3"/>
  <c r="O59" i="3"/>
  <c r="N59" i="3"/>
  <c r="M59" i="3"/>
  <c r="E59" i="3"/>
  <c r="E321" i="3" s="1"/>
  <c r="D59" i="3"/>
  <c r="D321" i="3" s="1"/>
  <c r="C59" i="3"/>
  <c r="C321" i="3" s="1"/>
  <c r="B59" i="3"/>
  <c r="B321" i="3" s="1"/>
  <c r="A59" i="3"/>
  <c r="A321" i="3" s="1"/>
  <c r="S58" i="3"/>
  <c r="R58" i="3"/>
  <c r="Q58" i="3"/>
  <c r="P58" i="3"/>
  <c r="O58" i="3"/>
  <c r="N58" i="3"/>
  <c r="M58" i="3"/>
  <c r="E58" i="3"/>
  <c r="E320" i="3" s="1"/>
  <c r="D58" i="3"/>
  <c r="D320" i="3" s="1"/>
  <c r="C58" i="3"/>
  <c r="C320" i="3" s="1"/>
  <c r="B58" i="3"/>
  <c r="B320" i="3" s="1"/>
  <c r="A58" i="3"/>
  <c r="A320" i="3" s="1"/>
  <c r="S57" i="3"/>
  <c r="R57" i="3"/>
  <c r="Q57" i="3"/>
  <c r="P57" i="3"/>
  <c r="O57" i="3"/>
  <c r="N57" i="3"/>
  <c r="M57" i="3"/>
  <c r="E57" i="3"/>
  <c r="E319" i="3" s="1"/>
  <c r="D57" i="3"/>
  <c r="D319" i="3" s="1"/>
  <c r="C57" i="3"/>
  <c r="C319" i="3" s="1"/>
  <c r="B57" i="3"/>
  <c r="B319" i="3" s="1"/>
  <c r="A57" i="3"/>
  <c r="A319" i="3" s="1"/>
  <c r="S56" i="3"/>
  <c r="R56" i="3"/>
  <c r="Q56" i="3"/>
  <c r="P56" i="3"/>
  <c r="O56" i="3"/>
  <c r="N56" i="3"/>
  <c r="M56" i="3"/>
  <c r="E56" i="3"/>
  <c r="E318" i="3" s="1"/>
  <c r="D56" i="3"/>
  <c r="D318" i="3" s="1"/>
  <c r="C56" i="3"/>
  <c r="C318" i="3" s="1"/>
  <c r="B56" i="3"/>
  <c r="B318" i="3" s="1"/>
  <c r="A56" i="3"/>
  <c r="A318" i="3" s="1"/>
  <c r="S55" i="3"/>
  <c r="R55" i="3"/>
  <c r="Q55" i="3"/>
  <c r="P55" i="3"/>
  <c r="O55" i="3"/>
  <c r="N55" i="3"/>
  <c r="M55" i="3"/>
  <c r="E55" i="3"/>
  <c r="E317" i="3" s="1"/>
  <c r="D55" i="3"/>
  <c r="D317" i="3" s="1"/>
  <c r="C55" i="3"/>
  <c r="C317" i="3" s="1"/>
  <c r="B55" i="3"/>
  <c r="B317" i="3" s="1"/>
  <c r="A55" i="3"/>
  <c r="A317" i="3" s="1"/>
  <c r="S54" i="3"/>
  <c r="R54" i="3"/>
  <c r="Q54" i="3"/>
  <c r="P54" i="3"/>
  <c r="O54" i="3"/>
  <c r="N54" i="3"/>
  <c r="M54" i="3"/>
  <c r="E54" i="3"/>
  <c r="B54" i="3"/>
  <c r="A54" i="3"/>
  <c r="S53" i="3"/>
  <c r="R53" i="3"/>
  <c r="Q53" i="3"/>
  <c r="P53" i="3"/>
  <c r="O53" i="3"/>
  <c r="N53" i="3"/>
  <c r="M53" i="3"/>
  <c r="E53" i="3"/>
  <c r="E316" i="3" s="1"/>
  <c r="D53" i="3"/>
  <c r="D316" i="3" s="1"/>
  <c r="C53" i="3"/>
  <c r="C316" i="3" s="1"/>
  <c r="B53" i="3"/>
  <c r="B316" i="3" s="1"/>
  <c r="A53" i="3"/>
  <c r="A316" i="3" s="1"/>
  <c r="S52" i="3"/>
  <c r="R52" i="3"/>
  <c r="Q52" i="3"/>
  <c r="P52" i="3"/>
  <c r="O52" i="3"/>
  <c r="N52" i="3"/>
  <c r="M52" i="3"/>
  <c r="E52" i="3"/>
  <c r="E315" i="3" s="1"/>
  <c r="D52" i="3"/>
  <c r="D315" i="3" s="1"/>
  <c r="C52" i="3"/>
  <c r="C315" i="3" s="1"/>
  <c r="B52" i="3"/>
  <c r="B315" i="3" s="1"/>
  <c r="A52" i="3"/>
  <c r="A315" i="3" s="1"/>
  <c r="S51" i="3"/>
  <c r="R51" i="3"/>
  <c r="Q51" i="3"/>
  <c r="P51" i="3"/>
  <c r="O51" i="3"/>
  <c r="N51" i="3"/>
  <c r="M51" i="3"/>
  <c r="E51" i="3"/>
  <c r="E314" i="3" s="1"/>
  <c r="D51" i="3"/>
  <c r="D314" i="3" s="1"/>
  <c r="C51" i="3"/>
  <c r="C314" i="3" s="1"/>
  <c r="B51" i="3"/>
  <c r="B314" i="3" s="1"/>
  <c r="A51" i="3"/>
  <c r="A314" i="3" s="1"/>
  <c r="S50" i="3"/>
  <c r="R50" i="3"/>
  <c r="Q50" i="3"/>
  <c r="P50" i="3"/>
  <c r="O50" i="3"/>
  <c r="N50" i="3"/>
  <c r="M50" i="3"/>
  <c r="E50" i="3"/>
  <c r="E313" i="3" s="1"/>
  <c r="D50" i="3"/>
  <c r="D313" i="3" s="1"/>
  <c r="C50" i="3"/>
  <c r="C313" i="3" s="1"/>
  <c r="B50" i="3"/>
  <c r="B313" i="3" s="1"/>
  <c r="A50" i="3"/>
  <c r="A313" i="3" s="1"/>
  <c r="S49" i="3"/>
  <c r="R49" i="3"/>
  <c r="Q49" i="3"/>
  <c r="P49" i="3"/>
  <c r="O49" i="3"/>
  <c r="N49" i="3"/>
  <c r="M49" i="3"/>
  <c r="E49" i="3"/>
  <c r="E312" i="3" s="1"/>
  <c r="D49" i="3"/>
  <c r="D312" i="3" s="1"/>
  <c r="C49" i="3"/>
  <c r="C312" i="3" s="1"/>
  <c r="B49" i="3"/>
  <c r="B312" i="3" s="1"/>
  <c r="A49" i="3"/>
  <c r="A312" i="3" s="1"/>
  <c r="S48" i="3"/>
  <c r="R48" i="3"/>
  <c r="Q48" i="3"/>
  <c r="P48" i="3"/>
  <c r="O48" i="3"/>
  <c r="N48" i="3"/>
  <c r="M48" i="3"/>
  <c r="E48" i="3"/>
  <c r="E311" i="3" s="1"/>
  <c r="D48" i="3"/>
  <c r="D311" i="3" s="1"/>
  <c r="C48" i="3"/>
  <c r="C311" i="3" s="1"/>
  <c r="B48" i="3"/>
  <c r="B311" i="3" s="1"/>
  <c r="A48" i="3"/>
  <c r="A311" i="3" s="1"/>
  <c r="S47" i="3"/>
  <c r="R47" i="3"/>
  <c r="Q47" i="3"/>
  <c r="P47" i="3"/>
  <c r="O47" i="3"/>
  <c r="N47" i="3"/>
  <c r="M47" i="3"/>
  <c r="E47" i="3"/>
  <c r="E310" i="3" s="1"/>
  <c r="D47" i="3"/>
  <c r="D310" i="3" s="1"/>
  <c r="C47" i="3"/>
  <c r="C310" i="3" s="1"/>
  <c r="B47" i="3"/>
  <c r="B310" i="3" s="1"/>
  <c r="A47" i="3"/>
  <c r="A310" i="3" s="1"/>
  <c r="S46" i="3"/>
  <c r="R46" i="3"/>
  <c r="Q46" i="3"/>
  <c r="P46" i="3"/>
  <c r="O46" i="3"/>
  <c r="N46" i="3"/>
  <c r="M46" i="3"/>
  <c r="E46" i="3"/>
  <c r="E309" i="3" s="1"/>
  <c r="D46" i="3"/>
  <c r="D309" i="3" s="1"/>
  <c r="C46" i="3"/>
  <c r="C309" i="3" s="1"/>
  <c r="B46" i="3"/>
  <c r="B309" i="3" s="1"/>
  <c r="A46" i="3"/>
  <c r="A309" i="3" s="1"/>
  <c r="S45" i="3"/>
  <c r="R45" i="3"/>
  <c r="Q45" i="3"/>
  <c r="P45" i="3"/>
  <c r="O45" i="3"/>
  <c r="N45" i="3"/>
  <c r="M45" i="3"/>
  <c r="E45" i="3"/>
  <c r="E308" i="3" s="1"/>
  <c r="D45" i="3"/>
  <c r="D308" i="3" s="1"/>
  <c r="C45" i="3"/>
  <c r="C308" i="3" s="1"/>
  <c r="B45" i="3"/>
  <c r="B308" i="3" s="1"/>
  <c r="A45" i="3"/>
  <c r="A308" i="3" s="1"/>
  <c r="S44" i="3"/>
  <c r="R44" i="3"/>
  <c r="Q44" i="3"/>
  <c r="P44" i="3"/>
  <c r="O44" i="3"/>
  <c r="N44" i="3"/>
  <c r="M44" i="3"/>
  <c r="E44" i="3"/>
  <c r="E307" i="3" s="1"/>
  <c r="D44" i="3"/>
  <c r="D307" i="3" s="1"/>
  <c r="C44" i="3"/>
  <c r="C307" i="3" s="1"/>
  <c r="B44" i="3"/>
  <c r="B307" i="3" s="1"/>
  <c r="A44" i="3"/>
  <c r="A307" i="3" s="1"/>
  <c r="S43" i="3"/>
  <c r="R43" i="3"/>
  <c r="Q43" i="3"/>
  <c r="P43" i="3"/>
  <c r="O43" i="3"/>
  <c r="N43" i="3"/>
  <c r="M43" i="3"/>
  <c r="E43" i="3"/>
  <c r="E306" i="3" s="1"/>
  <c r="D43" i="3"/>
  <c r="D306" i="3" s="1"/>
  <c r="C43" i="3"/>
  <c r="C306" i="3" s="1"/>
  <c r="B43" i="3"/>
  <c r="B306" i="3" s="1"/>
  <c r="A43" i="3"/>
  <c r="A306" i="3" s="1"/>
  <c r="S42" i="3"/>
  <c r="R42" i="3"/>
  <c r="Q42" i="3"/>
  <c r="P42" i="3"/>
  <c r="O42" i="3"/>
  <c r="N42" i="3"/>
  <c r="M42" i="3"/>
  <c r="E42" i="3"/>
  <c r="B42" i="3"/>
  <c r="A42" i="3"/>
  <c r="A42" i="2" s="1"/>
  <c r="S41" i="3"/>
  <c r="R41" i="3"/>
  <c r="Q41" i="3"/>
  <c r="P41" i="3"/>
  <c r="O41" i="3"/>
  <c r="N41" i="3"/>
  <c r="M41" i="3"/>
  <c r="E41" i="3"/>
  <c r="E305" i="3" s="1"/>
  <c r="D41" i="3"/>
  <c r="D305" i="3" s="1"/>
  <c r="C41" i="3"/>
  <c r="C305" i="3" s="1"/>
  <c r="B41" i="3"/>
  <c r="B305" i="3" s="1"/>
  <c r="A41" i="3"/>
  <c r="A305" i="3" s="1"/>
  <c r="S40" i="3"/>
  <c r="R40" i="3"/>
  <c r="Q40" i="3"/>
  <c r="P40" i="3"/>
  <c r="O40" i="3"/>
  <c r="N40" i="3"/>
  <c r="M40" i="3"/>
  <c r="E40" i="3"/>
  <c r="E304" i="3" s="1"/>
  <c r="D40" i="3"/>
  <c r="D304" i="3" s="1"/>
  <c r="C40" i="3"/>
  <c r="C304" i="3" s="1"/>
  <c r="B40" i="3"/>
  <c r="B304" i="3" s="1"/>
  <c r="A40" i="3"/>
  <c r="A304" i="3" s="1"/>
  <c r="S39" i="3"/>
  <c r="R39" i="3"/>
  <c r="Q39" i="3"/>
  <c r="P39" i="3"/>
  <c r="O39" i="3"/>
  <c r="N39" i="3"/>
  <c r="M39" i="3"/>
  <c r="E39" i="3"/>
  <c r="E303" i="3" s="1"/>
  <c r="D39" i="3"/>
  <c r="D303" i="3" s="1"/>
  <c r="C39" i="3"/>
  <c r="C303" i="3" s="1"/>
  <c r="B39" i="3"/>
  <c r="B303" i="3" s="1"/>
  <c r="A39" i="3"/>
  <c r="A303" i="3" s="1"/>
  <c r="S38" i="3"/>
  <c r="R38" i="3"/>
  <c r="Q38" i="3"/>
  <c r="P38" i="3"/>
  <c r="O38" i="3"/>
  <c r="N38" i="3"/>
  <c r="M38" i="3"/>
  <c r="E38" i="3"/>
  <c r="E302" i="3" s="1"/>
  <c r="D38" i="3"/>
  <c r="D302" i="3" s="1"/>
  <c r="C38" i="3"/>
  <c r="C302" i="3" s="1"/>
  <c r="B38" i="3"/>
  <c r="B302" i="3" s="1"/>
  <c r="A38" i="3"/>
  <c r="A302" i="3" s="1"/>
  <c r="S37" i="3"/>
  <c r="R37" i="3"/>
  <c r="Q37" i="3"/>
  <c r="P37" i="3"/>
  <c r="O37" i="3"/>
  <c r="N37" i="3"/>
  <c r="M37" i="3"/>
  <c r="E37" i="3"/>
  <c r="E301" i="3" s="1"/>
  <c r="D37" i="3"/>
  <c r="D301" i="3" s="1"/>
  <c r="C37" i="3"/>
  <c r="C301" i="3" s="1"/>
  <c r="B37" i="3"/>
  <c r="B301" i="3" s="1"/>
  <c r="A37" i="3"/>
  <c r="A301" i="3" s="1"/>
  <c r="S36" i="3"/>
  <c r="R36" i="3"/>
  <c r="Q36" i="3"/>
  <c r="P36" i="3"/>
  <c r="O36" i="3"/>
  <c r="N36" i="3"/>
  <c r="M36" i="3"/>
  <c r="E36" i="3"/>
  <c r="E300" i="3" s="1"/>
  <c r="D36" i="3"/>
  <c r="D300" i="3" s="1"/>
  <c r="C36" i="3"/>
  <c r="C300" i="3" s="1"/>
  <c r="B36" i="3"/>
  <c r="B300" i="3" s="1"/>
  <c r="A36" i="3"/>
  <c r="A300" i="3" s="1"/>
  <c r="S35" i="3"/>
  <c r="R35" i="3"/>
  <c r="Q35" i="3"/>
  <c r="P35" i="3"/>
  <c r="O35" i="3"/>
  <c r="N35" i="3"/>
  <c r="M35" i="3"/>
  <c r="E35" i="3"/>
  <c r="E299" i="3" s="1"/>
  <c r="D35" i="3"/>
  <c r="D299" i="3" s="1"/>
  <c r="C35" i="3"/>
  <c r="C299" i="3" s="1"/>
  <c r="B35" i="3"/>
  <c r="B299" i="3" s="1"/>
  <c r="A35" i="3"/>
  <c r="A299" i="3" s="1"/>
  <c r="S34" i="3"/>
  <c r="R34" i="3"/>
  <c r="Q34" i="3"/>
  <c r="P34" i="3"/>
  <c r="O34" i="3"/>
  <c r="N34" i="3"/>
  <c r="M34" i="3"/>
  <c r="E34" i="3"/>
  <c r="E298" i="3" s="1"/>
  <c r="D34" i="3"/>
  <c r="D298" i="3" s="1"/>
  <c r="C34" i="3"/>
  <c r="C298" i="3" s="1"/>
  <c r="B34" i="3"/>
  <c r="B298" i="3" s="1"/>
  <c r="A34" i="3"/>
  <c r="A298" i="3" s="1"/>
  <c r="S33" i="3"/>
  <c r="R33" i="3"/>
  <c r="Q33" i="3"/>
  <c r="P33" i="3"/>
  <c r="O33" i="3"/>
  <c r="N33" i="3"/>
  <c r="M33" i="3"/>
  <c r="E33" i="3"/>
  <c r="E297" i="3" s="1"/>
  <c r="D33" i="3"/>
  <c r="D297" i="3" s="1"/>
  <c r="C33" i="3"/>
  <c r="C297" i="3" s="1"/>
  <c r="B33" i="3"/>
  <c r="B297" i="3" s="1"/>
  <c r="A33" i="3"/>
  <c r="A297" i="3" s="1"/>
  <c r="S32" i="3"/>
  <c r="R32" i="3"/>
  <c r="Q32" i="3"/>
  <c r="P32" i="3"/>
  <c r="O32" i="3"/>
  <c r="N32" i="3"/>
  <c r="M32" i="3"/>
  <c r="E32" i="3"/>
  <c r="E296" i="3" s="1"/>
  <c r="D32" i="3"/>
  <c r="D296" i="3" s="1"/>
  <c r="C32" i="3"/>
  <c r="C296" i="3" s="1"/>
  <c r="B32" i="3"/>
  <c r="B296" i="3" s="1"/>
  <c r="A32" i="3"/>
  <c r="A296" i="3" s="1"/>
  <c r="S31" i="3"/>
  <c r="R31" i="3"/>
  <c r="Q31" i="3"/>
  <c r="P31" i="3"/>
  <c r="O31" i="3"/>
  <c r="N31" i="3"/>
  <c r="M31" i="3"/>
  <c r="E31" i="3"/>
  <c r="E295" i="3" s="1"/>
  <c r="D31" i="3"/>
  <c r="D295" i="3" s="1"/>
  <c r="C31" i="3"/>
  <c r="C295" i="3" s="1"/>
  <c r="B31" i="3"/>
  <c r="B295" i="3" s="1"/>
  <c r="A31" i="3"/>
  <c r="A295" i="3" s="1"/>
  <c r="S30" i="3"/>
  <c r="R30" i="3"/>
  <c r="Q30" i="3"/>
  <c r="P30" i="3"/>
  <c r="O30" i="3"/>
  <c r="N30" i="3"/>
  <c r="M30" i="3"/>
  <c r="E30" i="3"/>
  <c r="B30" i="3"/>
  <c r="A30" i="3"/>
  <c r="A30" i="2" s="1"/>
  <c r="S29" i="3"/>
  <c r="R29" i="3"/>
  <c r="Q29" i="3"/>
  <c r="P29" i="3"/>
  <c r="O29" i="3"/>
  <c r="N29" i="3"/>
  <c r="M29" i="3"/>
  <c r="E29" i="3"/>
  <c r="B29" i="3"/>
  <c r="A29" i="3"/>
  <c r="S28" i="3"/>
  <c r="R28" i="3"/>
  <c r="Q28" i="3"/>
  <c r="P28" i="3"/>
  <c r="O28" i="3"/>
  <c r="N28" i="3"/>
  <c r="M28" i="3"/>
  <c r="E28" i="3"/>
  <c r="B28" i="3"/>
  <c r="A28" i="3"/>
  <c r="S27" i="3"/>
  <c r="R27" i="3"/>
  <c r="Q27" i="3"/>
  <c r="P27" i="3"/>
  <c r="O27" i="3"/>
  <c r="N27" i="3"/>
  <c r="M27" i="3"/>
  <c r="E27" i="3"/>
  <c r="B27" i="3"/>
  <c r="B27" i="2" s="1"/>
  <c r="A27" i="3"/>
  <c r="S26" i="3"/>
  <c r="R26" i="3"/>
  <c r="Q26" i="3"/>
  <c r="P26" i="3"/>
  <c r="O26" i="3"/>
  <c r="N26" i="3"/>
  <c r="M26" i="3"/>
  <c r="E26" i="3"/>
  <c r="E26" i="2" s="1"/>
  <c r="B26" i="3"/>
  <c r="B26" i="2" s="1"/>
  <c r="A26" i="3"/>
  <c r="S25" i="3"/>
  <c r="R25" i="3"/>
  <c r="Q25" i="3"/>
  <c r="P25" i="3"/>
  <c r="O25" i="3"/>
  <c r="N25" i="3"/>
  <c r="M25" i="3"/>
  <c r="E25" i="3"/>
  <c r="E25" i="2" s="1"/>
  <c r="B25" i="3"/>
  <c r="A25" i="3"/>
  <c r="A25" i="2" s="1"/>
  <c r="S24" i="3"/>
  <c r="R24" i="3"/>
  <c r="Q24" i="3"/>
  <c r="P24" i="3"/>
  <c r="O24" i="3"/>
  <c r="N24" i="3"/>
  <c r="M24" i="3"/>
  <c r="E24" i="3"/>
  <c r="B24" i="3"/>
  <c r="A24" i="3"/>
  <c r="S23" i="3"/>
  <c r="R23" i="3"/>
  <c r="Q23" i="3"/>
  <c r="P23" i="3"/>
  <c r="O23" i="3"/>
  <c r="N23" i="3"/>
  <c r="M23" i="3"/>
  <c r="E23" i="3"/>
  <c r="B23" i="3"/>
  <c r="B23" i="2" s="1"/>
  <c r="A23" i="3"/>
  <c r="S22" i="3"/>
  <c r="R22" i="3"/>
  <c r="Q22" i="3"/>
  <c r="P22" i="3"/>
  <c r="O22" i="3"/>
  <c r="N22" i="3"/>
  <c r="M22" i="3"/>
  <c r="E22" i="3"/>
  <c r="B22" i="3"/>
  <c r="A22" i="3"/>
  <c r="S21" i="3"/>
  <c r="R21" i="3"/>
  <c r="Q21" i="3"/>
  <c r="P21" i="3"/>
  <c r="O21" i="3"/>
  <c r="N21" i="3"/>
  <c r="M21" i="3"/>
  <c r="E21" i="3"/>
  <c r="B21" i="3"/>
  <c r="A21" i="3"/>
  <c r="S20" i="3"/>
  <c r="R20" i="3"/>
  <c r="Q20" i="3"/>
  <c r="P20" i="3"/>
  <c r="O20" i="3"/>
  <c r="N20" i="3"/>
  <c r="M20" i="3"/>
  <c r="E20" i="3"/>
  <c r="E20" i="2" s="1"/>
  <c r="B20" i="3"/>
  <c r="A20" i="3"/>
  <c r="S19" i="3"/>
  <c r="R19" i="3"/>
  <c r="Q19" i="3"/>
  <c r="P19" i="3"/>
  <c r="O19" i="3"/>
  <c r="N19" i="3"/>
  <c r="M19" i="3"/>
  <c r="E19" i="3"/>
  <c r="E19" i="2" s="1"/>
  <c r="B19" i="3"/>
  <c r="A19" i="3"/>
  <c r="A19" i="2" s="1"/>
  <c r="S18" i="3"/>
  <c r="R18" i="3"/>
  <c r="Q18" i="3"/>
  <c r="P18" i="3"/>
  <c r="O18" i="3"/>
  <c r="N18" i="3"/>
  <c r="M18" i="3"/>
  <c r="E18" i="3"/>
  <c r="B18" i="3"/>
  <c r="A18" i="3"/>
  <c r="A18" i="2" s="1"/>
  <c r="S17" i="3"/>
  <c r="R17" i="3"/>
  <c r="Q17" i="3"/>
  <c r="P17" i="3"/>
  <c r="O17" i="3"/>
  <c r="N17" i="3"/>
  <c r="M17" i="3"/>
  <c r="E17" i="3"/>
  <c r="B17" i="3"/>
  <c r="A17" i="3"/>
  <c r="S16" i="3"/>
  <c r="R16" i="3"/>
  <c r="Q16" i="3"/>
  <c r="P16" i="3"/>
  <c r="O16" i="3"/>
  <c r="N16" i="3"/>
  <c r="M16" i="3"/>
  <c r="E16" i="3"/>
  <c r="B16" i="3"/>
  <c r="A16" i="3"/>
  <c r="S15" i="3"/>
  <c r="R15" i="3"/>
  <c r="Q15" i="3"/>
  <c r="P15" i="3"/>
  <c r="O15" i="3"/>
  <c r="N15" i="3"/>
  <c r="M15" i="3"/>
  <c r="E15" i="3"/>
  <c r="B15" i="3"/>
  <c r="B15" i="2" s="1"/>
  <c r="A15" i="3"/>
  <c r="S14" i="3"/>
  <c r="R14" i="3"/>
  <c r="Q14" i="3"/>
  <c r="P14" i="3"/>
  <c r="O14" i="3"/>
  <c r="N14" i="3"/>
  <c r="M14" i="3"/>
  <c r="E14" i="3"/>
  <c r="E14" i="2" s="1"/>
  <c r="B14" i="3"/>
  <c r="B14" i="2" s="1"/>
  <c r="A14" i="3"/>
  <c r="S13" i="3"/>
  <c r="R13" i="3"/>
  <c r="Q13" i="3"/>
  <c r="P13" i="3"/>
  <c r="O13" i="3"/>
  <c r="N13" i="3"/>
  <c r="M13" i="3"/>
  <c r="E13" i="3"/>
  <c r="B13" i="3"/>
  <c r="A13" i="3"/>
  <c r="A13" i="2" s="1"/>
  <c r="S12" i="3"/>
  <c r="R12" i="3"/>
  <c r="Q12" i="3"/>
  <c r="P12" i="3"/>
  <c r="O12" i="3"/>
  <c r="N12" i="3"/>
  <c r="M12" i="3"/>
  <c r="E12" i="3"/>
  <c r="B12" i="3"/>
  <c r="B12" i="2" s="1"/>
  <c r="A12" i="3"/>
  <c r="S11" i="3"/>
  <c r="R11" i="3"/>
  <c r="Q11" i="3"/>
  <c r="P11" i="3"/>
  <c r="O11" i="3"/>
  <c r="N11" i="3"/>
  <c r="M11" i="3"/>
  <c r="E11" i="3"/>
  <c r="B11" i="3"/>
  <c r="B11" i="2" s="1"/>
  <c r="A11" i="3"/>
  <c r="S10" i="3"/>
  <c r="R10" i="3"/>
  <c r="Q10" i="3"/>
  <c r="P10" i="3"/>
  <c r="O10" i="3"/>
  <c r="N10" i="3"/>
  <c r="M10" i="3"/>
  <c r="E10" i="3"/>
  <c r="B10" i="3"/>
  <c r="A10" i="3"/>
  <c r="S9" i="3"/>
  <c r="R9" i="3"/>
  <c r="Q9" i="3"/>
  <c r="P9" i="3"/>
  <c r="O9" i="3"/>
  <c r="N9" i="3"/>
  <c r="M9" i="3"/>
  <c r="E9" i="3"/>
  <c r="B9" i="3"/>
  <c r="B9" i="2" s="1"/>
  <c r="S8" i="3"/>
  <c r="R8" i="3"/>
  <c r="Q8" i="3"/>
  <c r="P8" i="3"/>
  <c r="O8" i="3"/>
  <c r="N8" i="3"/>
  <c r="M8" i="3"/>
  <c r="E8" i="3"/>
  <c r="E8" i="2" s="1"/>
  <c r="B8" i="3"/>
  <c r="A8" i="3"/>
  <c r="S7" i="3"/>
  <c r="R7" i="3"/>
  <c r="Q7" i="3"/>
  <c r="P7" i="3"/>
  <c r="O7" i="3"/>
  <c r="N7" i="3"/>
  <c r="M7" i="3"/>
  <c r="E7" i="3"/>
  <c r="E7" i="2" s="1"/>
  <c r="B7" i="3"/>
  <c r="A7" i="3"/>
  <c r="A7" i="2" s="1"/>
  <c r="S6" i="3"/>
  <c r="R6" i="3"/>
  <c r="Q6" i="3"/>
  <c r="P6" i="3"/>
  <c r="O6" i="3"/>
  <c r="N6" i="3"/>
  <c r="M6" i="3"/>
  <c r="E6" i="3"/>
  <c r="B6" i="3"/>
  <c r="A6" i="3"/>
  <c r="A6" i="2" s="1"/>
  <c r="S5" i="3"/>
  <c r="R5" i="3"/>
  <c r="Q5" i="3"/>
  <c r="P5" i="3"/>
  <c r="O5" i="3"/>
  <c r="N5" i="3"/>
  <c r="M5" i="3"/>
  <c r="E5" i="3"/>
  <c r="B5" i="3"/>
  <c r="A5" i="3"/>
  <c r="S4" i="3"/>
  <c r="R4" i="3"/>
  <c r="Q4" i="3"/>
  <c r="P4" i="3"/>
  <c r="O4" i="3"/>
  <c r="N4" i="3"/>
  <c r="M4" i="3"/>
  <c r="E4" i="3"/>
  <c r="B4" i="3"/>
  <c r="A4" i="3"/>
  <c r="S3" i="3"/>
  <c r="R3" i="3"/>
  <c r="Q3" i="3"/>
  <c r="P3" i="3"/>
  <c r="O3" i="3"/>
  <c r="N3" i="3"/>
  <c r="M3" i="3"/>
  <c r="E3" i="3"/>
  <c r="B3" i="3"/>
  <c r="B3" i="2" s="1"/>
  <c r="A3" i="3"/>
  <c r="E2" i="3"/>
  <c r="D2" i="3"/>
  <c r="C2" i="3"/>
  <c r="C2" i="2" s="1"/>
  <c r="B2" i="3"/>
  <c r="A2" i="3"/>
  <c r="A2" i="2" s="1"/>
  <c r="E226" i="2"/>
  <c r="D226" i="2"/>
  <c r="C226" i="2"/>
  <c r="B226" i="2"/>
  <c r="A226" i="2"/>
  <c r="E225" i="2"/>
  <c r="C225" i="2"/>
  <c r="B225" i="2"/>
  <c r="A225" i="2"/>
  <c r="E224" i="2"/>
  <c r="C224" i="2"/>
  <c r="A224" i="2"/>
  <c r="E223" i="2"/>
  <c r="C223" i="2"/>
  <c r="A223" i="2"/>
  <c r="E222" i="2"/>
  <c r="D222" i="2"/>
  <c r="C222" i="2"/>
  <c r="B222" i="2"/>
  <c r="A222" i="2"/>
  <c r="E221" i="2"/>
  <c r="D221" i="2"/>
  <c r="C221" i="2"/>
  <c r="A221" i="2"/>
  <c r="E220" i="2"/>
  <c r="D220" i="2"/>
  <c r="C220" i="2"/>
  <c r="B220" i="2"/>
  <c r="A220" i="2"/>
  <c r="E219" i="2"/>
  <c r="D219" i="2"/>
  <c r="C219" i="2"/>
  <c r="B219" i="2"/>
  <c r="A219" i="2"/>
  <c r="E218" i="2"/>
  <c r="D218" i="2"/>
  <c r="C218" i="2"/>
  <c r="A218" i="2"/>
  <c r="E217" i="2"/>
  <c r="D217" i="2"/>
  <c r="C217" i="2"/>
  <c r="B217" i="2"/>
  <c r="A217" i="2"/>
  <c r="E216" i="2"/>
  <c r="D216" i="2"/>
  <c r="C216" i="2"/>
  <c r="A216" i="2"/>
  <c r="E215" i="2"/>
  <c r="D215" i="2"/>
  <c r="C215" i="2"/>
  <c r="B215" i="2"/>
  <c r="A215" i="2"/>
  <c r="E214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E208" i="2"/>
  <c r="D208" i="2"/>
  <c r="C208" i="2"/>
  <c r="B208" i="2"/>
  <c r="E207" i="2"/>
  <c r="D207" i="2"/>
  <c r="C207" i="2"/>
  <c r="B207" i="2"/>
  <c r="E206" i="2"/>
  <c r="D206" i="2"/>
  <c r="C206" i="2"/>
  <c r="B206" i="2"/>
  <c r="E205" i="2"/>
  <c r="C205" i="2"/>
  <c r="B205" i="2"/>
  <c r="E204" i="2"/>
  <c r="D204" i="2"/>
  <c r="C204" i="2"/>
  <c r="B204" i="2"/>
  <c r="E203" i="2"/>
  <c r="D203" i="2"/>
  <c r="C203" i="2"/>
  <c r="A203" i="2"/>
  <c r="E202" i="2"/>
  <c r="D202" i="2"/>
  <c r="C202" i="2"/>
  <c r="A202" i="2"/>
  <c r="E201" i="2"/>
  <c r="D201" i="2"/>
  <c r="C201" i="2"/>
  <c r="A201" i="2"/>
  <c r="E200" i="2"/>
  <c r="D200" i="2"/>
  <c r="C200" i="2"/>
  <c r="A200" i="2"/>
  <c r="E199" i="2"/>
  <c r="D199" i="2"/>
  <c r="C199" i="2"/>
  <c r="A199" i="2"/>
  <c r="E198" i="2"/>
  <c r="D198" i="2"/>
  <c r="C198" i="2"/>
  <c r="A198" i="2"/>
  <c r="E197" i="2"/>
  <c r="D197" i="2"/>
  <c r="C197" i="2"/>
  <c r="A197" i="2"/>
  <c r="E196" i="2"/>
  <c r="D196" i="2"/>
  <c r="C196" i="2"/>
  <c r="B196" i="2"/>
  <c r="A196" i="2"/>
  <c r="E195" i="2"/>
  <c r="D195" i="2"/>
  <c r="C195" i="2"/>
  <c r="B195" i="2"/>
  <c r="A195" i="2"/>
  <c r="E194" i="2"/>
  <c r="D194" i="2"/>
  <c r="C194" i="2"/>
  <c r="B194" i="2"/>
  <c r="A194" i="2"/>
  <c r="E193" i="2"/>
  <c r="D193" i="2"/>
  <c r="C193" i="2"/>
  <c r="B193" i="2"/>
  <c r="A193" i="2"/>
  <c r="E192" i="2"/>
  <c r="D192" i="2"/>
  <c r="B192" i="2"/>
  <c r="A192" i="2"/>
  <c r="E191" i="2"/>
  <c r="D191" i="2"/>
  <c r="C191" i="2"/>
  <c r="B191" i="2"/>
  <c r="A191" i="2"/>
  <c r="E190" i="2"/>
  <c r="D190" i="2"/>
  <c r="C190" i="2"/>
  <c r="B190" i="2"/>
  <c r="E189" i="2"/>
  <c r="D189" i="2"/>
  <c r="C189" i="2"/>
  <c r="B189" i="2"/>
  <c r="A189" i="2"/>
  <c r="E188" i="2"/>
  <c r="C188" i="2"/>
  <c r="A188" i="2"/>
  <c r="E187" i="2"/>
  <c r="C187" i="2"/>
  <c r="A187" i="2"/>
  <c r="E186" i="2"/>
  <c r="D186" i="2"/>
  <c r="C186" i="2"/>
  <c r="B186" i="2"/>
  <c r="A186" i="2"/>
  <c r="E185" i="2"/>
  <c r="D185" i="2"/>
  <c r="C185" i="2"/>
  <c r="A185" i="2"/>
  <c r="E184" i="2"/>
  <c r="C184" i="2"/>
  <c r="B184" i="2"/>
  <c r="A184" i="2"/>
  <c r="E183" i="2"/>
  <c r="D183" i="2"/>
  <c r="C183" i="2"/>
  <c r="B183" i="2"/>
  <c r="A183" i="2"/>
  <c r="E182" i="2"/>
  <c r="C182" i="2"/>
  <c r="A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A170" i="2"/>
  <c r="E169" i="2"/>
  <c r="D169" i="2"/>
  <c r="C169" i="2"/>
  <c r="B169" i="2"/>
  <c r="A169" i="2"/>
  <c r="E168" i="2"/>
  <c r="D168" i="2"/>
  <c r="C168" i="2"/>
  <c r="B168" i="2"/>
  <c r="A168" i="2"/>
  <c r="L167" i="2"/>
  <c r="K167" i="2"/>
  <c r="J167" i="2"/>
  <c r="I167" i="2"/>
  <c r="H167" i="2"/>
  <c r="G167" i="2"/>
  <c r="F167" i="2"/>
  <c r="E167" i="2"/>
  <c r="D167" i="2"/>
  <c r="C167" i="2"/>
  <c r="B167" i="2"/>
  <c r="E166" i="2"/>
  <c r="D166" i="2"/>
  <c r="C166" i="2"/>
  <c r="B166" i="2"/>
  <c r="E165" i="2"/>
  <c r="C165" i="2"/>
  <c r="B165" i="2"/>
  <c r="E164" i="2"/>
  <c r="B164" i="2"/>
  <c r="A164" i="2"/>
  <c r="E163" i="2"/>
  <c r="D163" i="2"/>
  <c r="C163" i="2"/>
  <c r="B163" i="2"/>
  <c r="A163" i="2"/>
  <c r="E162" i="2"/>
  <c r="B162" i="2"/>
  <c r="E161" i="2"/>
  <c r="D161" i="2"/>
  <c r="C161" i="2"/>
  <c r="B161" i="2"/>
  <c r="A161" i="2"/>
  <c r="E160" i="2"/>
  <c r="D160" i="2"/>
  <c r="C160" i="2"/>
  <c r="E159" i="2"/>
  <c r="C159" i="2"/>
  <c r="B159" i="2"/>
  <c r="E158" i="2"/>
  <c r="D158" i="2"/>
  <c r="C158" i="2"/>
  <c r="B158" i="2"/>
  <c r="E157" i="2"/>
  <c r="C157" i="2"/>
  <c r="E156" i="2"/>
  <c r="C156" i="2"/>
  <c r="B156" i="2"/>
  <c r="E155" i="2"/>
  <c r="D155" i="2"/>
  <c r="C155" i="2"/>
  <c r="A155" i="2"/>
  <c r="E154" i="2"/>
  <c r="D154" i="2"/>
  <c r="C154" i="2"/>
  <c r="A154" i="2"/>
  <c r="E153" i="2"/>
  <c r="D153" i="2"/>
  <c r="C153" i="2"/>
  <c r="A153" i="2"/>
  <c r="E152" i="2"/>
  <c r="D152" i="2"/>
  <c r="C152" i="2"/>
  <c r="A152" i="2"/>
  <c r="E151" i="2"/>
  <c r="D151" i="2"/>
  <c r="C151" i="2"/>
  <c r="A151" i="2"/>
  <c r="E150" i="2"/>
  <c r="D150" i="2"/>
  <c r="C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D142" i="2"/>
  <c r="C142" i="2"/>
  <c r="B142" i="2"/>
  <c r="A142" i="2"/>
  <c r="E141" i="2"/>
  <c r="D141" i="2"/>
  <c r="C141" i="2"/>
  <c r="B141" i="2"/>
  <c r="A141" i="2"/>
  <c r="D140" i="2"/>
  <c r="C140" i="2"/>
  <c r="B140" i="2"/>
  <c r="A140" i="2"/>
  <c r="D139" i="2"/>
  <c r="C139" i="2"/>
  <c r="A139" i="2"/>
  <c r="D138" i="2"/>
  <c r="C138" i="2"/>
  <c r="B138" i="2"/>
  <c r="A138" i="2"/>
  <c r="D137" i="2"/>
  <c r="C137" i="2"/>
  <c r="B137" i="2"/>
  <c r="A137" i="2"/>
  <c r="D136" i="2"/>
  <c r="B136" i="2"/>
  <c r="A136" i="2"/>
  <c r="D135" i="2"/>
  <c r="B135" i="2"/>
  <c r="A135" i="2"/>
  <c r="D134" i="2"/>
  <c r="B134" i="2"/>
  <c r="A134" i="2"/>
  <c r="D133" i="2"/>
  <c r="B133" i="2"/>
  <c r="A133" i="2"/>
  <c r="E132" i="2"/>
  <c r="D132" i="2"/>
  <c r="B132" i="2"/>
  <c r="A132" i="2"/>
  <c r="E131" i="2"/>
  <c r="D131" i="2"/>
  <c r="C131" i="2"/>
  <c r="B131" i="2"/>
  <c r="E130" i="2"/>
  <c r="C130" i="2"/>
  <c r="B130" i="2"/>
  <c r="E129" i="2"/>
  <c r="C129" i="2"/>
  <c r="B129" i="2"/>
  <c r="E128" i="2"/>
  <c r="B128" i="2"/>
  <c r="A128" i="2"/>
  <c r="E127" i="2"/>
  <c r="D127" i="2"/>
  <c r="C127" i="2"/>
  <c r="B127" i="2"/>
  <c r="A127" i="2"/>
  <c r="E126" i="2"/>
  <c r="B126" i="2"/>
  <c r="E125" i="2"/>
  <c r="D125" i="2"/>
  <c r="C125" i="2"/>
  <c r="B125" i="2"/>
  <c r="A125" i="2"/>
  <c r="E124" i="2"/>
  <c r="D124" i="2"/>
  <c r="C124" i="2"/>
  <c r="E123" i="2"/>
  <c r="C123" i="2"/>
  <c r="B123" i="2"/>
  <c r="E122" i="2"/>
  <c r="D122" i="2"/>
  <c r="C122" i="2"/>
  <c r="B122" i="2"/>
  <c r="E121" i="2"/>
  <c r="C121" i="2"/>
  <c r="E120" i="2"/>
  <c r="C120" i="2"/>
  <c r="B120" i="2"/>
  <c r="E119" i="2"/>
  <c r="D119" i="2"/>
  <c r="C119" i="2"/>
  <c r="A119" i="2"/>
  <c r="E118" i="2"/>
  <c r="D118" i="2"/>
  <c r="C118" i="2"/>
  <c r="B118" i="2"/>
  <c r="A118" i="2"/>
  <c r="E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C114" i="2"/>
  <c r="B114" i="2"/>
  <c r="A114" i="2"/>
  <c r="E113" i="2"/>
  <c r="D113" i="2"/>
  <c r="C113" i="2"/>
  <c r="B113" i="2"/>
  <c r="A113" i="2"/>
  <c r="E112" i="2"/>
  <c r="D112" i="2"/>
  <c r="C112" i="2"/>
  <c r="A112" i="2"/>
  <c r="D111" i="2"/>
  <c r="C111" i="2"/>
  <c r="B111" i="2"/>
  <c r="A111" i="2"/>
  <c r="D110" i="2"/>
  <c r="C110" i="2"/>
  <c r="B110" i="2"/>
  <c r="A110" i="2"/>
  <c r="D109" i="2"/>
  <c r="C109" i="2"/>
  <c r="A109" i="2"/>
  <c r="E108" i="2"/>
  <c r="D108" i="2"/>
  <c r="C108" i="2"/>
  <c r="B108" i="2"/>
  <c r="A108" i="2"/>
  <c r="E107" i="2"/>
  <c r="D107" i="2"/>
  <c r="C107" i="2"/>
  <c r="B107" i="2"/>
  <c r="A107" i="2"/>
  <c r="D106" i="2"/>
  <c r="C106" i="2"/>
  <c r="B106" i="2"/>
  <c r="A106" i="2"/>
  <c r="E105" i="2"/>
  <c r="D105" i="2"/>
  <c r="C105" i="2"/>
  <c r="B105" i="2"/>
  <c r="A105" i="2"/>
  <c r="D104" i="2"/>
  <c r="B104" i="2"/>
  <c r="A104" i="2"/>
  <c r="D103" i="2"/>
  <c r="C103" i="2"/>
  <c r="B103" i="2"/>
  <c r="A103" i="2"/>
  <c r="D102" i="2"/>
  <c r="B102" i="2"/>
  <c r="A102" i="2"/>
  <c r="D101" i="2"/>
  <c r="B101" i="2"/>
  <c r="A101" i="2"/>
  <c r="D100" i="2"/>
  <c r="C100" i="2"/>
  <c r="B100" i="2"/>
  <c r="E99" i="2"/>
  <c r="D99" i="2"/>
  <c r="C99" i="2"/>
  <c r="B99" i="2"/>
  <c r="E98" i="2"/>
  <c r="D98" i="2"/>
  <c r="C98" i="2"/>
  <c r="B98" i="2"/>
  <c r="E97" i="2"/>
  <c r="C97" i="2"/>
  <c r="E96" i="2"/>
  <c r="C96" i="2"/>
  <c r="B96" i="2"/>
  <c r="E95" i="2"/>
  <c r="C95" i="2"/>
  <c r="B95" i="2"/>
  <c r="E94" i="2"/>
  <c r="C94" i="2"/>
  <c r="E93" i="2"/>
  <c r="D93" i="2"/>
  <c r="C93" i="2"/>
  <c r="A93" i="2"/>
  <c r="L92" i="2"/>
  <c r="K92" i="2"/>
  <c r="J92" i="2"/>
  <c r="I92" i="2"/>
  <c r="H92" i="2"/>
  <c r="G92" i="2"/>
  <c r="F92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C86" i="2"/>
  <c r="B86" i="2"/>
  <c r="A86" i="2"/>
  <c r="E85" i="2"/>
  <c r="D85" i="2"/>
  <c r="C85" i="2"/>
  <c r="B85" i="2"/>
  <c r="A85" i="2"/>
  <c r="D84" i="2"/>
  <c r="C84" i="2"/>
  <c r="A84" i="2"/>
  <c r="E83" i="2"/>
  <c r="D83" i="2"/>
  <c r="C83" i="2"/>
  <c r="B83" i="2"/>
  <c r="A83" i="2"/>
  <c r="E82" i="2"/>
  <c r="D82" i="2"/>
  <c r="C82" i="2"/>
  <c r="B82" i="2"/>
  <c r="A82" i="2"/>
  <c r="D81" i="2"/>
  <c r="C81" i="2"/>
  <c r="A81" i="2"/>
  <c r="E80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B77" i="2"/>
  <c r="A77" i="2"/>
  <c r="D76" i="2"/>
  <c r="B76" i="2"/>
  <c r="A76" i="2"/>
  <c r="D75" i="2"/>
  <c r="B75" i="2"/>
  <c r="A75" i="2"/>
  <c r="D74" i="2"/>
  <c r="B74" i="2"/>
  <c r="A74" i="2"/>
  <c r="D73" i="2"/>
  <c r="B73" i="2"/>
  <c r="A73" i="2"/>
  <c r="D72" i="2"/>
  <c r="B72" i="2"/>
  <c r="A72" i="2"/>
  <c r="E71" i="2"/>
  <c r="D71" i="2"/>
  <c r="B71" i="2"/>
  <c r="A71" i="2"/>
  <c r="E70" i="2"/>
  <c r="D70" i="2"/>
  <c r="C70" i="2"/>
  <c r="B70" i="2"/>
  <c r="L69" i="2"/>
  <c r="K69" i="2"/>
  <c r="J69" i="2"/>
  <c r="I69" i="2"/>
  <c r="H69" i="2"/>
  <c r="G69" i="2"/>
  <c r="F69" i="2"/>
  <c r="E69" i="2"/>
  <c r="D69" i="2"/>
  <c r="C69" i="2"/>
  <c r="B69" i="2"/>
  <c r="L68" i="2"/>
  <c r="K68" i="2"/>
  <c r="J68" i="2"/>
  <c r="I68" i="2"/>
  <c r="H68" i="2"/>
  <c r="G68" i="2"/>
  <c r="F68" i="2"/>
  <c r="E68" i="2"/>
  <c r="D68" i="2"/>
  <c r="C68" i="2"/>
  <c r="A68" i="2"/>
  <c r="E67" i="2"/>
  <c r="D67" i="2"/>
  <c r="C67" i="2"/>
  <c r="B67" i="2"/>
  <c r="A67" i="2"/>
  <c r="E66" i="2"/>
  <c r="C66" i="2"/>
  <c r="B66" i="2"/>
  <c r="A66" i="2"/>
  <c r="E65" i="2"/>
  <c r="C65" i="2"/>
  <c r="B65" i="2"/>
  <c r="A65" i="2"/>
  <c r="E64" i="2"/>
  <c r="D64" i="2"/>
  <c r="C64" i="2"/>
  <c r="B64" i="2"/>
  <c r="A64" i="2"/>
  <c r="E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D59" i="2"/>
  <c r="C59" i="2"/>
  <c r="B59" i="2"/>
  <c r="A59" i="2"/>
  <c r="D58" i="2"/>
  <c r="C58" i="2"/>
  <c r="A58" i="2"/>
  <c r="E57" i="2"/>
  <c r="C57" i="2"/>
  <c r="B57" i="2"/>
  <c r="A57" i="2"/>
  <c r="E56" i="2"/>
  <c r="D56" i="2"/>
  <c r="C56" i="2"/>
  <c r="B56" i="2"/>
  <c r="A56" i="2"/>
  <c r="D55" i="2"/>
  <c r="C55" i="2"/>
  <c r="A55" i="2"/>
  <c r="E54" i="2"/>
  <c r="D54" i="2"/>
  <c r="C54" i="2"/>
  <c r="B54" i="2"/>
  <c r="A54" i="2"/>
  <c r="D53" i="2"/>
  <c r="B53" i="2"/>
  <c r="A53" i="2"/>
  <c r="D52" i="2"/>
  <c r="C52" i="2"/>
  <c r="A52" i="2"/>
  <c r="D51" i="2"/>
  <c r="A51" i="2"/>
  <c r="D50" i="2"/>
  <c r="B50" i="2"/>
  <c r="A50" i="2"/>
  <c r="D49" i="2"/>
  <c r="A49" i="2"/>
  <c r="D48" i="2"/>
  <c r="B48" i="2"/>
  <c r="A48" i="2"/>
  <c r="D47" i="2"/>
  <c r="B47" i="2"/>
  <c r="A47" i="2"/>
  <c r="D46" i="2"/>
  <c r="A46" i="2"/>
  <c r="E45" i="2"/>
  <c r="D45" i="2"/>
  <c r="B45" i="2"/>
  <c r="A45" i="2"/>
  <c r="E44" i="2"/>
  <c r="D44" i="2"/>
  <c r="B44" i="2"/>
  <c r="A44" i="2"/>
  <c r="D43" i="2"/>
  <c r="C43" i="2"/>
  <c r="A43" i="2"/>
  <c r="E42" i="2"/>
  <c r="D42" i="2"/>
  <c r="C42" i="2"/>
  <c r="B42" i="2"/>
  <c r="E41" i="2"/>
  <c r="B41" i="2"/>
  <c r="A41" i="2"/>
  <c r="E40" i="2"/>
  <c r="D40" i="2"/>
  <c r="C40" i="2"/>
  <c r="B40" i="2"/>
  <c r="A40" i="2"/>
  <c r="E39" i="2"/>
  <c r="B39" i="2"/>
  <c r="E38" i="2"/>
  <c r="D38" i="2"/>
  <c r="B38" i="2"/>
  <c r="A38" i="2"/>
  <c r="E37" i="2"/>
  <c r="D37" i="2"/>
  <c r="B37" i="2"/>
  <c r="E36" i="2"/>
  <c r="B36" i="2"/>
  <c r="E35" i="2"/>
  <c r="D35" i="2"/>
  <c r="B35" i="2"/>
  <c r="E34" i="2"/>
  <c r="D34" i="2"/>
  <c r="B34" i="2"/>
  <c r="E33" i="2"/>
  <c r="B33" i="2"/>
  <c r="E32" i="2"/>
  <c r="D32" i="2"/>
  <c r="B32" i="2"/>
  <c r="E31" i="2"/>
  <c r="C31" i="2"/>
  <c r="B31" i="2"/>
  <c r="E30" i="2"/>
  <c r="D30" i="2"/>
  <c r="C30" i="2"/>
  <c r="B30" i="2"/>
  <c r="L29" i="2"/>
  <c r="K29" i="2"/>
  <c r="J29" i="2"/>
  <c r="I29" i="2"/>
  <c r="H29" i="2"/>
  <c r="G29" i="2"/>
  <c r="F29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A27" i="2"/>
  <c r="D26" i="2"/>
  <c r="C26" i="2"/>
  <c r="A26" i="2"/>
  <c r="L25" i="2"/>
  <c r="K25" i="2"/>
  <c r="J25" i="2"/>
  <c r="I25" i="2"/>
  <c r="H25" i="2"/>
  <c r="G25" i="2"/>
  <c r="F25" i="2"/>
  <c r="D25" i="2"/>
  <c r="C25" i="2"/>
  <c r="B25" i="2"/>
  <c r="E24" i="2"/>
  <c r="D24" i="2"/>
  <c r="C24" i="2"/>
  <c r="B24" i="2"/>
  <c r="A24" i="2"/>
  <c r="L23" i="2"/>
  <c r="K23" i="2"/>
  <c r="J23" i="2"/>
  <c r="I23" i="2"/>
  <c r="H23" i="2"/>
  <c r="G23" i="2"/>
  <c r="F23" i="2"/>
  <c r="E23" i="2"/>
  <c r="D23" i="2"/>
  <c r="C23" i="2"/>
  <c r="A23" i="2"/>
  <c r="E22" i="2"/>
  <c r="D22" i="2"/>
  <c r="C22" i="2"/>
  <c r="B22" i="2"/>
  <c r="A22" i="2"/>
  <c r="E21" i="2"/>
  <c r="D21" i="2"/>
  <c r="C21" i="2"/>
  <c r="B21" i="2"/>
  <c r="A21" i="2"/>
  <c r="D20" i="2"/>
  <c r="C20" i="2"/>
  <c r="B20" i="2"/>
  <c r="A20" i="2"/>
  <c r="D19" i="2"/>
  <c r="C19" i="2"/>
  <c r="B19" i="2"/>
  <c r="E18" i="2"/>
  <c r="D18" i="2"/>
  <c r="C18" i="2"/>
  <c r="B18" i="2"/>
  <c r="L17" i="2"/>
  <c r="K17" i="2"/>
  <c r="J17" i="2"/>
  <c r="I17" i="2"/>
  <c r="H17" i="2"/>
  <c r="G17" i="2"/>
  <c r="F17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A15" i="2"/>
  <c r="L14" i="2"/>
  <c r="K14" i="2"/>
  <c r="J14" i="2"/>
  <c r="I14" i="2"/>
  <c r="H14" i="2"/>
  <c r="G14" i="2"/>
  <c r="F14" i="2"/>
  <c r="D14" i="2"/>
  <c r="C14" i="2"/>
  <c r="A14" i="2"/>
  <c r="E13" i="2"/>
  <c r="D13" i="2"/>
  <c r="C13" i="2"/>
  <c r="B13" i="2"/>
  <c r="E12" i="2"/>
  <c r="D12" i="2"/>
  <c r="C12" i="2"/>
  <c r="A12" i="2"/>
  <c r="E11" i="2"/>
  <c r="D11" i="2"/>
  <c r="C11" i="2"/>
  <c r="A11" i="2"/>
  <c r="E10" i="2"/>
  <c r="D10" i="2"/>
  <c r="C10" i="2"/>
  <c r="B10" i="2"/>
  <c r="A10" i="2"/>
  <c r="L9" i="2"/>
  <c r="K9" i="2"/>
  <c r="J9" i="2"/>
  <c r="I9" i="2"/>
  <c r="H9" i="2"/>
  <c r="G9" i="2"/>
  <c r="F9" i="2"/>
  <c r="E9" i="2"/>
  <c r="D9" i="2"/>
  <c r="C9" i="2"/>
  <c r="A9" i="2"/>
  <c r="D8" i="2"/>
  <c r="C8" i="2"/>
  <c r="B8" i="2"/>
  <c r="A8" i="2"/>
  <c r="D7" i="2"/>
  <c r="C7" i="2"/>
  <c r="B7" i="2"/>
  <c r="E6" i="2"/>
  <c r="D6" i="2"/>
  <c r="C6" i="2"/>
  <c r="B6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E3" i="2"/>
  <c r="D3" i="2"/>
  <c r="C3" i="2"/>
  <c r="A3" i="2"/>
  <c r="E2" i="2"/>
  <c r="D2" i="2"/>
  <c r="B2" i="2"/>
  <c r="C473" i="3"/>
  <c r="C469" i="3"/>
  <c r="C463" i="3"/>
  <c r="C465" i="3"/>
  <c r="C461" i="3"/>
  <c r="C471" i="3"/>
  <c r="A236" i="3"/>
  <c r="F317" i="3"/>
  <c r="A31" i="2" l="1"/>
  <c r="C33" i="2"/>
  <c r="C45" i="2"/>
  <c r="E47" i="2"/>
  <c r="E59" i="2"/>
  <c r="C71" i="2"/>
  <c r="E73" i="2"/>
  <c r="A166" i="2"/>
  <c r="D33" i="2"/>
  <c r="A36" i="2"/>
  <c r="C38" i="2"/>
  <c r="B43" i="2"/>
  <c r="C50" i="2"/>
  <c r="E52" i="2"/>
  <c r="B55" i="2"/>
  <c r="D57" i="2"/>
  <c r="C76" i="2"/>
  <c r="B81" i="2"/>
  <c r="B94" i="2"/>
  <c r="D96" i="2"/>
  <c r="C101" i="2"/>
  <c r="E103" i="2"/>
  <c r="D120" i="2"/>
  <c r="A123" i="2"/>
  <c r="E139" i="2"/>
  <c r="B154" i="2"/>
  <c r="D156" i="2"/>
  <c r="A159" i="2"/>
  <c r="D205" i="2"/>
  <c r="E212" i="2"/>
  <c r="D31" i="2"/>
  <c r="A34" i="2"/>
  <c r="C48" i="2"/>
  <c r="E50" i="2"/>
  <c r="C74" i="2"/>
  <c r="E76" i="2"/>
  <c r="D94" i="2"/>
  <c r="A97" i="2"/>
  <c r="E101" i="2"/>
  <c r="A121" i="2"/>
  <c r="D130" i="2"/>
  <c r="C135" i="2"/>
  <c r="B152" i="2"/>
  <c r="A157" i="2"/>
  <c r="B201" i="2"/>
  <c r="A206" i="2"/>
  <c r="E210" i="2"/>
  <c r="C36" i="2"/>
  <c r="D36" i="2"/>
  <c r="A39" i="2"/>
  <c r="C41" i="2"/>
  <c r="E43" i="2"/>
  <c r="B46" i="2"/>
  <c r="C53" i="2"/>
  <c r="E55" i="2"/>
  <c r="B58" i="2"/>
  <c r="E81" i="2"/>
  <c r="B84" i="2"/>
  <c r="D86" i="2"/>
  <c r="B97" i="2"/>
  <c r="C104" i="2"/>
  <c r="B109" i="2"/>
  <c r="B121" i="2"/>
  <c r="D123" i="2"/>
  <c r="A126" i="2"/>
  <c r="C128" i="2"/>
  <c r="E142" i="2"/>
  <c r="D147" i="2"/>
  <c r="B157" i="2"/>
  <c r="D159" i="2"/>
  <c r="A162" i="2"/>
  <c r="C164" i="2"/>
  <c r="B170" i="2"/>
  <c r="B182" i="2"/>
  <c r="D184" i="2"/>
  <c r="B218" i="2"/>
  <c r="A32" i="2"/>
  <c r="C34" i="2"/>
  <c r="D41" i="2"/>
  <c r="C46" i="2"/>
  <c r="E48" i="2"/>
  <c r="B51" i="2"/>
  <c r="D65" i="2"/>
  <c r="C72" i="2"/>
  <c r="E74" i="2"/>
  <c r="A95" i="2"/>
  <c r="E111" i="2"/>
  <c r="D128" i="2"/>
  <c r="C133" i="2"/>
  <c r="E135" i="2"/>
  <c r="B150" i="2"/>
  <c r="D164" i="2"/>
  <c r="E172" i="2"/>
  <c r="B187" i="2"/>
  <c r="B199" i="2"/>
  <c r="A204" i="2"/>
  <c r="B223" i="2"/>
  <c r="D225" i="2"/>
  <c r="E140" i="2"/>
  <c r="D157" i="2"/>
  <c r="C162" i="2"/>
  <c r="D182" i="2"/>
  <c r="E213" i="2"/>
  <c r="B216" i="2"/>
  <c r="A37" i="2"/>
  <c r="C39" i="2"/>
  <c r="C51" i="2"/>
  <c r="E53" i="2"/>
  <c r="C77" i="2"/>
  <c r="E79" i="2"/>
  <c r="D97" i="2"/>
  <c r="C102" i="2"/>
  <c r="E104" i="2"/>
  <c r="D121" i="2"/>
  <c r="A124" i="2"/>
  <c r="C126" i="2"/>
  <c r="A160" i="2"/>
  <c r="C32" i="2"/>
  <c r="D39" i="2"/>
  <c r="C44" i="2"/>
  <c r="E46" i="2"/>
  <c r="B49" i="2"/>
  <c r="E58" i="2"/>
  <c r="D63" i="2"/>
  <c r="E72" i="2"/>
  <c r="E84" i="2"/>
  <c r="D89" i="2"/>
  <c r="E109" i="2"/>
  <c r="D114" i="2"/>
  <c r="B124" i="2"/>
  <c r="D126" i="2"/>
  <c r="A129" i="2"/>
  <c r="E133" i="2"/>
  <c r="B160" i="2"/>
  <c r="D162" i="2"/>
  <c r="A165" i="2"/>
  <c r="E170" i="2"/>
  <c r="B185" i="2"/>
  <c r="D187" i="2"/>
  <c r="C192" i="2"/>
  <c r="B197" i="2"/>
  <c r="D223" i="2"/>
  <c r="A35" i="2"/>
  <c r="C37" i="2"/>
  <c r="C49" i="2"/>
  <c r="E51" i="2"/>
  <c r="C75" i="2"/>
  <c r="E77" i="2"/>
  <c r="D95" i="2"/>
  <c r="A98" i="2"/>
  <c r="E102" i="2"/>
  <c r="A122" i="2"/>
  <c r="C136" i="2"/>
  <c r="E138" i="2"/>
  <c r="B153" i="2"/>
  <c r="A158" i="2"/>
  <c r="A207" i="2"/>
  <c r="E211" i="2"/>
  <c r="A33" i="2"/>
  <c r="C35" i="2"/>
  <c r="C47" i="2"/>
  <c r="E49" i="2"/>
  <c r="B52" i="2"/>
  <c r="D66" i="2"/>
  <c r="C73" i="2"/>
  <c r="E75" i="2"/>
  <c r="A96" i="2"/>
  <c r="D117" i="2"/>
  <c r="A120" i="2"/>
  <c r="D129" i="2"/>
  <c r="C134" i="2"/>
  <c r="E136" i="2"/>
  <c r="B139" i="2"/>
  <c r="B151" i="2"/>
  <c r="A156" i="2"/>
  <c r="D165" i="2"/>
  <c r="E173" i="2"/>
  <c r="B188" i="2"/>
  <c r="B200" i="2"/>
  <c r="A205" i="2"/>
  <c r="B224" i="2"/>
  <c r="A94" i="2"/>
  <c r="E110" i="2"/>
  <c r="A130" i="2"/>
  <c r="C132" i="2"/>
  <c r="E134" i="2"/>
  <c r="E171" i="2"/>
  <c r="D188" i="2"/>
  <c r="B198" i="2"/>
  <c r="D224" i="2"/>
  <c r="B471" i="3"/>
  <c r="B461" i="3"/>
  <c r="B465" i="3"/>
  <c r="B463" i="3"/>
  <c r="B469" i="3"/>
  <c r="B473" i="3"/>
  <c r="F325" i="3"/>
  <c r="F439" i="3"/>
  <c r="F423" i="3"/>
  <c r="F407" i="3"/>
  <c r="F437" i="3"/>
  <c r="F421" i="3"/>
  <c r="F444" i="3"/>
  <c r="F428" i="3"/>
  <c r="F434" i="3"/>
  <c r="F393" i="3"/>
  <c r="F446" i="3"/>
  <c r="F416" i="3"/>
  <c r="F395" i="3"/>
  <c r="F379" i="3"/>
  <c r="F363" i="3"/>
  <c r="F392" i="3"/>
  <c r="F384" i="3"/>
  <c r="F377" i="3"/>
  <c r="F368" i="3"/>
  <c r="F353" i="3"/>
  <c r="F337" i="3"/>
  <c r="F405" i="3"/>
  <c r="F356" i="3"/>
  <c r="F340" i="3"/>
  <c r="F373" i="3"/>
  <c r="F364" i="3"/>
  <c r="F347" i="3"/>
  <c r="F331" i="3"/>
  <c r="F324" i="3"/>
  <c r="F308" i="3"/>
  <c r="F409" i="3"/>
  <c r="F334" i="3"/>
  <c r="F315" i="3"/>
  <c r="F299" i="3"/>
  <c r="F318" i="3"/>
  <c r="F302" i="3"/>
  <c r="F292" i="3"/>
  <c r="F288" i="3"/>
  <c r="F284" i="3"/>
  <c r="F246" i="3"/>
  <c r="F250" i="3"/>
  <c r="F254" i="3"/>
  <c r="F258" i="3"/>
  <c r="F262" i="3"/>
  <c r="F266" i="3"/>
  <c r="F270" i="3"/>
  <c r="F274" i="3"/>
  <c r="F278" i="3"/>
  <c r="F282" i="3"/>
  <c r="F305" i="3"/>
  <c r="F401" i="3"/>
  <c r="F301" i="3"/>
  <c r="F435" i="3"/>
  <c r="F419" i="3"/>
  <c r="F403" i="3"/>
  <c r="F433" i="3"/>
  <c r="F417" i="3"/>
  <c r="F440" i="3"/>
  <c r="F424" i="3"/>
  <c r="F426" i="3"/>
  <c r="F389" i="3"/>
  <c r="F438" i="3"/>
  <c r="F414" i="3"/>
  <c r="F391" i="3"/>
  <c r="F375" i="3"/>
  <c r="F398" i="3"/>
  <c r="F390" i="3"/>
  <c r="F382" i="3"/>
  <c r="F376" i="3"/>
  <c r="F362" i="3"/>
  <c r="F349" i="3"/>
  <c r="F333" i="3"/>
  <c r="F402" i="3"/>
  <c r="F352" i="3"/>
  <c r="F336" i="3"/>
  <c r="F372" i="3"/>
  <c r="F359" i="3"/>
  <c r="F343" i="3"/>
  <c r="F406" i="3"/>
  <c r="F320" i="3"/>
  <c r="F304" i="3"/>
  <c r="F358" i="3"/>
  <c r="F327" i="3"/>
  <c r="F311" i="3"/>
  <c r="F295" i="3"/>
  <c r="F314" i="3"/>
  <c r="F298" i="3"/>
  <c r="F291" i="3"/>
  <c r="F287" i="3"/>
  <c r="F283" i="3"/>
  <c r="F247" i="3"/>
  <c r="F251" i="3"/>
  <c r="F255" i="3"/>
  <c r="F259" i="3"/>
  <c r="F263" i="3"/>
  <c r="F267" i="3"/>
  <c r="F271" i="3"/>
  <c r="F275" i="3"/>
  <c r="F279" i="3"/>
  <c r="F338" i="3"/>
  <c r="F313" i="3"/>
  <c r="F330" i="3"/>
  <c r="F447" i="3"/>
  <c r="F431" i="3"/>
  <c r="F415" i="3"/>
  <c r="F445" i="3"/>
  <c r="F429" i="3"/>
  <c r="F413" i="3"/>
  <c r="F436" i="3"/>
  <c r="F420" i="3"/>
  <c r="F418" i="3"/>
  <c r="F385" i="3"/>
  <c r="F430" i="3"/>
  <c r="F412" i="3"/>
  <c r="F387" i="3"/>
  <c r="F371" i="3"/>
  <c r="F396" i="3"/>
  <c r="F388" i="3"/>
  <c r="F380" i="3"/>
  <c r="F370" i="3"/>
  <c r="F361" i="3"/>
  <c r="F345" i="3"/>
  <c r="F410" i="3"/>
  <c r="F400" i="3"/>
  <c r="F348" i="3"/>
  <c r="F332" i="3"/>
  <c r="F366" i="3"/>
  <c r="F355" i="3"/>
  <c r="F339" i="3"/>
  <c r="F404" i="3"/>
  <c r="F316" i="3"/>
  <c r="F300" i="3"/>
  <c r="F350" i="3"/>
  <c r="F323" i="3"/>
  <c r="F307" i="3"/>
  <c r="F326" i="3"/>
  <c r="F310" i="3"/>
  <c r="F294" i="3"/>
  <c r="F290" i="3"/>
  <c r="F286" i="3"/>
  <c r="F244" i="3"/>
  <c r="F248" i="3"/>
  <c r="F252" i="3"/>
  <c r="F256" i="3"/>
  <c r="F260" i="3"/>
  <c r="F264" i="3"/>
  <c r="F268" i="3"/>
  <c r="F272" i="3"/>
  <c r="F276" i="3"/>
  <c r="F280" i="3"/>
  <c r="F354" i="3"/>
  <c r="F321" i="3"/>
  <c r="F346" i="3"/>
  <c r="F309" i="3"/>
  <c r="F443" i="3"/>
  <c r="F427" i="3"/>
  <c r="F411" i="3"/>
  <c r="F441" i="3"/>
  <c r="F425" i="3"/>
  <c r="F448" i="3"/>
  <c r="F432" i="3"/>
  <c r="F442" i="3"/>
  <c r="F397" i="3"/>
  <c r="F381" i="3"/>
  <c r="F422" i="3"/>
  <c r="F399" i="3"/>
  <c r="F383" i="3"/>
  <c r="F367" i="3"/>
  <c r="F394" i="3"/>
  <c r="F386" i="3"/>
  <c r="F378" i="3"/>
  <c r="F369" i="3"/>
  <c r="F357" i="3"/>
  <c r="F341" i="3"/>
  <c r="F408" i="3"/>
  <c r="F360" i="3"/>
  <c r="F344" i="3"/>
  <c r="F374" i="3"/>
  <c r="F365" i="3"/>
  <c r="F351" i="3"/>
  <c r="F335" i="3"/>
  <c r="F328" i="3"/>
  <c r="F312" i="3"/>
  <c r="F296" i="3"/>
  <c r="F342" i="3"/>
  <c r="F319" i="3"/>
  <c r="F303" i="3"/>
  <c r="F322" i="3"/>
  <c r="F306" i="3"/>
  <c r="F293" i="3"/>
  <c r="F289" i="3"/>
  <c r="F285" i="3"/>
  <c r="F245" i="3"/>
  <c r="F249" i="3"/>
  <c r="F253" i="3"/>
  <c r="F257" i="3"/>
  <c r="F261" i="3"/>
  <c r="F265" i="3"/>
  <c r="F269" i="3"/>
  <c r="F273" i="3"/>
  <c r="F277" i="3"/>
  <c r="F281" i="3"/>
  <c r="F297" i="3"/>
  <c r="F329" i="3"/>
  <c r="F467" i="3" l="1"/>
  <c r="F468" i="3" s="1"/>
  <c r="B467" i="3"/>
  <c r="B468" i="3" s="1"/>
  <c r="H467" i="3"/>
  <c r="H468" i="3" s="1"/>
  <c r="D467" i="3"/>
  <c r="D468" i="3" s="1"/>
  <c r="G467" i="3"/>
  <c r="G468" i="3" s="1"/>
  <c r="C467" i="3"/>
  <c r="C468" i="3" s="1"/>
  <c r="I467" i="3"/>
  <c r="I468" i="3" s="1"/>
  <c r="E467" i="3"/>
  <c r="E468" i="3" s="1"/>
  <c r="H475" i="3"/>
  <c r="H476" i="3" s="1"/>
  <c r="D475" i="3"/>
  <c r="D476" i="3" s="1"/>
  <c r="F475" i="3"/>
  <c r="F476" i="3" s="1"/>
  <c r="B475" i="3"/>
  <c r="B476" i="3" s="1"/>
  <c r="I475" i="3"/>
  <c r="I476" i="3" s="1"/>
  <c r="E475" i="3"/>
  <c r="E476" i="3" s="1"/>
  <c r="C475" i="3"/>
  <c r="C476" i="3" s="1"/>
  <c r="G475" i="3"/>
  <c r="G476" i="3" s="1"/>
  <c r="R2" i="3" l="1"/>
  <c r="K2" i="3"/>
  <c r="J2" i="3"/>
  <c r="Q2" i="3"/>
  <c r="I2" i="3"/>
  <c r="P2" i="3"/>
  <c r="H2" i="3"/>
  <c r="O2" i="3"/>
  <c r="L2" i="3"/>
  <c r="S2" i="3"/>
  <c r="N2" i="3"/>
  <c r="G2" i="3"/>
  <c r="F2" i="3"/>
  <c r="M2" i="3"/>
  <c r="F13" i="3"/>
  <c r="F24" i="3"/>
  <c r="F194" i="3"/>
  <c r="F196" i="3"/>
  <c r="F15" i="3"/>
  <c r="F226" i="3"/>
  <c r="F6" i="3"/>
  <c r="F16" i="3"/>
  <c r="F26" i="3"/>
  <c r="F28" i="3"/>
  <c r="F5" i="3"/>
  <c r="F10" i="3"/>
  <c r="F193" i="3"/>
  <c r="F8" i="3"/>
  <c r="F19" i="3"/>
  <c r="F7" i="3"/>
  <c r="F18" i="3"/>
  <c r="F11" i="3"/>
  <c r="F21" i="3"/>
  <c r="F12" i="3"/>
  <c r="F20" i="3"/>
  <c r="F27" i="3"/>
  <c r="G10" i="3"/>
  <c r="G162" i="3"/>
  <c r="I107" i="3"/>
  <c r="L56" i="3"/>
  <c r="F90" i="3"/>
  <c r="K51" i="3"/>
  <c r="K147" i="3"/>
  <c r="J224" i="3"/>
  <c r="H117" i="3"/>
  <c r="G50" i="3"/>
  <c r="I5" i="3"/>
  <c r="G111" i="3"/>
  <c r="I39" i="3"/>
  <c r="I139" i="3"/>
  <c r="L165" i="3"/>
  <c r="F115" i="3"/>
  <c r="K111" i="3"/>
  <c r="J40" i="3"/>
  <c r="J146" i="3"/>
  <c r="H192" i="3"/>
  <c r="J201" i="3"/>
  <c r="G71" i="3"/>
  <c r="I154" i="3"/>
  <c r="L21" i="3"/>
  <c r="L145" i="3"/>
  <c r="F108" i="3"/>
  <c r="K81" i="3"/>
  <c r="J204" i="3"/>
  <c r="H21" i="3"/>
  <c r="H133" i="3"/>
  <c r="H49" i="3"/>
  <c r="G18" i="3"/>
  <c r="G138" i="3"/>
  <c r="I72" i="3"/>
  <c r="L134" i="3"/>
  <c r="F58" i="3"/>
  <c r="K77" i="3"/>
  <c r="K170" i="3"/>
  <c r="J197" i="3"/>
  <c r="G22" i="3"/>
  <c r="G142" i="3"/>
  <c r="I76" i="3"/>
  <c r="L184" i="3"/>
  <c r="F48" i="3"/>
  <c r="K22" i="3"/>
  <c r="K142" i="3"/>
  <c r="G76" i="3"/>
  <c r="I3" i="3"/>
  <c r="I197" i="3"/>
  <c r="L110" i="3"/>
  <c r="F110" i="3"/>
  <c r="G114" i="3"/>
  <c r="G212" i="3"/>
  <c r="I218" i="3"/>
  <c r="L31" i="3"/>
  <c r="F59" i="3"/>
  <c r="K46" i="3"/>
  <c r="J7" i="3"/>
  <c r="J159" i="3"/>
  <c r="H75" i="3"/>
  <c r="G214" i="3"/>
  <c r="I81" i="3"/>
  <c r="G67" i="3"/>
  <c r="I148" i="3"/>
  <c r="L11" i="3"/>
  <c r="L139" i="3"/>
  <c r="F65" i="3"/>
  <c r="K75" i="3"/>
  <c r="J194" i="3"/>
  <c r="H11" i="3"/>
  <c r="H127" i="3"/>
  <c r="H83" i="3"/>
  <c r="G80" i="3"/>
  <c r="I123" i="3"/>
  <c r="L80" i="3"/>
  <c r="L156" i="3"/>
  <c r="F50" i="3"/>
  <c r="K84" i="3"/>
  <c r="J120" i="3"/>
  <c r="H74" i="3"/>
  <c r="H150" i="3"/>
  <c r="H139" i="3"/>
  <c r="G77" i="3"/>
  <c r="G170" i="3"/>
  <c r="I170" i="3"/>
  <c r="L130" i="3"/>
  <c r="F144" i="3"/>
  <c r="K66" i="3"/>
  <c r="J8" i="3"/>
  <c r="H79" i="3"/>
  <c r="G79" i="3"/>
  <c r="G176" i="3"/>
  <c r="I176" i="3"/>
  <c r="L170" i="3"/>
  <c r="F146" i="3"/>
  <c r="K79" i="3"/>
  <c r="K176" i="3"/>
  <c r="G39" i="3"/>
  <c r="I110" i="3"/>
  <c r="I224" i="3"/>
  <c r="L195" i="3"/>
  <c r="F173" i="3"/>
  <c r="K49" i="3"/>
  <c r="J113" i="3"/>
  <c r="J205" i="3"/>
  <c r="H195" i="3"/>
  <c r="L123" i="3"/>
  <c r="G89" i="3"/>
  <c r="G188" i="3"/>
  <c r="I188" i="3"/>
  <c r="L210" i="3"/>
  <c r="F130" i="3"/>
  <c r="K33" i="3"/>
  <c r="K212" i="3"/>
  <c r="J151" i="3"/>
  <c r="H101" i="3"/>
  <c r="G101" i="3"/>
  <c r="F159" i="3"/>
  <c r="G38" i="3"/>
  <c r="I84" i="3"/>
  <c r="L38" i="3"/>
  <c r="L136" i="3"/>
  <c r="F223" i="3"/>
  <c r="K110" i="3"/>
  <c r="J39" i="3"/>
  <c r="H15" i="3"/>
  <c r="H163" i="3"/>
  <c r="F198" i="3"/>
  <c r="G109" i="3"/>
  <c r="I28" i="3"/>
  <c r="L109" i="3"/>
  <c r="L185" i="3"/>
  <c r="F114" i="3"/>
  <c r="K116" i="3"/>
  <c r="J45" i="3"/>
  <c r="H18" i="3"/>
  <c r="I94" i="3"/>
  <c r="G195" i="3"/>
  <c r="I67" i="3"/>
  <c r="I182" i="3"/>
  <c r="L173" i="3"/>
  <c r="F123" i="3"/>
  <c r="K158" i="3"/>
  <c r="J82" i="3"/>
  <c r="J183" i="3"/>
  <c r="H173" i="3"/>
  <c r="I186" i="3"/>
  <c r="F36" i="3"/>
  <c r="H207" i="3"/>
  <c r="K50" i="3"/>
  <c r="K182" i="3"/>
  <c r="H128" i="3"/>
  <c r="H114" i="3"/>
  <c r="K58" i="3"/>
  <c r="H72" i="3"/>
  <c r="H223" i="3"/>
  <c r="H145" i="3"/>
  <c r="J153" i="3"/>
  <c r="H38" i="3"/>
  <c r="G55" i="3"/>
  <c r="I127" i="3"/>
  <c r="L216" i="3"/>
  <c r="K61" i="3"/>
  <c r="J213" i="3"/>
  <c r="H210" i="3"/>
  <c r="K5" i="3"/>
  <c r="J47" i="3"/>
  <c r="H219" i="3"/>
  <c r="H185" i="3"/>
  <c r="J104" i="3"/>
  <c r="F116" i="3"/>
  <c r="F37" i="3"/>
  <c r="J200" i="3"/>
  <c r="G110" i="3"/>
  <c r="L6" i="3"/>
  <c r="F121" i="3"/>
  <c r="J49" i="3"/>
  <c r="L26" i="3"/>
  <c r="G46" i="3"/>
  <c r="I21" i="3"/>
  <c r="I183" i="3"/>
  <c r="L75" i="3"/>
  <c r="F134" i="3"/>
  <c r="K105" i="3"/>
  <c r="J32" i="3"/>
  <c r="J134" i="3"/>
  <c r="H134" i="3"/>
  <c r="G65" i="3"/>
  <c r="I142" i="3"/>
  <c r="G134" i="3"/>
  <c r="I48" i="3"/>
  <c r="L7" i="3"/>
  <c r="L200" i="3"/>
  <c r="F43" i="3"/>
  <c r="K191" i="3"/>
  <c r="J61" i="3"/>
  <c r="H16" i="3"/>
  <c r="H194" i="3"/>
  <c r="H135" i="3"/>
  <c r="G179" i="3"/>
  <c r="I51" i="3"/>
  <c r="L192" i="3"/>
  <c r="L211" i="3"/>
  <c r="F46" i="3"/>
  <c r="K201" i="3"/>
  <c r="J52" i="3"/>
  <c r="H212" i="3"/>
  <c r="H220" i="3"/>
  <c r="H154" i="3"/>
  <c r="G146" i="3"/>
  <c r="G218" i="3"/>
  <c r="I146" i="3"/>
  <c r="L49" i="3"/>
  <c r="F120" i="3"/>
  <c r="K117" i="3"/>
  <c r="J50" i="3"/>
  <c r="H88" i="3"/>
  <c r="G152" i="3"/>
  <c r="G224" i="3"/>
  <c r="I152" i="3"/>
  <c r="L53" i="3"/>
  <c r="F135" i="3"/>
  <c r="K179" i="3"/>
  <c r="K224" i="3"/>
  <c r="G87" i="3"/>
  <c r="I177" i="3"/>
  <c r="L15" i="3"/>
  <c r="L163" i="3"/>
  <c r="F188" i="3"/>
  <c r="K96" i="3"/>
  <c r="J31" i="3"/>
  <c r="H5" i="3"/>
  <c r="H151" i="3"/>
  <c r="L107" i="3"/>
  <c r="G164" i="3"/>
  <c r="I7" i="3"/>
  <c r="I164" i="3"/>
  <c r="L59" i="3"/>
  <c r="F117" i="3"/>
  <c r="K89" i="3"/>
  <c r="K188" i="3"/>
  <c r="J156" i="3"/>
  <c r="H147" i="3"/>
  <c r="G116" i="3"/>
  <c r="F97" i="3"/>
  <c r="G103" i="3"/>
  <c r="I207" i="3"/>
  <c r="L103" i="3"/>
  <c r="L177" i="3"/>
  <c r="F177" i="3"/>
  <c r="K44" i="3"/>
  <c r="J87" i="3"/>
  <c r="H34" i="3"/>
  <c r="H166" i="3"/>
  <c r="F80" i="3"/>
  <c r="G157" i="3"/>
  <c r="I83" i="3"/>
  <c r="L43" i="3"/>
  <c r="F165" i="3"/>
  <c r="F147" i="3"/>
  <c r="K48" i="3"/>
  <c r="J91" i="3"/>
  <c r="L13" i="3"/>
  <c r="I216" i="3"/>
  <c r="F107" i="3"/>
  <c r="J126" i="3"/>
  <c r="L51" i="3"/>
  <c r="I102" i="3"/>
  <c r="J36" i="3"/>
  <c r="H180" i="3"/>
  <c r="H121" i="3"/>
  <c r="H115" i="3"/>
  <c r="F95" i="3"/>
  <c r="H103" i="3"/>
  <c r="I27" i="3"/>
  <c r="K118" i="3"/>
  <c r="H178" i="3"/>
  <c r="L63" i="3"/>
  <c r="G105" i="3"/>
  <c r="I31" i="3"/>
  <c r="I223" i="3"/>
  <c r="L153" i="3"/>
  <c r="F113" i="3"/>
  <c r="K175" i="3"/>
  <c r="J97" i="3"/>
  <c r="J189" i="3"/>
  <c r="H179" i="3"/>
  <c r="G120" i="3"/>
  <c r="I44" i="3"/>
  <c r="G74" i="3"/>
  <c r="I115" i="3"/>
  <c r="L74" i="3"/>
  <c r="L154" i="3"/>
  <c r="F56" i="3"/>
  <c r="K80" i="3"/>
  <c r="J118" i="3"/>
  <c r="H64" i="3"/>
  <c r="H148" i="3"/>
  <c r="H104" i="3"/>
  <c r="G186" i="3"/>
  <c r="I114" i="3"/>
  <c r="L77" i="3"/>
  <c r="F84" i="3"/>
  <c r="F3" i="3"/>
  <c r="K194" i="3"/>
  <c r="J123" i="3"/>
  <c r="H77" i="3"/>
  <c r="J128" i="3"/>
  <c r="J130" i="3"/>
  <c r="G66" i="3"/>
  <c r="I18" i="3"/>
  <c r="I193" i="3"/>
  <c r="L96" i="3"/>
  <c r="F35" i="3"/>
  <c r="K39" i="3"/>
  <c r="J107" i="3"/>
  <c r="H191" i="3"/>
  <c r="G72" i="3"/>
  <c r="I22" i="3"/>
  <c r="I195" i="3"/>
  <c r="L104" i="3"/>
  <c r="F122" i="3"/>
  <c r="K72" i="3"/>
  <c r="J11" i="3"/>
  <c r="G27" i="3"/>
  <c r="I74" i="3"/>
  <c r="L27" i="3"/>
  <c r="L220" i="3"/>
  <c r="F163" i="3"/>
  <c r="K34" i="3"/>
  <c r="J75" i="3"/>
  <c r="H20" i="3"/>
  <c r="H204" i="3"/>
  <c r="L224" i="3"/>
  <c r="G82" i="3"/>
  <c r="I6" i="3"/>
  <c r="I201" i="3"/>
  <c r="L116" i="3"/>
  <c r="F98" i="3"/>
  <c r="K193" i="3"/>
  <c r="J3" i="3"/>
  <c r="J129" i="3"/>
  <c r="H59" i="3"/>
  <c r="G124" i="3"/>
  <c r="K7" i="3"/>
  <c r="G151" i="3"/>
  <c r="I79" i="3"/>
  <c r="L41" i="3"/>
  <c r="F151" i="3"/>
  <c r="F111" i="3"/>
  <c r="K109" i="3"/>
  <c r="J182" i="3"/>
  <c r="H95" i="3"/>
  <c r="H172" i="3"/>
  <c r="K101" i="3"/>
  <c r="G216" i="3"/>
  <c r="I36" i="3"/>
  <c r="L102" i="3"/>
  <c r="K115" i="3"/>
  <c r="L71" i="3"/>
  <c r="L182" i="3"/>
  <c r="H22" i="3"/>
  <c r="K173" i="3"/>
  <c r="G213" i="3"/>
  <c r="I75" i="3"/>
  <c r="I194" i="3"/>
  <c r="L179" i="3"/>
  <c r="F104" i="3"/>
  <c r="K67" i="3"/>
  <c r="J180" i="3"/>
  <c r="J223" i="3"/>
  <c r="H214" i="3"/>
  <c r="G64" i="3"/>
  <c r="I109" i="3"/>
  <c r="G169" i="3"/>
  <c r="I47" i="3"/>
  <c r="L188" i="3"/>
  <c r="L222" i="3"/>
  <c r="F34" i="3"/>
  <c r="K183" i="3"/>
  <c r="J48" i="3"/>
  <c r="H208" i="3"/>
  <c r="H217" i="3"/>
  <c r="G15" i="3"/>
  <c r="G136" i="3"/>
  <c r="I66" i="3"/>
  <c r="L129" i="3"/>
  <c r="F126" i="3"/>
  <c r="K15" i="3"/>
  <c r="K136" i="3"/>
  <c r="J57" i="3"/>
  <c r="H198" i="3"/>
  <c r="J148" i="3"/>
  <c r="J139" i="3"/>
  <c r="G117" i="3"/>
  <c r="I49" i="3"/>
  <c r="I151" i="3"/>
  <c r="L140" i="3"/>
  <c r="F51" i="3"/>
  <c r="K87" i="3"/>
  <c r="J220" i="3"/>
  <c r="H211" i="3"/>
  <c r="G121" i="3"/>
  <c r="I53" i="3"/>
  <c r="I157" i="3"/>
  <c r="L146" i="3"/>
  <c r="F82" i="3"/>
  <c r="K121" i="3"/>
  <c r="J56" i="3"/>
  <c r="G90" i="3"/>
  <c r="I156" i="3"/>
  <c r="L90" i="3"/>
  <c r="L166" i="3"/>
  <c r="F200" i="3"/>
  <c r="K95" i="3"/>
  <c r="J132" i="3"/>
  <c r="H86" i="3"/>
  <c r="H160" i="3"/>
  <c r="L207" i="3"/>
  <c r="G139" i="3"/>
  <c r="I59" i="3"/>
  <c r="I172" i="3"/>
  <c r="L158" i="3"/>
  <c r="F41" i="3"/>
  <c r="K82" i="3"/>
  <c r="J5" i="3"/>
  <c r="J198" i="3"/>
  <c r="H116" i="3"/>
  <c r="I71" i="3"/>
  <c r="K164" i="3"/>
  <c r="G204" i="3"/>
  <c r="I32" i="3"/>
  <c r="L98" i="3"/>
  <c r="F222" i="3"/>
  <c r="F86" i="3"/>
  <c r="K157" i="3"/>
  <c r="J84" i="3"/>
  <c r="H41" i="3"/>
  <c r="G40" i="3"/>
  <c r="G16" i="3"/>
  <c r="G154" i="3"/>
  <c r="I99" i="3"/>
  <c r="L40" i="3"/>
  <c r="F185" i="3"/>
  <c r="F128" i="3"/>
  <c r="K163" i="3"/>
  <c r="J86" i="3"/>
  <c r="H43" i="3"/>
  <c r="L144" i="3"/>
  <c r="G48" i="3"/>
  <c r="I90" i="3"/>
  <c r="L48" i="3"/>
  <c r="L142" i="3"/>
  <c r="F96" i="3"/>
  <c r="K52" i="3"/>
  <c r="J96" i="3"/>
  <c r="H44" i="3"/>
  <c r="H136" i="3"/>
  <c r="L186" i="3"/>
  <c r="J10" i="3"/>
  <c r="F150" i="3"/>
  <c r="H213" i="3"/>
  <c r="J140" i="3"/>
  <c r="H58" i="3"/>
  <c r="I128" i="3"/>
  <c r="I187" i="3"/>
  <c r="I133" i="3"/>
  <c r="H48" i="3"/>
  <c r="K214" i="3"/>
  <c r="H202" i="3"/>
  <c r="G61" i="3"/>
  <c r="I132" i="3"/>
  <c r="I222" i="3"/>
  <c r="L127" i="3"/>
  <c r="F79" i="3"/>
  <c r="K127" i="3"/>
  <c r="J55" i="3"/>
  <c r="H6" i="3"/>
  <c r="H182" i="3"/>
  <c r="G133" i="3"/>
  <c r="G5" i="3"/>
  <c r="G182" i="3"/>
  <c r="I108" i="3"/>
  <c r="L73" i="3"/>
  <c r="F102" i="3"/>
  <c r="F55" i="3"/>
  <c r="K186" i="3"/>
  <c r="J115" i="3"/>
  <c r="G118" i="3"/>
  <c r="I38" i="3"/>
  <c r="L16" i="3"/>
  <c r="L194" i="3"/>
  <c r="F94" i="3"/>
  <c r="K64" i="3"/>
  <c r="J110" i="3"/>
  <c r="H52" i="3"/>
  <c r="H142" i="3"/>
  <c r="G180" i="3"/>
  <c r="G12" i="3"/>
  <c r="G132" i="3"/>
  <c r="I62" i="3"/>
  <c r="L126" i="3"/>
  <c r="F76" i="3"/>
  <c r="K12" i="3"/>
  <c r="K132" i="3"/>
  <c r="J51" i="3"/>
  <c r="H170" i="3"/>
  <c r="H140" i="3"/>
  <c r="G73" i="3"/>
  <c r="G165" i="3"/>
  <c r="I165" i="3"/>
  <c r="L121" i="3"/>
  <c r="F39" i="3"/>
  <c r="K73" i="3"/>
  <c r="K165" i="3"/>
  <c r="J144" i="3"/>
  <c r="H126" i="3"/>
  <c r="J158" i="3"/>
  <c r="J188" i="3"/>
  <c r="G75" i="3"/>
  <c r="I160" i="3"/>
  <c r="L5" i="3"/>
  <c r="L151" i="3"/>
  <c r="F178" i="3"/>
  <c r="K86" i="3"/>
  <c r="J127" i="3"/>
  <c r="J150" i="3"/>
  <c r="G81" i="3"/>
  <c r="I166" i="3"/>
  <c r="L12" i="3"/>
  <c r="L157" i="3"/>
  <c r="F186" i="3"/>
  <c r="K91" i="3"/>
  <c r="J26" i="3"/>
  <c r="G200" i="3"/>
  <c r="I138" i="3"/>
  <c r="L89" i="3"/>
  <c r="F38" i="3"/>
  <c r="F67" i="3"/>
  <c r="K202" i="3"/>
  <c r="J178" i="3"/>
  <c r="H89" i="3"/>
  <c r="H169" i="3"/>
  <c r="F213" i="3"/>
  <c r="G91" i="3"/>
  <c r="I217" i="3"/>
  <c r="L18" i="3"/>
  <c r="L172" i="3"/>
  <c r="F204" i="3"/>
  <c r="K53" i="3"/>
  <c r="J117" i="3"/>
  <c r="J210" i="3"/>
  <c r="H197" i="3"/>
  <c r="I105" i="3"/>
  <c r="G37" i="3"/>
  <c r="G217" i="3"/>
  <c r="I135" i="3"/>
  <c r="L99" i="3"/>
  <c r="F81" i="3"/>
  <c r="K13" i="3"/>
  <c r="K150" i="3"/>
  <c r="J83" i="3"/>
  <c r="H46" i="3"/>
  <c r="G160" i="3"/>
  <c r="G98" i="3"/>
  <c r="G198" i="3"/>
  <c r="I198" i="3"/>
  <c r="L214" i="3"/>
  <c r="F127" i="3"/>
  <c r="K16" i="3"/>
  <c r="K154" i="3"/>
  <c r="J89" i="3"/>
  <c r="H50" i="3"/>
  <c r="F89" i="3"/>
  <c r="G163" i="3"/>
  <c r="I89" i="3"/>
  <c r="L47" i="3"/>
  <c r="F169" i="3"/>
  <c r="F71" i="3"/>
  <c r="K172" i="3"/>
  <c r="J90" i="3"/>
  <c r="H47" i="3"/>
  <c r="G47" i="3"/>
  <c r="F157" i="3"/>
  <c r="J165" i="3"/>
  <c r="K178" i="3"/>
  <c r="K208" i="3"/>
  <c r="H188" i="3"/>
  <c r="L62" i="3"/>
  <c r="K107" i="3"/>
  <c r="F75" i="3"/>
  <c r="F66" i="3"/>
  <c r="I196" i="3"/>
  <c r="L64" i="3"/>
  <c r="G122" i="3"/>
  <c r="I202" i="3"/>
  <c r="J195" i="3"/>
  <c r="G58" i="3"/>
  <c r="I103" i="3"/>
  <c r="L58" i="3"/>
  <c r="L148" i="3"/>
  <c r="F166" i="3"/>
  <c r="K139" i="3"/>
  <c r="J38" i="3"/>
  <c r="H123" i="3"/>
  <c r="H199" i="3"/>
  <c r="G130" i="3"/>
  <c r="G8" i="3"/>
  <c r="G171" i="3"/>
  <c r="I113" i="3"/>
  <c r="L66" i="3"/>
  <c r="F164" i="3"/>
  <c r="K24" i="3"/>
  <c r="K171" i="3"/>
  <c r="J114" i="3"/>
  <c r="H76" i="3"/>
  <c r="H200" i="3"/>
  <c r="G140" i="3"/>
  <c r="G210" i="3"/>
  <c r="I140" i="3"/>
  <c r="L45" i="3"/>
  <c r="F207" i="3"/>
  <c r="K134" i="3"/>
  <c r="K210" i="3"/>
  <c r="J207" i="3"/>
  <c r="H45" i="3"/>
  <c r="H24" i="3"/>
  <c r="H26" i="3"/>
  <c r="G183" i="3"/>
  <c r="I58" i="3"/>
  <c r="L20" i="3"/>
  <c r="L204" i="3"/>
  <c r="F217" i="3"/>
  <c r="K216" i="3"/>
  <c r="J58" i="3"/>
  <c r="J164" i="3"/>
  <c r="G201" i="3"/>
  <c r="I64" i="3"/>
  <c r="L24" i="3"/>
  <c r="L217" i="3"/>
  <c r="F160" i="3"/>
  <c r="K27" i="3"/>
  <c r="G3" i="3"/>
  <c r="G144" i="3"/>
  <c r="I82" i="3"/>
  <c r="L208" i="3"/>
  <c r="F103" i="3"/>
  <c r="K3" i="3"/>
  <c r="K144" i="3"/>
  <c r="J77" i="3"/>
  <c r="H36" i="3"/>
  <c r="G108" i="3"/>
  <c r="F105" i="3"/>
  <c r="G34" i="3"/>
  <c r="I80" i="3"/>
  <c r="L34" i="3"/>
  <c r="L132" i="3"/>
  <c r="F220" i="3"/>
  <c r="K104" i="3"/>
  <c r="J35" i="3"/>
  <c r="H12" i="3"/>
  <c r="H157" i="3"/>
  <c r="I179" i="3"/>
  <c r="G94" i="3"/>
  <c r="G192" i="3"/>
  <c r="I192" i="3"/>
  <c r="L213" i="3"/>
  <c r="F162" i="3"/>
  <c r="K37" i="3"/>
  <c r="K222" i="3"/>
  <c r="J157" i="3"/>
  <c r="H105" i="3"/>
  <c r="I11" i="3"/>
  <c r="G32" i="3"/>
  <c r="I20" i="3"/>
  <c r="I173" i="3"/>
  <c r="L65" i="3"/>
  <c r="F109" i="3"/>
  <c r="K41" i="3"/>
  <c r="K225" i="3"/>
  <c r="J163" i="3"/>
  <c r="H107" i="3"/>
  <c r="K108" i="3"/>
  <c r="G219" i="3"/>
  <c r="I40" i="3"/>
  <c r="L108" i="3"/>
  <c r="F205" i="3"/>
  <c r="F208" i="3"/>
  <c r="K220" i="3"/>
  <c r="J37" i="3"/>
  <c r="H108" i="3"/>
  <c r="G59" i="3"/>
  <c r="F57" i="3"/>
  <c r="H184" i="3"/>
  <c r="J22" i="3"/>
  <c r="H176" i="3"/>
  <c r="H156" i="3"/>
  <c r="F224" i="3"/>
  <c r="K160" i="3"/>
  <c r="F197" i="3"/>
  <c r="K71" i="3"/>
  <c r="L183" i="3"/>
  <c r="L150" i="3"/>
  <c r="F175" i="3"/>
  <c r="K156" i="3"/>
  <c r="H56" i="3"/>
  <c r="G172" i="3"/>
  <c r="H81" i="3"/>
  <c r="J95" i="3"/>
  <c r="J187" i="3"/>
  <c r="F87" i="3"/>
  <c r="K26" i="3"/>
  <c r="F101" i="3"/>
  <c r="K162" i="3"/>
  <c r="K56" i="3"/>
  <c r="J170" i="3"/>
  <c r="G26" i="3"/>
  <c r="F45" i="3"/>
  <c r="H189" i="3"/>
  <c r="G127" i="3"/>
  <c r="I41" i="3"/>
  <c r="L128" i="3"/>
  <c r="L212" i="3"/>
  <c r="F47" i="3"/>
  <c r="K180" i="3"/>
  <c r="J103" i="3"/>
  <c r="H57" i="3"/>
  <c r="G20" i="3"/>
  <c r="G166" i="3"/>
  <c r="G63" i="3"/>
  <c r="G159" i="3"/>
  <c r="I159" i="3"/>
  <c r="L117" i="3"/>
  <c r="F49" i="3"/>
  <c r="K63" i="3"/>
  <c r="K159" i="3"/>
  <c r="J142" i="3"/>
  <c r="H124" i="3"/>
  <c r="J71" i="3"/>
  <c r="G62" i="3"/>
  <c r="I15" i="3"/>
  <c r="I191" i="3"/>
  <c r="L91" i="3"/>
  <c r="F183" i="3"/>
  <c r="K62" i="3"/>
  <c r="J24" i="3"/>
  <c r="J176" i="3"/>
  <c r="H91" i="3"/>
  <c r="H7" i="3"/>
  <c r="H28" i="3"/>
  <c r="G84" i="3"/>
  <c r="I144" i="3"/>
  <c r="L84" i="3"/>
  <c r="L160" i="3"/>
  <c r="F22" i="3"/>
  <c r="K196" i="3"/>
  <c r="J63" i="3"/>
  <c r="H10" i="3"/>
  <c r="G86" i="3"/>
  <c r="I150" i="3"/>
  <c r="L86" i="3"/>
  <c r="L162" i="3"/>
  <c r="F210" i="3"/>
  <c r="K90" i="3"/>
  <c r="G28" i="3"/>
  <c r="G207" i="3"/>
  <c r="I126" i="3"/>
  <c r="L88" i="3"/>
  <c r="F153" i="3"/>
  <c r="K28" i="3"/>
  <c r="K207" i="3"/>
  <c r="J145" i="3"/>
  <c r="H99" i="3"/>
  <c r="G123" i="3"/>
  <c r="F189" i="3"/>
  <c r="G95" i="3"/>
  <c r="I162" i="3"/>
  <c r="L95" i="3"/>
  <c r="L171" i="3"/>
  <c r="F191" i="3"/>
  <c r="K38" i="3"/>
  <c r="J81" i="3"/>
  <c r="H27" i="3"/>
  <c r="H216" i="3"/>
  <c r="L52" i="3"/>
  <c r="G175" i="3"/>
  <c r="I10" i="3"/>
  <c r="I169" i="3"/>
  <c r="L61" i="3"/>
  <c r="F53" i="3"/>
  <c r="K94" i="3"/>
  <c r="K192" i="3"/>
  <c r="J160" i="3"/>
  <c r="H153" i="3"/>
  <c r="I37" i="3"/>
  <c r="G97" i="3"/>
  <c r="I16" i="3"/>
  <c r="I210" i="3"/>
  <c r="L120" i="3"/>
  <c r="F44" i="3"/>
  <c r="K98" i="3"/>
  <c r="K198" i="3"/>
  <c r="J162" i="3"/>
  <c r="H159" i="3"/>
  <c r="G19" i="3"/>
  <c r="G156" i="3"/>
  <c r="I101" i="3"/>
  <c r="L46" i="3"/>
  <c r="K19" i="3"/>
  <c r="J94" i="3"/>
  <c r="K47" i="3"/>
  <c r="K74" i="3"/>
  <c r="J133" i="3"/>
  <c r="K141" i="3"/>
  <c r="F132" i="3"/>
  <c r="K10" i="3"/>
  <c r="H87" i="3"/>
  <c r="L189" i="3"/>
  <c r="J105" i="3"/>
  <c r="G178" i="3"/>
  <c r="I98" i="3"/>
  <c r="L57" i="3"/>
  <c r="F179" i="3"/>
  <c r="F214" i="3"/>
  <c r="K126" i="3"/>
  <c r="J43" i="3"/>
  <c r="H122" i="3"/>
  <c r="G57" i="3"/>
  <c r="G153" i="3"/>
  <c r="G128" i="3"/>
  <c r="G225" i="3"/>
  <c r="I134" i="3"/>
  <c r="L39" i="3"/>
  <c r="F199" i="3"/>
  <c r="K129" i="3"/>
  <c r="K223" i="3"/>
  <c r="J199" i="3"/>
  <c r="H39" i="3"/>
  <c r="J73" i="3"/>
  <c r="G113" i="3"/>
  <c r="I45" i="3"/>
  <c r="I145" i="3"/>
  <c r="L176" i="3"/>
  <c r="F136" i="3"/>
  <c r="K113" i="3"/>
  <c r="J46" i="3"/>
  <c r="J152" i="3"/>
  <c r="H206" i="3"/>
  <c r="H222" i="3"/>
  <c r="H32" i="3"/>
  <c r="G189" i="3"/>
  <c r="I57" i="3"/>
  <c r="L206" i="3"/>
  <c r="L219" i="3"/>
  <c r="K18" i="3"/>
  <c r="K138" i="3"/>
  <c r="J136" i="3"/>
  <c r="H97" i="3"/>
  <c r="G193" i="3"/>
  <c r="I63" i="3"/>
  <c r="L28" i="3"/>
  <c r="L225" i="3"/>
  <c r="F218" i="3"/>
  <c r="K219" i="3"/>
  <c r="G83" i="3"/>
  <c r="G184" i="3"/>
  <c r="I184" i="3"/>
  <c r="L198" i="3"/>
  <c r="F129" i="3"/>
  <c r="K83" i="3"/>
  <c r="K184" i="3"/>
  <c r="J154" i="3"/>
  <c r="H141" i="3"/>
  <c r="G141" i="3"/>
  <c r="K40" i="3"/>
  <c r="G145" i="3"/>
  <c r="I77" i="3"/>
  <c r="L37" i="3"/>
  <c r="F64" i="3"/>
  <c r="F154" i="3"/>
  <c r="K103" i="3"/>
  <c r="J172" i="3"/>
  <c r="H90" i="3"/>
  <c r="H162" i="3"/>
  <c r="L50" i="3"/>
  <c r="G88" i="3"/>
  <c r="I13" i="3"/>
  <c r="I205" i="3"/>
  <c r="L118" i="3"/>
  <c r="F32" i="3"/>
  <c r="K197" i="3"/>
  <c r="J6" i="3"/>
  <c r="J135" i="3"/>
  <c r="H61" i="3"/>
  <c r="I208" i="3"/>
  <c r="G191" i="3"/>
  <c r="I65" i="3"/>
  <c r="I180" i="3"/>
  <c r="L169" i="3"/>
  <c r="F61" i="3"/>
  <c r="K32" i="3"/>
  <c r="J13" i="3"/>
  <c r="J141" i="3"/>
  <c r="H65" i="3"/>
  <c r="G43" i="3"/>
  <c r="G135" i="3"/>
  <c r="I199" i="3"/>
  <c r="L105" i="3"/>
  <c r="F139" i="3"/>
  <c r="K43" i="3"/>
  <c r="K135" i="3"/>
  <c r="J202" i="3"/>
  <c r="H111" i="3"/>
  <c r="G208" i="3"/>
  <c r="K65" i="3"/>
  <c r="H138" i="3"/>
  <c r="J218" i="3"/>
  <c r="H186" i="3"/>
  <c r="H175" i="3"/>
  <c r="K122" i="3"/>
  <c r="J98" i="3"/>
  <c r="K166" i="3"/>
  <c r="J53" i="3"/>
  <c r="K187" i="3"/>
  <c r="F72" i="3"/>
  <c r="G7" i="3"/>
  <c r="G126" i="3"/>
  <c r="I50" i="3"/>
  <c r="L122" i="3"/>
  <c r="F148" i="3"/>
  <c r="J102" i="3"/>
  <c r="H66" i="3"/>
  <c r="G222" i="3"/>
  <c r="G56" i="3"/>
  <c r="I12" i="3"/>
  <c r="I189" i="3"/>
  <c r="L87" i="3"/>
  <c r="F225" i="3"/>
  <c r="J20" i="3"/>
  <c r="J222" i="3"/>
  <c r="I91" i="3"/>
  <c r="K35" i="3"/>
  <c r="I147" i="3"/>
  <c r="L187" i="3"/>
  <c r="I52" i="3"/>
  <c r="H19" i="3"/>
  <c r="I96" i="3"/>
  <c r="K205" i="3"/>
  <c r="I104" i="3"/>
  <c r="K45" i="3"/>
  <c r="L33" i="3"/>
  <c r="J21" i="3"/>
  <c r="I46" i="3"/>
  <c r="I88" i="3"/>
  <c r="F118" i="3"/>
  <c r="H94" i="3"/>
  <c r="G49" i="3"/>
  <c r="L201" i="3"/>
  <c r="J72" i="3"/>
  <c r="L114" i="3"/>
  <c r="L3" i="3"/>
  <c r="K152" i="3"/>
  <c r="H226" i="3"/>
  <c r="I175" i="3"/>
  <c r="K36" i="3"/>
  <c r="H67" i="3"/>
  <c r="K130" i="3"/>
  <c r="H63" i="3"/>
  <c r="H62" i="3"/>
  <c r="L133" i="3"/>
  <c r="K99" i="3"/>
  <c r="H130" i="3"/>
  <c r="I153" i="3"/>
  <c r="J185" i="3"/>
  <c r="J226" i="3"/>
  <c r="I141" i="3"/>
  <c r="H31" i="3"/>
  <c r="F158" i="3"/>
  <c r="J66" i="3"/>
  <c r="G220" i="3"/>
  <c r="F145" i="3"/>
  <c r="H35" i="3"/>
  <c r="F182" i="3"/>
  <c r="K76" i="3"/>
  <c r="F195" i="3"/>
  <c r="I8" i="3"/>
  <c r="J19" i="3"/>
  <c r="H113" i="3"/>
  <c r="L111" i="3"/>
  <c r="F88" i="3"/>
  <c r="I117" i="3"/>
  <c r="H82" i="3"/>
  <c r="I122" i="3"/>
  <c r="K185" i="3"/>
  <c r="I136" i="3"/>
  <c r="K200" i="3"/>
  <c r="L55" i="3"/>
  <c r="J62" i="3"/>
  <c r="I219" i="3"/>
  <c r="I129" i="3"/>
  <c r="K6" i="3"/>
  <c r="H40" i="3"/>
  <c r="G96" i="3"/>
  <c r="L178" i="3"/>
  <c r="J121" i="3"/>
  <c r="L147" i="3"/>
  <c r="L44" i="3"/>
  <c r="K59" i="3"/>
  <c r="G205" i="3"/>
  <c r="I213" i="3"/>
  <c r="J191" i="3"/>
  <c r="H193" i="3"/>
  <c r="J64" i="3"/>
  <c r="L197" i="3"/>
  <c r="F156" i="3"/>
  <c r="H8" i="3"/>
  <c r="F211" i="3"/>
  <c r="I212" i="3"/>
  <c r="J147" i="3"/>
  <c r="L113" i="3"/>
  <c r="F170" i="3"/>
  <c r="K31" i="3"/>
  <c r="L10" i="3"/>
  <c r="H196" i="3"/>
  <c r="I121" i="3"/>
  <c r="K218" i="3"/>
  <c r="I124" i="3"/>
  <c r="K199" i="3"/>
  <c r="L152" i="3"/>
  <c r="J74" i="3"/>
  <c r="F133" i="3"/>
  <c r="I226" i="3"/>
  <c r="K140" i="3"/>
  <c r="H158" i="3"/>
  <c r="G150" i="3"/>
  <c r="F192" i="3"/>
  <c r="J28" i="3"/>
  <c r="G41" i="3"/>
  <c r="L101" i="3"/>
  <c r="K217" i="3"/>
  <c r="F52" i="3"/>
  <c r="L115" i="3"/>
  <c r="K123" i="3"/>
  <c r="H177" i="3"/>
  <c r="K20" i="3"/>
  <c r="F171" i="3"/>
  <c r="L196" i="3"/>
  <c r="K153" i="3"/>
  <c r="L141" i="3"/>
  <c r="J108" i="3"/>
  <c r="H187" i="3"/>
  <c r="L193" i="3"/>
  <c r="H98" i="3"/>
  <c r="J27" i="3"/>
  <c r="K195" i="3"/>
  <c r="I55" i="3"/>
  <c r="J196" i="3"/>
  <c r="J179" i="3"/>
  <c r="L135" i="3"/>
  <c r="K102" i="3"/>
  <c r="K114" i="3"/>
  <c r="J101" i="3"/>
  <c r="L72" i="3"/>
  <c r="J212" i="3"/>
  <c r="I204" i="3"/>
  <c r="J67" i="3"/>
  <c r="I211" i="3"/>
  <c r="J111" i="3"/>
  <c r="L226" i="3"/>
  <c r="J225" i="3"/>
  <c r="K120" i="3"/>
  <c r="L94" i="3"/>
  <c r="K151" i="3"/>
  <c r="H224" i="3"/>
  <c r="I61" i="3"/>
  <c r="F184" i="3"/>
  <c r="J206" i="3"/>
  <c r="G53" i="3"/>
  <c r="L205" i="3"/>
  <c r="J15" i="3"/>
  <c r="G102" i="3"/>
  <c r="L223" i="3"/>
  <c r="K206" i="3"/>
  <c r="I130" i="3"/>
  <c r="H51" i="3"/>
  <c r="J99" i="3"/>
  <c r="L81" i="3"/>
  <c r="J59" i="3"/>
  <c r="G36" i="3"/>
  <c r="I95" i="3"/>
  <c r="H132" i="3"/>
  <c r="J186" i="3"/>
  <c r="J18" i="3"/>
  <c r="J171" i="3"/>
  <c r="J138" i="3"/>
  <c r="G197" i="3"/>
  <c r="G45" i="3"/>
  <c r="F202" i="3"/>
  <c r="J33" i="3"/>
  <c r="H183" i="3"/>
  <c r="G24" i="3"/>
  <c r="F219" i="3"/>
  <c r="H164" i="3"/>
  <c r="F40" i="3"/>
  <c r="I206" i="3"/>
  <c r="K213" i="3"/>
  <c r="J193" i="3"/>
  <c r="L202" i="3"/>
  <c r="H218" i="3"/>
  <c r="L79" i="3"/>
  <c r="J184" i="3"/>
  <c r="L83" i="3"/>
  <c r="G158" i="3"/>
  <c r="F172" i="3"/>
  <c r="J192" i="3"/>
  <c r="G6" i="3"/>
  <c r="L32" i="3"/>
  <c r="K204" i="3"/>
  <c r="H205" i="3"/>
  <c r="I118" i="3"/>
  <c r="F141" i="3"/>
  <c r="J175" i="3"/>
  <c r="G104" i="3"/>
  <c r="L180" i="3"/>
  <c r="J76" i="3"/>
  <c r="L67" i="3"/>
  <c r="J16" i="3"/>
  <c r="H13" i="3"/>
  <c r="H144" i="3"/>
  <c r="F33" i="3"/>
  <c r="H33" i="3"/>
  <c r="I97" i="3"/>
  <c r="G115" i="3"/>
  <c r="K124" i="3"/>
  <c r="G21" i="3"/>
  <c r="G148" i="3"/>
  <c r="I24" i="3"/>
  <c r="J41" i="3"/>
  <c r="J217" i="3"/>
  <c r="J177" i="3"/>
  <c r="H73" i="3"/>
  <c r="F62" i="3"/>
  <c r="H96" i="3"/>
  <c r="L76" i="3"/>
  <c r="H80" i="3"/>
  <c r="L82" i="3"/>
  <c r="G129" i="3"/>
  <c r="F201" i="3"/>
  <c r="J169" i="3"/>
  <c r="G33" i="3"/>
  <c r="L97" i="3"/>
  <c r="K148" i="3"/>
  <c r="H171" i="3"/>
  <c r="I225" i="3"/>
  <c r="F187" i="3"/>
  <c r="J216" i="3"/>
  <c r="G44" i="3"/>
  <c r="L138" i="3"/>
  <c r="J124" i="3"/>
  <c r="G99" i="3"/>
  <c r="I111" i="3"/>
  <c r="L191" i="3"/>
  <c r="I34" i="3"/>
  <c r="L199" i="3"/>
  <c r="H84" i="3"/>
  <c r="H110" i="3"/>
  <c r="F124" i="3"/>
  <c r="L159" i="3"/>
  <c r="G107" i="3"/>
  <c r="H129" i="3"/>
  <c r="K8" i="3"/>
  <c r="H53" i="3"/>
  <c r="F74" i="3"/>
  <c r="H146" i="3"/>
  <c r="F77" i="3"/>
  <c r="G226" i="3"/>
  <c r="K189" i="3"/>
  <c r="H55" i="3"/>
  <c r="G202" i="3"/>
  <c r="F73" i="3"/>
  <c r="J80" i="3"/>
  <c r="L175" i="3"/>
  <c r="I178" i="3"/>
  <c r="K88" i="3"/>
  <c r="H118" i="3"/>
  <c r="I120" i="3"/>
  <c r="F216" i="3"/>
  <c r="J208" i="3"/>
  <c r="G206" i="3"/>
  <c r="F63" i="3"/>
  <c r="J166" i="3"/>
  <c r="I43" i="3"/>
  <c r="L8" i="3"/>
  <c r="J88" i="3"/>
  <c r="J116" i="3"/>
  <c r="K128" i="3"/>
  <c r="I35" i="3"/>
  <c r="K146" i="3"/>
  <c r="I56" i="3"/>
  <c r="L19" i="3"/>
  <c r="G223" i="3"/>
  <c r="G11" i="3"/>
  <c r="K177" i="3"/>
  <c r="G31" i="3"/>
  <c r="F206" i="3"/>
  <c r="G35" i="3"/>
  <c r="F91" i="3"/>
  <c r="I73" i="3"/>
  <c r="K133" i="3"/>
  <c r="H152" i="3"/>
  <c r="G211" i="3"/>
  <c r="F140" i="3"/>
  <c r="J79" i="3"/>
  <c r="F31" i="3"/>
  <c r="L22" i="3"/>
  <c r="K55" i="3"/>
  <c r="H201" i="3"/>
  <c r="I86" i="3"/>
  <c r="F152" i="3"/>
  <c r="J219" i="3"/>
  <c r="I19" i="3"/>
  <c r="F212" i="3"/>
  <c r="J214" i="3"/>
  <c r="L218" i="3"/>
  <c r="L124" i="3"/>
  <c r="F138" i="3"/>
  <c r="J211" i="3"/>
  <c r="J34" i="3"/>
  <c r="J122" i="3"/>
  <c r="K21" i="3"/>
  <c r="I26" i="3"/>
  <c r="F142" i="3"/>
  <c r="L164" i="3"/>
  <c r="I220" i="3"/>
  <c r="K97" i="3"/>
  <c r="H165" i="3"/>
  <c r="G51" i="3"/>
  <c r="I87" i="3"/>
  <c r="G173" i="3"/>
  <c r="J65" i="3"/>
  <c r="G194" i="3"/>
  <c r="K11" i="3"/>
  <c r="G196" i="3"/>
  <c r="F99" i="3"/>
  <c r="I158" i="3"/>
  <c r="K145" i="3"/>
  <c r="H225" i="3"/>
  <c r="I116" i="3"/>
  <c r="F176" i="3"/>
  <c r="J173" i="3"/>
  <c r="G13" i="3"/>
  <c r="L36" i="3"/>
  <c r="K211" i="3"/>
  <c r="G52" i="3"/>
  <c r="I171" i="3"/>
  <c r="F180" i="3"/>
  <c r="H102" i="3"/>
  <c r="I33" i="3"/>
  <c r="F83" i="3"/>
  <c r="H109" i="3"/>
  <c r="J44" i="3"/>
  <c r="K57" i="3"/>
  <c r="L35" i="3"/>
  <c r="H3" i="3"/>
  <c r="H71" i="3"/>
  <c r="G147" i="3"/>
  <c r="I200" i="3"/>
  <c r="G177" i="3"/>
  <c r="G185" i="3"/>
  <c r="K169" i="3"/>
  <c r="G199" i="3"/>
  <c r="I163" i="3"/>
  <c r="K226" i="3"/>
  <c r="I185" i="3"/>
  <c r="H37" i="3"/>
  <c r="G187" i="3"/>
  <c r="J12" i="3"/>
  <c r="I214" i="3"/>
  <c r="H120" i="3"/>
  <c r="J109" i="3"/>
  <c r="J225" i="2" l="1"/>
  <c r="J219" i="2"/>
  <c r="J211" i="2"/>
  <c r="J220" i="2"/>
  <c r="J217" i="2"/>
  <c r="J207" i="2"/>
  <c r="J199" i="2"/>
  <c r="J185" i="2"/>
  <c r="J177" i="2"/>
  <c r="J171" i="2"/>
  <c r="J166" i="2"/>
  <c r="H161" i="3"/>
  <c r="J161" i="2" s="1"/>
  <c r="J162" i="2"/>
  <c r="J160" i="2"/>
  <c r="H155" i="3"/>
  <c r="J155" i="2" s="1"/>
  <c r="J156" i="2"/>
  <c r="J154" i="2"/>
  <c r="H149" i="3"/>
  <c r="J149" i="2" s="1"/>
  <c r="J150" i="2"/>
  <c r="J148" i="2"/>
  <c r="H143" i="3"/>
  <c r="J143" i="2" s="1"/>
  <c r="J144" i="2"/>
  <c r="J142" i="2"/>
  <c r="H137" i="3"/>
  <c r="J137" i="2" s="1"/>
  <c r="J138" i="2"/>
  <c r="J136" i="2"/>
  <c r="J226" i="2"/>
  <c r="J224" i="2"/>
  <c r="H215" i="3"/>
  <c r="J215" i="2" s="1"/>
  <c r="J216" i="2"/>
  <c r="H203" i="3"/>
  <c r="J203" i="2" s="1"/>
  <c r="J204" i="2"/>
  <c r="J202" i="2"/>
  <c r="J200" i="2"/>
  <c r="J196" i="2"/>
  <c r="J194" i="2"/>
  <c r="J186" i="2"/>
  <c r="H181" i="3"/>
  <c r="J181" i="2" s="1"/>
  <c r="J182" i="2"/>
  <c r="J180" i="2"/>
  <c r="J178" i="2"/>
  <c r="J172" i="2"/>
  <c r="J163" i="2"/>
  <c r="J157" i="2"/>
  <c r="J151" i="2"/>
  <c r="J145" i="2"/>
  <c r="J139" i="2"/>
  <c r="J133" i="2"/>
  <c r="J127" i="2"/>
  <c r="J223" i="2"/>
  <c r="J214" i="2"/>
  <c r="J213" i="2"/>
  <c r="H209" i="3"/>
  <c r="J209" i="2" s="1"/>
  <c r="J210" i="2"/>
  <c r="J205" i="2"/>
  <c r="J201" i="2"/>
  <c r="J197" i="2"/>
  <c r="J195" i="2"/>
  <c r="J193" i="2"/>
  <c r="H190" i="3"/>
  <c r="J190" i="2" s="1"/>
  <c r="J191" i="2"/>
  <c r="J189" i="2"/>
  <c r="J187" i="2"/>
  <c r="J183" i="2"/>
  <c r="J179" i="2"/>
  <c r="H174" i="3"/>
  <c r="J174" i="2" s="1"/>
  <c r="J175" i="2"/>
  <c r="J173" i="2"/>
  <c r="H168" i="3"/>
  <c r="J168" i="2" s="1"/>
  <c r="J169" i="2"/>
  <c r="J164" i="2"/>
  <c r="J158" i="2"/>
  <c r="J152" i="2"/>
  <c r="J146" i="2"/>
  <c r="J140" i="2"/>
  <c r="J206" i="2"/>
  <c r="J192" i="2"/>
  <c r="J188" i="2"/>
  <c r="J134" i="2"/>
  <c r="H131" i="3"/>
  <c r="J131" i="2" s="1"/>
  <c r="J132" i="2"/>
  <c r="J130" i="2"/>
  <c r="H119" i="3"/>
  <c r="J119" i="2" s="1"/>
  <c r="J120" i="2"/>
  <c r="J118" i="2"/>
  <c r="J116" i="2"/>
  <c r="J110" i="2"/>
  <c r="J104" i="2"/>
  <c r="J96" i="2"/>
  <c r="J91" i="2"/>
  <c r="J87" i="2"/>
  <c r="J81" i="2"/>
  <c r="J75" i="2"/>
  <c r="H70" i="3"/>
  <c r="J70" i="2" s="1"/>
  <c r="J71" i="2"/>
  <c r="J67" i="2"/>
  <c r="J65" i="2"/>
  <c r="H60" i="3"/>
  <c r="J60" i="2" s="1"/>
  <c r="J61" i="2"/>
  <c r="J59" i="2"/>
  <c r="H54" i="3"/>
  <c r="J54" i="2" s="1"/>
  <c r="J55" i="2"/>
  <c r="J53" i="2"/>
  <c r="J49" i="2"/>
  <c r="J45" i="2"/>
  <c r="J39" i="2"/>
  <c r="J35" i="2"/>
  <c r="H30" i="3"/>
  <c r="J30" i="2" s="1"/>
  <c r="J31" i="2"/>
  <c r="J176" i="2"/>
  <c r="J165" i="2"/>
  <c r="J159" i="2"/>
  <c r="J153" i="2"/>
  <c r="J147" i="2"/>
  <c r="J141" i="2"/>
  <c r="J135" i="2"/>
  <c r="J129" i="2"/>
  <c r="H125" i="3"/>
  <c r="J125" i="2" s="1"/>
  <c r="J126" i="2"/>
  <c r="J124" i="2"/>
  <c r="J121" i="2"/>
  <c r="J117" i="2"/>
  <c r="H112" i="3"/>
  <c r="J112" i="2" s="1"/>
  <c r="J113" i="2"/>
  <c r="J111" i="2"/>
  <c r="H106" i="3"/>
  <c r="J106" i="2" s="1"/>
  <c r="J107" i="2"/>
  <c r="J105" i="2"/>
  <c r="H100" i="3"/>
  <c r="J100" i="2" s="1"/>
  <c r="J101" i="2"/>
  <c r="J99" i="2"/>
  <c r="J97" i="2"/>
  <c r="J88" i="2"/>
  <c r="J82" i="2"/>
  <c r="J76" i="2"/>
  <c r="J72" i="2"/>
  <c r="J66" i="2"/>
  <c r="J62" i="2"/>
  <c r="J56" i="2"/>
  <c r="J50" i="2"/>
  <c r="J46" i="2"/>
  <c r="J40" i="2"/>
  <c r="J36" i="2"/>
  <c r="J32" i="2"/>
  <c r="J218" i="2"/>
  <c r="J198" i="2"/>
  <c r="J170" i="2"/>
  <c r="J128" i="2"/>
  <c r="J122" i="2"/>
  <c r="J114" i="2"/>
  <c r="J108" i="2"/>
  <c r="J102" i="2"/>
  <c r="J98" i="2"/>
  <c r="H93" i="3"/>
  <c r="J93" i="2" s="1"/>
  <c r="J94" i="2"/>
  <c r="J89" i="2"/>
  <c r="J83" i="2"/>
  <c r="H78" i="3"/>
  <c r="J78" i="2" s="1"/>
  <c r="J79" i="2"/>
  <c r="J77" i="2"/>
  <c r="J73" i="2"/>
  <c r="J63" i="2"/>
  <c r="J57" i="2"/>
  <c r="J51" i="2"/>
  <c r="J47" i="2"/>
  <c r="H42" i="3"/>
  <c r="J42" i="2" s="1"/>
  <c r="J43" i="2"/>
  <c r="J41" i="2"/>
  <c r="J37" i="2"/>
  <c r="J33" i="2"/>
  <c r="J28" i="2"/>
  <c r="H221" i="3"/>
  <c r="J221" i="2" s="1"/>
  <c r="J222" i="2"/>
  <c r="J212" i="2"/>
  <c r="J208" i="2"/>
  <c r="J184" i="2"/>
  <c r="J123" i="2"/>
  <c r="J115" i="2"/>
  <c r="J109" i="2"/>
  <c r="J103" i="2"/>
  <c r="J95" i="2"/>
  <c r="J90" i="2"/>
  <c r="H85" i="3"/>
  <c r="J85" i="2" s="1"/>
  <c r="J86" i="2"/>
  <c r="J84" i="2"/>
  <c r="J80" i="2"/>
  <c r="J74" i="2"/>
  <c r="J64" i="2"/>
  <c r="J58" i="2"/>
  <c r="J52" i="2"/>
  <c r="J48" i="2"/>
  <c r="J44" i="2"/>
  <c r="J38" i="2"/>
  <c r="J34" i="2"/>
  <c r="J27" i="2"/>
  <c r="J20" i="2"/>
  <c r="J10" i="2"/>
  <c r="J7" i="2"/>
  <c r="J19" i="2"/>
  <c r="J16" i="2"/>
  <c r="J13" i="2"/>
  <c r="J6" i="2"/>
  <c r="J3" i="2"/>
  <c r="J22" i="2"/>
  <c r="J18" i="2"/>
  <c r="J15" i="2"/>
  <c r="J12" i="2"/>
  <c r="J5" i="2"/>
  <c r="J26" i="2"/>
  <c r="J24" i="2"/>
  <c r="J21" i="2"/>
  <c r="J11" i="2"/>
  <c r="J8" i="2"/>
  <c r="H223" i="2"/>
  <c r="H217" i="2"/>
  <c r="H213" i="2"/>
  <c r="H219" i="2"/>
  <c r="J215" i="3"/>
  <c r="H215" i="2" s="1"/>
  <c r="H216" i="2"/>
  <c r="J209" i="3"/>
  <c r="H209" i="2" s="1"/>
  <c r="H210" i="2"/>
  <c r="H205" i="2"/>
  <c r="H201" i="2"/>
  <c r="H197" i="2"/>
  <c r="H195" i="2"/>
  <c r="H193" i="2"/>
  <c r="J190" i="3"/>
  <c r="H190" i="2" s="1"/>
  <c r="H191" i="2"/>
  <c r="H189" i="2"/>
  <c r="H187" i="2"/>
  <c r="H183" i="2"/>
  <c r="H179" i="2"/>
  <c r="J174" i="3"/>
  <c r="H174" i="2" s="1"/>
  <c r="H175" i="2"/>
  <c r="H173" i="2"/>
  <c r="J168" i="3"/>
  <c r="H168" i="2" s="1"/>
  <c r="H169" i="2"/>
  <c r="H164" i="2"/>
  <c r="H158" i="2"/>
  <c r="H152" i="2"/>
  <c r="H146" i="2"/>
  <c r="H140" i="2"/>
  <c r="H134" i="2"/>
  <c r="H218" i="2"/>
  <c r="H214" i="2"/>
  <c r="H208" i="2"/>
  <c r="H206" i="2"/>
  <c r="H198" i="2"/>
  <c r="H192" i="2"/>
  <c r="H188" i="2"/>
  <c r="H184" i="2"/>
  <c r="H176" i="2"/>
  <c r="H170" i="2"/>
  <c r="H165" i="2"/>
  <c r="H159" i="2"/>
  <c r="H153" i="2"/>
  <c r="H147" i="2"/>
  <c r="H141" i="2"/>
  <c r="H135" i="2"/>
  <c r="H129" i="2"/>
  <c r="H225" i="2"/>
  <c r="J221" i="3"/>
  <c r="H221" i="2" s="1"/>
  <c r="H222" i="2"/>
  <c r="H212" i="2"/>
  <c r="H207" i="2"/>
  <c r="H199" i="2"/>
  <c r="H185" i="2"/>
  <c r="H177" i="2"/>
  <c r="H171" i="2"/>
  <c r="H166" i="2"/>
  <c r="J161" i="3"/>
  <c r="H161" i="2" s="1"/>
  <c r="H162" i="2"/>
  <c r="H160" i="2"/>
  <c r="J155" i="3"/>
  <c r="H155" i="2" s="1"/>
  <c r="H156" i="2"/>
  <c r="H154" i="2"/>
  <c r="J149" i="3"/>
  <c r="H149" i="2" s="1"/>
  <c r="H150" i="2"/>
  <c r="H148" i="2"/>
  <c r="J143" i="3"/>
  <c r="H143" i="2" s="1"/>
  <c r="H144" i="2"/>
  <c r="H142" i="2"/>
  <c r="H226" i="2"/>
  <c r="H224" i="2"/>
  <c r="H211" i="2"/>
  <c r="H202" i="2"/>
  <c r="H163" i="2"/>
  <c r="H157" i="2"/>
  <c r="H151" i="2"/>
  <c r="H145" i="2"/>
  <c r="J137" i="3"/>
  <c r="H137" i="2" s="1"/>
  <c r="H138" i="2"/>
  <c r="H136" i="2"/>
  <c r="H122" i="2"/>
  <c r="H114" i="2"/>
  <c r="H108" i="2"/>
  <c r="H102" i="2"/>
  <c r="H98" i="2"/>
  <c r="J93" i="3"/>
  <c r="H93" i="2" s="1"/>
  <c r="H94" i="2"/>
  <c r="H89" i="2"/>
  <c r="H83" i="2"/>
  <c r="J78" i="3"/>
  <c r="H78" i="2" s="1"/>
  <c r="H79" i="2"/>
  <c r="H77" i="2"/>
  <c r="H73" i="2"/>
  <c r="H63" i="2"/>
  <c r="H57" i="2"/>
  <c r="H51" i="2"/>
  <c r="H47" i="2"/>
  <c r="J42" i="3"/>
  <c r="H42" i="2" s="1"/>
  <c r="H43" i="2"/>
  <c r="H41" i="2"/>
  <c r="H37" i="2"/>
  <c r="H33" i="2"/>
  <c r="H28" i="2"/>
  <c r="H196" i="2"/>
  <c r="H178" i="2"/>
  <c r="H139" i="2"/>
  <c r="H128" i="2"/>
  <c r="H123" i="2"/>
  <c r="H115" i="2"/>
  <c r="H109" i="2"/>
  <c r="H103" i="2"/>
  <c r="H95" i="2"/>
  <c r="H90" i="2"/>
  <c r="J85" i="3"/>
  <c r="H85" i="2" s="1"/>
  <c r="H86" i="2"/>
  <c r="H84" i="2"/>
  <c r="H80" i="2"/>
  <c r="H74" i="2"/>
  <c r="H64" i="2"/>
  <c r="H58" i="2"/>
  <c r="H52" i="2"/>
  <c r="H48" i="2"/>
  <c r="H44" i="2"/>
  <c r="H38" i="2"/>
  <c r="H34" i="2"/>
  <c r="H27" i="2"/>
  <c r="H200" i="2"/>
  <c r="J181" i="3"/>
  <c r="H181" i="2" s="1"/>
  <c r="H182" i="2"/>
  <c r="H172" i="2"/>
  <c r="J131" i="3"/>
  <c r="H131" i="2" s="1"/>
  <c r="H132" i="2"/>
  <c r="H130" i="2"/>
  <c r="H127" i="2"/>
  <c r="J119" i="3"/>
  <c r="H119" i="2" s="1"/>
  <c r="H120" i="2"/>
  <c r="H118" i="2"/>
  <c r="H116" i="2"/>
  <c r="H110" i="2"/>
  <c r="H104" i="2"/>
  <c r="H96" i="2"/>
  <c r="H91" i="2"/>
  <c r="H87" i="2"/>
  <c r="H81" i="2"/>
  <c r="H75" i="2"/>
  <c r="J70" i="3"/>
  <c r="H70" i="2" s="1"/>
  <c r="H71" i="2"/>
  <c r="H67" i="2"/>
  <c r="H65" i="2"/>
  <c r="J60" i="3"/>
  <c r="H60" i="2" s="1"/>
  <c r="H61" i="2"/>
  <c r="H59" i="2"/>
  <c r="J54" i="3"/>
  <c r="H54" i="2" s="1"/>
  <c r="H55" i="2"/>
  <c r="H53" i="2"/>
  <c r="H49" i="2"/>
  <c r="H45" i="2"/>
  <c r="H39" i="2"/>
  <c r="H35" i="2"/>
  <c r="J30" i="3"/>
  <c r="H30" i="2" s="1"/>
  <c r="H31" i="2"/>
  <c r="H26" i="2"/>
  <c r="H220" i="2"/>
  <c r="J203" i="3"/>
  <c r="H203" i="2" s="1"/>
  <c r="H204" i="2"/>
  <c r="H194" i="2"/>
  <c r="H186" i="2"/>
  <c r="H180" i="2"/>
  <c r="H133" i="2"/>
  <c r="J125" i="3"/>
  <c r="H125" i="2" s="1"/>
  <c r="H126" i="2"/>
  <c r="H124" i="2"/>
  <c r="H121" i="2"/>
  <c r="H117" i="2"/>
  <c r="J112" i="3"/>
  <c r="H112" i="2" s="1"/>
  <c r="H113" i="2"/>
  <c r="H111" i="2"/>
  <c r="J106" i="3"/>
  <c r="H106" i="2" s="1"/>
  <c r="H107" i="2"/>
  <c r="H105" i="2"/>
  <c r="J100" i="3"/>
  <c r="H100" i="2" s="1"/>
  <c r="H101" i="2"/>
  <c r="H99" i="2"/>
  <c r="H97" i="2"/>
  <c r="H88" i="2"/>
  <c r="H82" i="2"/>
  <c r="H76" i="2"/>
  <c r="H72" i="2"/>
  <c r="H66" i="2"/>
  <c r="H62" i="2"/>
  <c r="H56" i="2"/>
  <c r="H50" i="2"/>
  <c r="H46" i="2"/>
  <c r="H40" i="2"/>
  <c r="H36" i="2"/>
  <c r="H32" i="2"/>
  <c r="H22" i="2"/>
  <c r="H18" i="2"/>
  <c r="H15" i="2"/>
  <c r="H12" i="2"/>
  <c r="H5" i="2"/>
  <c r="H21" i="2"/>
  <c r="H11" i="2"/>
  <c r="H8" i="2"/>
  <c r="H24" i="2"/>
  <c r="H20" i="2"/>
  <c r="H10" i="2"/>
  <c r="H7" i="2"/>
  <c r="H19" i="2"/>
  <c r="H16" i="2"/>
  <c r="H13" i="2"/>
  <c r="H6" i="2"/>
  <c r="H3" i="2"/>
  <c r="G226" i="2"/>
  <c r="G224" i="2"/>
  <c r="G218" i="2"/>
  <c r="K209" i="3"/>
  <c r="G209" i="2" s="1"/>
  <c r="G210" i="2"/>
  <c r="G223" i="2"/>
  <c r="G214" i="2"/>
  <c r="G213" i="2"/>
  <c r="G208" i="2"/>
  <c r="G206" i="2"/>
  <c r="G198" i="2"/>
  <c r="G192" i="2"/>
  <c r="G188" i="2"/>
  <c r="G184" i="2"/>
  <c r="G176" i="2"/>
  <c r="G170" i="2"/>
  <c r="G165" i="2"/>
  <c r="G159" i="2"/>
  <c r="G153" i="2"/>
  <c r="G147" i="2"/>
  <c r="G141" i="2"/>
  <c r="G135" i="2"/>
  <c r="G225" i="2"/>
  <c r="K221" i="3"/>
  <c r="G221" i="2" s="1"/>
  <c r="G222" i="2"/>
  <c r="G212" i="2"/>
  <c r="G207" i="2"/>
  <c r="G199" i="2"/>
  <c r="G185" i="2"/>
  <c r="G177" i="2"/>
  <c r="G171" i="2"/>
  <c r="G166" i="2"/>
  <c r="K161" i="3"/>
  <c r="G161" i="2" s="1"/>
  <c r="G162" i="2"/>
  <c r="G160" i="2"/>
  <c r="K155" i="3"/>
  <c r="G155" i="2" s="1"/>
  <c r="G156" i="2"/>
  <c r="G154" i="2"/>
  <c r="K149" i="3"/>
  <c r="G149" i="2" s="1"/>
  <c r="G150" i="2"/>
  <c r="G148" i="2"/>
  <c r="K143" i="3"/>
  <c r="G143" i="2" s="1"/>
  <c r="G144" i="2"/>
  <c r="G142" i="2"/>
  <c r="K137" i="3"/>
  <c r="G137" i="2" s="1"/>
  <c r="G138" i="2"/>
  <c r="G136" i="2"/>
  <c r="K131" i="3"/>
  <c r="G131" i="2" s="1"/>
  <c r="G132" i="2"/>
  <c r="G130" i="2"/>
  <c r="K125" i="3"/>
  <c r="G125" i="2" s="1"/>
  <c r="G126" i="2"/>
  <c r="G124" i="2"/>
  <c r="G220" i="2"/>
  <c r="G217" i="2"/>
  <c r="G211" i="2"/>
  <c r="K203" i="3"/>
  <c r="G203" i="2" s="1"/>
  <c r="G204" i="2"/>
  <c r="G202" i="2"/>
  <c r="G200" i="2"/>
  <c r="G196" i="2"/>
  <c r="G194" i="2"/>
  <c r="G186" i="2"/>
  <c r="K181" i="3"/>
  <c r="G181" i="2" s="1"/>
  <c r="G182" i="2"/>
  <c r="G180" i="2"/>
  <c r="G178" i="2"/>
  <c r="G172" i="2"/>
  <c r="G163" i="2"/>
  <c r="G157" i="2"/>
  <c r="G151" i="2"/>
  <c r="G145" i="2"/>
  <c r="G219" i="2"/>
  <c r="K215" i="3"/>
  <c r="G215" i="2" s="1"/>
  <c r="G216" i="2"/>
  <c r="G201" i="2"/>
  <c r="G183" i="2"/>
  <c r="G173" i="2"/>
  <c r="G139" i="2"/>
  <c r="G128" i="2"/>
  <c r="G123" i="2"/>
  <c r="G115" i="2"/>
  <c r="G109" i="2"/>
  <c r="G103" i="2"/>
  <c r="G95" i="2"/>
  <c r="G90" i="2"/>
  <c r="K85" i="3"/>
  <c r="G85" i="2" s="1"/>
  <c r="G86" i="2"/>
  <c r="G84" i="2"/>
  <c r="G80" i="2"/>
  <c r="G74" i="2"/>
  <c r="G64" i="2"/>
  <c r="G58" i="2"/>
  <c r="G52" i="2"/>
  <c r="G48" i="2"/>
  <c r="G44" i="2"/>
  <c r="G38" i="2"/>
  <c r="G34" i="2"/>
  <c r="G27" i="2"/>
  <c r="G205" i="2"/>
  <c r="G195" i="2"/>
  <c r="K190" i="3"/>
  <c r="G190" i="2" s="1"/>
  <c r="G191" i="2"/>
  <c r="G187" i="2"/>
  <c r="G127" i="2"/>
  <c r="K119" i="3"/>
  <c r="G119" i="2" s="1"/>
  <c r="G120" i="2"/>
  <c r="G118" i="2"/>
  <c r="G116" i="2"/>
  <c r="G110" i="2"/>
  <c r="G104" i="2"/>
  <c r="G96" i="2"/>
  <c r="G91" i="2"/>
  <c r="G87" i="2"/>
  <c r="G81" i="2"/>
  <c r="G75" i="2"/>
  <c r="K70" i="3"/>
  <c r="G70" i="2" s="1"/>
  <c r="G71" i="2"/>
  <c r="G67" i="2"/>
  <c r="G65" i="2"/>
  <c r="K60" i="3"/>
  <c r="G60" i="2" s="1"/>
  <c r="G61" i="2"/>
  <c r="G59" i="2"/>
  <c r="K54" i="3"/>
  <c r="G54" i="2" s="1"/>
  <c r="G55" i="2"/>
  <c r="G53" i="2"/>
  <c r="G49" i="2"/>
  <c r="G45" i="2"/>
  <c r="G39" i="2"/>
  <c r="G35" i="2"/>
  <c r="K30" i="3"/>
  <c r="G30" i="2" s="1"/>
  <c r="G31" i="2"/>
  <c r="G26" i="2"/>
  <c r="K174" i="3"/>
  <c r="G174" i="2" s="1"/>
  <c r="G175" i="2"/>
  <c r="G164" i="2"/>
  <c r="G158" i="2"/>
  <c r="G152" i="2"/>
  <c r="G146" i="2"/>
  <c r="G140" i="2"/>
  <c r="G133" i="2"/>
  <c r="G121" i="2"/>
  <c r="G117" i="2"/>
  <c r="K112" i="3"/>
  <c r="G112" i="2" s="1"/>
  <c r="G113" i="2"/>
  <c r="G111" i="2"/>
  <c r="K106" i="3"/>
  <c r="G106" i="2" s="1"/>
  <c r="G107" i="2"/>
  <c r="G105" i="2"/>
  <c r="K100" i="3"/>
  <c r="G100" i="2" s="1"/>
  <c r="G101" i="2"/>
  <c r="G99" i="2"/>
  <c r="G97" i="2"/>
  <c r="G88" i="2"/>
  <c r="G82" i="2"/>
  <c r="G76" i="2"/>
  <c r="G72" i="2"/>
  <c r="G66" i="2"/>
  <c r="G62" i="2"/>
  <c r="G56" i="2"/>
  <c r="G50" i="2"/>
  <c r="G46" i="2"/>
  <c r="G40" i="2"/>
  <c r="G36" i="2"/>
  <c r="G32" i="2"/>
  <c r="G197" i="2"/>
  <c r="G193" i="2"/>
  <c r="G189" i="2"/>
  <c r="G179" i="2"/>
  <c r="K168" i="3"/>
  <c r="G168" i="2" s="1"/>
  <c r="G169" i="2"/>
  <c r="G134" i="2"/>
  <c r="G129" i="2"/>
  <c r="G122" i="2"/>
  <c r="G114" i="2"/>
  <c r="G108" i="2"/>
  <c r="G102" i="2"/>
  <c r="G98" i="2"/>
  <c r="K93" i="3"/>
  <c r="G93" i="2" s="1"/>
  <c r="G94" i="2"/>
  <c r="G89" i="2"/>
  <c r="G83" i="2"/>
  <c r="K78" i="3"/>
  <c r="G78" i="2" s="1"/>
  <c r="G79" i="2"/>
  <c r="G77" i="2"/>
  <c r="G73" i="2"/>
  <c r="G63" i="2"/>
  <c r="G57" i="2"/>
  <c r="G51" i="2"/>
  <c r="G47" i="2"/>
  <c r="K42" i="3"/>
  <c r="G42" i="2" s="1"/>
  <c r="G43" i="2"/>
  <c r="G41" i="2"/>
  <c r="G37" i="2"/>
  <c r="G33" i="2"/>
  <c r="G28" i="2"/>
  <c r="G21" i="2"/>
  <c r="G11" i="2"/>
  <c r="G8" i="2"/>
  <c r="G24" i="2"/>
  <c r="G20" i="2"/>
  <c r="G10" i="2"/>
  <c r="G7" i="2"/>
  <c r="G19" i="2"/>
  <c r="G16" i="2"/>
  <c r="G13" i="2"/>
  <c r="G6" i="2"/>
  <c r="G3" i="2"/>
  <c r="G22" i="2"/>
  <c r="G18" i="2"/>
  <c r="G15" i="2"/>
  <c r="G12" i="2"/>
  <c r="G5" i="2"/>
  <c r="L214" i="2"/>
  <c r="L189" i="2"/>
  <c r="L208" i="2"/>
  <c r="L180" i="2"/>
  <c r="L202" i="2"/>
  <c r="L118" i="2"/>
  <c r="L67" i="2"/>
  <c r="L99" i="2"/>
  <c r="L22" i="2"/>
  <c r="L3" i="2"/>
  <c r="F54" i="3"/>
  <c r="L54" i="2" s="1"/>
  <c r="L55" i="2"/>
  <c r="L72" i="2"/>
  <c r="L27" i="2"/>
  <c r="L57" i="2"/>
  <c r="F70" i="3"/>
  <c r="L70" i="2" s="1"/>
  <c r="L71" i="2"/>
  <c r="L128" i="2"/>
  <c r="F85" i="3"/>
  <c r="L85" i="2" s="1"/>
  <c r="L86" i="2"/>
  <c r="L142" i="2"/>
  <c r="L158" i="2"/>
  <c r="L218" i="2"/>
  <c r="L217" i="2"/>
  <c r="L46" i="2"/>
  <c r="L20" i="2"/>
  <c r="L12" i="2"/>
  <c r="L47" i="2"/>
  <c r="L97" i="2"/>
  <c r="L83" i="2"/>
  <c r="L95" i="2"/>
  <c r="L111" i="2"/>
  <c r="L154" i="2"/>
  <c r="L200" i="2"/>
  <c r="F209" i="3"/>
  <c r="L209" i="2" s="1"/>
  <c r="L210" i="2"/>
  <c r="L178" i="2"/>
  <c r="L50" i="2"/>
  <c r="L34" i="2"/>
  <c r="L66" i="2"/>
  <c r="L166" i="2"/>
  <c r="L80" i="2"/>
  <c r="L96" i="2"/>
  <c r="L147" i="2"/>
  <c r="L177" i="2"/>
  <c r="F190" i="3"/>
  <c r="L190" i="2" s="1"/>
  <c r="L191" i="2"/>
  <c r="L163" i="2"/>
  <c r="L160" i="2"/>
  <c r="L21" i="2"/>
  <c r="L11" i="2"/>
  <c r="L56" i="2"/>
  <c r="L171" i="2"/>
  <c r="F93" i="3"/>
  <c r="L93" i="2" s="1"/>
  <c r="L94" i="2"/>
  <c r="L105" i="2"/>
  <c r="L121" i="2"/>
  <c r="L114" i="2"/>
  <c r="L223" i="2"/>
  <c r="L220" i="2"/>
  <c r="L188" i="2"/>
  <c r="L186" i="2"/>
  <c r="L206" i="2"/>
  <c r="L33" i="2"/>
  <c r="F42" i="3"/>
  <c r="L42" i="2" s="1"/>
  <c r="L43" i="2"/>
  <c r="L87" i="2"/>
  <c r="F78" i="3"/>
  <c r="L78" i="2" s="1"/>
  <c r="L79" i="2"/>
  <c r="L89" i="2"/>
  <c r="F106" i="3"/>
  <c r="L106" i="2" s="1"/>
  <c r="L107" i="2"/>
  <c r="L152" i="2"/>
  <c r="L187" i="2"/>
  <c r="F203" i="3"/>
  <c r="L203" i="2" s="1"/>
  <c r="L204" i="2"/>
  <c r="L173" i="2"/>
  <c r="L91" i="2"/>
  <c r="L18" i="2"/>
  <c r="L7" i="2"/>
  <c r="L65" i="2"/>
  <c r="L36" i="2"/>
  <c r="L104" i="2"/>
  <c r="L159" i="2"/>
  <c r="L123" i="2"/>
  <c r="L124" i="2"/>
  <c r="L141" i="2"/>
  <c r="L176" i="2"/>
  <c r="L201" i="2"/>
  <c r="L82" i="2"/>
  <c r="L51" i="2"/>
  <c r="L108" i="2"/>
  <c r="L88" i="2"/>
  <c r="F100" i="3"/>
  <c r="L100" i="2" s="1"/>
  <c r="L101" i="2"/>
  <c r="F112" i="3"/>
  <c r="L112" i="2" s="1"/>
  <c r="L113" i="2"/>
  <c r="L157" i="2"/>
  <c r="L212" i="2"/>
  <c r="F215" i="3"/>
  <c r="L215" i="2" s="1"/>
  <c r="L216" i="2"/>
  <c r="L184" i="2"/>
  <c r="L41" i="2"/>
  <c r="L19" i="2"/>
  <c r="L8" i="2"/>
  <c r="L35" i="2"/>
  <c r="L45" i="2"/>
  <c r="L115" i="2"/>
  <c r="F131" i="3"/>
  <c r="L131" i="2" s="1"/>
  <c r="L132" i="2"/>
  <c r="L134" i="2"/>
  <c r="L213" i="2"/>
  <c r="L193" i="2"/>
  <c r="F60" i="3"/>
  <c r="L60" i="2" s="1"/>
  <c r="L61" i="2"/>
  <c r="L32" i="2"/>
  <c r="L98" i="2"/>
  <c r="L110" i="2"/>
  <c r="L122" i="2"/>
  <c r="F119" i="3"/>
  <c r="L119" i="2" s="1"/>
  <c r="L120" i="2"/>
  <c r="L136" i="2"/>
  <c r="L225" i="2"/>
  <c r="L197" i="2"/>
  <c r="L59" i="2"/>
  <c r="L10" i="2"/>
  <c r="L5" i="2"/>
  <c r="L44" i="2"/>
  <c r="L53" i="2"/>
  <c r="L117" i="2"/>
  <c r="L172" i="2"/>
  <c r="L135" i="2"/>
  <c r="F143" i="3"/>
  <c r="L143" i="2" s="1"/>
  <c r="L144" i="2"/>
  <c r="L183" i="2"/>
  <c r="L199" i="2"/>
  <c r="L224" i="2"/>
  <c r="L28" i="2"/>
  <c r="F30" i="3"/>
  <c r="L30" i="2" s="1"/>
  <c r="L31" i="2"/>
  <c r="L40" i="2"/>
  <c r="L109" i="2"/>
  <c r="F161" i="3"/>
  <c r="L161" i="2" s="1"/>
  <c r="L162" i="2"/>
  <c r="L130" i="2"/>
  <c r="L129" i="2"/>
  <c r="L146" i="2"/>
  <c r="F181" i="3"/>
  <c r="L181" i="2" s="1"/>
  <c r="L182" i="2"/>
  <c r="L207" i="2"/>
  <c r="L26" i="2"/>
  <c r="L16" i="2"/>
  <c r="L6" i="2"/>
  <c r="L52" i="2"/>
  <c r="L63" i="2"/>
  <c r="L127" i="2"/>
  <c r="L81" i="2"/>
  <c r="L140" i="2"/>
  <c r="L153" i="2"/>
  <c r="L211" i="2"/>
  <c r="L226" i="2"/>
  <c r="L39" i="2"/>
  <c r="L49" i="2"/>
  <c r="L116" i="2"/>
  <c r="L170" i="2"/>
  <c r="L133" i="2"/>
  <c r="L139" i="2"/>
  <c r="F155" i="3"/>
  <c r="L155" i="2" s="1"/>
  <c r="L156" i="2"/>
  <c r="L192" i="2"/>
  <c r="L219" i="2"/>
  <c r="L103" i="2"/>
  <c r="L15" i="2"/>
  <c r="L196" i="2"/>
  <c r="L62" i="2"/>
  <c r="L164" i="2"/>
  <c r="L75" i="2"/>
  <c r="L90" i="2"/>
  <c r="L145" i="2"/>
  <c r="F174" i="3"/>
  <c r="L174" i="2" s="1"/>
  <c r="L175" i="2"/>
  <c r="L185" i="2"/>
  <c r="F221" i="3"/>
  <c r="L221" i="2" s="1"/>
  <c r="L222" i="2"/>
  <c r="L73" i="2"/>
  <c r="L194" i="2"/>
  <c r="L48" i="2"/>
  <c r="L58" i="2"/>
  <c r="F125" i="3"/>
  <c r="L125" i="2" s="1"/>
  <c r="L126" i="2"/>
  <c r="L76" i="2"/>
  <c r="F137" i="3"/>
  <c r="L137" i="2" s="1"/>
  <c r="L138" i="2"/>
  <c r="L148" i="2"/>
  <c r="L195" i="2"/>
  <c r="L205" i="2"/>
  <c r="L37" i="2"/>
  <c r="L24" i="2"/>
  <c r="L13" i="2"/>
  <c r="L38" i="2"/>
  <c r="L77" i="2"/>
  <c r="L74" i="2"/>
  <c r="L84" i="2"/>
  <c r="L102" i="2"/>
  <c r="F149" i="3"/>
  <c r="L149" i="2" s="1"/>
  <c r="L150" i="2"/>
  <c r="L179" i="2"/>
  <c r="L198" i="2"/>
  <c r="F168" i="3"/>
  <c r="L168" i="2" s="1"/>
  <c r="L169" i="2"/>
  <c r="L165" i="2"/>
  <c r="L151" i="2"/>
  <c r="L64" i="2"/>
  <c r="F226" i="2"/>
  <c r="F225" i="2"/>
  <c r="F219" i="2"/>
  <c r="F211" i="2"/>
  <c r="L221" i="3"/>
  <c r="F221" i="2" s="1"/>
  <c r="F222" i="2"/>
  <c r="F218" i="2"/>
  <c r="F212" i="2"/>
  <c r="F207" i="2"/>
  <c r="F199" i="2"/>
  <c r="F185" i="2"/>
  <c r="F177" i="2"/>
  <c r="F171" i="2"/>
  <c r="F166" i="2"/>
  <c r="L161" i="3"/>
  <c r="F161" i="2" s="1"/>
  <c r="F162" i="2"/>
  <c r="F160" i="2"/>
  <c r="L155" i="3"/>
  <c r="F155" i="2" s="1"/>
  <c r="F156" i="2"/>
  <c r="F154" i="2"/>
  <c r="L149" i="3"/>
  <c r="F149" i="2" s="1"/>
  <c r="F150" i="2"/>
  <c r="F148" i="2"/>
  <c r="L143" i="3"/>
  <c r="F143" i="2" s="1"/>
  <c r="F144" i="2"/>
  <c r="F142" i="2"/>
  <c r="L137" i="3"/>
  <c r="F137" i="2" s="1"/>
  <c r="F138" i="2"/>
  <c r="F136" i="2"/>
  <c r="L131" i="3"/>
  <c r="F131" i="2" s="1"/>
  <c r="F132" i="2"/>
  <c r="F220" i="2"/>
  <c r="F217" i="2"/>
  <c r="L203" i="3"/>
  <c r="F203" i="2" s="1"/>
  <c r="F204" i="2"/>
  <c r="F202" i="2"/>
  <c r="F200" i="2"/>
  <c r="F196" i="2"/>
  <c r="F194" i="2"/>
  <c r="F186" i="2"/>
  <c r="L181" i="3"/>
  <c r="F181" i="2" s="1"/>
  <c r="F182" i="2"/>
  <c r="F180" i="2"/>
  <c r="F178" i="2"/>
  <c r="F172" i="2"/>
  <c r="F163" i="2"/>
  <c r="F157" i="2"/>
  <c r="F151" i="2"/>
  <c r="F145" i="2"/>
  <c r="F139" i="2"/>
  <c r="F133" i="2"/>
  <c r="F127" i="2"/>
  <c r="F224" i="2"/>
  <c r="L215" i="3"/>
  <c r="F215" i="2" s="1"/>
  <c r="F216" i="2"/>
  <c r="F205" i="2"/>
  <c r="F201" i="2"/>
  <c r="F197" i="2"/>
  <c r="F195" i="2"/>
  <c r="F193" i="2"/>
  <c r="L190" i="3"/>
  <c r="F190" i="2" s="1"/>
  <c r="F191" i="2"/>
  <c r="F189" i="2"/>
  <c r="F187" i="2"/>
  <c r="F183" i="2"/>
  <c r="F179" i="2"/>
  <c r="L174" i="3"/>
  <c r="F174" i="2" s="1"/>
  <c r="F175" i="2"/>
  <c r="F173" i="2"/>
  <c r="L168" i="3"/>
  <c r="F168" i="2" s="1"/>
  <c r="F169" i="2"/>
  <c r="F164" i="2"/>
  <c r="F158" i="2"/>
  <c r="F152" i="2"/>
  <c r="F146" i="2"/>
  <c r="F140" i="2"/>
  <c r="F176" i="2"/>
  <c r="F165" i="2"/>
  <c r="F159" i="2"/>
  <c r="F153" i="2"/>
  <c r="F147" i="2"/>
  <c r="F141" i="2"/>
  <c r="L119" i="3"/>
  <c r="F119" i="2" s="1"/>
  <c r="F120" i="2"/>
  <c r="F118" i="2"/>
  <c r="F116" i="2"/>
  <c r="F110" i="2"/>
  <c r="F104" i="2"/>
  <c r="F96" i="2"/>
  <c r="F91" i="2"/>
  <c r="F87" i="2"/>
  <c r="F81" i="2"/>
  <c r="F75" i="2"/>
  <c r="L70" i="3"/>
  <c r="F70" i="2" s="1"/>
  <c r="F71" i="2"/>
  <c r="F67" i="2"/>
  <c r="F65" i="2"/>
  <c r="L60" i="3"/>
  <c r="F60" i="2" s="1"/>
  <c r="F61" i="2"/>
  <c r="F59" i="2"/>
  <c r="L54" i="3"/>
  <c r="F54" i="2" s="1"/>
  <c r="F55" i="2"/>
  <c r="F53" i="2"/>
  <c r="F49" i="2"/>
  <c r="F45" i="2"/>
  <c r="F39" i="2"/>
  <c r="F35" i="2"/>
  <c r="L30" i="3"/>
  <c r="F30" i="2" s="1"/>
  <c r="F31" i="2"/>
  <c r="F26" i="2"/>
  <c r="F223" i="2"/>
  <c r="F214" i="2"/>
  <c r="F213" i="2"/>
  <c r="L209" i="3"/>
  <c r="F209" i="2" s="1"/>
  <c r="F210" i="2"/>
  <c r="F198" i="2"/>
  <c r="F170" i="2"/>
  <c r="F130" i="2"/>
  <c r="F121" i="2"/>
  <c r="F117" i="2"/>
  <c r="L112" i="3"/>
  <c r="F112" i="2" s="1"/>
  <c r="F113" i="2"/>
  <c r="F111" i="2"/>
  <c r="L106" i="3"/>
  <c r="F106" i="2" s="1"/>
  <c r="F107" i="2"/>
  <c r="F105" i="2"/>
  <c r="L100" i="3"/>
  <c r="F100" i="2" s="1"/>
  <c r="F101" i="2"/>
  <c r="F99" i="2"/>
  <c r="F97" i="2"/>
  <c r="F88" i="2"/>
  <c r="F82" i="2"/>
  <c r="F76" i="2"/>
  <c r="F72" i="2"/>
  <c r="F66" i="2"/>
  <c r="F62" i="2"/>
  <c r="F56" i="2"/>
  <c r="F50" i="2"/>
  <c r="F46" i="2"/>
  <c r="F40" i="2"/>
  <c r="F36" i="2"/>
  <c r="F32" i="2"/>
  <c r="F208" i="2"/>
  <c r="F184" i="2"/>
  <c r="F134" i="2"/>
  <c r="F129" i="2"/>
  <c r="L125" i="3"/>
  <c r="F125" i="2" s="1"/>
  <c r="F126" i="2"/>
  <c r="F124" i="2"/>
  <c r="F122" i="2"/>
  <c r="F114" i="2"/>
  <c r="F108" i="2"/>
  <c r="F102" i="2"/>
  <c r="F98" i="2"/>
  <c r="L93" i="3"/>
  <c r="F93" i="2" s="1"/>
  <c r="F94" i="2"/>
  <c r="F89" i="2"/>
  <c r="F83" i="2"/>
  <c r="L78" i="3"/>
  <c r="F78" i="2" s="1"/>
  <c r="F79" i="2"/>
  <c r="F77" i="2"/>
  <c r="F73" i="2"/>
  <c r="F63" i="2"/>
  <c r="F57" i="2"/>
  <c r="F51" i="2"/>
  <c r="F47" i="2"/>
  <c r="L42" i="3"/>
  <c r="F42" i="2" s="1"/>
  <c r="F43" i="2"/>
  <c r="F41" i="2"/>
  <c r="F37" i="2"/>
  <c r="F33" i="2"/>
  <c r="F28" i="2"/>
  <c r="F206" i="2"/>
  <c r="F192" i="2"/>
  <c r="F188" i="2"/>
  <c r="F135" i="2"/>
  <c r="F128" i="2"/>
  <c r="F123" i="2"/>
  <c r="F115" i="2"/>
  <c r="F109" i="2"/>
  <c r="F103" i="2"/>
  <c r="F95" i="2"/>
  <c r="F90" i="2"/>
  <c r="L85" i="3"/>
  <c r="F85" i="2" s="1"/>
  <c r="F86" i="2"/>
  <c r="F84" i="2"/>
  <c r="F80" i="2"/>
  <c r="F74" i="2"/>
  <c r="F64" i="2"/>
  <c r="F58" i="2"/>
  <c r="F52" i="2"/>
  <c r="F48" i="2"/>
  <c r="F44" i="2"/>
  <c r="F38" i="2"/>
  <c r="F34" i="2"/>
  <c r="F27" i="2"/>
  <c r="F24" i="2"/>
  <c r="F20" i="2"/>
  <c r="F10" i="2"/>
  <c r="F7" i="2"/>
  <c r="F19" i="2"/>
  <c r="F16" i="2"/>
  <c r="F13" i="2"/>
  <c r="F6" i="2"/>
  <c r="F3" i="2"/>
  <c r="F22" i="2"/>
  <c r="F18" i="2"/>
  <c r="F15" i="2"/>
  <c r="F12" i="2"/>
  <c r="F5" i="2"/>
  <c r="F21" i="2"/>
  <c r="F11" i="2"/>
  <c r="F8" i="2"/>
  <c r="I221" i="3"/>
  <c r="I221" i="2" s="1"/>
  <c r="I222" i="2"/>
  <c r="I220" i="2"/>
  <c r="I215" i="3"/>
  <c r="I215" i="2" s="1"/>
  <c r="I216" i="2"/>
  <c r="I214" i="2"/>
  <c r="I212" i="2"/>
  <c r="I226" i="2"/>
  <c r="I224" i="2"/>
  <c r="I211" i="2"/>
  <c r="I203" i="3"/>
  <c r="I203" i="2" s="1"/>
  <c r="I204" i="2"/>
  <c r="I202" i="2"/>
  <c r="I200" i="2"/>
  <c r="I196" i="2"/>
  <c r="I194" i="2"/>
  <c r="I186" i="2"/>
  <c r="I181" i="3"/>
  <c r="I181" i="2" s="1"/>
  <c r="I182" i="2"/>
  <c r="I180" i="2"/>
  <c r="I178" i="2"/>
  <c r="I172" i="2"/>
  <c r="I163" i="2"/>
  <c r="I157" i="2"/>
  <c r="I151" i="2"/>
  <c r="I145" i="2"/>
  <c r="I139" i="2"/>
  <c r="I133" i="2"/>
  <c r="I223" i="2"/>
  <c r="I219" i="2"/>
  <c r="I213" i="2"/>
  <c r="I209" i="3"/>
  <c r="I209" i="2" s="1"/>
  <c r="I210" i="2"/>
  <c r="I205" i="2"/>
  <c r="I201" i="2"/>
  <c r="I197" i="2"/>
  <c r="I195" i="2"/>
  <c r="I193" i="2"/>
  <c r="I190" i="3"/>
  <c r="I190" i="2" s="1"/>
  <c r="I191" i="2"/>
  <c r="I189" i="2"/>
  <c r="I187" i="2"/>
  <c r="I183" i="2"/>
  <c r="I179" i="2"/>
  <c r="I174" i="3"/>
  <c r="I174" i="2" s="1"/>
  <c r="I175" i="2"/>
  <c r="I173" i="2"/>
  <c r="I168" i="3"/>
  <c r="I168" i="2" s="1"/>
  <c r="I169" i="2"/>
  <c r="I164" i="2"/>
  <c r="I158" i="2"/>
  <c r="I152" i="2"/>
  <c r="I146" i="2"/>
  <c r="I140" i="2"/>
  <c r="I134" i="2"/>
  <c r="I128" i="2"/>
  <c r="I218" i="2"/>
  <c r="I208" i="2"/>
  <c r="I206" i="2"/>
  <c r="I198" i="2"/>
  <c r="I192" i="2"/>
  <c r="I188" i="2"/>
  <c r="I184" i="2"/>
  <c r="I176" i="2"/>
  <c r="I170" i="2"/>
  <c r="I165" i="2"/>
  <c r="I159" i="2"/>
  <c r="I153" i="2"/>
  <c r="I147" i="2"/>
  <c r="I141" i="2"/>
  <c r="I199" i="2"/>
  <c r="I171" i="2"/>
  <c r="I135" i="2"/>
  <c r="I129" i="2"/>
  <c r="I125" i="3"/>
  <c r="I125" i="2" s="1"/>
  <c r="I126" i="2"/>
  <c r="I124" i="2"/>
  <c r="I121" i="2"/>
  <c r="I117" i="2"/>
  <c r="I112" i="3"/>
  <c r="I112" i="2" s="1"/>
  <c r="I113" i="2"/>
  <c r="I111" i="2"/>
  <c r="I106" i="3"/>
  <c r="I106" i="2" s="1"/>
  <c r="I107" i="2"/>
  <c r="I105" i="2"/>
  <c r="I100" i="3"/>
  <c r="I100" i="2" s="1"/>
  <c r="I101" i="2"/>
  <c r="I99" i="2"/>
  <c r="I97" i="2"/>
  <c r="I88" i="2"/>
  <c r="I82" i="2"/>
  <c r="I76" i="2"/>
  <c r="I72" i="2"/>
  <c r="I66" i="2"/>
  <c r="I62" i="2"/>
  <c r="I56" i="2"/>
  <c r="I50" i="2"/>
  <c r="I46" i="2"/>
  <c r="I40" i="2"/>
  <c r="I36" i="2"/>
  <c r="I32" i="2"/>
  <c r="I185" i="2"/>
  <c r="I137" i="3"/>
  <c r="I137" i="2" s="1"/>
  <c r="I138" i="2"/>
  <c r="I136" i="2"/>
  <c r="I122" i="2"/>
  <c r="I114" i="2"/>
  <c r="I108" i="2"/>
  <c r="I102" i="2"/>
  <c r="I98" i="2"/>
  <c r="I93" i="3"/>
  <c r="I93" i="2" s="1"/>
  <c r="I94" i="2"/>
  <c r="I89" i="2"/>
  <c r="I83" i="2"/>
  <c r="I78" i="3"/>
  <c r="I78" i="2" s="1"/>
  <c r="I79" i="2"/>
  <c r="I77" i="2"/>
  <c r="I73" i="2"/>
  <c r="I63" i="2"/>
  <c r="I57" i="2"/>
  <c r="I51" i="2"/>
  <c r="I47" i="2"/>
  <c r="I42" i="3"/>
  <c r="I42" i="2" s="1"/>
  <c r="I43" i="2"/>
  <c r="I41" i="2"/>
  <c r="I37" i="2"/>
  <c r="I33" i="2"/>
  <c r="I28" i="2"/>
  <c r="I207" i="2"/>
  <c r="I161" i="3"/>
  <c r="I161" i="2" s="1"/>
  <c r="I162" i="2"/>
  <c r="I155" i="3"/>
  <c r="I155" i="2" s="1"/>
  <c r="I156" i="2"/>
  <c r="I149" i="3"/>
  <c r="I149" i="2" s="1"/>
  <c r="I150" i="2"/>
  <c r="I143" i="3"/>
  <c r="I143" i="2" s="1"/>
  <c r="I144" i="2"/>
  <c r="I123" i="2"/>
  <c r="I115" i="2"/>
  <c r="I109" i="2"/>
  <c r="I103" i="2"/>
  <c r="I95" i="2"/>
  <c r="I90" i="2"/>
  <c r="I85" i="3"/>
  <c r="I85" i="2" s="1"/>
  <c r="I86" i="2"/>
  <c r="I84" i="2"/>
  <c r="I80" i="2"/>
  <c r="I74" i="2"/>
  <c r="I64" i="2"/>
  <c r="I58" i="2"/>
  <c r="I52" i="2"/>
  <c r="I48" i="2"/>
  <c r="I44" i="2"/>
  <c r="I38" i="2"/>
  <c r="I34" i="2"/>
  <c r="I27" i="2"/>
  <c r="I24" i="2"/>
  <c r="I225" i="2"/>
  <c r="I217" i="2"/>
  <c r="I177" i="2"/>
  <c r="I166" i="2"/>
  <c r="I160" i="2"/>
  <c r="I154" i="2"/>
  <c r="I148" i="2"/>
  <c r="I142" i="2"/>
  <c r="I131" i="3"/>
  <c r="I131" i="2" s="1"/>
  <c r="I132" i="2"/>
  <c r="I130" i="2"/>
  <c r="I127" i="2"/>
  <c r="I119" i="3"/>
  <c r="I119" i="2" s="1"/>
  <c r="I120" i="2"/>
  <c r="I118" i="2"/>
  <c r="I116" i="2"/>
  <c r="I110" i="2"/>
  <c r="I104" i="2"/>
  <c r="I96" i="2"/>
  <c r="I91" i="2"/>
  <c r="I87" i="2"/>
  <c r="I81" i="2"/>
  <c r="I75" i="2"/>
  <c r="I70" i="3"/>
  <c r="I70" i="2" s="1"/>
  <c r="I71" i="2"/>
  <c r="I67" i="2"/>
  <c r="I65" i="2"/>
  <c r="I60" i="3"/>
  <c r="I60" i="2" s="1"/>
  <c r="I61" i="2"/>
  <c r="I59" i="2"/>
  <c r="I54" i="3"/>
  <c r="I54" i="2" s="1"/>
  <c r="I55" i="2"/>
  <c r="I53" i="2"/>
  <c r="I49" i="2"/>
  <c r="I45" i="2"/>
  <c r="I39" i="2"/>
  <c r="I35" i="2"/>
  <c r="I30" i="3"/>
  <c r="I30" i="2" s="1"/>
  <c r="I31" i="2"/>
  <c r="I26" i="2"/>
  <c r="I19" i="2"/>
  <c r="I16" i="2"/>
  <c r="I13" i="2"/>
  <c r="I6" i="2"/>
  <c r="I3" i="2"/>
  <c r="I22" i="2"/>
  <c r="I18" i="2"/>
  <c r="I15" i="2"/>
  <c r="I12" i="2"/>
  <c r="I5" i="2"/>
  <c r="I21" i="2"/>
  <c r="I11" i="2"/>
  <c r="I8" i="2"/>
  <c r="I20" i="2"/>
  <c r="I10" i="2"/>
  <c r="I7" i="2"/>
  <c r="K226" i="2"/>
  <c r="K224" i="2"/>
  <c r="K218" i="2"/>
  <c r="G209" i="3"/>
  <c r="K209" i="2" s="1"/>
  <c r="K210" i="2"/>
  <c r="K225" i="2"/>
  <c r="G221" i="3"/>
  <c r="K221" i="2" s="1"/>
  <c r="K222" i="2"/>
  <c r="K212" i="2"/>
  <c r="K208" i="2"/>
  <c r="K206" i="2"/>
  <c r="K198" i="2"/>
  <c r="K192" i="2"/>
  <c r="K188" i="2"/>
  <c r="K184" i="2"/>
  <c r="K176" i="2"/>
  <c r="K170" i="2"/>
  <c r="K165" i="2"/>
  <c r="K159" i="2"/>
  <c r="K153" i="2"/>
  <c r="K147" i="2"/>
  <c r="K141" i="2"/>
  <c r="K135" i="2"/>
  <c r="K220" i="2"/>
  <c r="K217" i="2"/>
  <c r="K211" i="2"/>
  <c r="K207" i="2"/>
  <c r="K199" i="2"/>
  <c r="K185" i="2"/>
  <c r="K177" i="2"/>
  <c r="K171" i="2"/>
  <c r="K166" i="2"/>
  <c r="G161" i="3"/>
  <c r="K161" i="2" s="1"/>
  <c r="K162" i="2"/>
  <c r="K160" i="2"/>
  <c r="G155" i="3"/>
  <c r="K155" i="2" s="1"/>
  <c r="K156" i="2"/>
  <c r="K154" i="2"/>
  <c r="G149" i="3"/>
  <c r="K149" i="2" s="1"/>
  <c r="K150" i="2"/>
  <c r="K148" i="2"/>
  <c r="G143" i="3"/>
  <c r="K143" i="2" s="1"/>
  <c r="K144" i="2"/>
  <c r="K142" i="2"/>
  <c r="G137" i="3"/>
  <c r="K137" i="2" s="1"/>
  <c r="K138" i="2"/>
  <c r="K136" i="2"/>
  <c r="G131" i="3"/>
  <c r="K131" i="2" s="1"/>
  <c r="K132" i="2"/>
  <c r="K130" i="2"/>
  <c r="G125" i="3"/>
  <c r="K125" i="2" s="1"/>
  <c r="K126" i="2"/>
  <c r="K124" i="2"/>
  <c r="K219" i="2"/>
  <c r="G215" i="3"/>
  <c r="K215" i="2" s="1"/>
  <c r="K216" i="2"/>
  <c r="G203" i="3"/>
  <c r="K203" i="2" s="1"/>
  <c r="K204" i="2"/>
  <c r="K202" i="2"/>
  <c r="K200" i="2"/>
  <c r="K196" i="2"/>
  <c r="K194" i="2"/>
  <c r="K186" i="2"/>
  <c r="G181" i="3"/>
  <c r="K181" i="2" s="1"/>
  <c r="K182" i="2"/>
  <c r="K180" i="2"/>
  <c r="K178" i="2"/>
  <c r="K172" i="2"/>
  <c r="K163" i="2"/>
  <c r="K157" i="2"/>
  <c r="K151" i="2"/>
  <c r="K145" i="2"/>
  <c r="K197" i="2"/>
  <c r="K193" i="2"/>
  <c r="K189" i="2"/>
  <c r="K179" i="2"/>
  <c r="G168" i="3"/>
  <c r="K168" i="2" s="1"/>
  <c r="K169" i="2"/>
  <c r="K133" i="2"/>
  <c r="K127" i="2"/>
  <c r="K123" i="2"/>
  <c r="K115" i="2"/>
  <c r="K109" i="2"/>
  <c r="K103" i="2"/>
  <c r="K95" i="2"/>
  <c r="K90" i="2"/>
  <c r="G85" i="3"/>
  <c r="K85" i="2" s="1"/>
  <c r="K86" i="2"/>
  <c r="K84" i="2"/>
  <c r="K80" i="2"/>
  <c r="K74" i="2"/>
  <c r="K64" i="2"/>
  <c r="K58" i="2"/>
  <c r="K52" i="2"/>
  <c r="K48" i="2"/>
  <c r="K44" i="2"/>
  <c r="K38" i="2"/>
  <c r="K34" i="2"/>
  <c r="K27" i="2"/>
  <c r="K201" i="2"/>
  <c r="K183" i="2"/>
  <c r="K173" i="2"/>
  <c r="K134" i="2"/>
  <c r="G119" i="3"/>
  <c r="K119" i="2" s="1"/>
  <c r="K120" i="2"/>
  <c r="K118" i="2"/>
  <c r="K116" i="2"/>
  <c r="K110" i="2"/>
  <c r="K104" i="2"/>
  <c r="K96" i="2"/>
  <c r="K91" i="2"/>
  <c r="K87" i="2"/>
  <c r="K81" i="2"/>
  <c r="K75" i="2"/>
  <c r="G70" i="3"/>
  <c r="K70" i="2" s="1"/>
  <c r="K71" i="2"/>
  <c r="K67" i="2"/>
  <c r="K65" i="2"/>
  <c r="G60" i="3"/>
  <c r="K60" i="2" s="1"/>
  <c r="K61" i="2"/>
  <c r="K59" i="2"/>
  <c r="G54" i="3"/>
  <c r="K54" i="2" s="1"/>
  <c r="K55" i="2"/>
  <c r="K53" i="2"/>
  <c r="K49" i="2"/>
  <c r="K45" i="2"/>
  <c r="K39" i="2"/>
  <c r="K35" i="2"/>
  <c r="G30" i="3"/>
  <c r="K30" i="2" s="1"/>
  <c r="K31" i="2"/>
  <c r="K26" i="2"/>
  <c r="K223" i="2"/>
  <c r="K214" i="2"/>
  <c r="K213" i="2"/>
  <c r="K205" i="2"/>
  <c r="K195" i="2"/>
  <c r="G190" i="3"/>
  <c r="K190" i="2" s="1"/>
  <c r="K191" i="2"/>
  <c r="K187" i="2"/>
  <c r="K139" i="2"/>
  <c r="K129" i="2"/>
  <c r="K121" i="2"/>
  <c r="K117" i="2"/>
  <c r="G112" i="3"/>
  <c r="K112" i="2" s="1"/>
  <c r="K113" i="2"/>
  <c r="K111" i="2"/>
  <c r="G106" i="3"/>
  <c r="K106" i="2" s="1"/>
  <c r="K107" i="2"/>
  <c r="K105" i="2"/>
  <c r="G100" i="3"/>
  <c r="K100" i="2" s="1"/>
  <c r="K101" i="2"/>
  <c r="K99" i="2"/>
  <c r="K97" i="2"/>
  <c r="K88" i="2"/>
  <c r="K82" i="2"/>
  <c r="K76" i="2"/>
  <c r="K72" i="2"/>
  <c r="K66" i="2"/>
  <c r="K62" i="2"/>
  <c r="K56" i="2"/>
  <c r="K50" i="2"/>
  <c r="K46" i="2"/>
  <c r="K40" i="2"/>
  <c r="K36" i="2"/>
  <c r="K32" i="2"/>
  <c r="G174" i="3"/>
  <c r="K174" i="2" s="1"/>
  <c r="K175" i="2"/>
  <c r="K164" i="2"/>
  <c r="K158" i="2"/>
  <c r="K152" i="2"/>
  <c r="K146" i="2"/>
  <c r="K140" i="2"/>
  <c r="K128" i="2"/>
  <c r="K122" i="2"/>
  <c r="K114" i="2"/>
  <c r="K108" i="2"/>
  <c r="K102" i="2"/>
  <c r="K98" i="2"/>
  <c r="G93" i="3"/>
  <c r="K93" i="2" s="1"/>
  <c r="K94" i="2"/>
  <c r="K89" i="2"/>
  <c r="K83" i="2"/>
  <c r="G78" i="3"/>
  <c r="K78" i="2" s="1"/>
  <c r="K79" i="2"/>
  <c r="K77" i="2"/>
  <c r="K73" i="2"/>
  <c r="K63" i="2"/>
  <c r="K57" i="2"/>
  <c r="K51" i="2"/>
  <c r="K47" i="2"/>
  <c r="G42" i="3"/>
  <c r="K42" i="2" s="1"/>
  <c r="K43" i="2"/>
  <c r="K41" i="2"/>
  <c r="K37" i="2"/>
  <c r="K33" i="2"/>
  <c r="K28" i="2"/>
  <c r="K24" i="2"/>
  <c r="K21" i="2"/>
  <c r="K11" i="2"/>
  <c r="K8" i="2"/>
  <c r="K20" i="2"/>
  <c r="K10" i="2"/>
  <c r="K7" i="2"/>
  <c r="K19" i="2"/>
  <c r="K16" i="2"/>
  <c r="K13" i="2"/>
  <c r="K6" i="2"/>
  <c r="K3" i="2"/>
  <c r="K22" i="2"/>
  <c r="K18" i="2"/>
  <c r="K15" i="2"/>
  <c r="K12" i="2"/>
  <c r="K5" i="2"/>
  <c r="J2" i="2"/>
  <c r="H2" i="2"/>
  <c r="G2" i="2"/>
  <c r="L2" i="2"/>
  <c r="F2" i="2"/>
  <c r="I2" i="2"/>
  <c r="K2" i="2"/>
</calcChain>
</file>

<file path=xl/sharedStrings.xml><?xml version="1.0" encoding="utf-8"?>
<sst xmlns="http://schemas.openxmlformats.org/spreadsheetml/2006/main" count="6624" uniqueCount="220">
  <si>
    <t>**IMPORTANT NOTE**</t>
  </si>
  <si>
    <t>This document, the information contained herein and any derived information created therefrom are for the exclusive use of VENKATESAPRASAD HARISH at BITS PILANI HYDERABA.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</si>
  <si>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</si>
  <si>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</si>
  <si>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</si>
  <si>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</si>
  <si>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</si>
  <si>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</si>
  <si>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</si>
  <si>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</si>
  <si>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</si>
  <si>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</si>
  <si>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</si>
  <si>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</si>
  <si>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</si>
  <si>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</si>
  <si>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</si>
  <si>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</si>
  <si>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</si>
  <si>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</si>
  <si>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</si>
  <si>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</si>
  <si>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</si>
  <si>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</si>
  <si>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</si>
  <si>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</si>
  <si>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</si>
  <si>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</si>
  <si>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Description</t>
  </si>
  <si>
    <t>Ticker</t>
  </si>
  <si>
    <t>Field ID</t>
  </si>
  <si>
    <t>Field Mnemonic</t>
  </si>
  <si>
    <t>Data State</t>
  </si>
  <si>
    <t>2013</t>
  </si>
  <si>
    <t>2014</t>
  </si>
  <si>
    <t>2015</t>
  </si>
  <si>
    <t>2016</t>
  </si>
  <si>
    <t>2017</t>
  </si>
  <si>
    <t>2018</t>
  </si>
  <si>
    <t>2019</t>
  </si>
  <si>
    <t>Revenue by Geography (% of Total Revenue)</t>
  </si>
  <si>
    <t/>
  </si>
  <si>
    <t>Static</t>
  </si>
  <si>
    <t xml:space="preserve">    North America</t>
  </si>
  <si>
    <t>Heading</t>
  </si>
  <si>
    <t xml:space="preserve">        Infosys Ltd</t>
  </si>
  <si>
    <t>INFY US Equity</t>
  </si>
  <si>
    <t>Expression</t>
  </si>
  <si>
    <t xml:space="preserve">        Tata Consultancy Services Ltd</t>
  </si>
  <si>
    <t>TCS IN Equity</t>
  </si>
  <si>
    <t xml:space="preserve">        HCL Technologies Ltd</t>
  </si>
  <si>
    <t>HCLT IN Equity</t>
  </si>
  <si>
    <t xml:space="preserve">        Wipro Ltd</t>
  </si>
  <si>
    <t>WIT US Equity</t>
  </si>
  <si>
    <t xml:space="preserve">    Europe</t>
  </si>
  <si>
    <t xml:space="preserve">    Asia/Pacific</t>
  </si>
  <si>
    <t xml:space="preserve">    India</t>
  </si>
  <si>
    <t>Revenue by Vertical (% of Total Revenue)</t>
  </si>
  <si>
    <t xml:space="preserve">    Financial Services (BFSI)</t>
  </si>
  <si>
    <t xml:space="preserve">    Health Care &amp; Life Sciences</t>
  </si>
  <si>
    <t>Revenue Metrics:</t>
  </si>
  <si>
    <t>Revenue Growth QoQ (Reported)</t>
  </si>
  <si>
    <t>Average</t>
  </si>
  <si>
    <t xml:space="preserve">    Accenture PLC</t>
  </si>
  <si>
    <t>ACN US Equity</t>
  </si>
  <si>
    <t>F0486</t>
  </si>
  <si>
    <t>REVENUE_SEQUENTIAL_GROWTH</t>
  </si>
  <si>
    <t>Dynamic</t>
  </si>
  <si>
    <t xml:space="preserve">    AtoS</t>
  </si>
  <si>
    <t>ATO FP Equity</t>
  </si>
  <si>
    <t xml:space="preserve">    Capgemini</t>
  </si>
  <si>
    <t>CAP FP Equity</t>
  </si>
  <si>
    <t xml:space="preserve">    CGI Group Inc</t>
  </si>
  <si>
    <t>GIB US Equity</t>
  </si>
  <si>
    <t xml:space="preserve">    Cognizant Technology Solutions</t>
  </si>
  <si>
    <t>CTSH US Equity</t>
  </si>
  <si>
    <t xml:space="preserve">    Computer Sciences Corp</t>
  </si>
  <si>
    <t>CSC US Equity</t>
  </si>
  <si>
    <t xml:space="preserve">    HCL Technologies Ltd</t>
  </si>
  <si>
    <t xml:space="preserve">    Infosys Ltd</t>
  </si>
  <si>
    <t xml:space="preserve">    International Business Machine</t>
  </si>
  <si>
    <t>IBM US Equity</t>
  </si>
  <si>
    <t xml:space="preserve">    Tata Consultancy Services Ltd</t>
  </si>
  <si>
    <t xml:space="preserve">    Wipro Ltd</t>
  </si>
  <si>
    <t>Revenue Growth YoY (Reported)</t>
  </si>
  <si>
    <t>RR033</t>
  </si>
  <si>
    <t>SALES_GROWTH</t>
  </si>
  <si>
    <t>Revenue Growth QoQ (Constant Currency)</t>
  </si>
  <si>
    <t>B5666</t>
  </si>
  <si>
    <t>ARD_SEQUENTIAL_REVENUE_GROWTH_CC</t>
  </si>
  <si>
    <t>Revenue Growth YoY (Constant Currency)</t>
  </si>
  <si>
    <t>B2825</t>
  </si>
  <si>
    <t>ARD_1_YR_REVENUE_GROWTH_CC</t>
  </si>
  <si>
    <t xml:space="preserve">    </t>
  </si>
  <si>
    <t>Bookings Metrics:</t>
  </si>
  <si>
    <t>Employee Metrics:</t>
  </si>
  <si>
    <t>Total Employees</t>
  </si>
  <si>
    <t>Sum</t>
  </si>
  <si>
    <t>RR121</t>
  </si>
  <si>
    <t>NUM_OF_EMPLOYEES</t>
  </si>
  <si>
    <t>Employee Attrition (%)</t>
  </si>
  <si>
    <t>BRITBPOV Index</t>
  </si>
  <si>
    <t>Median</t>
  </si>
  <si>
    <t>M0005</t>
  </si>
  <si>
    <t>ATTRITION_RATE</t>
  </si>
  <si>
    <t>Employee Utilization (%)</t>
  </si>
  <si>
    <t>M0006</t>
  </si>
  <si>
    <t>UTILIZATION_RATE</t>
  </si>
  <si>
    <t>Client Metrics:</t>
  </si>
  <si>
    <t>Active Clients</t>
  </si>
  <si>
    <t xml:space="preserve">    Cognizant Technology Solutions Corp</t>
  </si>
  <si>
    <t>M0008</t>
  </si>
  <si>
    <t>NUMBER_OF_ACTIVE_CLIENTS</t>
  </si>
  <si>
    <t>Client Revenue Contribution</t>
  </si>
  <si>
    <t xml:space="preserve">    Top Client % of Revenue</t>
  </si>
  <si>
    <t xml:space="preserve">        Cognizant Technology Solutions Corp</t>
  </si>
  <si>
    <t>M0018</t>
  </si>
  <si>
    <t>TOP_CLIENTS_CONTRIB_TO_REVENUE</t>
  </si>
  <si>
    <t xml:space="preserve">    Top 5 Clients % of Revenue</t>
  </si>
  <si>
    <t>M0019</t>
  </si>
  <si>
    <t>TOP_5_CLIENTS_CONTRIB_TO_REV</t>
  </si>
  <si>
    <t xml:space="preserve">    Top 10 Clients % of Revenue</t>
  </si>
  <si>
    <t>M0020</t>
  </si>
  <si>
    <t>TOP_10_CLIENTS_CONTRIB_TO_REV</t>
  </si>
  <si>
    <t>Client Concentration</t>
  </si>
  <si>
    <t xml:space="preserve">    # of Clients $0mn-$5mn</t>
  </si>
  <si>
    <t>M0010</t>
  </si>
  <si>
    <t>NUMBER_OF_CLIENTS_0_TO_5MM</t>
  </si>
  <si>
    <t xml:space="preserve">    # of Clients $5M-$10M</t>
  </si>
  <si>
    <t>M0011</t>
  </si>
  <si>
    <t>NUM_CLIENTS_5MM_TO_10MM</t>
  </si>
  <si>
    <t xml:space="preserve">    # of Clients $10mn-$20mn</t>
  </si>
  <si>
    <t>M0012</t>
  </si>
  <si>
    <t>NUM_CLIENTS_10MM_TO_20MM</t>
  </si>
  <si>
    <t xml:space="preserve">    # of Clients $20mn-$30mn</t>
  </si>
  <si>
    <t>M0013</t>
  </si>
  <si>
    <t>NUM_CLIENTS_20MM_TO_30MM</t>
  </si>
  <si>
    <t xml:space="preserve">    # of Clients $30mn-$40mn</t>
  </si>
  <si>
    <t>M0014</t>
  </si>
  <si>
    <t>NUM_CLIENTS_30MM_TO_40MM</t>
  </si>
  <si>
    <t xml:space="preserve">    # of Clients $40mn-$50mn</t>
  </si>
  <si>
    <t>M0015</t>
  </si>
  <si>
    <t>NUM_CLIENTS_40MM_TO_50MM</t>
  </si>
  <si>
    <t xml:space="preserve">    # of Clients $50mn-$100mn</t>
  </si>
  <si>
    <t>M0016</t>
  </si>
  <si>
    <t>NUM_CLIENTS_50MM_TO_100MM</t>
  </si>
  <si>
    <t xml:space="preserve">    # of Clients $100mn+</t>
  </si>
  <si>
    <t>M0017</t>
  </si>
  <si>
    <t>NUM_OF_CLIENTS_OVER_100MM</t>
  </si>
  <si>
    <t>Contract Metrics:</t>
  </si>
  <si>
    <t>Fixed Price (% of Total)</t>
  </si>
  <si>
    <t>M0021</t>
  </si>
  <si>
    <t>FIXED_PRICE_PROJECTS</t>
  </si>
  <si>
    <t>Time &amp; Materials (% of Total)</t>
  </si>
  <si>
    <t>M0022</t>
  </si>
  <si>
    <t>TIME_&amp;_MATERIALS_PROJECTS</t>
  </si>
  <si>
    <t>Revenue by Geography</t>
  </si>
  <si>
    <t xml:space="preserve">        International Business Machine</t>
  </si>
  <si>
    <t>BI047</t>
  </si>
  <si>
    <t>BICS_SEGMENT_DATA</t>
  </si>
  <si>
    <t xml:space="preserve">        Accenture PLC</t>
  </si>
  <si>
    <t xml:space="preserve">        Cognizant Technology Solutions</t>
  </si>
  <si>
    <t xml:space="preserve">        </t>
  </si>
  <si>
    <t xml:space="preserve">        AtoS</t>
  </si>
  <si>
    <t xml:space="preserve">        Cap Gemini SA</t>
  </si>
  <si>
    <t xml:space="preserve">        Computacenter PLC</t>
  </si>
  <si>
    <t>CCC LN Equity</t>
  </si>
  <si>
    <t>IS010</t>
  </si>
  <si>
    <t>SALES_REV_TURN</t>
  </si>
  <si>
    <t xml:space="preserve">        Indra Sistemas SA</t>
  </si>
  <si>
    <t>IDR SM Equity</t>
  </si>
  <si>
    <t xml:space="preserve">    Asia/Pacific and Others</t>
  </si>
  <si>
    <t>Revenue by Vertical</t>
  </si>
  <si>
    <t>~~~~~~~~~~</t>
  </si>
  <si>
    <t>All rows below have been added for reference by formula rows above.</t>
  </si>
  <si>
    <t>Currency</t>
  </si>
  <si>
    <t>USD</t>
  </si>
  <si>
    <t>Periodicity</t>
  </si>
  <si>
    <t>CY</t>
  </si>
  <si>
    <t>AY</t>
  </si>
  <si>
    <t>Number of Periods</t>
  </si>
  <si>
    <t>Start Date</t>
  </si>
  <si>
    <t>-7CY</t>
  </si>
  <si>
    <t>-7AY</t>
  </si>
  <si>
    <t>End Date</t>
  </si>
  <si>
    <t>HeaderStatus(custom data)</t>
  </si>
  <si>
    <t>~~~~~~~~~~~~~~~~~~~~~</t>
  </si>
  <si>
    <t>Rows below for column date calculation</t>
  </si>
  <si>
    <t>Downloaded at</t>
  </si>
  <si>
    <t>This is End Date</t>
  </si>
  <si>
    <t>Snapshot Date</t>
  </si>
  <si>
    <t>Snapshot header</t>
  </si>
  <si>
    <t>BDH snapshot header0</t>
  </si>
  <si>
    <t>#N/A Requesting Data...</t>
  </si>
  <si>
    <t>BDH snapshot result0</t>
  </si>
  <si>
    <t>BDH snapshot header1</t>
  </si>
  <si>
    <t>BDH snapshot result1</t>
  </si>
  <si>
    <t>BDH snapshot header2</t>
  </si>
  <si>
    <t>BDH snapshot result2</t>
  </si>
  <si>
    <t>BDH snapshot</t>
  </si>
  <si>
    <t>BDH snapshot title</t>
  </si>
  <si>
    <t>BDH dynamic header0</t>
  </si>
  <si>
    <t>#N/A Invalid Parameter: Invalid override field id specified</t>
  </si>
  <si>
    <t>BDH dynamic result0</t>
  </si>
  <si>
    <t>BDH dynamic header1</t>
  </si>
  <si>
    <t>BDH dynamic result1</t>
  </si>
  <si>
    <t>BDH dynamic header2</t>
  </si>
  <si>
    <t>BDH dynamic result2</t>
  </si>
  <si>
    <t>BDH dynamic</t>
  </si>
  <si>
    <t>BDH dynamic title</t>
  </si>
  <si>
    <t>No error found</t>
  </si>
  <si>
    <t>Company</t>
  </si>
  <si>
    <t>Wipro Ltd.</t>
  </si>
  <si>
    <t>Tata Consulatancy Services Ltd.</t>
  </si>
  <si>
    <t>HCL Technologies Ltd.</t>
  </si>
  <si>
    <t>Infosys Ltd.</t>
  </si>
  <si>
    <t>North America</t>
  </si>
  <si>
    <t>Europe</t>
  </si>
  <si>
    <t>Asia/Pacific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</si>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</sst>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33" borderId="0" xfId="26" applyNumberFormat="1" applyFont="1" applyFill="1" applyBorder="1" applyAlignment="1" applyProtection="1"/>
    <xf numFmtId="2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ccyreader">
      <tp t="e">
        <v>#N/A</v>
        <stp/>
        <stp>#track</stp>
        <stp>DBG</stp>
        <stp>BIHITX</stp>
        <stp>1.0</stp>
        <stp>RepeatHit</stp>
        <tr r="A236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6"/>
  <sheetViews>
    <sheetView workbookViewId="0">
      <selection activeCell="F18" sqref="F18"/>
    </sheetView>
  </sheetViews>
  <sheetFormatPr defaultRowHeight="15" x14ac:dyDescent="0.25"/>
  <cols>
    <col min="1" max="1" width="56.28515625" customWidth="1"/>
    <col min="2" max="2" width="15.85546875" customWidth="1"/>
    <col min="3" max="12" width="9.140625" bestFit="1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 ca="1">IFERROR(IF(0=LEN(ReferenceData!$L$2),"",ReferenceData!$L$2),"")</f>
        <v>2013</v>
      </c>
      <c r="G2" t="str">
        <f ca="1">IFERROR(IF(0=LEN(ReferenceData!$K$2),"",ReferenceData!$K$2),"")</f>
        <v>2014</v>
      </c>
      <c r="H2" t="str">
        <f ca="1">IFERROR(IF(0=LEN(ReferenceData!$J$2),"",ReferenceData!$J$2),"")</f>
        <v>2015</v>
      </c>
      <c r="I2" t="str">
        <f ca="1">IFERROR(IF(0=LEN(ReferenceData!$I$2),"",ReferenceData!$I$2),"")</f>
        <v>2016</v>
      </c>
      <c r="J2" t="str">
        <f ca="1">IFERROR(IF(0=LEN(ReferenceData!$H$2),"",ReferenceData!$H$2),"")</f>
        <v>2017</v>
      </c>
      <c r="K2" t="str">
        <f ca="1">IFERROR(IF(0=LEN(ReferenceData!$G$2),"",ReferenceData!$G$2),"")</f>
        <v>2018</v>
      </c>
      <c r="L2" t="str">
        <f ca="1">IFERROR(IF(0=LEN(ReferenceData!$F$2),"",ReferenceData!$F$2),"")</f>
        <v>2019</v>
      </c>
    </row>
    <row r="3" spans="1:12" x14ac:dyDescent="0.25">
      <c r="A3" t="str">
        <f>IFERROR(IF(0=LEN(ReferenceData!$A$3),"",ReferenceData!$A$3),"")</f>
        <v>Revenue by Geography (% of Total Revenue)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Static</v>
      </c>
      <c r="F3" t="str">
        <f ca="1">IFERROR(IF(0=LEN(ReferenceData!$L$3),"",ReferenceData!$L$3),"")</f>
        <v/>
      </c>
      <c r="G3" t="str">
        <f ca="1">IFERROR(IF(0=LEN(ReferenceData!$K$3),"",ReferenceData!$K$3),"")</f>
        <v/>
      </c>
      <c r="H3" t="str">
        <f ca="1">IFERROR(IF(0=LEN(ReferenceData!$J$3),"",ReferenceData!$J$3),"")</f>
        <v/>
      </c>
      <c r="I3" t="str">
        <f ca="1">IFERROR(IF(0=LEN(ReferenceData!$I$3),"",ReferenceData!$I$3),"")</f>
        <v/>
      </c>
      <c r="J3" t="str">
        <f ca="1">IFERROR(IF(0=LEN(ReferenceData!$H$3),"",ReferenceData!$H$3),"")</f>
        <v/>
      </c>
      <c r="K3" t="str">
        <f ca="1">IFERROR(IF(0=LEN(ReferenceData!$G$3),"",ReferenceData!$G$3),"")</f>
        <v/>
      </c>
      <c r="L3" t="str">
        <f ca="1">IFERROR(IF(0=LEN(ReferenceData!$F$3),"",ReferenceData!$F$3),"")</f>
        <v/>
      </c>
    </row>
    <row r="4" spans="1:12" x14ac:dyDescent="0.25">
      <c r="A4" t="str">
        <f>IFERROR(IF(0=LEN(ReferenceData!$A$4),"",ReferenceData!$A$4),"")</f>
        <v xml:space="preserve">    North America</v>
      </c>
      <c r="B4" t="str">
        <f>IFERROR(IF(0=LEN(ReferenceData!$B$4),"",ReferenceData!$B$4),"")</f>
        <v/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Heading</v>
      </c>
      <c r="F4" t="str">
        <f>IFERROR(IF(0=LEN(ReferenceData!$L$4),"",ReferenceData!$L$4),"")</f>
        <v/>
      </c>
      <c r="G4" t="str">
        <f>IFERROR(IF(0=LEN(ReferenceData!$K$4),"",ReferenceData!$K$4),"")</f>
        <v/>
      </c>
      <c r="H4" t="str">
        <f>IFERROR(IF(0=LEN(ReferenceData!$J$4),"",ReferenceData!$J$4),"")</f>
        <v/>
      </c>
      <c r="I4" t="str">
        <f>IFERROR(IF(0=LEN(ReferenceData!$I$4),"",ReferenceData!$I$4),"")</f>
        <v/>
      </c>
      <c r="J4" t="str">
        <f>IFERROR(IF(0=LEN(ReferenceData!$H$4),"",ReferenceData!$H$4),"")</f>
        <v/>
      </c>
      <c r="K4" t="str">
        <f>IFERROR(IF(0=LEN(ReferenceData!$G$4),"",ReferenceData!$G$4),"")</f>
        <v/>
      </c>
      <c r="L4" t="str">
        <f>IFERROR(IF(0=LEN(ReferenceData!$F$4),"",ReferenceData!$F$4),"")</f>
        <v/>
      </c>
    </row>
    <row r="5" spans="1:12" x14ac:dyDescent="0.25">
      <c r="A5" t="str">
        <f>IFERROR(IF(0=LEN(ReferenceData!$A$5),"",ReferenceData!$A$5),"")</f>
        <v xml:space="preserve">        Infosys Ltd</v>
      </c>
      <c r="B5" t="str">
        <f>IFERROR(IF(0=LEN(ReferenceData!$B$5),"",ReferenceData!$B$5),"")</f>
        <v>INFY US Equity</v>
      </c>
      <c r="C5" t="str">
        <f>IFERROR(IF(0=LEN(ReferenceData!$C$5),"",ReferenceData!$C$5),"")</f>
        <v/>
      </c>
      <c r="D5" t="str">
        <f>IFERROR(IF(0=LEN(ReferenceData!$D$5),"",ReferenceData!$D$5),"")</f>
        <v/>
      </c>
      <c r="E5" t="str">
        <f>IFERROR(IF(0=LEN(ReferenceData!$E$5),"",ReferenceData!$E$5),"")</f>
        <v>Expression</v>
      </c>
      <c r="F5">
        <f ca="1">IFERROR(IF(0=LEN(ReferenceData!$L$5),"",ReferenceData!$L$5),"")</f>
        <v>60.664632079999997</v>
      </c>
      <c r="G5">
        <f ca="1">IFERROR(IF(0=LEN(ReferenceData!$K$5),"",ReferenceData!$K$5),"")</f>
        <v>61.505279549999997</v>
      </c>
      <c r="H5">
        <f ca="1">IFERROR(IF(0=LEN(ReferenceData!$J$5),"",ReferenceData!$J$5),"")</f>
        <v>62.681571400000003</v>
      </c>
      <c r="I5">
        <f ca="1">IFERROR(IF(0=LEN(ReferenceData!$I$5),"",ReferenceData!$I$5),"")</f>
        <v>61.923953040000001</v>
      </c>
      <c r="J5">
        <f ca="1">IFERROR(IF(0=LEN(ReferenceData!$H$5),"",ReferenceData!$H$5),"")</f>
        <v>60.37123167</v>
      </c>
      <c r="K5">
        <f ca="1">IFERROR(IF(0=LEN(ReferenceData!$G$5),"",ReferenceData!$G$5),"")</f>
        <v>60.523737529999998</v>
      </c>
      <c r="L5" t="str">
        <f ca="1">IFERROR(IF(0=LEN(ReferenceData!$F$5),"",ReferenceData!$F$5),"")</f>
        <v/>
      </c>
    </row>
    <row r="6" spans="1:12" x14ac:dyDescent="0.25">
      <c r="A6" t="str">
        <f>IFERROR(IF(0=LEN(ReferenceData!$A$6),"",ReferenceData!$A$6),"")</f>
        <v xml:space="preserve">        Tata Consultancy Services Ltd</v>
      </c>
      <c r="B6" t="str">
        <f>IFERROR(IF(0=LEN(ReferenceData!$B$6),"",ReferenceData!$B$6),"")</f>
        <v>TCS IN Equity</v>
      </c>
      <c r="C6" t="str">
        <f>IFERROR(IF(0=LEN(ReferenceData!$C$6),"",ReferenceData!$C$6),"")</f>
        <v/>
      </c>
      <c r="D6" t="str">
        <f>IFERROR(IF(0=LEN(ReferenceData!$D$6),"",ReferenceData!$D$6),"")</f>
        <v/>
      </c>
      <c r="E6" t="str">
        <f>IFERROR(IF(0=LEN(ReferenceData!$E$6),"",ReferenceData!$E$6),"")</f>
        <v>Expression</v>
      </c>
      <c r="F6">
        <f ca="1">IFERROR(IF(0=LEN(ReferenceData!$L$6),"",ReferenceData!$L$6),"")</f>
        <v>55.323046169999998</v>
      </c>
      <c r="G6">
        <f ca="1">IFERROR(IF(0=LEN(ReferenceData!$K$6),"",ReferenceData!$K$6),"")</f>
        <v>54.000000630000002</v>
      </c>
      <c r="H6">
        <f ca="1">IFERROR(IF(0=LEN(ReferenceData!$J$6),"",ReferenceData!$J$6),"")</f>
        <v>55.200106699999999</v>
      </c>
      <c r="I6">
        <f ca="1">IFERROR(IF(0=LEN(ReferenceData!$I$6),"",ReferenceData!$I$6),"")</f>
        <v>56.1</v>
      </c>
      <c r="J6">
        <f ca="1">IFERROR(IF(0=LEN(ReferenceData!$H$6),"",ReferenceData!$H$6),"")</f>
        <v>53.7</v>
      </c>
      <c r="K6">
        <f ca="1">IFERROR(IF(0=LEN(ReferenceData!$G$6),"",ReferenceData!$G$6),"")</f>
        <v>53</v>
      </c>
      <c r="L6" t="str">
        <f ca="1">IFERROR(IF(0=LEN(ReferenceData!$F$6),"",ReferenceData!$F$6),"")</f>
        <v/>
      </c>
    </row>
    <row r="7" spans="1:12" x14ac:dyDescent="0.25">
      <c r="A7" t="str">
        <f>IFERROR(IF(0=LEN(ReferenceData!$A$7),"",ReferenceData!$A$7),"")</f>
        <v xml:space="preserve">        HCL Technologies Ltd</v>
      </c>
      <c r="B7" t="str">
        <f>IFERROR(IF(0=LEN(ReferenceData!$B$7),"",ReferenceData!$B$7),"")</f>
        <v>HCLT IN Equity</v>
      </c>
      <c r="C7" t="str">
        <f>IFERROR(IF(0=LEN(ReferenceData!$C$7),"",ReferenceData!$C$7),"")</f>
        <v/>
      </c>
      <c r="D7" t="str">
        <f>IFERROR(IF(0=LEN(ReferenceData!$D$7),"",ReferenceData!$D$7),"")</f>
        <v/>
      </c>
      <c r="E7" t="str">
        <f>IFERROR(IF(0=LEN(ReferenceData!$E$7),"",ReferenceData!$E$7),"")</f>
        <v>Expression</v>
      </c>
      <c r="F7">
        <f ca="1">IFERROR(IF(0=LEN(ReferenceData!$L$7),"",ReferenceData!$L$7),"")</f>
        <v>55.932941640000003</v>
      </c>
      <c r="G7" t="str">
        <f ca="1">IFERROR(IF(0=LEN(ReferenceData!$K$7),"",ReferenceData!$K$7),"")</f>
        <v/>
      </c>
      <c r="H7" t="str">
        <f ca="1">IFERROR(IF(0=LEN(ReferenceData!$J$7),"",ReferenceData!$J$7),"")</f>
        <v/>
      </c>
      <c r="I7" t="str">
        <f ca="1">IFERROR(IF(0=LEN(ReferenceData!$I$7),"",ReferenceData!$I$7),"")</f>
        <v/>
      </c>
      <c r="J7" t="str">
        <f ca="1">IFERROR(IF(0=LEN(ReferenceData!$H$7),"",ReferenceData!$H$7),"")</f>
        <v/>
      </c>
      <c r="K7" t="str">
        <f ca="1">IFERROR(IF(0=LEN(ReferenceData!$G$7),"",ReferenceData!$G$7),"")</f>
        <v/>
      </c>
      <c r="L7" t="str">
        <f ca="1">IFERROR(IF(0=LEN(ReferenceData!$F$7),"",ReferenceData!$F$7),"")</f>
        <v/>
      </c>
    </row>
    <row r="8" spans="1:12" x14ac:dyDescent="0.25">
      <c r="A8" t="str">
        <f>IFERROR(IF(0=LEN(ReferenceData!$A$8),"",ReferenceData!$A$8),"")</f>
        <v xml:space="preserve">        Wipro Ltd</v>
      </c>
      <c r="B8" t="str">
        <f>IFERROR(IF(0=LEN(ReferenceData!$B$8),"",ReferenceData!$B$8),"")</f>
        <v>WIT US Equity</v>
      </c>
      <c r="C8" t="str">
        <f>IFERROR(IF(0=LEN(ReferenceData!$C$8),"",ReferenceData!$C$8),"")</f>
        <v/>
      </c>
      <c r="D8" t="str">
        <f>IFERROR(IF(0=LEN(ReferenceData!$D$8),"",ReferenceData!$D$8),"")</f>
        <v/>
      </c>
      <c r="E8" t="str">
        <f>IFERROR(IF(0=LEN(ReferenceData!$E$8),"",ReferenceData!$E$8),"")</f>
        <v>Expression</v>
      </c>
      <c r="F8">
        <f ca="1">IFERROR(IF(0=LEN(ReferenceData!$L$8),"",ReferenceData!$L$8),"")</f>
        <v>46.133387380000002</v>
      </c>
      <c r="G8">
        <f ca="1">IFERROR(IF(0=LEN(ReferenceData!$K$8),"",ReferenceData!$K$8),"")</f>
        <v>48.414528969999999</v>
      </c>
      <c r="H8">
        <f ca="1">IFERROR(IF(0=LEN(ReferenceData!$J$8),"",ReferenceData!$J$8),"")</f>
        <v>50.467371790000001</v>
      </c>
      <c r="I8">
        <f ca="1">IFERROR(IF(0=LEN(ReferenceData!$I$8),"",ReferenceData!$I$8),"")</f>
        <v>52.819393820000002</v>
      </c>
      <c r="J8">
        <f ca="1">IFERROR(IF(0=LEN(ReferenceData!$H$8),"",ReferenceData!$H$8),"")</f>
        <v>47.463528070000002</v>
      </c>
      <c r="K8">
        <f ca="1">IFERROR(IF(0=LEN(ReferenceData!$G$8),"",ReferenceData!$G$8),"")</f>
        <v>49.623876619999997</v>
      </c>
      <c r="L8" t="str">
        <f ca="1">IFERROR(IF(0=LEN(ReferenceData!$F$8),"",ReferenceData!$F$8),"")</f>
        <v/>
      </c>
    </row>
    <row r="9" spans="1:12" x14ac:dyDescent="0.25">
      <c r="A9" t="str">
        <f>IFERROR(IF(0=LEN(ReferenceData!$A$9),"",ReferenceData!$A$9),"")</f>
        <v xml:space="preserve">    Europe</v>
      </c>
      <c r="B9" t="str">
        <f>IFERROR(IF(0=LEN(ReferenceData!$B$9),"",ReferenceData!$B$9),"")</f>
        <v/>
      </c>
      <c r="C9" t="str">
        <f>IFERROR(IF(0=LEN(ReferenceData!$C$9),"",ReferenceData!$C$9),"")</f>
        <v/>
      </c>
      <c r="D9" t="str">
        <f>IFERROR(IF(0=LEN(ReferenceData!$D$9),"",ReferenceData!$D$9),"")</f>
        <v/>
      </c>
      <c r="E9" t="str">
        <f>IFERROR(IF(0=LEN(ReferenceData!$E$9),"",ReferenceData!$E$9),"")</f>
        <v>Heading</v>
      </c>
      <c r="F9" t="str">
        <f>IFERROR(IF(0=LEN(ReferenceData!$L$9),"",ReferenceData!$L$9),"")</f>
        <v/>
      </c>
      <c r="G9" t="str">
        <f>IFERROR(IF(0=LEN(ReferenceData!$K$9),"",ReferenceData!$K$9),"")</f>
        <v/>
      </c>
      <c r="H9" t="str">
        <f>IFERROR(IF(0=LEN(ReferenceData!$J$9),"",ReferenceData!$J$9),"")</f>
        <v/>
      </c>
      <c r="I9" t="str">
        <f>IFERROR(IF(0=LEN(ReferenceData!$I$9),"",ReferenceData!$I$9),"")</f>
        <v/>
      </c>
      <c r="J9" t="str">
        <f>IFERROR(IF(0=LEN(ReferenceData!$H$9),"",ReferenceData!$H$9),"")</f>
        <v/>
      </c>
      <c r="K9" t="str">
        <f>IFERROR(IF(0=LEN(ReferenceData!$G$9),"",ReferenceData!$G$9),"")</f>
        <v/>
      </c>
      <c r="L9" t="str">
        <f>IFERROR(IF(0=LEN(ReferenceData!$F$9),"",ReferenceData!$F$9),"")</f>
        <v/>
      </c>
    </row>
    <row r="10" spans="1:12" x14ac:dyDescent="0.25">
      <c r="A10" t="str">
        <f>IFERROR(IF(0=LEN(ReferenceData!$A$10),"",ReferenceData!$A$10),"")</f>
        <v xml:space="preserve">        Wipro Ltd</v>
      </c>
      <c r="B10" t="str">
        <f>IFERROR(IF(0=LEN(ReferenceData!$B$10),"",ReferenceData!$B$10),"")</f>
        <v>WIT US Equity</v>
      </c>
      <c r="C10" t="str">
        <f>IFERROR(IF(0=LEN(ReferenceData!$C$10),"",ReferenceData!$C$10),"")</f>
        <v/>
      </c>
      <c r="D10" t="str">
        <f>IFERROR(IF(0=LEN(ReferenceData!$D$10),"",ReferenceData!$D$10),"")</f>
        <v/>
      </c>
      <c r="E10" t="str">
        <f>IFERROR(IF(0=LEN(ReferenceData!$E$10),"",ReferenceData!$E$10),"")</f>
        <v>Expression</v>
      </c>
      <c r="F10">
        <f ca="1">IFERROR(IF(0=LEN(ReferenceData!$L$10),"",ReferenceData!$L$10),"")</f>
        <v>27.83251856</v>
      </c>
      <c r="G10">
        <f ca="1">IFERROR(IF(0=LEN(ReferenceData!$K$10),"",ReferenceData!$K$10),"")</f>
        <v>26.519928870000001</v>
      </c>
      <c r="H10">
        <f ca="1">IFERROR(IF(0=LEN(ReferenceData!$J$10),"",ReferenceData!$J$10),"")</f>
        <v>24.669619860000001</v>
      </c>
      <c r="I10">
        <f ca="1">IFERROR(IF(0=LEN(ReferenceData!$I$10),"",ReferenceData!$I$10),"")</f>
        <v>24.329308390000001</v>
      </c>
      <c r="J10">
        <f ca="1">IFERROR(IF(0=LEN(ReferenceData!$H$10),"",ReferenceData!$H$10),"")</f>
        <v>23.20127149</v>
      </c>
      <c r="K10">
        <f ca="1">IFERROR(IF(0=LEN(ReferenceData!$G$10),"",ReferenceData!$G$10),"")</f>
        <v>22.857411089999999</v>
      </c>
      <c r="L10" t="str">
        <f ca="1">IFERROR(IF(0=LEN(ReferenceData!$F$10),"",ReferenceData!$F$10),"")</f>
        <v/>
      </c>
    </row>
    <row r="11" spans="1:12" x14ac:dyDescent="0.25">
      <c r="A11" t="str">
        <f>IFERROR(IF(0=LEN(ReferenceData!$A$11),"",ReferenceData!$A$11),"")</f>
        <v xml:space="preserve">        HCL Technologies Ltd</v>
      </c>
      <c r="B11" t="str">
        <f>IFERROR(IF(0=LEN(ReferenceData!$B$11),"",ReferenceData!$B$11),"")</f>
        <v>HCLT IN Equity</v>
      </c>
      <c r="C11" t="str">
        <f>IFERROR(IF(0=LEN(ReferenceData!$C$11),"",ReferenceData!$C$11),"")</f>
        <v/>
      </c>
      <c r="D11" t="str">
        <f>IFERROR(IF(0=LEN(ReferenceData!$D$11),"",ReferenceData!$D$11),"")</f>
        <v/>
      </c>
      <c r="E11" t="str">
        <f>IFERROR(IF(0=LEN(ReferenceData!$E$11),"",ReferenceData!$E$11),"")</f>
        <v>Expression</v>
      </c>
      <c r="F11">
        <f ca="1">IFERROR(IF(0=LEN(ReferenceData!$L$11),"",ReferenceData!$L$11),"")</f>
        <v>31.618620830000001</v>
      </c>
      <c r="G11" t="str">
        <f ca="1">IFERROR(IF(0=LEN(ReferenceData!$K$11),"",ReferenceData!$K$11),"")</f>
        <v/>
      </c>
      <c r="H11" t="str">
        <f ca="1">IFERROR(IF(0=LEN(ReferenceData!$J$11),"",ReferenceData!$J$11),"")</f>
        <v/>
      </c>
      <c r="I11">
        <f ca="1">IFERROR(IF(0=LEN(ReferenceData!$I$11),"",ReferenceData!$I$11),"")</f>
        <v>26.717805200000001</v>
      </c>
      <c r="J11">
        <f ca="1">IFERROR(IF(0=LEN(ReferenceData!$H$11),"",ReferenceData!$H$11),"")</f>
        <v>27.37447843</v>
      </c>
      <c r="K11">
        <f ca="1">IFERROR(IF(0=LEN(ReferenceData!$G$11),"",ReferenceData!$G$11),"")</f>
        <v>26.742454590000001</v>
      </c>
      <c r="L11" t="str">
        <f ca="1">IFERROR(IF(0=LEN(ReferenceData!$F$11),"",ReferenceData!$F$11),"")</f>
        <v/>
      </c>
    </row>
    <row r="12" spans="1:12" x14ac:dyDescent="0.25">
      <c r="A12" t="str">
        <f>IFERROR(IF(0=LEN(ReferenceData!$A$12),"",ReferenceData!$A$12),"")</f>
        <v xml:space="preserve">        Tata Consultancy Services Ltd</v>
      </c>
      <c r="B12" t="str">
        <f>IFERROR(IF(0=LEN(ReferenceData!$B$12),"",ReferenceData!$B$12),"")</f>
        <v>TCS IN Equity</v>
      </c>
      <c r="C12" t="str">
        <f>IFERROR(IF(0=LEN(ReferenceData!$C$12),"",ReferenceData!$C$12),"")</f>
        <v/>
      </c>
      <c r="D12" t="str">
        <f>IFERROR(IF(0=LEN(ReferenceData!$D$12),"",ReferenceData!$D$12),"")</f>
        <v/>
      </c>
      <c r="E12" t="str">
        <f>IFERROR(IF(0=LEN(ReferenceData!$E$12),"",ReferenceData!$E$12),"")</f>
        <v>Expression</v>
      </c>
      <c r="F12">
        <f ca="1">IFERROR(IF(0=LEN(ReferenceData!$L$12),"",ReferenceData!$L$12),"")</f>
        <v>28.643055019999998</v>
      </c>
      <c r="G12">
        <f ca="1">IFERROR(IF(0=LEN(ReferenceData!$K$12),"",ReferenceData!$K$12),"")</f>
        <v>28.299999969999998</v>
      </c>
      <c r="H12">
        <f ca="1">IFERROR(IF(0=LEN(ReferenceData!$J$12),"",ReferenceData!$J$12),"")</f>
        <v>26.800051799999999</v>
      </c>
      <c r="I12">
        <f ca="1">IFERROR(IF(0=LEN(ReferenceData!$I$12),"",ReferenceData!$I$12),"")</f>
        <v>25.4</v>
      </c>
      <c r="J12">
        <f ca="1">IFERROR(IF(0=LEN(ReferenceData!$H$12),"",ReferenceData!$H$12),"")</f>
        <v>27.7</v>
      </c>
      <c r="K12">
        <f ca="1">IFERROR(IF(0=LEN(ReferenceData!$G$12),"",ReferenceData!$G$12),"")</f>
        <v>29.7</v>
      </c>
      <c r="L12" t="str">
        <f ca="1">IFERROR(IF(0=LEN(ReferenceData!$F$12),"",ReferenceData!$F$12),"")</f>
        <v/>
      </c>
    </row>
    <row r="13" spans="1:12" x14ac:dyDescent="0.25">
      <c r="A13" t="str">
        <f>IFERROR(IF(0=LEN(ReferenceData!$A$13),"",ReferenceData!$A$13),"")</f>
        <v xml:space="preserve">        Infosys Ltd</v>
      </c>
      <c r="B13" t="str">
        <f>IFERROR(IF(0=LEN(ReferenceData!$B$13),"",ReferenceData!$B$13),"")</f>
        <v>INFY US Equity</v>
      </c>
      <c r="C13" t="str">
        <f>IFERROR(IF(0=LEN(ReferenceData!$C$13),"",ReferenceData!$C$13),"")</f>
        <v/>
      </c>
      <c r="D13" t="str">
        <f>IFERROR(IF(0=LEN(ReferenceData!$D$13),"",ReferenceData!$D$13),"")</f>
        <v/>
      </c>
      <c r="E13" t="str">
        <f>IFERROR(IF(0=LEN(ReferenceData!$E$13),"",ReferenceData!$E$13),"")</f>
        <v>Expression</v>
      </c>
      <c r="F13">
        <f ca="1">IFERROR(IF(0=LEN(ReferenceData!$L$13),"",ReferenceData!$L$13),"")</f>
        <v>24.435002900000001</v>
      </c>
      <c r="G13">
        <f ca="1">IFERROR(IF(0=LEN(ReferenceData!$K$13),"",ReferenceData!$K$13),"")</f>
        <v>24.06084135</v>
      </c>
      <c r="H13">
        <f ca="1">IFERROR(IF(0=LEN(ReferenceData!$J$13),"",ReferenceData!$J$13),"")</f>
        <v>23.018529489999999</v>
      </c>
      <c r="I13">
        <f ca="1">IFERROR(IF(0=LEN(ReferenceData!$I$13),"",ReferenceData!$I$13),"")</f>
        <v>22.4753227</v>
      </c>
      <c r="J13">
        <f ca="1">IFERROR(IF(0=LEN(ReferenceData!$H$13),"",ReferenceData!$H$13),"")</f>
        <v>23.73443748</v>
      </c>
      <c r="K13">
        <f ca="1">IFERROR(IF(0=LEN(ReferenceData!$G$13),"",ReferenceData!$G$13),"")</f>
        <v>24.120955550000001</v>
      </c>
      <c r="L13" t="str">
        <f ca="1">IFERROR(IF(0=LEN(ReferenceData!$F$13),"",ReferenceData!$F$13),"")</f>
        <v/>
      </c>
    </row>
    <row r="14" spans="1:12" x14ac:dyDescent="0.25">
      <c r="A14" t="str">
        <f>IFERROR(IF(0=LEN(ReferenceData!$A$14),"",ReferenceData!$A$14),"")</f>
        <v xml:space="preserve">    Asia/Pacific</v>
      </c>
      <c r="B14" t="str">
        <f>IFERROR(IF(0=LEN(ReferenceData!$B$14),"",ReferenceData!$B$14),"")</f>
        <v/>
      </c>
      <c r="C14" t="str">
        <f>IFERROR(IF(0=LEN(ReferenceData!$C$14),"",ReferenceData!$C$14),"")</f>
        <v/>
      </c>
      <c r="D14" t="str">
        <f>IFERROR(IF(0=LEN(ReferenceData!$D$14),"",ReferenceData!$D$14),"")</f>
        <v/>
      </c>
      <c r="E14" t="str">
        <f>IFERROR(IF(0=LEN(ReferenceData!$E$14),"",ReferenceData!$E$14),"")</f>
        <v>Heading</v>
      </c>
      <c r="F14" t="str">
        <f>IFERROR(IF(0=LEN(ReferenceData!$L$14),"",ReferenceData!$L$14),"")</f>
        <v/>
      </c>
      <c r="G14" t="str">
        <f>IFERROR(IF(0=LEN(ReferenceData!$K$14),"",ReferenceData!$K$14),"")</f>
        <v/>
      </c>
      <c r="H14" t="str">
        <f>IFERROR(IF(0=LEN(ReferenceData!$J$14),"",ReferenceData!$J$14),"")</f>
        <v/>
      </c>
      <c r="I14" t="str">
        <f>IFERROR(IF(0=LEN(ReferenceData!$I$14),"",ReferenceData!$I$14),"")</f>
        <v/>
      </c>
      <c r="J14" t="str">
        <f>IFERROR(IF(0=LEN(ReferenceData!$H$14),"",ReferenceData!$H$14),"")</f>
        <v/>
      </c>
      <c r="K14" t="str">
        <f>IFERROR(IF(0=LEN(ReferenceData!$G$14),"",ReferenceData!$G$14),"")</f>
        <v/>
      </c>
      <c r="L14" t="str">
        <f>IFERROR(IF(0=LEN(ReferenceData!$F$14),"",ReferenceData!$F$14),"")</f>
        <v/>
      </c>
    </row>
    <row r="15" spans="1:12" x14ac:dyDescent="0.25">
      <c r="A15" t="str">
        <f>IFERROR(IF(0=LEN(ReferenceData!$A$15),"",ReferenceData!$A$15),"")</f>
        <v xml:space="preserve">        Wipro Ltd</v>
      </c>
      <c r="B15" t="str">
        <f>IFERROR(IF(0=LEN(ReferenceData!$B$15),"",ReferenceData!$B$15),"")</f>
        <v>WIT US Equity</v>
      </c>
      <c r="C15" t="str">
        <f>IFERROR(IF(0=LEN(ReferenceData!$C$15),"",ReferenceData!$C$15),"")</f>
        <v/>
      </c>
      <c r="D15" t="str">
        <f>IFERROR(IF(0=LEN(ReferenceData!$D$15),"",ReferenceData!$D$15),"")</f>
        <v/>
      </c>
      <c r="E15" t="str">
        <f>IFERROR(IF(0=LEN(ReferenceData!$E$15),"",ReferenceData!$E$15),"")</f>
        <v>Expression</v>
      </c>
      <c r="F15">
        <f ca="1">IFERROR(IF(0=LEN(ReferenceData!$L$15),"",ReferenceData!$L$15),"")</f>
        <v>10.64662687</v>
      </c>
      <c r="G15">
        <f ca="1">IFERROR(IF(0=LEN(ReferenceData!$K$15),"",ReferenceData!$K$15),"")</f>
        <v>9.7441139890000006</v>
      </c>
      <c r="H15">
        <f ca="1">IFERROR(IF(0=LEN(ReferenceData!$J$15),"",ReferenceData!$J$15),"")</f>
        <v>10.02478339</v>
      </c>
      <c r="I15">
        <f ca="1">IFERROR(IF(0=LEN(ReferenceData!$I$15),"",ReferenceData!$I$15),"")</f>
        <v>8.4583631560000008</v>
      </c>
      <c r="J15">
        <f ca="1">IFERROR(IF(0=LEN(ReferenceData!$H$15),"",ReferenceData!$H$15),"")</f>
        <v>9.4281031710000001</v>
      </c>
      <c r="K15">
        <f ca="1">IFERROR(IF(0=LEN(ReferenceData!$G$15),"",ReferenceData!$G$15),"")</f>
        <v>7.9466411819999996</v>
      </c>
      <c r="L15" t="str">
        <f ca="1">IFERROR(IF(0=LEN(ReferenceData!$F$15),"",ReferenceData!$F$15),"")</f>
        <v/>
      </c>
    </row>
    <row r="16" spans="1:12" x14ac:dyDescent="0.25">
      <c r="A16" t="str">
        <f>IFERROR(IF(0=LEN(ReferenceData!$A$16),"",ReferenceData!$A$16),"")</f>
        <v xml:space="preserve">        Tata Consultancy Services Ltd</v>
      </c>
      <c r="B16" t="str">
        <f>IFERROR(IF(0=LEN(ReferenceData!$B$16),"",ReferenceData!$B$16),"")</f>
        <v>TCS IN Equity</v>
      </c>
      <c r="C16" t="str">
        <f>IFERROR(IF(0=LEN(ReferenceData!$C$16),"",ReferenceData!$C$16),"")</f>
        <v/>
      </c>
      <c r="D16" t="str">
        <f>IFERROR(IF(0=LEN(ReferenceData!$D$16),"",ReferenceData!$D$16),"")</f>
        <v/>
      </c>
      <c r="E16" t="str">
        <f>IFERROR(IF(0=LEN(ReferenceData!$E$16),"",ReferenceData!$E$16),"")</f>
        <v>Expression</v>
      </c>
      <c r="F16">
        <f ca="1">IFERROR(IF(0=LEN(ReferenceData!$L$16),"",ReferenceData!$L$16),"")</f>
        <v>7.224258936</v>
      </c>
      <c r="G16">
        <f ca="1">IFERROR(IF(0=LEN(ReferenceData!$K$16),"",ReferenceData!$K$16),"")</f>
        <v>9.2999998609999999</v>
      </c>
      <c r="H16">
        <f ca="1">IFERROR(IF(0=LEN(ReferenceData!$J$16),"",ReferenceData!$J$16),"")</f>
        <v>9.5000183610000004</v>
      </c>
      <c r="I16">
        <f ca="1">IFERROR(IF(0=LEN(ReferenceData!$I$16),"",ReferenceData!$I$16),"")</f>
        <v>9.7000000029999995</v>
      </c>
      <c r="J16">
        <f ca="1">IFERROR(IF(0=LEN(ReferenceData!$H$16),"",ReferenceData!$H$16),"")</f>
        <v>9.6999999999999993</v>
      </c>
      <c r="K16">
        <f ca="1">IFERROR(IF(0=LEN(ReferenceData!$G$16),"",ReferenceData!$G$16),"")</f>
        <v>9.5</v>
      </c>
      <c r="L16" t="str">
        <f ca="1">IFERROR(IF(0=LEN(ReferenceData!$F$16),"",ReferenceData!$F$16),"")</f>
        <v/>
      </c>
    </row>
    <row r="17" spans="1:12" x14ac:dyDescent="0.25">
      <c r="A17" t="str">
        <f>IFERROR(IF(0=LEN(ReferenceData!$A$17),"",ReferenceData!$A$17),"")</f>
        <v xml:space="preserve">    India</v>
      </c>
      <c r="B17" t="str">
        <f>IFERROR(IF(0=LEN(ReferenceData!$B$17),"",ReferenceData!$B$17),"")</f>
        <v/>
      </c>
      <c r="C17" t="str">
        <f>IFERROR(IF(0=LEN(ReferenceData!$C$17),"",ReferenceData!$C$17),"")</f>
        <v/>
      </c>
      <c r="D17" t="str">
        <f>IFERROR(IF(0=LEN(ReferenceData!$D$17),"",ReferenceData!$D$17),"")</f>
        <v/>
      </c>
      <c r="E17" t="str">
        <f>IFERROR(IF(0=LEN(ReferenceData!$E$17),"",ReferenceData!$E$17),"")</f>
        <v>Heading</v>
      </c>
      <c r="F17" t="str">
        <f>IFERROR(IF(0=LEN(ReferenceData!$L$17),"",ReferenceData!$L$17),"")</f>
        <v/>
      </c>
      <c r="G17" t="str">
        <f>IFERROR(IF(0=LEN(ReferenceData!$K$17),"",ReferenceData!$K$17),"")</f>
        <v/>
      </c>
      <c r="H17" t="str">
        <f>IFERROR(IF(0=LEN(ReferenceData!$J$17),"",ReferenceData!$J$17),"")</f>
        <v/>
      </c>
      <c r="I17" t="str">
        <f>IFERROR(IF(0=LEN(ReferenceData!$I$17),"",ReferenceData!$I$17),"")</f>
        <v/>
      </c>
      <c r="J17" t="str">
        <f>IFERROR(IF(0=LEN(ReferenceData!$H$17),"",ReferenceData!$H$17),"")</f>
        <v/>
      </c>
      <c r="K17" t="str">
        <f>IFERROR(IF(0=LEN(ReferenceData!$G$17),"",ReferenceData!$G$17),"")</f>
        <v/>
      </c>
      <c r="L17" t="str">
        <f>IFERROR(IF(0=LEN(ReferenceData!$F$17),"",ReferenceData!$F$17),"")</f>
        <v/>
      </c>
    </row>
    <row r="18" spans="1:12" x14ac:dyDescent="0.25">
      <c r="A18" t="str">
        <f>IFERROR(IF(0=LEN(ReferenceData!$A$18),"",ReferenceData!$A$18),"")</f>
        <v xml:space="preserve">        Wipro Ltd</v>
      </c>
      <c r="B18" t="str">
        <f>IFERROR(IF(0=LEN(ReferenceData!$B$18),"",ReferenceData!$B$18),"")</f>
        <v>WIT US Equity</v>
      </c>
      <c r="C18" t="str">
        <f>IFERROR(IF(0=LEN(ReferenceData!$C$18),"",ReferenceData!$C$18),"")</f>
        <v/>
      </c>
      <c r="D18" t="str">
        <f>IFERROR(IF(0=LEN(ReferenceData!$D$18),"",ReferenceData!$D$18),"")</f>
        <v/>
      </c>
      <c r="E18" t="str">
        <f>IFERROR(IF(0=LEN(ReferenceData!$E$18),"",ReferenceData!$E$18),"")</f>
        <v>Expression</v>
      </c>
      <c r="F18">
        <f ca="1">IFERROR(IF(0=LEN(ReferenceData!$L$18),"",ReferenceData!$L$18),"")</f>
        <v>27.83251856</v>
      </c>
      <c r="G18">
        <f ca="1">IFERROR(IF(0=LEN(ReferenceData!$K$18),"",ReferenceData!$K$18),"")</f>
        <v>26.519928870000001</v>
      </c>
      <c r="H18">
        <f ca="1">IFERROR(IF(0=LEN(ReferenceData!$J$18),"",ReferenceData!$J$18),"")</f>
        <v>24.669619860000001</v>
      </c>
      <c r="I18">
        <f ca="1">IFERROR(IF(0=LEN(ReferenceData!$I$18),"",ReferenceData!$I$18),"")</f>
        <v>24.329308390000001</v>
      </c>
      <c r="J18">
        <f ca="1">IFERROR(IF(0=LEN(ReferenceData!$H$18),"",ReferenceData!$H$18),"")</f>
        <v>23.20127149</v>
      </c>
      <c r="K18">
        <f ca="1">IFERROR(IF(0=LEN(ReferenceData!$G$18),"",ReferenceData!$G$18),"")</f>
        <v>22.857411089999999</v>
      </c>
      <c r="L18" t="str">
        <f ca="1">IFERROR(IF(0=LEN(ReferenceData!$F$18),"",ReferenceData!$F$18),"")</f>
        <v/>
      </c>
    </row>
    <row r="19" spans="1:12" x14ac:dyDescent="0.25">
      <c r="A19" t="str">
        <f>IFERROR(IF(0=LEN(ReferenceData!$A$19),"",ReferenceData!$A$19),"")</f>
        <v xml:space="preserve">        Tata Consultancy Services Ltd</v>
      </c>
      <c r="B19" t="str">
        <f>IFERROR(IF(0=LEN(ReferenceData!$B$19),"",ReferenceData!$B$19),"")</f>
        <v>TCS IN Equity</v>
      </c>
      <c r="C19" t="str">
        <f>IFERROR(IF(0=LEN(ReferenceData!$C$19),"",ReferenceData!$C$19),"")</f>
        <v/>
      </c>
      <c r="D19" t="str">
        <f>IFERROR(IF(0=LEN(ReferenceData!$D$19),"",ReferenceData!$D$19),"")</f>
        <v/>
      </c>
      <c r="E19" t="str">
        <f>IFERROR(IF(0=LEN(ReferenceData!$E$19),"",ReferenceData!$E$19),"")</f>
        <v>Expression</v>
      </c>
      <c r="F19">
        <f ca="1">IFERROR(IF(0=LEN(ReferenceData!$L$19),"",ReferenceData!$L$19),"")</f>
        <v>6.7080343879999997</v>
      </c>
      <c r="G19">
        <f ca="1">IFERROR(IF(0=LEN(ReferenceData!$K$19),"",ReferenceData!$K$19),"")</f>
        <v>6.3999997449999997</v>
      </c>
      <c r="H19">
        <f ca="1">IFERROR(IF(0=LEN(ReferenceData!$J$19),"",ReferenceData!$J$19),"")</f>
        <v>6.2000119810000003</v>
      </c>
      <c r="I19">
        <f ca="1">IFERROR(IF(0=LEN(ReferenceData!$I$19),"",ReferenceData!$I$19),"")</f>
        <v>6.300000002</v>
      </c>
      <c r="J19">
        <f ca="1">IFERROR(IF(0=LEN(ReferenceData!$H$19),"",ReferenceData!$H$19),"")</f>
        <v>6.4000000010000004</v>
      </c>
      <c r="K19">
        <f ca="1">IFERROR(IF(0=LEN(ReferenceData!$G$19),"",ReferenceData!$G$19),"")</f>
        <v>5.699999998</v>
      </c>
      <c r="L19" t="str">
        <f ca="1">IFERROR(IF(0=LEN(ReferenceData!$F$19),"",ReferenceData!$F$19),"")</f>
        <v/>
      </c>
    </row>
    <row r="20" spans="1:12" x14ac:dyDescent="0.25">
      <c r="A20" t="str">
        <f>IFERROR(IF(0=LEN(ReferenceData!$A$20),"",ReferenceData!$A$20),"")</f>
        <v xml:space="preserve">        HCL Technologies Ltd</v>
      </c>
      <c r="B20" t="str">
        <f>IFERROR(IF(0=LEN(ReferenceData!$B$20),"",ReferenceData!$B$20),"")</f>
        <v>HCLT IN Equity</v>
      </c>
      <c r="C20" t="str">
        <f>IFERROR(IF(0=LEN(ReferenceData!$C$20),"",ReferenceData!$C$20),"")</f>
        <v/>
      </c>
      <c r="D20" t="str">
        <f>IFERROR(IF(0=LEN(ReferenceData!$D$20),"",ReferenceData!$D$20),"")</f>
        <v/>
      </c>
      <c r="E20" t="str">
        <f>IFERROR(IF(0=LEN(ReferenceData!$E$20),"",ReferenceData!$E$20),"")</f>
        <v>Expression</v>
      </c>
      <c r="F20" t="str">
        <f ca="1">IFERROR(IF(0=LEN(ReferenceData!$L$20),"",ReferenceData!$L$20),"")</f>
        <v/>
      </c>
      <c r="G20" t="str">
        <f ca="1">IFERROR(IF(0=LEN(ReferenceData!$K$20),"",ReferenceData!$K$20),"")</f>
        <v/>
      </c>
      <c r="H20" t="str">
        <f ca="1">IFERROR(IF(0=LEN(ReferenceData!$J$20),"",ReferenceData!$J$20),"")</f>
        <v/>
      </c>
      <c r="I20">
        <f ca="1">IFERROR(IF(0=LEN(ReferenceData!$I$20),"",ReferenceData!$I$20),"")</f>
        <v>4.1919351279999999</v>
      </c>
      <c r="J20">
        <f ca="1">IFERROR(IF(0=LEN(ReferenceData!$H$20),"",ReferenceData!$H$20),"")</f>
        <v>3.9451047049999999</v>
      </c>
      <c r="K20">
        <f ca="1">IFERROR(IF(0=LEN(ReferenceData!$G$20),"",ReferenceData!$G$20),"")</f>
        <v>3.5101957619999999</v>
      </c>
      <c r="L20" t="str">
        <f ca="1">IFERROR(IF(0=LEN(ReferenceData!$F$20),"",ReferenceData!$F$20),"")</f>
        <v/>
      </c>
    </row>
    <row r="21" spans="1:12" x14ac:dyDescent="0.25">
      <c r="A21" t="str">
        <f>IFERROR(IF(0=LEN(ReferenceData!$A$21),"",ReferenceData!$A$21),"")</f>
        <v xml:space="preserve">        Infosys Ltd</v>
      </c>
      <c r="B21" t="str">
        <f>IFERROR(IF(0=LEN(ReferenceData!$B$21),"",ReferenceData!$B$21),"")</f>
        <v>INFY US Equity</v>
      </c>
      <c r="C21" t="str">
        <f>IFERROR(IF(0=LEN(ReferenceData!$C$21),"",ReferenceData!$C$21),"")</f>
        <v/>
      </c>
      <c r="D21" t="str">
        <f>IFERROR(IF(0=LEN(ReferenceData!$D$21),"",ReferenceData!$D$21),"")</f>
        <v/>
      </c>
      <c r="E21" t="str">
        <f>IFERROR(IF(0=LEN(ReferenceData!$E$21),"",ReferenceData!$E$21),"")</f>
        <v>Expression</v>
      </c>
      <c r="F21">
        <f ca="1">IFERROR(IF(0=LEN(ReferenceData!$L$21),"",ReferenceData!$L$21),"")</f>
        <v>2.5811341809999999</v>
      </c>
      <c r="G21">
        <f ca="1">IFERROR(IF(0=LEN(ReferenceData!$K$21),"",ReferenceData!$K$21),"")</f>
        <v>2.4081471919999999</v>
      </c>
      <c r="H21">
        <f ca="1">IFERROR(IF(0=LEN(ReferenceData!$J$21),"",ReferenceData!$J$21),"")</f>
        <v>2.5992536959999999</v>
      </c>
      <c r="I21">
        <f ca="1">IFERROR(IF(0=LEN(ReferenceData!$I$21),"",ReferenceData!$I$21),"")</f>
        <v>3.1832252790000002</v>
      </c>
      <c r="J21">
        <f ca="1">IFERROR(IF(0=LEN(ReferenceData!$H$21),"",ReferenceData!$H$21),"")</f>
        <v>3.1635517960000001</v>
      </c>
      <c r="K21">
        <f ca="1">IFERROR(IF(0=LEN(ReferenceData!$G$21),"",ReferenceData!$G$21),"")</f>
        <v>2.4771696369999998</v>
      </c>
      <c r="L21" t="str">
        <f ca="1">IFERROR(IF(0=LEN(ReferenceData!$F$21),"",ReferenceData!$F$21),"")</f>
        <v/>
      </c>
    </row>
    <row r="22" spans="1:12" x14ac:dyDescent="0.25">
      <c r="A22" t="str">
        <f>IFERROR(IF(0=LEN(ReferenceData!$A$22),"",ReferenceData!$A$22),"")</f>
        <v>Revenue by Vertical (% of Total Revenue)</v>
      </c>
      <c r="B22" t="str">
        <f>IFERROR(IF(0=LEN(ReferenceData!$B$22),"",ReferenceData!$B$22),"")</f>
        <v/>
      </c>
      <c r="C22" t="str">
        <f>IFERROR(IF(0=LEN(ReferenceData!$C$22),"",ReferenceData!$C$22),"")</f>
        <v/>
      </c>
      <c r="D22" t="str">
        <f>IFERROR(IF(0=LEN(ReferenceData!$D$22),"",ReferenceData!$D$22),"")</f>
        <v/>
      </c>
      <c r="E22" t="str">
        <f>IFERROR(IF(0=LEN(ReferenceData!$E$22),"",ReferenceData!$E$22),"")</f>
        <v>Static</v>
      </c>
      <c r="F22" t="str">
        <f ca="1">IFERROR(IF(0=LEN(ReferenceData!$L$22),"",ReferenceData!$L$22),"")</f>
        <v/>
      </c>
      <c r="G22" t="str">
        <f ca="1">IFERROR(IF(0=LEN(ReferenceData!$K$22),"",ReferenceData!$K$22),"")</f>
        <v/>
      </c>
      <c r="H22" t="str">
        <f ca="1">IFERROR(IF(0=LEN(ReferenceData!$J$22),"",ReferenceData!$J$22),"")</f>
        <v/>
      </c>
      <c r="I22" t="str">
        <f ca="1">IFERROR(IF(0=LEN(ReferenceData!$I$22),"",ReferenceData!$I$22),"")</f>
        <v/>
      </c>
      <c r="J22" t="str">
        <f ca="1">IFERROR(IF(0=LEN(ReferenceData!$H$22),"",ReferenceData!$H$22),"")</f>
        <v/>
      </c>
      <c r="K22" t="str">
        <f ca="1">IFERROR(IF(0=LEN(ReferenceData!$G$22),"",ReferenceData!$G$22),"")</f>
        <v/>
      </c>
      <c r="L22" t="str">
        <f ca="1">IFERROR(IF(0=LEN(ReferenceData!$F$22),"",ReferenceData!$F$22),"")</f>
        <v/>
      </c>
    </row>
    <row r="23" spans="1:12" x14ac:dyDescent="0.25">
      <c r="A23" t="str">
        <f>IFERROR(IF(0=LEN(ReferenceData!$A$23),"",ReferenceData!$A$23),"")</f>
        <v xml:space="preserve">    Financial Services (BFSI)</v>
      </c>
      <c r="B23" t="str">
        <f>IFERROR(IF(0=LEN(ReferenceData!$B$23),"",ReferenceData!$B$23),"")</f>
        <v/>
      </c>
      <c r="C23" t="str">
        <f>IFERROR(IF(0=LEN(ReferenceData!$C$23),"",ReferenceData!$C$23),"")</f>
        <v/>
      </c>
      <c r="D23" t="str">
        <f>IFERROR(IF(0=LEN(ReferenceData!$D$23),"",ReferenceData!$D$23),"")</f>
        <v/>
      </c>
      <c r="E23" t="str">
        <f>IFERROR(IF(0=LEN(ReferenceData!$E$23),"",ReferenceData!$E$23),"")</f>
        <v>Heading</v>
      </c>
      <c r="F23" t="str">
        <f>IFERROR(IF(0=LEN(ReferenceData!$L$23),"",ReferenceData!$L$23),"")</f>
        <v/>
      </c>
      <c r="G23" t="str">
        <f>IFERROR(IF(0=LEN(ReferenceData!$K$23),"",ReferenceData!$K$23),"")</f>
        <v/>
      </c>
      <c r="H23" t="str">
        <f>IFERROR(IF(0=LEN(ReferenceData!$J$23),"",ReferenceData!$J$23),"")</f>
        <v/>
      </c>
      <c r="I23" t="str">
        <f>IFERROR(IF(0=LEN(ReferenceData!$I$23),"",ReferenceData!$I$23),"")</f>
        <v/>
      </c>
      <c r="J23" t="str">
        <f>IFERROR(IF(0=LEN(ReferenceData!$H$23),"",ReferenceData!$H$23),"")</f>
        <v/>
      </c>
      <c r="K23" t="str">
        <f>IFERROR(IF(0=LEN(ReferenceData!$G$23),"",ReferenceData!$G$23),"")</f>
        <v/>
      </c>
      <c r="L23" t="str">
        <f>IFERROR(IF(0=LEN(ReferenceData!$F$23),"",ReferenceData!$F$23),"")</f>
        <v/>
      </c>
    </row>
    <row r="24" spans="1:12" x14ac:dyDescent="0.25">
      <c r="A24" t="str">
        <f>IFERROR(IF(0=LEN(ReferenceData!$A$24),"",ReferenceData!$A$24),"")</f>
        <v xml:space="preserve">        Wipro Ltd</v>
      </c>
      <c r="B24" t="str">
        <f>IFERROR(IF(0=LEN(ReferenceData!$B$24),"",ReferenceData!$B$24),"")</f>
        <v>WIT US Equity</v>
      </c>
      <c r="C24" t="str">
        <f>IFERROR(IF(0=LEN(ReferenceData!$C$24),"",ReferenceData!$C$24),"")</f>
        <v/>
      </c>
      <c r="D24" t="str">
        <f>IFERROR(IF(0=LEN(ReferenceData!$D$24),"",ReferenceData!$D$24),"")</f>
        <v/>
      </c>
      <c r="E24" t="str">
        <f>IFERROR(IF(0=LEN(ReferenceData!$E$24),"",ReferenceData!$E$24),"")</f>
        <v>Expression</v>
      </c>
      <c r="F24">
        <f ca="1">IFERROR(IF(0=LEN(ReferenceData!$L$24),"",ReferenceData!$L$24),"")</f>
        <v>24.470868060000001</v>
      </c>
      <c r="G24">
        <f ca="1">IFERROR(IF(0=LEN(ReferenceData!$K$24),"",ReferenceData!$K$24),"")</f>
        <v>24.561471210000001</v>
      </c>
      <c r="H24">
        <f ca="1">IFERROR(IF(0=LEN(ReferenceData!$J$24),"",ReferenceData!$J$24),"")</f>
        <v>26.3</v>
      </c>
      <c r="I24">
        <f ca="1">IFERROR(IF(0=LEN(ReferenceData!$I$24),"",ReferenceData!$I$24),"")</f>
        <v>25.7</v>
      </c>
      <c r="J24">
        <f ca="1">IFERROR(IF(0=LEN(ReferenceData!$H$24),"",ReferenceData!$H$24),"")</f>
        <v>28.1</v>
      </c>
      <c r="K24">
        <f ca="1">IFERROR(IF(0=LEN(ReferenceData!$G$24),"",ReferenceData!$G$24),"")</f>
        <v>30.9</v>
      </c>
      <c r="L24" t="str">
        <f ca="1">IFERROR(IF(0=LEN(ReferenceData!$F$24),"",ReferenceData!$F$24),"")</f>
        <v/>
      </c>
    </row>
    <row r="25" spans="1:12" x14ac:dyDescent="0.25">
      <c r="A25" t="str">
        <f>IFERROR(IF(0=LEN(ReferenceData!$A$25),"",ReferenceData!$A$25),"")</f>
        <v xml:space="preserve">    Health Care &amp; Life Sciences</v>
      </c>
      <c r="B25" t="str">
        <f>IFERROR(IF(0=LEN(ReferenceData!$B$25),"",ReferenceData!$B$25),"")</f>
        <v/>
      </c>
      <c r="C25" t="str">
        <f>IFERROR(IF(0=LEN(ReferenceData!$C$25),"",ReferenceData!$C$25),"")</f>
        <v/>
      </c>
      <c r="D25" t="str">
        <f>IFERROR(IF(0=LEN(ReferenceData!$D$25),"",ReferenceData!$D$25),"")</f>
        <v/>
      </c>
      <c r="E25" t="str">
        <f>IFERROR(IF(0=LEN(ReferenceData!$E$25),"",ReferenceData!$E$25),"")</f>
        <v>Heading</v>
      </c>
      <c r="F25" t="str">
        <f>IFERROR(IF(0=LEN(ReferenceData!$L$25),"",ReferenceData!$L$25),"")</f>
        <v/>
      </c>
      <c r="G25" t="str">
        <f>IFERROR(IF(0=LEN(ReferenceData!$K$25),"",ReferenceData!$K$25),"")</f>
        <v/>
      </c>
      <c r="H25" t="str">
        <f>IFERROR(IF(0=LEN(ReferenceData!$J$25),"",ReferenceData!$J$25),"")</f>
        <v/>
      </c>
      <c r="I25" t="str">
        <f>IFERROR(IF(0=LEN(ReferenceData!$I$25),"",ReferenceData!$I$25),"")</f>
        <v/>
      </c>
      <c r="J25" t="str">
        <f>IFERROR(IF(0=LEN(ReferenceData!$H$25),"",ReferenceData!$H$25),"")</f>
        <v/>
      </c>
      <c r="K25" t="str">
        <f>IFERROR(IF(0=LEN(ReferenceData!$G$25),"",ReferenceData!$G$25),"")</f>
        <v/>
      </c>
      <c r="L25" t="str">
        <f>IFERROR(IF(0=LEN(ReferenceData!$F$25),"",ReferenceData!$F$25),"")</f>
        <v/>
      </c>
    </row>
    <row r="26" spans="1:12" x14ac:dyDescent="0.25">
      <c r="A26" t="str">
        <f>IFERROR(IF(0=LEN(ReferenceData!$A$26),"",ReferenceData!$A$26),"")</f>
        <v xml:space="preserve">        Wipro Ltd</v>
      </c>
      <c r="B26" t="str">
        <f>IFERROR(IF(0=LEN(ReferenceData!$B$26),"",ReferenceData!$B$26),"")</f>
        <v>WIT US Equity</v>
      </c>
      <c r="C26" t="str">
        <f>IFERROR(IF(0=LEN(ReferenceData!$C$26),"",ReferenceData!$C$26),"")</f>
        <v/>
      </c>
      <c r="D26" t="str">
        <f>IFERROR(IF(0=LEN(ReferenceData!$D$26),"",ReferenceData!$D$26),"")</f>
        <v/>
      </c>
      <c r="E26" t="str">
        <f>IFERROR(IF(0=LEN(ReferenceData!$E$26),"",ReferenceData!$E$26),"")</f>
        <v>Expression</v>
      </c>
      <c r="F26">
        <f ca="1">IFERROR(IF(0=LEN(ReferenceData!$L$26),"",ReferenceData!$L$26),"")</f>
        <v>24.470868060000001</v>
      </c>
      <c r="G26">
        <f ca="1">IFERROR(IF(0=LEN(ReferenceData!$K$26),"",ReferenceData!$K$26),"")</f>
        <v>24.561471210000001</v>
      </c>
      <c r="H26">
        <f ca="1">IFERROR(IF(0=LEN(ReferenceData!$J$26),"",ReferenceData!$J$26),"")</f>
        <v>26.3</v>
      </c>
      <c r="I26">
        <f ca="1">IFERROR(IF(0=LEN(ReferenceData!$I$26),"",ReferenceData!$I$26),"")</f>
        <v>25.7</v>
      </c>
      <c r="J26">
        <f ca="1">IFERROR(IF(0=LEN(ReferenceData!$H$26),"",ReferenceData!$H$26),"")</f>
        <v>28.1</v>
      </c>
      <c r="K26">
        <f ca="1">IFERROR(IF(0=LEN(ReferenceData!$G$26),"",ReferenceData!$G$26),"")</f>
        <v>30.9</v>
      </c>
      <c r="L26" t="str">
        <f ca="1">IFERROR(IF(0=LEN(ReferenceData!$F$26),"",ReferenceData!$F$26),"")</f>
        <v/>
      </c>
    </row>
    <row r="27" spans="1:12" x14ac:dyDescent="0.25">
      <c r="A27" t="str">
        <f>IFERROR(IF(0=LEN(ReferenceData!$A$27),"",ReferenceData!$A$27),"")</f>
        <v xml:space="preserve">        Infosys Ltd</v>
      </c>
      <c r="B27" t="str">
        <f>IFERROR(IF(0=LEN(ReferenceData!$B$27),"",ReferenceData!$B$27),"")</f>
        <v>INFY US Equity</v>
      </c>
      <c r="C27" t="str">
        <f>IFERROR(IF(0=LEN(ReferenceData!$C$27),"",ReferenceData!$C$27),"")</f>
        <v/>
      </c>
      <c r="D27" t="str">
        <f>IFERROR(IF(0=LEN(ReferenceData!$D$27),"",ReferenceData!$D$27),"")</f>
        <v/>
      </c>
      <c r="E27" t="str">
        <f>IFERROR(IF(0=LEN(ReferenceData!$E$27),"",ReferenceData!$E$27),"")</f>
        <v>Expression</v>
      </c>
      <c r="F27">
        <f ca="1">IFERROR(IF(0=LEN(ReferenceData!$L$27),"",ReferenceData!$L$27),"")</f>
        <v>6.7999940280000004</v>
      </c>
      <c r="G27">
        <f ca="1">IFERROR(IF(0=LEN(ReferenceData!$K$27),"",ReferenceData!$K$27),"")</f>
        <v>6.8000000070000004</v>
      </c>
      <c r="H27">
        <f ca="1">IFERROR(IF(0=LEN(ReferenceData!$J$27),"",ReferenceData!$J$27),"")</f>
        <v>7.7000016059999998</v>
      </c>
      <c r="I27">
        <f ca="1">IFERROR(IF(0=LEN(ReferenceData!$I$27),"",ReferenceData!$I$27),"")</f>
        <v>6.6999941390000002</v>
      </c>
      <c r="J27" t="str">
        <f ca="1">IFERROR(IF(0=LEN(ReferenceData!$H$27),"",ReferenceData!$H$27),"")</f>
        <v/>
      </c>
      <c r="K27" t="str">
        <f ca="1">IFERROR(IF(0=LEN(ReferenceData!$G$27),"",ReferenceData!$G$27),"")</f>
        <v/>
      </c>
      <c r="L27" t="str">
        <f ca="1">IFERROR(IF(0=LEN(ReferenceData!$F$27),"",ReferenceData!$F$27),"")</f>
        <v/>
      </c>
    </row>
    <row r="28" spans="1:12" x14ac:dyDescent="0.25">
      <c r="A28" t="str">
        <f>IFERROR(IF(0=LEN(ReferenceData!$A$28),"",ReferenceData!$A$28),"")</f>
        <v xml:space="preserve">        Tata Consultancy Services Ltd</v>
      </c>
      <c r="B28" t="str">
        <f>IFERROR(IF(0=LEN(ReferenceData!$B$28),"",ReferenceData!$B$28),"")</f>
        <v>TCS IN Equity</v>
      </c>
      <c r="C28" t="str">
        <f>IFERROR(IF(0=LEN(ReferenceData!$C$28),"",ReferenceData!$C$28),"")</f>
        <v/>
      </c>
      <c r="D28" t="str">
        <f>IFERROR(IF(0=LEN(ReferenceData!$D$28),"",ReferenceData!$D$28),"")</f>
        <v/>
      </c>
      <c r="E28" t="str">
        <f>IFERROR(IF(0=LEN(ReferenceData!$E$28),"",ReferenceData!$E$28),"")</f>
        <v>Expression</v>
      </c>
      <c r="F28">
        <f ca="1">IFERROR(IF(0=LEN(ReferenceData!$L$28),"",ReferenceData!$L$28),"")</f>
        <v>5.7999999979999997</v>
      </c>
      <c r="G28">
        <f ca="1">IFERROR(IF(0=LEN(ReferenceData!$K$28),"",ReferenceData!$K$28),"")</f>
        <v>6.3999997449999997</v>
      </c>
      <c r="H28">
        <f ca="1">IFERROR(IF(0=LEN(ReferenceData!$J$28),"",ReferenceData!$J$28),"")</f>
        <v>7.1000137250000002</v>
      </c>
      <c r="I28">
        <f ca="1">IFERROR(IF(0=LEN(ReferenceData!$I$28),"",ReferenceData!$I$28),"")</f>
        <v>7.4999999979999998</v>
      </c>
      <c r="J28">
        <f ca="1">IFERROR(IF(0=LEN(ReferenceData!$H$28),"",ReferenceData!$H$28),"")</f>
        <v>7.2000000010000003</v>
      </c>
      <c r="K28">
        <f ca="1">IFERROR(IF(0=LEN(ReferenceData!$G$28),"",ReferenceData!$G$28),"")</f>
        <v>7.4999999979999998</v>
      </c>
      <c r="L28" t="str">
        <f ca="1">IFERROR(IF(0=LEN(ReferenceData!$F$28),"",ReferenceData!$F$28),"")</f>
        <v/>
      </c>
    </row>
    <row r="29" spans="1:12" x14ac:dyDescent="0.25">
      <c r="A29" t="str">
        <f>IFERROR(IF(0=LEN(ReferenceData!$A$29),"",ReferenceData!$A$29),"")</f>
        <v>Revenue Metrics:</v>
      </c>
      <c r="B29" t="str">
        <f>IFERROR(IF(0=LEN(ReferenceData!$B$29),"",ReferenceData!$B$29),"")</f>
        <v/>
      </c>
      <c r="C29" t="str">
        <f>IFERROR(IF(0=LEN(ReferenceData!$C$29),"",ReferenceData!$C$29),"")</f>
        <v/>
      </c>
      <c r="D29" t="str">
        <f>IFERROR(IF(0=LEN(ReferenceData!$D$29),"",ReferenceData!$D$29),"")</f>
        <v/>
      </c>
      <c r="E29" t="str">
        <f>IFERROR(IF(0=LEN(ReferenceData!$E$29),"",ReferenceData!$E$29),"")</f>
        <v>Heading</v>
      </c>
      <c r="F29" t="str">
        <f>IFERROR(IF(0=LEN(ReferenceData!$L$29),"",ReferenceData!$L$29),"")</f>
        <v/>
      </c>
      <c r="G29" t="str">
        <f>IFERROR(IF(0=LEN(ReferenceData!$K$29),"",ReferenceData!$K$29),"")</f>
        <v/>
      </c>
      <c r="H29" t="str">
        <f>IFERROR(IF(0=LEN(ReferenceData!$J$29),"",ReferenceData!$J$29),"")</f>
        <v/>
      </c>
      <c r="I29" t="str">
        <f>IFERROR(IF(0=LEN(ReferenceData!$I$29),"",ReferenceData!$I$29),"")</f>
        <v/>
      </c>
      <c r="J29" t="str">
        <f>IFERROR(IF(0=LEN(ReferenceData!$H$29),"",ReferenceData!$H$29),"")</f>
        <v/>
      </c>
      <c r="K29" t="str">
        <f>IFERROR(IF(0=LEN(ReferenceData!$G$29),"",ReferenceData!$G$29),"")</f>
        <v/>
      </c>
      <c r="L29" t="str">
        <f>IFERROR(IF(0=LEN(ReferenceData!$F$29),"",ReferenceData!$F$29),"")</f>
        <v/>
      </c>
    </row>
    <row r="30" spans="1:12" x14ac:dyDescent="0.25">
      <c r="A30" t="str">
        <f>IFERROR(IF(0=LEN(ReferenceData!$A$30),"",ReferenceData!$A$30),"")</f>
        <v>Revenue Growth QoQ (Reported)</v>
      </c>
      <c r="B30" t="str">
        <f>IFERROR(IF(0=LEN(ReferenceData!$B$30),"",ReferenceData!$B$30),"")</f>
        <v/>
      </c>
      <c r="C30" t="str">
        <f>IFERROR(IF(0=LEN(ReferenceData!$C$30),"",ReferenceData!$C$30),"")</f>
        <v/>
      </c>
      <c r="D30" t="str">
        <f>IFERROR(IF(0=LEN(ReferenceData!$D$30),"",ReferenceData!$D$30),"")</f>
        <v/>
      </c>
      <c r="E30" t="str">
        <f>IFERROR(IF(0=LEN(ReferenceData!$E$30),"",ReferenceData!$E$30),"")</f>
        <v>Average</v>
      </c>
      <c r="F30">
        <f ca="1">IFERROR(IF(0=LEN(ReferenceData!$L$30),"",ReferenceData!$L$30),"")</f>
        <v>18.334436468636365</v>
      </c>
      <c r="G30">
        <f ca="1">IFERROR(IF(0=LEN(ReferenceData!$K$30),"",ReferenceData!$K$30),"")</f>
        <v>2.1826367089999996</v>
      </c>
      <c r="H30">
        <f ca="1">IFERROR(IF(0=LEN(ReferenceData!$J$30),"",ReferenceData!$J$30),"")</f>
        <v>6.9634987493000011</v>
      </c>
      <c r="I30">
        <f ca="1">IFERROR(IF(0=LEN(ReferenceData!$I$30),"",ReferenceData!$I$30),"")</f>
        <v>7.6452287456363646</v>
      </c>
      <c r="J30">
        <f ca="1">IFERROR(IF(0=LEN(ReferenceData!$H$30),"",ReferenceData!$H$30),"")</f>
        <v>2.7360314546</v>
      </c>
      <c r="K30">
        <f ca="1">IFERROR(IF(0=LEN(ReferenceData!$G$30),"",ReferenceData!$G$30),"")</f>
        <v>7.4959636762000006</v>
      </c>
      <c r="L30">
        <f ca="1">IFERROR(IF(0=LEN(ReferenceData!$F$30),"",ReferenceData!$F$30),"")</f>
        <v>6.3784260916999997</v>
      </c>
    </row>
    <row r="31" spans="1:12" x14ac:dyDescent="0.25">
      <c r="A31" t="str">
        <f>IFERROR(IF(0=LEN(ReferenceData!$A$31),"",ReferenceData!$A$31),"")</f>
        <v xml:space="preserve">    Accenture PLC</v>
      </c>
      <c r="B31" t="str">
        <f>IFERROR(IF(0=LEN(ReferenceData!$B$31),"",ReferenceData!$B$31),"")</f>
        <v>ACN US Equity</v>
      </c>
      <c r="C31" t="str">
        <f>IFERROR(IF(0=LEN(ReferenceData!$C$31),"",ReferenceData!$C$31),"")</f>
        <v>F0486</v>
      </c>
      <c r="D31" t="str">
        <f>IFERROR(IF(0=LEN(ReferenceData!$D$31),"",ReferenceData!$D$31),"")</f>
        <v>REVENUE_SEQUENTIAL_GROWTH</v>
      </c>
      <c r="E31" t="str">
        <f>IFERROR(IF(0=LEN(ReferenceData!$E$31),"",ReferenceData!$E$31),"")</f>
        <v>Dynamic</v>
      </c>
      <c r="F31">
        <f ca="1">IFERROR(IF(0=LEN(ReferenceData!$L$31),"",ReferenceData!$L$31),"")</f>
        <v>2.069649777</v>
      </c>
      <c r="G31">
        <f ca="1">IFERROR(IF(0=LEN(ReferenceData!$K$31),"",ReferenceData!$K$31),"")</f>
        <v>4.8706294620000001</v>
      </c>
      <c r="H31">
        <f ca="1">IFERROR(IF(0=LEN(ReferenceData!$J$31),"",ReferenceData!$J$31),"")</f>
        <v>3.261981188</v>
      </c>
      <c r="I31">
        <f ca="1">IFERROR(IF(0=LEN(ReferenceData!$I$31),"",ReferenceData!$I$31),"")</f>
        <v>5.7216161520000002</v>
      </c>
      <c r="J31">
        <f ca="1">IFERROR(IF(0=LEN(ReferenceData!$H$31),"",ReferenceData!$H$31),"")</f>
        <v>5.6550266410000001</v>
      </c>
      <c r="K31">
        <f ca="1">IFERROR(IF(0=LEN(ReferenceData!$G$31),"",ReferenceData!$G$31),"")</f>
        <v>11.497350859999999</v>
      </c>
      <c r="L31">
        <f ca="1">IFERROR(IF(0=LEN(ReferenceData!$F$31),"",ReferenceData!$F$31),"")</f>
        <v>5.4216677600000001</v>
      </c>
    </row>
    <row r="32" spans="1:12" x14ac:dyDescent="0.25">
      <c r="A32" t="str">
        <f>IFERROR(IF(0=LEN(ReferenceData!$A$32),"",ReferenceData!$A$32),"")</f>
        <v xml:space="preserve">    AtoS</v>
      </c>
      <c r="B32" t="str">
        <f>IFERROR(IF(0=LEN(ReferenceData!$B$32),"",ReferenceData!$B$32),"")</f>
        <v>ATO FP Equity</v>
      </c>
      <c r="C32" t="str">
        <f>IFERROR(IF(0=LEN(ReferenceData!$C$32),"",ReferenceData!$C$32),"")</f>
        <v>F0486</v>
      </c>
      <c r="D32" t="str">
        <f>IFERROR(IF(0=LEN(ReferenceData!$D$32),"",ReferenceData!$D$32),"")</f>
        <v>REVENUE_SEQUENTIAL_GROWTH</v>
      </c>
      <c r="E32" t="str">
        <f>IFERROR(IF(0=LEN(ReferenceData!$E$32),"",ReferenceData!$E$32),"")</f>
        <v>Dynamic</v>
      </c>
      <c r="F32">
        <f ca="1">IFERROR(IF(0=LEN(ReferenceData!$L$32),"",ReferenceData!$L$32),"")</f>
        <v>-2.5971529690000001</v>
      </c>
      <c r="G32">
        <f ca="1">IFERROR(IF(0=LEN(ReferenceData!$K$32),"",ReferenceData!$K$32),"")</f>
        <v>5.0681401340000001</v>
      </c>
      <c r="H32">
        <f ca="1">IFERROR(IF(0=LEN(ReferenceData!$J$32),"",ReferenceData!$J$32),"")</f>
        <v>18.056169350000001</v>
      </c>
      <c r="I32">
        <f ca="1">IFERROR(IF(0=LEN(ReferenceData!$I$32),"",ReferenceData!$I$32),"")</f>
        <v>13.59037949</v>
      </c>
      <c r="J32">
        <f ca="1">IFERROR(IF(0=LEN(ReferenceData!$H$32),"",ReferenceData!$H$32),"")</f>
        <v>-1.167436994</v>
      </c>
      <c r="K32">
        <f ca="1">IFERROR(IF(0=LEN(ReferenceData!$G$32),"",ReferenceData!$G$32),"")</f>
        <v>-11.23707903</v>
      </c>
      <c r="L32">
        <f ca="1">IFERROR(IF(0=LEN(ReferenceData!$F$32),"",ReferenceData!$F$32),"")</f>
        <v>8.827948911</v>
      </c>
    </row>
    <row r="33" spans="1:12" x14ac:dyDescent="0.25">
      <c r="A33" t="str">
        <f>IFERROR(IF(0=LEN(ReferenceData!$A$33),"",ReferenceData!$A$33),"")</f>
        <v xml:space="preserve">    Capgemini</v>
      </c>
      <c r="B33" t="str">
        <f>IFERROR(IF(0=LEN(ReferenceData!$B$33),"",ReferenceData!$B$33),"")</f>
        <v>CAP FP Equity</v>
      </c>
      <c r="C33" t="str">
        <f>IFERROR(IF(0=LEN(ReferenceData!$C$33),"",ReferenceData!$C$33),"")</f>
        <v>F0486</v>
      </c>
      <c r="D33" t="str">
        <f>IFERROR(IF(0=LEN(ReferenceData!$D$33),"",ReferenceData!$D$33),"")</f>
        <v>REVENUE_SEQUENTIAL_GROWTH</v>
      </c>
      <c r="E33" t="str">
        <f>IFERROR(IF(0=LEN(ReferenceData!$E$33),"",ReferenceData!$E$33),"")</f>
        <v>Dynamic</v>
      </c>
      <c r="F33">
        <f ca="1">IFERROR(IF(0=LEN(ReferenceData!$L$33),"",ReferenceData!$L$33),"")</f>
        <v>-1.6757599379999999</v>
      </c>
      <c r="G33">
        <f ca="1">IFERROR(IF(0=LEN(ReferenceData!$K$33),"",ReferenceData!$K$33),"")</f>
        <v>4.7661514069999997</v>
      </c>
      <c r="H33">
        <f ca="1">IFERROR(IF(0=LEN(ReferenceData!$J$33),"",ReferenceData!$J$33),"")</f>
        <v>12.692707840000001</v>
      </c>
      <c r="I33">
        <f ca="1">IFERROR(IF(0=LEN(ReferenceData!$I$33),"",ReferenceData!$I$33),"")</f>
        <v>5.2370960970000002</v>
      </c>
      <c r="J33">
        <f ca="1">IFERROR(IF(0=LEN(ReferenceData!$H$33),"",ReferenceData!$H$33),"")</f>
        <v>-0.11165164700000001</v>
      </c>
      <c r="K33">
        <f ca="1">IFERROR(IF(0=LEN(ReferenceData!$G$33),"",ReferenceData!$G$33),"")</f>
        <v>5.3652694609999996</v>
      </c>
      <c r="L33">
        <f ca="1">IFERROR(IF(0=LEN(ReferenceData!$F$33),"",ReferenceData!$F$33),"")</f>
        <v>7.0319011900000001</v>
      </c>
    </row>
    <row r="34" spans="1:12" x14ac:dyDescent="0.25">
      <c r="A34" t="str">
        <f>IFERROR(IF(0=LEN(ReferenceData!$A$34),"",ReferenceData!$A$34),"")</f>
        <v xml:space="preserve">    CGI Group Inc</v>
      </c>
      <c r="B34" t="str">
        <f>IFERROR(IF(0=LEN(ReferenceData!$B$34),"",ReferenceData!$B$34),"")</f>
        <v>GIB US Equity</v>
      </c>
      <c r="C34" t="str">
        <f>IFERROR(IF(0=LEN(ReferenceData!$C$34),"",ReferenceData!$C$34),"")</f>
        <v>F0486</v>
      </c>
      <c r="D34" t="str">
        <f>IFERROR(IF(0=LEN(ReferenceData!$D$34),"",ReferenceData!$D$34),"")</f>
        <v>REVENUE_SEQUENTIAL_GROWTH</v>
      </c>
      <c r="E34" t="str">
        <f>IFERROR(IF(0=LEN(ReferenceData!$E$34),"",ReferenceData!$E$34),"")</f>
        <v>Dynamic</v>
      </c>
      <c r="F34">
        <f ca="1">IFERROR(IF(0=LEN(ReferenceData!$L$34),"",ReferenceData!$L$34),"")</f>
        <v>111.3089828</v>
      </c>
      <c r="G34">
        <f ca="1">IFERROR(IF(0=LEN(ReferenceData!$K$34),"",ReferenceData!$K$34),"")</f>
        <v>4.1158500309999999</v>
      </c>
      <c r="H34">
        <f ca="1">IFERROR(IF(0=LEN(ReferenceData!$J$34),"",ReferenceData!$J$34),"")</f>
        <v>-2.0247832030000001</v>
      </c>
      <c r="I34">
        <f ca="1">IFERROR(IF(0=LEN(ReferenceData!$I$34),"",ReferenceData!$I$34),"")</f>
        <v>3.8511160000000002</v>
      </c>
      <c r="J34">
        <f ca="1">IFERROR(IF(0=LEN(ReferenceData!$H$34),"",ReferenceData!$H$34),"")</f>
        <v>1.5145371299999999</v>
      </c>
      <c r="K34">
        <f ca="1">IFERROR(IF(0=LEN(ReferenceData!$G$34),"",ReferenceData!$G$34),"")</f>
        <v>6.1019361249999999</v>
      </c>
      <c r="L34">
        <f ca="1">IFERROR(IF(0=LEN(ReferenceData!$F$34),"",ReferenceData!$F$34),"")</f>
        <v>5.2526305039999999</v>
      </c>
    </row>
    <row r="35" spans="1:12" x14ac:dyDescent="0.25">
      <c r="A35" t="str">
        <f>IFERROR(IF(0=LEN(ReferenceData!$A$35),"",ReferenceData!$A$35),"")</f>
        <v xml:space="preserve">    Cognizant Technology Solutions</v>
      </c>
      <c r="B35" t="str">
        <f>IFERROR(IF(0=LEN(ReferenceData!$B$35),"",ReferenceData!$B$35),"")</f>
        <v>CTSH US Equity</v>
      </c>
      <c r="C35" t="str">
        <f>IFERROR(IF(0=LEN(ReferenceData!$C$35),"",ReferenceData!$C$35),"")</f>
        <v>F0486</v>
      </c>
      <c r="D35" t="str">
        <f>IFERROR(IF(0=LEN(ReferenceData!$D$35),"",ReferenceData!$D$35),"")</f>
        <v>REVENUE_SEQUENTIAL_GROWTH</v>
      </c>
      <c r="E35" t="str">
        <f>IFERROR(IF(0=LEN(ReferenceData!$E$35),"",ReferenceData!$E$35),"")</f>
        <v>Dynamic</v>
      </c>
      <c r="F35">
        <f ca="1">IFERROR(IF(0=LEN(ReferenceData!$L$35),"",ReferenceData!$L$35),"")</f>
        <v>20.373275769999999</v>
      </c>
      <c r="G35">
        <f ca="1">IFERROR(IF(0=LEN(ReferenceData!$K$35),"",ReferenceData!$K$35),"")</f>
        <v>16.05202603</v>
      </c>
      <c r="H35">
        <f ca="1">IFERROR(IF(0=LEN(ReferenceData!$J$35),"",ReferenceData!$J$35),"")</f>
        <v>20.981807910000001</v>
      </c>
      <c r="I35">
        <f ca="1">IFERROR(IF(0=LEN(ReferenceData!$I$35),"",ReferenceData!$I$35),"")</f>
        <v>8.6259664950000001</v>
      </c>
      <c r="J35">
        <f ca="1">IFERROR(IF(0=LEN(ReferenceData!$H$35),"",ReferenceData!$H$35),"")</f>
        <v>9.8094461329999998</v>
      </c>
      <c r="K35">
        <f ca="1">IFERROR(IF(0=LEN(ReferenceData!$G$35),"",ReferenceData!$G$35),"")</f>
        <v>8.8791357190000006</v>
      </c>
      <c r="L35">
        <f ca="1">IFERROR(IF(0=LEN(ReferenceData!$F$35),"",ReferenceData!$F$35),"")</f>
        <v>4.0806201550000001</v>
      </c>
    </row>
    <row r="36" spans="1:12" x14ac:dyDescent="0.25">
      <c r="A36" t="str">
        <f>IFERROR(IF(0=LEN(ReferenceData!$A$36),"",ReferenceData!$A$36),"")</f>
        <v xml:space="preserve">    Computer Sciences Corp</v>
      </c>
      <c r="B36" t="str">
        <f>IFERROR(IF(0=LEN(ReferenceData!$B$36),"",ReferenceData!$B$36),"")</f>
        <v>CSC US Equity</v>
      </c>
      <c r="C36" t="str">
        <f>IFERROR(IF(0=LEN(ReferenceData!$C$36),"",ReferenceData!$C$36),"")</f>
        <v>F0486</v>
      </c>
      <c r="D36" t="str">
        <f>IFERROR(IF(0=LEN(ReferenceData!$D$36),"",ReferenceData!$D$36),"")</f>
        <v>REVENUE_SEQUENTIAL_GROWTH</v>
      </c>
      <c r="E36" t="str">
        <f>IFERROR(IF(0=LEN(ReferenceData!$E$36),"",ReferenceData!$E$36),"")</f>
        <v>Dynamic</v>
      </c>
      <c r="F36">
        <f ca="1">IFERROR(IF(0=LEN(ReferenceData!$L$36),"",ReferenceData!$L$36),"")</f>
        <v>-8.4325466710000008</v>
      </c>
      <c r="G36">
        <f ca="1">IFERROR(IF(0=LEN(ReferenceData!$K$36),"",ReferenceData!$K$36),"")</f>
        <v>-37.551931070000002</v>
      </c>
      <c r="H36">
        <f ca="1">IFERROR(IF(0=LEN(ReferenceData!$J$36),"",ReferenceData!$J$36),"")</f>
        <v>-12.455340639999999</v>
      </c>
      <c r="I36">
        <f ca="1">IFERROR(IF(0=LEN(ReferenceData!$I$36),"",ReferenceData!$I$36),"")</f>
        <v>7.050379961</v>
      </c>
      <c r="J36" t="str">
        <f ca="1">IFERROR(IF(0=LEN(ReferenceData!$H$36),"",ReferenceData!$H$36),"")</f>
        <v/>
      </c>
      <c r="K36" t="str">
        <f ca="1">IFERROR(IF(0=LEN(ReferenceData!$G$36),"",ReferenceData!$G$36),"")</f>
        <v/>
      </c>
      <c r="L36" t="str">
        <f ca="1">IFERROR(IF(0=LEN(ReferenceData!$F$36),"",ReferenceData!$F$36),"")</f>
        <v/>
      </c>
    </row>
    <row r="37" spans="1:12" x14ac:dyDescent="0.25">
      <c r="A37" t="str">
        <f>IFERROR(IF(0=LEN(ReferenceData!$A$37),"",ReferenceData!$A$37),"")</f>
        <v xml:space="preserve">    HCL Technologies Ltd</v>
      </c>
      <c r="B37" t="str">
        <f>IFERROR(IF(0=LEN(ReferenceData!$B$37),"",ReferenceData!$B$37),"")</f>
        <v>HCLT IN Equity</v>
      </c>
      <c r="C37" t="str">
        <f>IFERROR(IF(0=LEN(ReferenceData!$C$37),"",ReferenceData!$C$37),"")</f>
        <v>F0486</v>
      </c>
      <c r="D37" t="str">
        <f>IFERROR(IF(0=LEN(ReferenceData!$D$37),"",ReferenceData!$D$37),"")</f>
        <v>REVENUE_SEQUENTIAL_GROWTH</v>
      </c>
      <c r="E37" t="str">
        <f>IFERROR(IF(0=LEN(ReferenceData!$E$37),"",ReferenceData!$E$37),"")</f>
        <v>Dynamic</v>
      </c>
      <c r="F37">
        <f ca="1">IFERROR(IF(0=LEN(ReferenceData!$L$37),"",ReferenceData!$L$37),"")</f>
        <v>14.86114967</v>
      </c>
      <c r="G37" t="str">
        <f ca="1">IFERROR(IF(0=LEN(ReferenceData!$K$37),"",ReferenceData!$K$37),"")</f>
        <v/>
      </c>
      <c r="H37" t="str">
        <f ca="1">IFERROR(IF(0=LEN(ReferenceData!$J$37),"",ReferenceData!$J$37),"")</f>
        <v/>
      </c>
      <c r="I37">
        <f ca="1">IFERROR(IF(0=LEN(ReferenceData!$I$37),"",ReferenceData!$I$37),"")</f>
        <v>16.585612229999999</v>
      </c>
      <c r="J37">
        <f ca="1">IFERROR(IF(0=LEN(ReferenceData!$H$37),"",ReferenceData!$H$37),"")</f>
        <v>6.309913506</v>
      </c>
      <c r="K37">
        <f ca="1">IFERROR(IF(0=LEN(ReferenceData!$G$37),"",ReferenceData!$G$37),"")</f>
        <v>10.053998350000001</v>
      </c>
      <c r="L37">
        <f ca="1">IFERROR(IF(0=LEN(ReferenceData!$F$37),"",ReferenceData!$F$37),"")</f>
        <v>15.10124647</v>
      </c>
    </row>
    <row r="38" spans="1:12" x14ac:dyDescent="0.25">
      <c r="A38" t="str">
        <f>IFERROR(IF(0=LEN(ReferenceData!$A$38),"",ReferenceData!$A$38),"")</f>
        <v xml:space="preserve">    Infosys Ltd</v>
      </c>
      <c r="B38" t="str">
        <f>IFERROR(IF(0=LEN(ReferenceData!$B$38),"",ReferenceData!$B$38),"")</f>
        <v>INFY US Equity</v>
      </c>
      <c r="C38" t="str">
        <f>IFERROR(IF(0=LEN(ReferenceData!$C$38),"",ReferenceData!$C$38),"")</f>
        <v>F0486</v>
      </c>
      <c r="D38" t="str">
        <f>IFERROR(IF(0=LEN(ReferenceData!$D$38),"",ReferenceData!$D$38),"")</f>
        <v>REVENUE_SEQUENTIAL_GROWTH</v>
      </c>
      <c r="E38" t="str">
        <f>IFERROR(IF(0=LEN(ReferenceData!$E$38),"",ReferenceData!$E$38),"")</f>
        <v>Dynamic</v>
      </c>
      <c r="F38">
        <f ca="1">IFERROR(IF(0=LEN(ReferenceData!$L$38),"",ReferenceData!$L$38),"")</f>
        <v>24.239195079999998</v>
      </c>
      <c r="G38">
        <f ca="1">IFERROR(IF(0=LEN(ReferenceData!$K$38),"",ReferenceData!$K$38),"")</f>
        <v>6.355095446</v>
      </c>
      <c r="H38">
        <f ca="1">IFERROR(IF(0=LEN(ReferenceData!$J$38),"",ReferenceData!$J$38),"")</f>
        <v>17.108347869999999</v>
      </c>
      <c r="I38">
        <f ca="1">IFERROR(IF(0=LEN(ReferenceData!$I$38),"",ReferenceData!$I$38),"")</f>
        <v>9.6779359720000002</v>
      </c>
      <c r="J38">
        <f ca="1">IFERROR(IF(0=LEN(ReferenceData!$H$38),"",ReferenceData!$H$38),"")</f>
        <v>2.9758775769999999</v>
      </c>
      <c r="K38">
        <f ca="1">IFERROR(IF(0=LEN(ReferenceData!$G$38),"",ReferenceData!$G$38),"")</f>
        <v>17.23292022</v>
      </c>
      <c r="L38">
        <f ca="1">IFERROR(IF(0=LEN(ReferenceData!$F$38),"",ReferenceData!$F$38),"")</f>
        <v>9.8167523439999993</v>
      </c>
    </row>
    <row r="39" spans="1:12" x14ac:dyDescent="0.25">
      <c r="A39" t="str">
        <f>IFERROR(IF(0=LEN(ReferenceData!$A$39),"",ReferenceData!$A$39),"")</f>
        <v xml:space="preserve">    International Business Machine</v>
      </c>
      <c r="B39" t="str">
        <f>IFERROR(IF(0=LEN(ReferenceData!$B$39),"",ReferenceData!$B$39),"")</f>
        <v>IBM US Equity</v>
      </c>
      <c r="C39" t="str">
        <f>IFERROR(IF(0=LEN(ReferenceData!$C$39),"",ReferenceData!$C$39),"")</f>
        <v>F0486</v>
      </c>
      <c r="D39" t="str">
        <f>IFERROR(IF(0=LEN(ReferenceData!$D$39),"",ReferenceData!$D$39),"")</f>
        <v>REVENUE_SEQUENTIAL_GROWTH</v>
      </c>
      <c r="E39" t="str">
        <f>IFERROR(IF(0=LEN(ReferenceData!$E$39),"",ReferenceData!$E$39),"")</f>
        <v>Dynamic</v>
      </c>
      <c r="F39">
        <f ca="1">IFERROR(IF(0=LEN(ReferenceData!$L$39),"",ReferenceData!$L$39),"")</f>
        <v>-4.3810875439999997</v>
      </c>
      <c r="G39">
        <f ca="1">IFERROR(IF(0=LEN(ReferenceData!$K$39),"",ReferenceData!$K$39),"")</f>
        <v>-5.6665345089999999</v>
      </c>
      <c r="H39">
        <f ca="1">IFERROR(IF(0=LEN(ReferenceData!$J$39),"",ReferenceData!$J$39),"")</f>
        <v>-11.910381170000001</v>
      </c>
      <c r="I39">
        <f ca="1">IFERROR(IF(0=LEN(ReferenceData!$I$39),"",ReferenceData!$I$39),"")</f>
        <v>-2.2289915709999999</v>
      </c>
      <c r="J39">
        <f ca="1">IFERROR(IF(0=LEN(ReferenceData!$H$39),"",ReferenceData!$H$39),"")</f>
        <v>-0.97598818799999998</v>
      </c>
      <c r="K39">
        <f ca="1">IFERROR(IF(0=LEN(ReferenceData!$G$39),"",ReferenceData!$G$39),"")</f>
        <v>0.57114696899999995</v>
      </c>
      <c r="L39">
        <f ca="1">IFERROR(IF(0=LEN(ReferenceData!$F$39),"",ReferenceData!$F$39),"")</f>
        <v>-3.070698948</v>
      </c>
    </row>
    <row r="40" spans="1:12" x14ac:dyDescent="0.25">
      <c r="A40" t="str">
        <f>IFERROR(IF(0=LEN(ReferenceData!$A$40),"",ReferenceData!$A$40),"")</f>
        <v xml:space="preserve">    Tata Consultancy Services Ltd</v>
      </c>
      <c r="B40" t="str">
        <f>IFERROR(IF(0=LEN(ReferenceData!$B$40),"",ReferenceData!$B$40),"")</f>
        <v>TCS IN Equity</v>
      </c>
      <c r="C40" t="str">
        <f>IFERROR(IF(0=LEN(ReferenceData!$C$40),"",ReferenceData!$C$40),"")</f>
        <v>F0486</v>
      </c>
      <c r="D40" t="str">
        <f>IFERROR(IF(0=LEN(ReferenceData!$D$40),"",ReferenceData!$D$40),"")</f>
        <v>REVENUE_SEQUENTIAL_GROWTH</v>
      </c>
      <c r="E40" t="str">
        <f>IFERROR(IF(0=LEN(ReferenceData!$E$40),"",ReferenceData!$E$40),"")</f>
        <v>Dynamic</v>
      </c>
      <c r="F40">
        <f ca="1">IFERROR(IF(0=LEN(ReferenceData!$L$40),"",ReferenceData!$L$40),"")</f>
        <v>29.877814520000001</v>
      </c>
      <c r="G40">
        <f ca="1">IFERROR(IF(0=LEN(ReferenceData!$K$40),"",ReferenceData!$K$40),"")</f>
        <v>15.69386437</v>
      </c>
      <c r="H40">
        <f ca="1">IFERROR(IF(0=LEN(ReferenceData!$J$40),"",ReferenceData!$J$40),"")</f>
        <v>14.789038720000001</v>
      </c>
      <c r="I40">
        <f ca="1">IFERROR(IF(0=LEN(ReferenceData!$I$40),"",ReferenceData!$I$40),"")</f>
        <v>8.5783185759999991</v>
      </c>
      <c r="J40">
        <f ca="1">IFERROR(IF(0=LEN(ReferenceData!$H$40),"",ReferenceData!$H$40),"")</f>
        <v>4.3554922600000001</v>
      </c>
      <c r="K40">
        <f ca="1">IFERROR(IF(0=LEN(ReferenceData!$G$40),"",ReferenceData!$G$40),"")</f>
        <v>18.975013000000001</v>
      </c>
      <c r="L40">
        <f ca="1">IFERROR(IF(0=LEN(ReferenceData!$F$40),"",ReferenceData!$F$40),"")</f>
        <v>7.1594873789999998</v>
      </c>
    </row>
    <row r="41" spans="1:12" x14ac:dyDescent="0.25">
      <c r="A41" t="str">
        <f>IFERROR(IF(0=LEN(ReferenceData!$A$41),"",ReferenceData!$A$41),"")</f>
        <v xml:space="preserve">    Wipro Ltd</v>
      </c>
      <c r="B41" t="str">
        <f>IFERROR(IF(0=LEN(ReferenceData!$B$41),"",ReferenceData!$B$41),"")</f>
        <v>WIT US Equity</v>
      </c>
      <c r="C41" t="str">
        <f>IFERROR(IF(0=LEN(ReferenceData!$C$41),"",ReferenceData!$C$41),"")</f>
        <v>F0486</v>
      </c>
      <c r="D41" t="str">
        <f>IFERROR(IF(0=LEN(ReferenceData!$D$41),"",ReferenceData!$D$41),"")</f>
        <v>REVENUE_SEQUENTIAL_GROWTH</v>
      </c>
      <c r="E41" t="str">
        <f>IFERROR(IF(0=LEN(ReferenceData!$E$41),"",ReferenceData!$E$41),"")</f>
        <v>Dynamic</v>
      </c>
      <c r="F41">
        <f ca="1">IFERROR(IF(0=LEN(ReferenceData!$L$41),"",ReferenceData!$L$41),"")</f>
        <v>16.035280660000002</v>
      </c>
      <c r="G41">
        <f ca="1">IFERROR(IF(0=LEN(ReferenceData!$K$41),"",ReferenceData!$K$41),"")</f>
        <v>8.1230757889999996</v>
      </c>
      <c r="H41">
        <f ca="1">IFERROR(IF(0=LEN(ReferenceData!$J$41),"",ReferenceData!$J$41),"")</f>
        <v>9.1354396280000003</v>
      </c>
      <c r="I41">
        <f ca="1">IFERROR(IF(0=LEN(ReferenceData!$I$41),"",ReferenceData!$I$41),"")</f>
        <v>7.4080868000000004</v>
      </c>
      <c r="J41">
        <f ca="1">IFERROR(IF(0=LEN(ReferenceData!$H$41),"",ReferenceData!$H$41),"")</f>
        <v>-1.004901872</v>
      </c>
      <c r="K41">
        <f ca="1">IFERROR(IF(0=LEN(ReferenceData!$G$41),"",ReferenceData!$G$41),"")</f>
        <v>7.5199450880000001</v>
      </c>
      <c r="L41">
        <f ca="1">IFERROR(IF(0=LEN(ReferenceData!$F$41),"",ReferenceData!$F$41),"")</f>
        <v>4.162705152</v>
      </c>
    </row>
    <row r="42" spans="1:12" x14ac:dyDescent="0.25">
      <c r="A42" t="str">
        <f>IFERROR(IF(0=LEN(ReferenceData!$A$42),"",ReferenceData!$A$42),"")</f>
        <v>Revenue Growth YoY (Reported)</v>
      </c>
      <c r="B42" t="str">
        <f>IFERROR(IF(0=LEN(ReferenceData!$B$42),"",ReferenceData!$B$42),"")</f>
        <v/>
      </c>
      <c r="C42" t="str">
        <f>IFERROR(IF(0=LEN(ReferenceData!$C$42),"",ReferenceData!$C$42),"")</f>
        <v/>
      </c>
      <c r="D42" t="str">
        <f>IFERROR(IF(0=LEN(ReferenceData!$D$42),"",ReferenceData!$D$42),"")</f>
        <v/>
      </c>
      <c r="E42" t="str">
        <f>IFERROR(IF(0=LEN(ReferenceData!$E$42),"",ReferenceData!$E$42),"")</f>
        <v>Average</v>
      </c>
      <c r="F42">
        <f ca="1">IFERROR(IF(0=LEN(ReferenceData!$L$42),"",ReferenceData!$L$42),"")</f>
        <v>18.334436468636365</v>
      </c>
      <c r="G42">
        <f ca="1">IFERROR(IF(0=LEN(ReferenceData!$K$42),"",ReferenceData!$K$42),"")</f>
        <v>2.1826367089999996</v>
      </c>
      <c r="H42">
        <f ca="1">IFERROR(IF(0=LEN(ReferenceData!$J$42),"",ReferenceData!$J$42),"")</f>
        <v>6.9634987493000011</v>
      </c>
      <c r="I42">
        <f ca="1">IFERROR(IF(0=LEN(ReferenceData!$I$42),"",ReferenceData!$I$42),"")</f>
        <v>7.6452287456363646</v>
      </c>
      <c r="J42">
        <f ca="1">IFERROR(IF(0=LEN(ReferenceData!$H$42),"",ReferenceData!$H$42),"")</f>
        <v>2.7360314546</v>
      </c>
      <c r="K42">
        <f ca="1">IFERROR(IF(0=LEN(ReferenceData!$G$42),"",ReferenceData!$G$42),"")</f>
        <v>7.4959636762000006</v>
      </c>
      <c r="L42">
        <f ca="1">IFERROR(IF(0=LEN(ReferenceData!$F$42),"",ReferenceData!$F$42),"")</f>
        <v>6.3784260916999997</v>
      </c>
    </row>
    <row r="43" spans="1:12" x14ac:dyDescent="0.25">
      <c r="A43" t="str">
        <f>IFERROR(IF(0=LEN(ReferenceData!$A$43),"",ReferenceData!$A$43),"")</f>
        <v xml:space="preserve">    Accenture PLC</v>
      </c>
      <c r="B43" t="str">
        <f>IFERROR(IF(0=LEN(ReferenceData!$B$43),"",ReferenceData!$B$43),"")</f>
        <v>ACN US Equity</v>
      </c>
      <c r="C43" t="str">
        <f>IFERROR(IF(0=LEN(ReferenceData!$C$43),"",ReferenceData!$C$43),"")</f>
        <v>RR033</v>
      </c>
      <c r="D43" t="str">
        <f>IFERROR(IF(0=LEN(ReferenceData!$D$43),"",ReferenceData!$D$43),"")</f>
        <v>SALES_GROWTH</v>
      </c>
      <c r="E43" t="str">
        <f>IFERROR(IF(0=LEN(ReferenceData!$E$43),"",ReferenceData!$E$43),"")</f>
        <v>Dynamic</v>
      </c>
      <c r="F43">
        <f ca="1">IFERROR(IF(0=LEN(ReferenceData!$L$43),"",ReferenceData!$L$43),"")</f>
        <v>2.069649777</v>
      </c>
      <c r="G43">
        <f ca="1">IFERROR(IF(0=LEN(ReferenceData!$K$43),"",ReferenceData!$K$43),"")</f>
        <v>4.8706294620000001</v>
      </c>
      <c r="H43">
        <f ca="1">IFERROR(IF(0=LEN(ReferenceData!$J$43),"",ReferenceData!$J$43),"")</f>
        <v>3.261981188</v>
      </c>
      <c r="I43">
        <f ca="1">IFERROR(IF(0=LEN(ReferenceData!$I$43),"",ReferenceData!$I$43),"")</f>
        <v>5.7216161520000002</v>
      </c>
      <c r="J43">
        <f ca="1">IFERROR(IF(0=LEN(ReferenceData!$H$43),"",ReferenceData!$H$43),"")</f>
        <v>5.6550266410000001</v>
      </c>
      <c r="K43">
        <f ca="1">IFERROR(IF(0=LEN(ReferenceData!$G$43),"",ReferenceData!$G$43),"")</f>
        <v>11.497350859999999</v>
      </c>
      <c r="L43">
        <f ca="1">IFERROR(IF(0=LEN(ReferenceData!$F$43),"",ReferenceData!$F$43),"")</f>
        <v>5.4216677600000001</v>
      </c>
    </row>
    <row r="44" spans="1:12" x14ac:dyDescent="0.25">
      <c r="A44" t="str">
        <f>IFERROR(IF(0=LEN(ReferenceData!$A$44),"",ReferenceData!$A$44),"")</f>
        <v xml:space="preserve">    AtoS</v>
      </c>
      <c r="B44" t="str">
        <f>IFERROR(IF(0=LEN(ReferenceData!$B$44),"",ReferenceData!$B$44),"")</f>
        <v>ATO FP Equity</v>
      </c>
      <c r="C44" t="str">
        <f>IFERROR(IF(0=LEN(ReferenceData!$C$44),"",ReferenceData!$C$44),"")</f>
        <v>RR033</v>
      </c>
      <c r="D44" t="str">
        <f>IFERROR(IF(0=LEN(ReferenceData!$D$44),"",ReferenceData!$D$44),"")</f>
        <v>SALES_GROWTH</v>
      </c>
      <c r="E44" t="str">
        <f>IFERROR(IF(0=LEN(ReferenceData!$E$44),"",ReferenceData!$E$44),"")</f>
        <v>Dynamic</v>
      </c>
      <c r="F44">
        <f ca="1">IFERROR(IF(0=LEN(ReferenceData!$L$44),"",ReferenceData!$L$44),"")</f>
        <v>-2.5971529690000001</v>
      </c>
      <c r="G44">
        <f ca="1">IFERROR(IF(0=LEN(ReferenceData!$K$44),"",ReferenceData!$K$44),"")</f>
        <v>5.0681401340000001</v>
      </c>
      <c r="H44">
        <f ca="1">IFERROR(IF(0=LEN(ReferenceData!$J$44),"",ReferenceData!$J$44),"")</f>
        <v>18.056169350000001</v>
      </c>
      <c r="I44">
        <f ca="1">IFERROR(IF(0=LEN(ReferenceData!$I$44),"",ReferenceData!$I$44),"")</f>
        <v>13.59037949</v>
      </c>
      <c r="J44">
        <f ca="1">IFERROR(IF(0=LEN(ReferenceData!$H$44),"",ReferenceData!$H$44),"")</f>
        <v>-1.167436994</v>
      </c>
      <c r="K44">
        <f ca="1">IFERROR(IF(0=LEN(ReferenceData!$G$44),"",ReferenceData!$G$44),"")</f>
        <v>-11.23707903</v>
      </c>
      <c r="L44">
        <f ca="1">IFERROR(IF(0=LEN(ReferenceData!$F$44),"",ReferenceData!$F$44),"")</f>
        <v>8.827948911</v>
      </c>
    </row>
    <row r="45" spans="1:12" x14ac:dyDescent="0.25">
      <c r="A45" t="str">
        <f>IFERROR(IF(0=LEN(ReferenceData!$A$45),"",ReferenceData!$A$45),"")</f>
        <v xml:space="preserve">    Capgemini</v>
      </c>
      <c r="B45" t="str">
        <f>IFERROR(IF(0=LEN(ReferenceData!$B$45),"",ReferenceData!$B$45),"")</f>
        <v>CAP FP Equity</v>
      </c>
      <c r="C45" t="str">
        <f>IFERROR(IF(0=LEN(ReferenceData!$C$45),"",ReferenceData!$C$45),"")</f>
        <v>RR033</v>
      </c>
      <c r="D45" t="str">
        <f>IFERROR(IF(0=LEN(ReferenceData!$D$45),"",ReferenceData!$D$45),"")</f>
        <v>SALES_GROWTH</v>
      </c>
      <c r="E45" t="str">
        <f>IFERROR(IF(0=LEN(ReferenceData!$E$45),"",ReferenceData!$E$45),"")</f>
        <v>Dynamic</v>
      </c>
      <c r="F45">
        <f ca="1">IFERROR(IF(0=LEN(ReferenceData!$L$45),"",ReferenceData!$L$45),"")</f>
        <v>-1.6757599379999999</v>
      </c>
      <c r="G45">
        <f ca="1">IFERROR(IF(0=LEN(ReferenceData!$K$45),"",ReferenceData!$K$45),"")</f>
        <v>4.7661514069999997</v>
      </c>
      <c r="H45">
        <f ca="1">IFERROR(IF(0=LEN(ReferenceData!$J$45),"",ReferenceData!$J$45),"")</f>
        <v>12.692707840000001</v>
      </c>
      <c r="I45">
        <f ca="1">IFERROR(IF(0=LEN(ReferenceData!$I$45),"",ReferenceData!$I$45),"")</f>
        <v>5.2370960970000002</v>
      </c>
      <c r="J45">
        <f ca="1">IFERROR(IF(0=LEN(ReferenceData!$H$45),"",ReferenceData!$H$45),"")</f>
        <v>-0.11165164700000001</v>
      </c>
      <c r="K45">
        <f ca="1">IFERROR(IF(0=LEN(ReferenceData!$G$45),"",ReferenceData!$G$45),"")</f>
        <v>5.3652694609999996</v>
      </c>
      <c r="L45">
        <f ca="1">IFERROR(IF(0=LEN(ReferenceData!$F$45),"",ReferenceData!$F$45),"")</f>
        <v>7.0319011900000001</v>
      </c>
    </row>
    <row r="46" spans="1:12" x14ac:dyDescent="0.25">
      <c r="A46" t="str">
        <f>IFERROR(IF(0=LEN(ReferenceData!$A$46),"",ReferenceData!$A$46),"")</f>
        <v xml:space="preserve">    CGI Group Inc</v>
      </c>
      <c r="B46" t="str">
        <f>IFERROR(IF(0=LEN(ReferenceData!$B$46),"",ReferenceData!$B$46),"")</f>
        <v>GIB US Equity</v>
      </c>
      <c r="C46" t="str">
        <f>IFERROR(IF(0=LEN(ReferenceData!$C$46),"",ReferenceData!$C$46),"")</f>
        <v>RR033</v>
      </c>
      <c r="D46" t="str">
        <f>IFERROR(IF(0=LEN(ReferenceData!$D$46),"",ReferenceData!$D$46),"")</f>
        <v>SALES_GROWTH</v>
      </c>
      <c r="E46" t="str">
        <f>IFERROR(IF(0=LEN(ReferenceData!$E$46),"",ReferenceData!$E$46),"")</f>
        <v>Dynamic</v>
      </c>
      <c r="F46">
        <f ca="1">IFERROR(IF(0=LEN(ReferenceData!$L$46),"",ReferenceData!$L$46),"")</f>
        <v>111.3089828</v>
      </c>
      <c r="G46">
        <f ca="1">IFERROR(IF(0=LEN(ReferenceData!$K$46),"",ReferenceData!$K$46),"")</f>
        <v>4.1158500309999999</v>
      </c>
      <c r="H46">
        <f ca="1">IFERROR(IF(0=LEN(ReferenceData!$J$46),"",ReferenceData!$J$46),"")</f>
        <v>-2.0247832030000001</v>
      </c>
      <c r="I46">
        <f ca="1">IFERROR(IF(0=LEN(ReferenceData!$I$46),"",ReferenceData!$I$46),"")</f>
        <v>3.8511160000000002</v>
      </c>
      <c r="J46">
        <f ca="1">IFERROR(IF(0=LEN(ReferenceData!$H$46),"",ReferenceData!$H$46),"")</f>
        <v>1.5145371299999999</v>
      </c>
      <c r="K46">
        <f ca="1">IFERROR(IF(0=LEN(ReferenceData!$G$46),"",ReferenceData!$G$46),"")</f>
        <v>6.1019361249999999</v>
      </c>
      <c r="L46">
        <f ca="1">IFERROR(IF(0=LEN(ReferenceData!$F$46),"",ReferenceData!$F$46),"")</f>
        <v>5.2526305039999999</v>
      </c>
    </row>
    <row r="47" spans="1:12" x14ac:dyDescent="0.25">
      <c r="A47" t="str">
        <f>IFERROR(IF(0=LEN(ReferenceData!$A$47),"",ReferenceData!$A$47),"")</f>
        <v xml:space="preserve">    Cognizant Technology Solutions</v>
      </c>
      <c r="B47" t="str">
        <f>IFERROR(IF(0=LEN(ReferenceData!$B$47),"",ReferenceData!$B$47),"")</f>
        <v>CTSH US Equity</v>
      </c>
      <c r="C47" t="str">
        <f>IFERROR(IF(0=LEN(ReferenceData!$C$47),"",ReferenceData!$C$47),"")</f>
        <v>RR033</v>
      </c>
      <c r="D47" t="str">
        <f>IFERROR(IF(0=LEN(ReferenceData!$D$47),"",ReferenceData!$D$47),"")</f>
        <v>SALES_GROWTH</v>
      </c>
      <c r="E47" t="str">
        <f>IFERROR(IF(0=LEN(ReferenceData!$E$47),"",ReferenceData!$E$47),"")</f>
        <v>Dynamic</v>
      </c>
      <c r="F47">
        <f ca="1">IFERROR(IF(0=LEN(ReferenceData!$L$47),"",ReferenceData!$L$47),"")</f>
        <v>20.373275769999999</v>
      </c>
      <c r="G47">
        <f ca="1">IFERROR(IF(0=LEN(ReferenceData!$K$47),"",ReferenceData!$K$47),"")</f>
        <v>16.05202603</v>
      </c>
      <c r="H47">
        <f ca="1">IFERROR(IF(0=LEN(ReferenceData!$J$47),"",ReferenceData!$J$47),"")</f>
        <v>20.981807910000001</v>
      </c>
      <c r="I47">
        <f ca="1">IFERROR(IF(0=LEN(ReferenceData!$I$47),"",ReferenceData!$I$47),"")</f>
        <v>8.6259664950000001</v>
      </c>
      <c r="J47">
        <f ca="1">IFERROR(IF(0=LEN(ReferenceData!$H$47),"",ReferenceData!$H$47),"")</f>
        <v>9.8094461329999998</v>
      </c>
      <c r="K47">
        <f ca="1">IFERROR(IF(0=LEN(ReferenceData!$G$47),"",ReferenceData!$G$47),"")</f>
        <v>8.8791357190000006</v>
      </c>
      <c r="L47">
        <f ca="1">IFERROR(IF(0=LEN(ReferenceData!$F$47),"",ReferenceData!$F$47),"")</f>
        <v>4.0806201550000001</v>
      </c>
    </row>
    <row r="48" spans="1:12" x14ac:dyDescent="0.25">
      <c r="A48" t="str">
        <f>IFERROR(IF(0=LEN(ReferenceData!$A$48),"",ReferenceData!$A$48),"")</f>
        <v xml:space="preserve">    Computer Sciences Corp</v>
      </c>
      <c r="B48" t="str">
        <f>IFERROR(IF(0=LEN(ReferenceData!$B$48),"",ReferenceData!$B$48),"")</f>
        <v>CSC US Equity</v>
      </c>
      <c r="C48" t="str">
        <f>IFERROR(IF(0=LEN(ReferenceData!$C$48),"",ReferenceData!$C$48),"")</f>
        <v>RR033</v>
      </c>
      <c r="D48" t="str">
        <f>IFERROR(IF(0=LEN(ReferenceData!$D$48),"",ReferenceData!$D$48),"")</f>
        <v>SALES_GROWTH</v>
      </c>
      <c r="E48" t="str">
        <f>IFERROR(IF(0=LEN(ReferenceData!$E$48),"",ReferenceData!$E$48),"")</f>
        <v>Dynamic</v>
      </c>
      <c r="F48">
        <f ca="1">IFERROR(IF(0=LEN(ReferenceData!$L$48),"",ReferenceData!$L$48),"")</f>
        <v>-8.4325466710000008</v>
      </c>
      <c r="G48">
        <f ca="1">IFERROR(IF(0=LEN(ReferenceData!$K$48),"",ReferenceData!$K$48),"")</f>
        <v>-37.551931070000002</v>
      </c>
      <c r="H48">
        <f ca="1">IFERROR(IF(0=LEN(ReferenceData!$J$48),"",ReferenceData!$J$48),"")</f>
        <v>-12.455340639999999</v>
      </c>
      <c r="I48">
        <f ca="1">IFERROR(IF(0=LEN(ReferenceData!$I$48),"",ReferenceData!$I$48),"")</f>
        <v>7.050379961</v>
      </c>
      <c r="J48" t="str">
        <f ca="1">IFERROR(IF(0=LEN(ReferenceData!$H$48),"",ReferenceData!$H$48),"")</f>
        <v/>
      </c>
      <c r="K48" t="str">
        <f ca="1">IFERROR(IF(0=LEN(ReferenceData!$G$48),"",ReferenceData!$G$48),"")</f>
        <v/>
      </c>
      <c r="L48" t="str">
        <f ca="1">IFERROR(IF(0=LEN(ReferenceData!$F$48),"",ReferenceData!$F$48),"")</f>
        <v/>
      </c>
    </row>
    <row r="49" spans="1:12" x14ac:dyDescent="0.25">
      <c r="A49" t="str">
        <f>IFERROR(IF(0=LEN(ReferenceData!$A$49),"",ReferenceData!$A$49),"")</f>
        <v xml:space="preserve">    HCL Technologies Ltd</v>
      </c>
      <c r="B49" t="str">
        <f>IFERROR(IF(0=LEN(ReferenceData!$B$49),"",ReferenceData!$B$49),"")</f>
        <v>HCLT IN Equity</v>
      </c>
      <c r="C49" t="str">
        <f>IFERROR(IF(0=LEN(ReferenceData!$C$49),"",ReferenceData!$C$49),"")</f>
        <v>RR033</v>
      </c>
      <c r="D49" t="str">
        <f>IFERROR(IF(0=LEN(ReferenceData!$D$49),"",ReferenceData!$D$49),"")</f>
        <v>SALES_GROWTH</v>
      </c>
      <c r="E49" t="str">
        <f>IFERROR(IF(0=LEN(ReferenceData!$E$49),"",ReferenceData!$E$49),"")</f>
        <v>Dynamic</v>
      </c>
      <c r="F49">
        <f ca="1">IFERROR(IF(0=LEN(ReferenceData!$L$49),"",ReferenceData!$L$49),"")</f>
        <v>14.86114967</v>
      </c>
      <c r="G49" t="str">
        <f ca="1">IFERROR(IF(0=LEN(ReferenceData!$K$49),"",ReferenceData!$K$49),"")</f>
        <v/>
      </c>
      <c r="H49" t="str">
        <f ca="1">IFERROR(IF(0=LEN(ReferenceData!$J$49),"",ReferenceData!$J$49),"")</f>
        <v/>
      </c>
      <c r="I49">
        <f ca="1">IFERROR(IF(0=LEN(ReferenceData!$I$49),"",ReferenceData!$I$49),"")</f>
        <v>16.585612229999999</v>
      </c>
      <c r="J49">
        <f ca="1">IFERROR(IF(0=LEN(ReferenceData!$H$49),"",ReferenceData!$H$49),"")</f>
        <v>6.309913506</v>
      </c>
      <c r="K49">
        <f ca="1">IFERROR(IF(0=LEN(ReferenceData!$G$49),"",ReferenceData!$G$49),"")</f>
        <v>10.053998350000001</v>
      </c>
      <c r="L49">
        <f ca="1">IFERROR(IF(0=LEN(ReferenceData!$F$49),"",ReferenceData!$F$49),"")</f>
        <v>15.10124647</v>
      </c>
    </row>
    <row r="50" spans="1:12" x14ac:dyDescent="0.25">
      <c r="A50" t="str">
        <f>IFERROR(IF(0=LEN(ReferenceData!$A$50),"",ReferenceData!$A$50),"")</f>
        <v xml:space="preserve">    Infosys Ltd</v>
      </c>
      <c r="B50" t="str">
        <f>IFERROR(IF(0=LEN(ReferenceData!$B$50),"",ReferenceData!$B$50),"")</f>
        <v>INFY US Equity</v>
      </c>
      <c r="C50" t="str">
        <f>IFERROR(IF(0=LEN(ReferenceData!$C$50),"",ReferenceData!$C$50),"")</f>
        <v>RR033</v>
      </c>
      <c r="D50" t="str">
        <f>IFERROR(IF(0=LEN(ReferenceData!$D$50),"",ReferenceData!$D$50),"")</f>
        <v>SALES_GROWTH</v>
      </c>
      <c r="E50" t="str">
        <f>IFERROR(IF(0=LEN(ReferenceData!$E$50),"",ReferenceData!$E$50),"")</f>
        <v>Dynamic</v>
      </c>
      <c r="F50">
        <f ca="1">IFERROR(IF(0=LEN(ReferenceData!$L$50),"",ReferenceData!$L$50),"")</f>
        <v>24.239195079999998</v>
      </c>
      <c r="G50">
        <f ca="1">IFERROR(IF(0=LEN(ReferenceData!$K$50),"",ReferenceData!$K$50),"")</f>
        <v>6.355095446</v>
      </c>
      <c r="H50">
        <f ca="1">IFERROR(IF(0=LEN(ReferenceData!$J$50),"",ReferenceData!$J$50),"")</f>
        <v>17.108347869999999</v>
      </c>
      <c r="I50">
        <f ca="1">IFERROR(IF(0=LEN(ReferenceData!$I$50),"",ReferenceData!$I$50),"")</f>
        <v>9.6779359720000002</v>
      </c>
      <c r="J50">
        <f ca="1">IFERROR(IF(0=LEN(ReferenceData!$H$50),"",ReferenceData!$H$50),"")</f>
        <v>2.9758775769999999</v>
      </c>
      <c r="K50">
        <f ca="1">IFERROR(IF(0=LEN(ReferenceData!$G$50),"",ReferenceData!$G$50),"")</f>
        <v>17.23292022</v>
      </c>
      <c r="L50">
        <f ca="1">IFERROR(IF(0=LEN(ReferenceData!$F$50),"",ReferenceData!$F$50),"")</f>
        <v>9.8167523439999993</v>
      </c>
    </row>
    <row r="51" spans="1:12" x14ac:dyDescent="0.25">
      <c r="A51" t="str">
        <f>IFERROR(IF(0=LEN(ReferenceData!$A$51),"",ReferenceData!$A$51),"")</f>
        <v xml:space="preserve">    International Business Machine</v>
      </c>
      <c r="B51" t="str">
        <f>IFERROR(IF(0=LEN(ReferenceData!$B$51),"",ReferenceData!$B$51),"")</f>
        <v>IBM US Equity</v>
      </c>
      <c r="C51" t="str">
        <f>IFERROR(IF(0=LEN(ReferenceData!$C$51),"",ReferenceData!$C$51),"")</f>
        <v>RR033</v>
      </c>
      <c r="D51" t="str">
        <f>IFERROR(IF(0=LEN(ReferenceData!$D$51),"",ReferenceData!$D$51),"")</f>
        <v>SALES_GROWTH</v>
      </c>
      <c r="E51" t="str">
        <f>IFERROR(IF(0=LEN(ReferenceData!$E$51),"",ReferenceData!$E$51),"")</f>
        <v>Dynamic</v>
      </c>
      <c r="F51">
        <f ca="1">IFERROR(IF(0=LEN(ReferenceData!$L$51),"",ReferenceData!$L$51),"")</f>
        <v>-4.3810875439999997</v>
      </c>
      <c r="G51">
        <f ca="1">IFERROR(IF(0=LEN(ReferenceData!$K$51),"",ReferenceData!$K$51),"")</f>
        <v>-5.6665345089999999</v>
      </c>
      <c r="H51">
        <f ca="1">IFERROR(IF(0=LEN(ReferenceData!$J$51),"",ReferenceData!$J$51),"")</f>
        <v>-11.910381170000001</v>
      </c>
      <c r="I51">
        <f ca="1">IFERROR(IF(0=LEN(ReferenceData!$I$51),"",ReferenceData!$I$51),"")</f>
        <v>-2.2289915709999999</v>
      </c>
      <c r="J51">
        <f ca="1">IFERROR(IF(0=LEN(ReferenceData!$H$51),"",ReferenceData!$H$51),"")</f>
        <v>-0.97598818799999998</v>
      </c>
      <c r="K51">
        <f ca="1">IFERROR(IF(0=LEN(ReferenceData!$G$51),"",ReferenceData!$G$51),"")</f>
        <v>0.57114696899999995</v>
      </c>
      <c r="L51">
        <f ca="1">IFERROR(IF(0=LEN(ReferenceData!$F$51),"",ReferenceData!$F$51),"")</f>
        <v>-3.070698948</v>
      </c>
    </row>
    <row r="52" spans="1:12" x14ac:dyDescent="0.25">
      <c r="A52" t="str">
        <f>IFERROR(IF(0=LEN(ReferenceData!$A$52),"",ReferenceData!$A$52),"")</f>
        <v xml:space="preserve">    Tata Consultancy Services Ltd</v>
      </c>
      <c r="B52" t="str">
        <f>IFERROR(IF(0=LEN(ReferenceData!$B$52),"",ReferenceData!$B$52),"")</f>
        <v>TCS IN Equity</v>
      </c>
      <c r="C52" t="str">
        <f>IFERROR(IF(0=LEN(ReferenceData!$C$52),"",ReferenceData!$C$52),"")</f>
        <v>RR033</v>
      </c>
      <c r="D52" t="str">
        <f>IFERROR(IF(0=LEN(ReferenceData!$D$52),"",ReferenceData!$D$52),"")</f>
        <v>SALES_GROWTH</v>
      </c>
      <c r="E52" t="str">
        <f>IFERROR(IF(0=LEN(ReferenceData!$E$52),"",ReferenceData!$E$52),"")</f>
        <v>Dynamic</v>
      </c>
      <c r="F52">
        <f ca="1">IFERROR(IF(0=LEN(ReferenceData!$L$52),"",ReferenceData!$L$52),"")</f>
        <v>29.877814520000001</v>
      </c>
      <c r="G52">
        <f ca="1">IFERROR(IF(0=LEN(ReferenceData!$K$52),"",ReferenceData!$K$52),"")</f>
        <v>15.69386437</v>
      </c>
      <c r="H52">
        <f ca="1">IFERROR(IF(0=LEN(ReferenceData!$J$52),"",ReferenceData!$J$52),"")</f>
        <v>14.789038720000001</v>
      </c>
      <c r="I52">
        <f ca="1">IFERROR(IF(0=LEN(ReferenceData!$I$52),"",ReferenceData!$I$52),"")</f>
        <v>8.5783185759999991</v>
      </c>
      <c r="J52">
        <f ca="1">IFERROR(IF(0=LEN(ReferenceData!$H$52),"",ReferenceData!$H$52),"")</f>
        <v>4.3554922600000001</v>
      </c>
      <c r="K52">
        <f ca="1">IFERROR(IF(0=LEN(ReferenceData!$G$52),"",ReferenceData!$G$52),"")</f>
        <v>18.975013000000001</v>
      </c>
      <c r="L52">
        <f ca="1">IFERROR(IF(0=LEN(ReferenceData!$F$52),"",ReferenceData!$F$52),"")</f>
        <v>7.1594873789999998</v>
      </c>
    </row>
    <row r="53" spans="1:12" x14ac:dyDescent="0.25">
      <c r="A53" t="str">
        <f>IFERROR(IF(0=LEN(ReferenceData!$A$53),"",ReferenceData!$A$53),"")</f>
        <v xml:space="preserve">    Wipro Ltd</v>
      </c>
      <c r="B53" t="str">
        <f>IFERROR(IF(0=LEN(ReferenceData!$B$53),"",ReferenceData!$B$53),"")</f>
        <v>WIT US Equity</v>
      </c>
      <c r="C53" t="str">
        <f>IFERROR(IF(0=LEN(ReferenceData!$C$53),"",ReferenceData!$C$53),"")</f>
        <v>RR033</v>
      </c>
      <c r="D53" t="str">
        <f>IFERROR(IF(0=LEN(ReferenceData!$D$53),"",ReferenceData!$D$53),"")</f>
        <v>SALES_GROWTH</v>
      </c>
      <c r="E53" t="str">
        <f>IFERROR(IF(0=LEN(ReferenceData!$E$53),"",ReferenceData!$E$53),"")</f>
        <v>Dynamic</v>
      </c>
      <c r="F53">
        <f ca="1">IFERROR(IF(0=LEN(ReferenceData!$L$53),"",ReferenceData!$L$53),"")</f>
        <v>16.035280660000002</v>
      </c>
      <c r="G53">
        <f ca="1">IFERROR(IF(0=LEN(ReferenceData!$K$53),"",ReferenceData!$K$53),"")</f>
        <v>8.1230757889999996</v>
      </c>
      <c r="H53">
        <f ca="1">IFERROR(IF(0=LEN(ReferenceData!$J$53),"",ReferenceData!$J$53),"")</f>
        <v>9.1354396280000003</v>
      </c>
      <c r="I53">
        <f ca="1">IFERROR(IF(0=LEN(ReferenceData!$I$53),"",ReferenceData!$I$53),"")</f>
        <v>7.4080868000000004</v>
      </c>
      <c r="J53">
        <f ca="1">IFERROR(IF(0=LEN(ReferenceData!$H$53),"",ReferenceData!$H$53),"")</f>
        <v>-1.004901872</v>
      </c>
      <c r="K53">
        <f ca="1">IFERROR(IF(0=LEN(ReferenceData!$G$53),"",ReferenceData!$G$53),"")</f>
        <v>7.5199450880000001</v>
      </c>
      <c r="L53">
        <f ca="1">IFERROR(IF(0=LEN(ReferenceData!$F$53),"",ReferenceData!$F$53),"")</f>
        <v>4.162705152</v>
      </c>
    </row>
    <row r="54" spans="1:12" x14ac:dyDescent="0.25">
      <c r="A54" t="str">
        <f>IFERROR(IF(0=LEN(ReferenceData!$A$54),"",ReferenceData!$A$54),"")</f>
        <v>Revenue Growth QoQ (Constant Currency)</v>
      </c>
      <c r="B54" t="str">
        <f>IFERROR(IF(0=LEN(ReferenceData!$B$54),"",ReferenceData!$B$54),"")</f>
        <v/>
      </c>
      <c r="C54" t="str">
        <f>IFERROR(IF(0=LEN(ReferenceData!$C$54),"",ReferenceData!$C$54),"")</f>
        <v/>
      </c>
      <c r="D54" t="str">
        <f>IFERROR(IF(0=LEN(ReferenceData!$D$54),"",ReferenceData!$D$54),"")</f>
        <v/>
      </c>
      <c r="E54" t="str">
        <f>IFERROR(IF(0=LEN(ReferenceData!$E$54),"",ReferenceData!$E$54),"")</f>
        <v>Average</v>
      </c>
      <c r="F54">
        <f ca="1">IFERROR(IF(0=LEN(ReferenceData!$L$54),"",ReferenceData!$L$54),"")</f>
        <v>2.5499999999999998</v>
      </c>
      <c r="G54">
        <f ca="1">IFERROR(IF(0=LEN(ReferenceData!$K$54),"",ReferenceData!$K$54),"")</f>
        <v>2.2999999999999998</v>
      </c>
      <c r="H54">
        <f ca="1">IFERROR(IF(0=LEN(ReferenceData!$J$54),"",ReferenceData!$J$54),"")</f>
        <v>2.7</v>
      </c>
      <c r="I54">
        <f ca="1">IFERROR(IF(0=LEN(ReferenceData!$I$54),"",ReferenceData!$I$54),"")</f>
        <v>4.3499999999999996</v>
      </c>
      <c r="J54">
        <f ca="1">IFERROR(IF(0=LEN(ReferenceData!$H$54),"",ReferenceData!$H$54),"")</f>
        <v>2.0499999999999998</v>
      </c>
      <c r="K54">
        <f ca="1">IFERROR(IF(0=LEN(ReferenceData!$G$54),"",ReferenceData!$G$54),"")</f>
        <v>6.7</v>
      </c>
      <c r="L54">
        <f ca="1">IFERROR(IF(0=LEN(ReferenceData!$F$54),"",ReferenceData!$F$54),"")</f>
        <v>3.9333333333333331</v>
      </c>
    </row>
    <row r="55" spans="1:12" x14ac:dyDescent="0.25">
      <c r="A55" t="str">
        <f>IFERROR(IF(0=LEN(ReferenceData!$A$55),"",ReferenceData!$A$55),"")</f>
        <v xml:space="preserve">    HCL Technologies Ltd</v>
      </c>
      <c r="B55" t="str">
        <f>IFERROR(IF(0=LEN(ReferenceData!$B$55),"",ReferenceData!$B$55),"")</f>
        <v>HCLT IN Equity</v>
      </c>
      <c r="C55" t="str">
        <f>IFERROR(IF(0=LEN(ReferenceData!$C$55),"",ReferenceData!$C$55),"")</f>
        <v>B5666</v>
      </c>
      <c r="D55" t="str">
        <f>IFERROR(IF(0=LEN(ReferenceData!$D$55),"",ReferenceData!$D$55),"")</f>
        <v>ARD_SEQUENTIAL_REVENUE_GROWTH_CC</v>
      </c>
      <c r="E55" t="str">
        <f>IFERROR(IF(0=LEN(ReferenceData!$E$55),"",ReferenceData!$E$55),"")</f>
        <v>Dynamic</v>
      </c>
      <c r="F55">
        <f ca="1">IFERROR(IF(0=LEN(ReferenceData!$L$55),"",ReferenceData!$L$55),"")</f>
        <v>2.8</v>
      </c>
      <c r="G55" t="str">
        <f ca="1">IFERROR(IF(0=LEN(ReferenceData!$K$55),"",ReferenceData!$K$55),"")</f>
        <v/>
      </c>
      <c r="H55">
        <f ca="1">IFERROR(IF(0=LEN(ReferenceData!$J$55),"",ReferenceData!$J$55),"")</f>
        <v>1.7</v>
      </c>
      <c r="I55">
        <f ca="1">IFERROR(IF(0=LEN(ReferenceData!$I$55),"",ReferenceData!$I$55),"")</f>
        <v>3.8</v>
      </c>
      <c r="J55">
        <f ca="1">IFERROR(IF(0=LEN(ReferenceData!$H$55),"",ReferenceData!$H$55),"")</f>
        <v>1.2</v>
      </c>
      <c r="K55">
        <f ca="1">IFERROR(IF(0=LEN(ReferenceData!$G$55),"",ReferenceData!$G$55),"")</f>
        <v>3.3</v>
      </c>
      <c r="L55">
        <f ca="1">IFERROR(IF(0=LEN(ReferenceData!$F$55),"",ReferenceData!$F$55),"")</f>
        <v>0.8</v>
      </c>
    </row>
    <row r="56" spans="1:12" x14ac:dyDescent="0.25">
      <c r="A56" t="str">
        <f>IFERROR(IF(0=LEN(ReferenceData!$A$56),"",ReferenceData!$A$56),"")</f>
        <v xml:space="preserve">    Infosys Ltd</v>
      </c>
      <c r="B56" t="str">
        <f>IFERROR(IF(0=LEN(ReferenceData!$B$56),"",ReferenceData!$B$56),"")</f>
        <v>INFY US Equity</v>
      </c>
      <c r="C56" t="str">
        <f>IFERROR(IF(0=LEN(ReferenceData!$C$56),"",ReferenceData!$C$56),"")</f>
        <v>B5666</v>
      </c>
      <c r="D56" t="str">
        <f>IFERROR(IF(0=LEN(ReferenceData!$D$56),"",ReferenceData!$D$56),"")</f>
        <v>ARD_SEQUENTIAL_REVENUE_GROWTH_CC</v>
      </c>
      <c r="E56" t="str">
        <f>IFERROR(IF(0=LEN(ReferenceData!$E$56),"",ReferenceData!$E$56),"")</f>
        <v>Dynamic</v>
      </c>
      <c r="F56" t="str">
        <f ca="1">IFERROR(IF(0=LEN(ReferenceData!$L$56),"",ReferenceData!$L$56),"")</f>
        <v/>
      </c>
      <c r="G56" t="str">
        <f ca="1">IFERROR(IF(0=LEN(ReferenceData!$K$56),"",ReferenceData!$K$56),"")</f>
        <v/>
      </c>
      <c r="H56" t="str">
        <f ca="1">IFERROR(IF(0=LEN(ReferenceData!$J$56),"",ReferenceData!$J$56),"")</f>
        <v/>
      </c>
      <c r="I56" t="str">
        <f ca="1">IFERROR(IF(0=LEN(ReferenceData!$I$56),"",ReferenceData!$I$56),"")</f>
        <v/>
      </c>
      <c r="J56" t="str">
        <f ca="1">IFERROR(IF(0=LEN(ReferenceData!$H$56),"",ReferenceData!$H$56),"")</f>
        <v/>
      </c>
      <c r="K56" t="str">
        <f ca="1">IFERROR(IF(0=LEN(ReferenceData!$G$56),"",ReferenceData!$G$56),"")</f>
        <v/>
      </c>
      <c r="L56" t="str">
        <f ca="1">IFERROR(IF(0=LEN(ReferenceData!$F$56),"",ReferenceData!$F$56),"")</f>
        <v/>
      </c>
    </row>
    <row r="57" spans="1:12" x14ac:dyDescent="0.25">
      <c r="A57" t="str">
        <f>IFERROR(IF(0=LEN(ReferenceData!$A$57),"",ReferenceData!$A$57),"")</f>
        <v xml:space="preserve">    International Business Machine</v>
      </c>
      <c r="B57" t="str">
        <f>IFERROR(IF(0=LEN(ReferenceData!$B$57),"",ReferenceData!$B$57),"")</f>
        <v>IBM US Equity</v>
      </c>
      <c r="C57" t="str">
        <f>IFERROR(IF(0=LEN(ReferenceData!$C$57),"",ReferenceData!$C$57),"")</f>
        <v>B5666</v>
      </c>
      <c r="D57" t="str">
        <f>IFERROR(IF(0=LEN(ReferenceData!$D$57),"",ReferenceData!$D$57),"")</f>
        <v>ARD_SEQUENTIAL_REVENUE_GROWTH_CC</v>
      </c>
      <c r="E57" t="str">
        <f>IFERROR(IF(0=LEN(ReferenceData!$E$57),"",ReferenceData!$E$57),"")</f>
        <v>Dynamic</v>
      </c>
      <c r="F57" t="str">
        <f ca="1">IFERROR(IF(0=LEN(ReferenceData!$L$57),"",ReferenceData!$L$57),"")</f>
        <v/>
      </c>
      <c r="G57" t="str">
        <f ca="1">IFERROR(IF(0=LEN(ReferenceData!$K$57),"",ReferenceData!$K$57),"")</f>
        <v/>
      </c>
      <c r="H57" t="str">
        <f ca="1">IFERROR(IF(0=LEN(ReferenceData!$J$57),"",ReferenceData!$J$57),"")</f>
        <v/>
      </c>
      <c r="I57" t="str">
        <f ca="1">IFERROR(IF(0=LEN(ReferenceData!$I$57),"",ReferenceData!$I$57),"")</f>
        <v/>
      </c>
      <c r="J57" t="str">
        <f ca="1">IFERROR(IF(0=LEN(ReferenceData!$H$57),"",ReferenceData!$H$57),"")</f>
        <v/>
      </c>
      <c r="K57" t="str">
        <f ca="1">IFERROR(IF(0=LEN(ReferenceData!$G$57),"",ReferenceData!$G$57),"")</f>
        <v/>
      </c>
      <c r="L57" t="str">
        <f ca="1">IFERROR(IF(0=LEN(ReferenceData!$F$57),"",ReferenceData!$F$57),"")</f>
        <v/>
      </c>
    </row>
    <row r="58" spans="1:12" x14ac:dyDescent="0.25">
      <c r="A58" t="str">
        <f>IFERROR(IF(0=LEN(ReferenceData!$A$58),"",ReferenceData!$A$58),"")</f>
        <v xml:space="preserve">    Tata Consultancy Services Ltd</v>
      </c>
      <c r="B58" t="str">
        <f>IFERROR(IF(0=LEN(ReferenceData!$B$58),"",ReferenceData!$B$58),"")</f>
        <v>TCS IN Equity</v>
      </c>
      <c r="C58" t="str">
        <f>IFERROR(IF(0=LEN(ReferenceData!$C$58),"",ReferenceData!$C$58),"")</f>
        <v>B5666</v>
      </c>
      <c r="D58" t="str">
        <f>IFERROR(IF(0=LEN(ReferenceData!$D$58),"",ReferenceData!$D$58),"")</f>
        <v>ARD_SEQUENTIAL_REVENUE_GROWTH_CC</v>
      </c>
      <c r="E58" t="str">
        <f>IFERROR(IF(0=LEN(ReferenceData!$E$58),"",ReferenceData!$E$58),"")</f>
        <v>Dynamic</v>
      </c>
      <c r="F58" t="str">
        <f ca="1">IFERROR(IF(0=LEN(ReferenceData!$L$58),"",ReferenceData!$L$58),"")</f>
        <v/>
      </c>
      <c r="G58" t="str">
        <f ca="1">IFERROR(IF(0=LEN(ReferenceData!$K$58),"",ReferenceData!$K$58),"")</f>
        <v/>
      </c>
      <c r="H58" t="str">
        <f ca="1">IFERROR(IF(0=LEN(ReferenceData!$J$58),"",ReferenceData!$J$58),"")</f>
        <v/>
      </c>
      <c r="I58" t="str">
        <f ca="1">IFERROR(IF(0=LEN(ReferenceData!$I$58),"",ReferenceData!$I$58),"")</f>
        <v/>
      </c>
      <c r="J58" t="str">
        <f ca="1">IFERROR(IF(0=LEN(ReferenceData!$H$58),"",ReferenceData!$H$58),"")</f>
        <v/>
      </c>
      <c r="K58">
        <f ca="1">IFERROR(IF(0=LEN(ReferenceData!$G$58),"",ReferenceData!$G$58),"")</f>
        <v>11.4</v>
      </c>
      <c r="L58">
        <f ca="1">IFERROR(IF(0=LEN(ReferenceData!$F$58),"",ReferenceData!$F$58),"")</f>
        <v>7.1</v>
      </c>
    </row>
    <row r="59" spans="1:12" x14ac:dyDescent="0.25">
      <c r="A59" t="str">
        <f>IFERROR(IF(0=LEN(ReferenceData!$A$59),"",ReferenceData!$A$59),"")</f>
        <v xml:space="preserve">    Wipro Ltd</v>
      </c>
      <c r="B59" t="str">
        <f>IFERROR(IF(0=LEN(ReferenceData!$B$59),"",ReferenceData!$B$59),"")</f>
        <v>WIT US Equity</v>
      </c>
      <c r="C59" t="str">
        <f>IFERROR(IF(0=LEN(ReferenceData!$C$59),"",ReferenceData!$C$59),"")</f>
        <v>B5666</v>
      </c>
      <c r="D59" t="str">
        <f>IFERROR(IF(0=LEN(ReferenceData!$D$59),"",ReferenceData!$D$59),"")</f>
        <v>ARD_SEQUENTIAL_REVENUE_GROWTH_CC</v>
      </c>
      <c r="E59" t="str">
        <f>IFERROR(IF(0=LEN(ReferenceData!$E$59),"",ReferenceData!$E$59),"")</f>
        <v>Dynamic</v>
      </c>
      <c r="F59">
        <f ca="1">IFERROR(IF(0=LEN(ReferenceData!$L$59),"",ReferenceData!$L$59),"")</f>
        <v>2.2999999999999998</v>
      </c>
      <c r="G59">
        <f ca="1">IFERROR(IF(0=LEN(ReferenceData!$K$59),"",ReferenceData!$K$59),"")</f>
        <v>2.2999999999999998</v>
      </c>
      <c r="H59">
        <f ca="1">IFERROR(IF(0=LEN(ReferenceData!$J$59),"",ReferenceData!$J$59),"")</f>
        <v>3.7</v>
      </c>
      <c r="I59">
        <f ca="1">IFERROR(IF(0=LEN(ReferenceData!$I$59),"",ReferenceData!$I$59),"")</f>
        <v>4.9000000000000004</v>
      </c>
      <c r="J59">
        <f ca="1">IFERROR(IF(0=LEN(ReferenceData!$H$59),"",ReferenceData!$H$59),"")</f>
        <v>2.9</v>
      </c>
      <c r="K59">
        <f ca="1">IFERROR(IF(0=LEN(ReferenceData!$G$59),"",ReferenceData!$G$59),"")</f>
        <v>5.4</v>
      </c>
      <c r="L59">
        <f ca="1">IFERROR(IF(0=LEN(ReferenceData!$F$59),"",ReferenceData!$F$59),"")</f>
        <v>3.9</v>
      </c>
    </row>
    <row r="60" spans="1:12" x14ac:dyDescent="0.25">
      <c r="A60" t="str">
        <f>IFERROR(IF(0=LEN(ReferenceData!$A$60),"",ReferenceData!$A$60),"")</f>
        <v>Revenue Growth YoY (Constant Currency)</v>
      </c>
      <c r="B60" t="str">
        <f>IFERROR(IF(0=LEN(ReferenceData!$B$60),"",ReferenceData!$B$60),"")</f>
        <v/>
      </c>
      <c r="C60" t="str">
        <f>IFERROR(IF(0=LEN(ReferenceData!$C$60),"",ReferenceData!$C$60),"")</f>
        <v/>
      </c>
      <c r="D60" t="str">
        <f>IFERROR(IF(0=LEN(ReferenceData!$D$60),"",ReferenceData!$D$60),"")</f>
        <v/>
      </c>
      <c r="E60" t="str">
        <f>IFERROR(IF(0=LEN(ReferenceData!$E$60),"",ReferenceData!$E$60),"")</f>
        <v>Average</v>
      </c>
      <c r="F60">
        <f ca="1">IFERROR(IF(0=LEN(ReferenceData!$L$60),"",ReferenceData!$L$60),"")</f>
        <v>5.9750000000000005</v>
      </c>
      <c r="G60">
        <f ca="1">IFERROR(IF(0=LEN(ReferenceData!$K$60),"",ReferenceData!$K$60),"")</f>
        <v>4.2666666666666666</v>
      </c>
      <c r="H60">
        <f ca="1">IFERROR(IF(0=LEN(ReferenceData!$J$60),"",ReferenceData!$J$60),"")</f>
        <v>6.375</v>
      </c>
      <c r="I60">
        <f ca="1">IFERROR(IF(0=LEN(ReferenceData!$I$60),"",ReferenceData!$I$60),"")</f>
        <v>7.0240000000000009</v>
      </c>
      <c r="J60">
        <f ca="1">IFERROR(IF(0=LEN(ReferenceData!$H$60),"",ReferenceData!$H$60),"")</f>
        <v>5.0999999999999996</v>
      </c>
      <c r="K60">
        <f ca="1">IFERROR(IF(0=LEN(ReferenceData!$G$60),"",ReferenceData!$G$60),"")</f>
        <v>8.4166666666666661</v>
      </c>
      <c r="L60">
        <f ca="1">IFERROR(IF(0=LEN(ReferenceData!$F$60),"",ReferenceData!$F$60),"")</f>
        <v>8.2799999999999994</v>
      </c>
    </row>
    <row r="61" spans="1:12" x14ac:dyDescent="0.25">
      <c r="A61" t="str">
        <f>IFERROR(IF(0=LEN(ReferenceData!$A$61),"",ReferenceData!$A$61),"")</f>
        <v xml:space="preserve">    Accenture PLC</v>
      </c>
      <c r="B61" t="str">
        <f>IFERROR(IF(0=LEN(ReferenceData!$B$61),"",ReferenceData!$B$61),"")</f>
        <v>ACN US Equity</v>
      </c>
      <c r="C61" t="str">
        <f>IFERROR(IF(0=LEN(ReferenceData!$C$61),"",ReferenceData!$C$61),"")</f>
        <v>B2825</v>
      </c>
      <c r="D61" t="str">
        <f>IFERROR(IF(0=LEN(ReferenceData!$D$61),"",ReferenceData!$D$61),"")</f>
        <v>ARD_1_YR_REVENUE_GROWTH_CC</v>
      </c>
      <c r="E61" t="str">
        <f>IFERROR(IF(0=LEN(ReferenceData!$E$61),"",ReferenceData!$E$61),"")</f>
        <v>Dynamic</v>
      </c>
      <c r="F61">
        <f ca="1">IFERROR(IF(0=LEN(ReferenceData!$L$61),"",ReferenceData!$L$61),"")</f>
        <v>4</v>
      </c>
      <c r="G61">
        <f ca="1">IFERROR(IF(0=LEN(ReferenceData!$K$61),"",ReferenceData!$K$61),"")</f>
        <v>5</v>
      </c>
      <c r="H61">
        <f ca="1">IFERROR(IF(0=LEN(ReferenceData!$J$61),"",ReferenceData!$J$61),"")</f>
        <v>11</v>
      </c>
      <c r="I61">
        <f ca="1">IFERROR(IF(0=LEN(ReferenceData!$I$61),"",ReferenceData!$I$61),"")</f>
        <v>5.72</v>
      </c>
      <c r="J61">
        <f ca="1">IFERROR(IF(0=LEN(ReferenceData!$H$61),"",ReferenceData!$H$61),"")</f>
        <v>7</v>
      </c>
      <c r="K61">
        <f ca="1">IFERROR(IF(0=LEN(ReferenceData!$G$61),"",ReferenceData!$G$61),"")</f>
        <v>11</v>
      </c>
      <c r="L61">
        <f ca="1">IFERROR(IF(0=LEN(ReferenceData!$F$61),"",ReferenceData!$F$61),"")</f>
        <v>8.5</v>
      </c>
    </row>
    <row r="62" spans="1:12" x14ac:dyDescent="0.25">
      <c r="A62" t="str">
        <f>IFERROR(IF(0=LEN(ReferenceData!$A$62),"",ReferenceData!$A$62),"")</f>
        <v xml:space="preserve">    HCL Technologies Ltd</v>
      </c>
      <c r="B62" t="str">
        <f>IFERROR(IF(0=LEN(ReferenceData!$B$62),"",ReferenceData!$B$62),"")</f>
        <v>HCLT IN Equity</v>
      </c>
      <c r="C62" t="str">
        <f>IFERROR(IF(0=LEN(ReferenceData!$C$62),"",ReferenceData!$C$62),"")</f>
        <v>B2825</v>
      </c>
      <c r="D62" t="str">
        <f>IFERROR(IF(0=LEN(ReferenceData!$D$62),"",ReferenceData!$D$62),"")</f>
        <v>ARD_1_YR_REVENUE_GROWTH_CC</v>
      </c>
      <c r="E62" t="str">
        <f>IFERROR(IF(0=LEN(ReferenceData!$E$62),"",ReferenceData!$E$62),"")</f>
        <v>Dynamic</v>
      </c>
      <c r="F62">
        <f ca="1">IFERROR(IF(0=LEN(ReferenceData!$L$62),"",ReferenceData!$L$62),"")</f>
        <v>13.1</v>
      </c>
      <c r="G62" t="str">
        <f ca="1">IFERROR(IF(0=LEN(ReferenceData!$K$62),"",ReferenceData!$K$62),"")</f>
        <v/>
      </c>
      <c r="H62">
        <f ca="1">IFERROR(IF(0=LEN(ReferenceData!$J$62),"",ReferenceData!$J$62),"")</f>
        <v>8.1</v>
      </c>
      <c r="I62">
        <f ca="1">IFERROR(IF(0=LEN(ReferenceData!$I$62),"",ReferenceData!$I$62),"")</f>
        <v>16.100000000000001</v>
      </c>
      <c r="J62">
        <f ca="1">IFERROR(IF(0=LEN(ReferenceData!$H$62),"",ReferenceData!$H$62),"")</f>
        <v>8.1999999999999993</v>
      </c>
      <c r="K62">
        <f ca="1">IFERROR(IF(0=LEN(ReferenceData!$G$62),"",ReferenceData!$G$62),"")</f>
        <v>15.3</v>
      </c>
      <c r="L62">
        <f ca="1">IFERROR(IF(0=LEN(ReferenceData!$F$62),"",ReferenceData!$F$62),"")</f>
        <v>13.5</v>
      </c>
    </row>
    <row r="63" spans="1:12" x14ac:dyDescent="0.25">
      <c r="A63" t="str">
        <f>IFERROR(IF(0=LEN(ReferenceData!$A$63),"",ReferenceData!$A$63),"")</f>
        <v xml:space="preserve">    Infosys Ltd</v>
      </c>
      <c r="B63" t="str">
        <f>IFERROR(IF(0=LEN(ReferenceData!$B$63),"",ReferenceData!$B$63),"")</f>
        <v>INFY US Equity</v>
      </c>
      <c r="C63" t="str">
        <f>IFERROR(IF(0=LEN(ReferenceData!$C$63),"",ReferenceData!$C$63),"")</f>
        <v>B2825</v>
      </c>
      <c r="D63" t="str">
        <f>IFERROR(IF(0=LEN(ReferenceData!$D$63),"",ReferenceData!$D$63),"")</f>
        <v>ARD_1_YR_REVENUE_GROWTH_CC</v>
      </c>
      <c r="E63" t="str">
        <f>IFERROR(IF(0=LEN(ReferenceData!$E$63),"",ReferenceData!$E$63),"")</f>
        <v>Dynamic</v>
      </c>
      <c r="F63" t="str">
        <f ca="1">IFERROR(IF(0=LEN(ReferenceData!$L$63),"",ReferenceData!$L$63),"")</f>
        <v/>
      </c>
      <c r="G63" t="str">
        <f ca="1">IFERROR(IF(0=LEN(ReferenceData!$K$63),"",ReferenceData!$K$63),"")</f>
        <v/>
      </c>
      <c r="H63" t="str">
        <f ca="1">IFERROR(IF(0=LEN(ReferenceData!$J$63),"",ReferenceData!$J$63),"")</f>
        <v/>
      </c>
      <c r="I63" t="str">
        <f ca="1">IFERROR(IF(0=LEN(ReferenceData!$I$63),"",ReferenceData!$I$63),"")</f>
        <v/>
      </c>
      <c r="J63" t="str">
        <f ca="1">IFERROR(IF(0=LEN(ReferenceData!$H$63),"",ReferenceData!$H$63),"")</f>
        <v/>
      </c>
      <c r="K63">
        <f ca="1">IFERROR(IF(0=LEN(ReferenceData!$G$63),"",ReferenceData!$G$63),"")</f>
        <v>9</v>
      </c>
      <c r="L63">
        <f ca="1">IFERROR(IF(0=LEN(ReferenceData!$F$63),"",ReferenceData!$F$63),"")</f>
        <v>9.8000000000000007</v>
      </c>
    </row>
    <row r="64" spans="1:12" x14ac:dyDescent="0.25">
      <c r="A64" t="str">
        <f>IFERROR(IF(0=LEN(ReferenceData!$A$64),"",ReferenceData!$A$64),"")</f>
        <v xml:space="preserve">    International Business Machine</v>
      </c>
      <c r="B64" t="str">
        <f>IFERROR(IF(0=LEN(ReferenceData!$B$64),"",ReferenceData!$B$64),"")</f>
        <v>IBM US Equity</v>
      </c>
      <c r="C64" t="str">
        <f>IFERROR(IF(0=LEN(ReferenceData!$C$64),"",ReferenceData!$C$64),"")</f>
        <v>B2825</v>
      </c>
      <c r="D64" t="str">
        <f>IFERROR(IF(0=LEN(ReferenceData!$D$64),"",ReferenceData!$D$64),"")</f>
        <v>ARD_1_YR_REVENUE_GROWTH_CC</v>
      </c>
      <c r="E64" t="str">
        <f>IFERROR(IF(0=LEN(ReferenceData!$E$64),"",ReferenceData!$E$64),"")</f>
        <v>Dynamic</v>
      </c>
      <c r="F64">
        <f ca="1">IFERROR(IF(0=LEN(ReferenceData!$L$64),"",ReferenceData!$L$64),"")</f>
        <v>-2.5</v>
      </c>
      <c r="G64">
        <f ca="1">IFERROR(IF(0=LEN(ReferenceData!$K$64),"",ReferenceData!$K$64),"")</f>
        <v>-1.5</v>
      </c>
      <c r="H64">
        <f ca="1">IFERROR(IF(0=LEN(ReferenceData!$J$64),"",ReferenceData!$J$64),"")</f>
        <v>-1.2</v>
      </c>
      <c r="I64">
        <f ca="1">IFERROR(IF(0=LEN(ReferenceData!$I$64),"",ReferenceData!$I$64),"")</f>
        <v>-2</v>
      </c>
      <c r="J64">
        <f ca="1">IFERROR(IF(0=LEN(ReferenceData!$H$64),"",ReferenceData!$H$64),"")</f>
        <v>-1</v>
      </c>
      <c r="K64">
        <f ca="1">IFERROR(IF(0=LEN(ReferenceData!$G$64),"",ReferenceData!$G$64),"")</f>
        <v>0</v>
      </c>
      <c r="L64" t="str">
        <f ca="1">IFERROR(IF(0=LEN(ReferenceData!$F$64),"",ReferenceData!$F$64),"")</f>
        <v/>
      </c>
    </row>
    <row r="65" spans="1:12" x14ac:dyDescent="0.25">
      <c r="A65" t="str">
        <f>IFERROR(IF(0=LEN(ReferenceData!$A$65),"",ReferenceData!$A$65),"")</f>
        <v xml:space="preserve">    Tata Consultancy Services Ltd</v>
      </c>
      <c r="B65" t="str">
        <f>IFERROR(IF(0=LEN(ReferenceData!$B$65),"",ReferenceData!$B$65),"")</f>
        <v>TCS IN Equity</v>
      </c>
      <c r="C65" t="str">
        <f>IFERROR(IF(0=LEN(ReferenceData!$C$65),"",ReferenceData!$C$65),"")</f>
        <v>B2825</v>
      </c>
      <c r="D65" t="str">
        <f>IFERROR(IF(0=LEN(ReferenceData!$D$65),"",ReferenceData!$D$65),"")</f>
        <v>ARD_1_YR_REVENUE_GROWTH_CC</v>
      </c>
      <c r="E65" t="str">
        <f>IFERROR(IF(0=LEN(ReferenceData!$E$65),"",ReferenceData!$E$65),"")</f>
        <v>Dynamic</v>
      </c>
      <c r="F65" t="str">
        <f ca="1">IFERROR(IF(0=LEN(ReferenceData!$L$65),"",ReferenceData!$L$65),"")</f>
        <v/>
      </c>
      <c r="G65" t="str">
        <f ca="1">IFERROR(IF(0=LEN(ReferenceData!$K$65),"",ReferenceData!$K$65),"")</f>
        <v/>
      </c>
      <c r="H65" t="str">
        <f ca="1">IFERROR(IF(0=LEN(ReferenceData!$J$65),"",ReferenceData!$J$65),"")</f>
        <v/>
      </c>
      <c r="I65">
        <f ca="1">IFERROR(IF(0=LEN(ReferenceData!$I$65),"",ReferenceData!$I$65),"")</f>
        <v>8.3000000000000007</v>
      </c>
      <c r="J65">
        <f ca="1">IFERROR(IF(0=LEN(ReferenceData!$H$65),"",ReferenceData!$H$65),"")</f>
        <v>6.7</v>
      </c>
      <c r="K65">
        <f ca="1">IFERROR(IF(0=LEN(ReferenceData!$G$65),"",ReferenceData!$G$65),"")</f>
        <v>11.4</v>
      </c>
      <c r="L65">
        <f ca="1">IFERROR(IF(0=LEN(ReferenceData!$F$65),"",ReferenceData!$F$65),"")</f>
        <v>7.1</v>
      </c>
    </row>
    <row r="66" spans="1:12" x14ac:dyDescent="0.25">
      <c r="A66" t="str">
        <f>IFERROR(IF(0=LEN(ReferenceData!$A$66),"",ReferenceData!$A$66),"")</f>
        <v xml:space="preserve">    Wipro Ltd</v>
      </c>
      <c r="B66" t="str">
        <f>IFERROR(IF(0=LEN(ReferenceData!$B$66),"",ReferenceData!$B$66),"")</f>
        <v>WIT US Equity</v>
      </c>
      <c r="C66" t="str">
        <f>IFERROR(IF(0=LEN(ReferenceData!$C$66),"",ReferenceData!$C$66),"")</f>
        <v>B2825</v>
      </c>
      <c r="D66" t="str">
        <f>IFERROR(IF(0=LEN(ReferenceData!$D$66),"",ReferenceData!$D$66),"")</f>
        <v>ARD_1_YR_REVENUE_GROWTH_CC</v>
      </c>
      <c r="E66" t="str">
        <f>IFERROR(IF(0=LEN(ReferenceData!$E$66),"",ReferenceData!$E$66),"")</f>
        <v>Dynamic</v>
      </c>
      <c r="F66">
        <f ca="1">IFERROR(IF(0=LEN(ReferenceData!$L$66),"",ReferenceData!$L$66),"")</f>
        <v>9.3000000000000007</v>
      </c>
      <c r="G66">
        <f ca="1">IFERROR(IF(0=LEN(ReferenceData!$K$66),"",ReferenceData!$K$66),"")</f>
        <v>9.3000000000000007</v>
      </c>
      <c r="H66">
        <f ca="1">IFERROR(IF(0=LEN(ReferenceData!$J$66),"",ReferenceData!$J$66),"")</f>
        <v>7.6</v>
      </c>
      <c r="I66">
        <f ca="1">IFERROR(IF(0=LEN(ReferenceData!$I$66),"",ReferenceData!$I$66),"")</f>
        <v>7</v>
      </c>
      <c r="J66">
        <f ca="1">IFERROR(IF(0=LEN(ReferenceData!$H$66),"",ReferenceData!$H$66),"")</f>
        <v>4.5999999999999996</v>
      </c>
      <c r="K66">
        <f ca="1">IFERROR(IF(0=LEN(ReferenceData!$G$66),"",ReferenceData!$G$66),"")</f>
        <v>3.8</v>
      </c>
      <c r="L66">
        <f ca="1">IFERROR(IF(0=LEN(ReferenceData!$F$66),"",ReferenceData!$F$66),"")</f>
        <v>2.5</v>
      </c>
    </row>
    <row r="67" spans="1:12" x14ac:dyDescent="0.25">
      <c r="A67" t="str">
        <f>IFERROR(IF(0=LEN(ReferenceData!$A$67),"",ReferenceData!$A$67),"")</f>
        <v xml:space="preserve">    </v>
      </c>
      <c r="B67" t="str">
        <f>IFERROR(IF(0=LEN(ReferenceData!$B$67),"",ReferenceData!$B$67),"")</f>
        <v/>
      </c>
      <c r="C67" t="str">
        <f>IFERROR(IF(0=LEN(ReferenceData!$C$67),"",ReferenceData!$C$67),"")</f>
        <v/>
      </c>
      <c r="D67" t="str">
        <f>IFERROR(IF(0=LEN(ReferenceData!$D$67),"",ReferenceData!$D$67),"")</f>
        <v/>
      </c>
      <c r="E67" t="str">
        <f>IFERROR(IF(0=LEN(ReferenceData!$E$67),"",ReferenceData!$E$67),"")</f>
        <v>Static</v>
      </c>
      <c r="F67" t="str">
        <f ca="1">IFERROR(IF(0=LEN(ReferenceData!$L$67),"",ReferenceData!$L$67),"")</f>
        <v/>
      </c>
      <c r="G67" t="str">
        <f ca="1">IFERROR(IF(0=LEN(ReferenceData!$K$67),"",ReferenceData!$K$67),"")</f>
        <v/>
      </c>
      <c r="H67" t="str">
        <f ca="1">IFERROR(IF(0=LEN(ReferenceData!$J$67),"",ReferenceData!$J$67),"")</f>
        <v/>
      </c>
      <c r="I67" t="str">
        <f ca="1">IFERROR(IF(0=LEN(ReferenceData!$I$67),"",ReferenceData!$I$67),"")</f>
        <v/>
      </c>
      <c r="J67" t="str">
        <f ca="1">IFERROR(IF(0=LEN(ReferenceData!$H$67),"",ReferenceData!$H$67),"")</f>
        <v/>
      </c>
      <c r="K67" t="str">
        <f ca="1">IFERROR(IF(0=LEN(ReferenceData!$G$67),"",ReferenceData!$G$67),"")</f>
        <v/>
      </c>
      <c r="L67" t="str">
        <f ca="1">IFERROR(IF(0=LEN(ReferenceData!$F$67),"",ReferenceData!$F$67),"")</f>
        <v/>
      </c>
    </row>
    <row r="68" spans="1:12" x14ac:dyDescent="0.25">
      <c r="A68" t="str">
        <f>IFERROR(IF(0=LEN(ReferenceData!$A$68),"",ReferenceData!$A$68),"")</f>
        <v>Bookings Metrics:</v>
      </c>
      <c r="B68" t="str">
        <f>IFERROR(IF(0=LEN(ReferenceData!$B$68),"",ReferenceData!$B$68),"")</f>
        <v/>
      </c>
      <c r="C68" t="str">
        <f>IFERROR(IF(0=LEN(ReferenceData!$C$68),"",ReferenceData!$C$68),"")</f>
        <v/>
      </c>
      <c r="D68" t="str">
        <f>IFERROR(IF(0=LEN(ReferenceData!$D$68),"",ReferenceData!$D$68),"")</f>
        <v/>
      </c>
      <c r="E68" t="str">
        <f>IFERROR(IF(0=LEN(ReferenceData!$E$68),"",ReferenceData!$E$68),"")</f>
        <v>Heading</v>
      </c>
      <c r="F68" t="str">
        <f>IFERROR(IF(0=LEN(ReferenceData!$L$68),"",ReferenceData!$L$68),"")</f>
        <v/>
      </c>
      <c r="G68" t="str">
        <f>IFERROR(IF(0=LEN(ReferenceData!$K$68),"",ReferenceData!$K$68),"")</f>
        <v/>
      </c>
      <c r="H68" t="str">
        <f>IFERROR(IF(0=LEN(ReferenceData!$J$68),"",ReferenceData!$J$68),"")</f>
        <v/>
      </c>
      <c r="I68" t="str">
        <f>IFERROR(IF(0=LEN(ReferenceData!$I$68),"",ReferenceData!$I$68),"")</f>
        <v/>
      </c>
      <c r="J68" t="str">
        <f>IFERROR(IF(0=LEN(ReferenceData!$H$68),"",ReferenceData!$H$68),"")</f>
        <v/>
      </c>
      <c r="K68" t="str">
        <f>IFERROR(IF(0=LEN(ReferenceData!$G$68),"",ReferenceData!$G$68),"")</f>
        <v/>
      </c>
      <c r="L68" t="str">
        <f>IFERROR(IF(0=LEN(ReferenceData!$F$68),"",ReferenceData!$F$68),"")</f>
        <v/>
      </c>
    </row>
    <row r="69" spans="1:12" x14ac:dyDescent="0.25">
      <c r="A69" t="str">
        <f>IFERROR(IF(0=LEN(ReferenceData!$A$69),"",ReferenceData!$A$69),"")</f>
        <v>Employee Metrics:</v>
      </c>
      <c r="B69" t="str">
        <f>IFERROR(IF(0=LEN(ReferenceData!$B$69),"",ReferenceData!$B$69),"")</f>
        <v/>
      </c>
      <c r="C69" t="str">
        <f>IFERROR(IF(0=LEN(ReferenceData!$C$69),"",ReferenceData!$C$69),"")</f>
        <v/>
      </c>
      <c r="D69" t="str">
        <f>IFERROR(IF(0=LEN(ReferenceData!$D$69),"",ReferenceData!$D$69),"")</f>
        <v/>
      </c>
      <c r="E69" t="str">
        <f>IFERROR(IF(0=LEN(ReferenceData!$E$69),"",ReferenceData!$E$69),"")</f>
        <v>Heading</v>
      </c>
      <c r="F69" t="str">
        <f>IFERROR(IF(0=LEN(ReferenceData!$L$69),"",ReferenceData!$L$69),"")</f>
        <v/>
      </c>
      <c r="G69" t="str">
        <f>IFERROR(IF(0=LEN(ReferenceData!$K$69),"",ReferenceData!$K$69),"")</f>
        <v/>
      </c>
      <c r="H69" t="str">
        <f>IFERROR(IF(0=LEN(ReferenceData!$J$69),"",ReferenceData!$J$69),"")</f>
        <v/>
      </c>
      <c r="I69" t="str">
        <f>IFERROR(IF(0=LEN(ReferenceData!$I$69),"",ReferenceData!$I$69),"")</f>
        <v/>
      </c>
      <c r="J69" t="str">
        <f>IFERROR(IF(0=LEN(ReferenceData!$H$69),"",ReferenceData!$H$69),"")</f>
        <v/>
      </c>
      <c r="K69" t="str">
        <f>IFERROR(IF(0=LEN(ReferenceData!$G$69),"",ReferenceData!$G$69),"")</f>
        <v/>
      </c>
      <c r="L69" t="str">
        <f>IFERROR(IF(0=LEN(ReferenceData!$F$69),"",ReferenceData!$F$69),"")</f>
        <v/>
      </c>
    </row>
    <row r="70" spans="1:12" x14ac:dyDescent="0.25">
      <c r="A70" t="str">
        <f>IFERROR(IF(0=LEN(ReferenceData!$A$70),"",ReferenceData!$A$70),"")</f>
        <v>Total Employees</v>
      </c>
      <c r="B70" t="str">
        <f>IFERROR(IF(0=LEN(ReferenceData!$B$70),"",ReferenceData!$B$70),"")</f>
        <v/>
      </c>
      <c r="C70" t="str">
        <f>IFERROR(IF(0=LEN(ReferenceData!$C$70),"",ReferenceData!$C$70),"")</f>
        <v/>
      </c>
      <c r="D70" t="str">
        <f>IFERROR(IF(0=LEN(ReferenceData!$D$70),"",ReferenceData!$D$70),"")</f>
        <v/>
      </c>
      <c r="E70" t="str">
        <f>IFERROR(IF(0=LEN(ReferenceData!$E$70),"",ReferenceData!$E$70),"")</f>
        <v>Sum</v>
      </c>
      <c r="F70">
        <f ca="1">IFERROR(IF(0=LEN(ReferenceData!$L$70),"",ReferenceData!$L$70),"")</f>
        <v>1576225</v>
      </c>
      <c r="G70">
        <f ca="1">IFERROR(IF(0=LEN(ReferenceData!$K$70),"",ReferenceData!$K$70),"")</f>
        <v>1550152</v>
      </c>
      <c r="H70">
        <f ca="1">IFERROR(IF(0=LEN(ReferenceData!$J$70),"",ReferenceData!$J$70),"")</f>
        <v>1783650</v>
      </c>
      <c r="I70">
        <f ca="1">IFERROR(IF(0=LEN(ReferenceData!$I$70),"",ReferenceData!$I$70),"")</f>
        <v>1909542</v>
      </c>
      <c r="J70">
        <f ca="1">IFERROR(IF(0=LEN(ReferenceData!$H$70),"",ReferenceData!$H$70),"")</f>
        <v>1968613</v>
      </c>
      <c r="K70">
        <f ca="1">IFERROR(IF(0=LEN(ReferenceData!$G$70),"",ReferenceData!$G$70),"")</f>
        <v>2052998</v>
      </c>
      <c r="L70">
        <f ca="1">IFERROR(IF(0=LEN(ReferenceData!$F$70),"",ReferenceData!$F$70),"")</f>
        <v>2159244</v>
      </c>
    </row>
    <row r="71" spans="1:12" x14ac:dyDescent="0.25">
      <c r="A71" t="str">
        <f>IFERROR(IF(0=LEN(ReferenceData!$A$71),"",ReferenceData!$A$71),"")</f>
        <v xml:space="preserve">    International Business Machine</v>
      </c>
      <c r="B71" t="str">
        <f>IFERROR(IF(0=LEN(ReferenceData!$B$71),"",ReferenceData!$B$71),"")</f>
        <v>IBM US Equity</v>
      </c>
      <c r="C71" t="str">
        <f>IFERROR(IF(0=LEN(ReferenceData!$C$71),"",ReferenceData!$C$71),"")</f>
        <v>RR121</v>
      </c>
      <c r="D71" t="str">
        <f>IFERROR(IF(0=LEN(ReferenceData!$D$71),"",ReferenceData!$D$71),"")</f>
        <v>NUM_OF_EMPLOYEES</v>
      </c>
      <c r="E71" t="str">
        <f>IFERROR(IF(0=LEN(ReferenceData!$E$71),"",ReferenceData!$E$71),"")</f>
        <v>Dynamic</v>
      </c>
      <c r="F71">
        <f ca="1">IFERROR(IF(0=LEN(ReferenceData!$L$71),"",ReferenceData!$L$71),"")</f>
        <v>431212</v>
      </c>
      <c r="G71">
        <f ca="1">IFERROR(IF(0=LEN(ReferenceData!$K$71),"",ReferenceData!$K$71),"")</f>
        <v>379592</v>
      </c>
      <c r="H71">
        <f ca="1">IFERROR(IF(0=LEN(ReferenceData!$J$71),"",ReferenceData!$J$71),"")</f>
        <v>377757</v>
      </c>
      <c r="I71">
        <f ca="1">IFERROR(IF(0=LEN(ReferenceData!$I$71),"",ReferenceData!$I$71),"")</f>
        <v>380300</v>
      </c>
      <c r="J71">
        <f ca="1">IFERROR(IF(0=LEN(ReferenceData!$H$71),"",ReferenceData!$H$71),"")</f>
        <v>366600</v>
      </c>
      <c r="K71">
        <f ca="1">IFERROR(IF(0=LEN(ReferenceData!$G$71),"",ReferenceData!$G$71),"")</f>
        <v>350600</v>
      </c>
      <c r="L71">
        <f ca="1">IFERROR(IF(0=LEN(ReferenceData!$F$71),"",ReferenceData!$F$71),"")</f>
        <v>350600</v>
      </c>
    </row>
    <row r="72" spans="1:12" x14ac:dyDescent="0.25">
      <c r="A72" t="str">
        <f>IFERROR(IF(0=LEN(ReferenceData!$A$72),"",ReferenceData!$A$72),"")</f>
        <v xml:space="preserve">    Accenture PLC</v>
      </c>
      <c r="B72" t="str">
        <f>IFERROR(IF(0=LEN(ReferenceData!$B$72),"",ReferenceData!$B$72),"")</f>
        <v>ACN US Equity</v>
      </c>
      <c r="C72" t="str">
        <f>IFERROR(IF(0=LEN(ReferenceData!$C$72),"",ReferenceData!$C$72),"")</f>
        <v>RR121</v>
      </c>
      <c r="D72" t="str">
        <f>IFERROR(IF(0=LEN(ReferenceData!$D$72),"",ReferenceData!$D$72),"")</f>
        <v>NUM_OF_EMPLOYEES</v>
      </c>
      <c r="E72" t="str">
        <f>IFERROR(IF(0=LEN(ReferenceData!$E$72),"",ReferenceData!$E$72),"")</f>
        <v>Dynamic</v>
      </c>
      <c r="F72">
        <f ca="1">IFERROR(IF(0=LEN(ReferenceData!$L$72),"",ReferenceData!$L$72),"")</f>
        <v>275000</v>
      </c>
      <c r="G72">
        <f ca="1">IFERROR(IF(0=LEN(ReferenceData!$K$72),"",ReferenceData!$K$72),"")</f>
        <v>305000</v>
      </c>
      <c r="H72">
        <f ca="1">IFERROR(IF(0=LEN(ReferenceData!$J$72),"",ReferenceData!$J$72),"")</f>
        <v>358498</v>
      </c>
      <c r="I72">
        <f ca="1">IFERROR(IF(0=LEN(ReferenceData!$I$72),"",ReferenceData!$I$72),"")</f>
        <v>384000</v>
      </c>
      <c r="J72">
        <f ca="1">IFERROR(IF(0=LEN(ReferenceData!$H$72),"",ReferenceData!$H$72),"")</f>
        <v>459000</v>
      </c>
      <c r="K72">
        <f ca="1">IFERROR(IF(0=LEN(ReferenceData!$G$72),"",ReferenceData!$G$72),"")</f>
        <v>459000</v>
      </c>
      <c r="L72">
        <f ca="1">IFERROR(IF(0=LEN(ReferenceData!$F$72),"",ReferenceData!$F$72),"")</f>
        <v>492000</v>
      </c>
    </row>
    <row r="73" spans="1:12" x14ac:dyDescent="0.25">
      <c r="A73" t="str">
        <f>IFERROR(IF(0=LEN(ReferenceData!$A$73),"",ReferenceData!$A$73),"")</f>
        <v xml:space="preserve">    Tata Consultancy Services Ltd</v>
      </c>
      <c r="B73" t="str">
        <f>IFERROR(IF(0=LEN(ReferenceData!$B$73),"",ReferenceData!$B$73),"")</f>
        <v>TCS IN Equity</v>
      </c>
      <c r="C73" t="str">
        <f>IFERROR(IF(0=LEN(ReferenceData!$C$73),"",ReferenceData!$C$73),"")</f>
        <v>RR121</v>
      </c>
      <c r="D73" t="str">
        <f>IFERROR(IF(0=LEN(ReferenceData!$D$73),"",ReferenceData!$D$73),"")</f>
        <v>NUM_OF_EMPLOYEES</v>
      </c>
      <c r="E73" t="str">
        <f>IFERROR(IF(0=LEN(ReferenceData!$E$73),"",ReferenceData!$E$73),"")</f>
        <v>Dynamic</v>
      </c>
      <c r="F73">
        <f ca="1">IFERROR(IF(0=LEN(ReferenceData!$L$73),"",ReferenceData!$L$73),"")</f>
        <v>300464</v>
      </c>
      <c r="G73">
        <f ca="1">IFERROR(IF(0=LEN(ReferenceData!$K$73),"",ReferenceData!$K$73),"")</f>
        <v>319656</v>
      </c>
      <c r="H73">
        <f ca="1">IFERROR(IF(0=LEN(ReferenceData!$J$73),"",ReferenceData!$J$73),"")</f>
        <v>353843</v>
      </c>
      <c r="I73">
        <f ca="1">IFERROR(IF(0=LEN(ReferenceData!$I$73),"",ReferenceData!$I$73),"")</f>
        <v>387223</v>
      </c>
      <c r="J73">
        <f ca="1">IFERROR(IF(0=LEN(ReferenceData!$H$73),"",ReferenceData!$H$73),"")</f>
        <v>394998</v>
      </c>
      <c r="K73">
        <f ca="1">IFERROR(IF(0=LEN(ReferenceData!$G$73),"",ReferenceData!$G$73),"")</f>
        <v>424285</v>
      </c>
      <c r="L73">
        <f ca="1">IFERROR(IF(0=LEN(ReferenceData!$F$73),"",ReferenceData!$F$73),"")</f>
        <v>448464</v>
      </c>
    </row>
    <row r="74" spans="1:12" x14ac:dyDescent="0.25">
      <c r="A74" t="str">
        <f>IFERROR(IF(0=LEN(ReferenceData!$A$74),"",ReferenceData!$A$74),"")</f>
        <v xml:space="preserve">    Infosys Ltd</v>
      </c>
      <c r="B74" t="str">
        <f>IFERROR(IF(0=LEN(ReferenceData!$B$74),"",ReferenceData!$B$74),"")</f>
        <v>INFY US Equity</v>
      </c>
      <c r="C74" t="str">
        <f>IFERROR(IF(0=LEN(ReferenceData!$C$74),"",ReferenceData!$C$74),"")</f>
        <v>RR121</v>
      </c>
      <c r="D74" t="str">
        <f>IFERROR(IF(0=LEN(ReferenceData!$D$74),"",ReferenceData!$D$74),"")</f>
        <v>NUM_OF_EMPLOYEES</v>
      </c>
      <c r="E74" t="str">
        <f>IFERROR(IF(0=LEN(ReferenceData!$E$74),"",ReferenceData!$E$74),"")</f>
        <v>Dynamic</v>
      </c>
      <c r="F74">
        <f ca="1">IFERROR(IF(0=LEN(ReferenceData!$L$74),"",ReferenceData!$L$74),"")</f>
        <v>160405</v>
      </c>
      <c r="G74">
        <f ca="1">IFERROR(IF(0=LEN(ReferenceData!$K$74),"",ReferenceData!$K$74),"")</f>
        <v>176187</v>
      </c>
      <c r="H74">
        <f ca="1">IFERROR(IF(0=LEN(ReferenceData!$J$74),"",ReferenceData!$J$74),"")</f>
        <v>194044</v>
      </c>
      <c r="I74">
        <f ca="1">IFERROR(IF(0=LEN(ReferenceData!$I$74),"",ReferenceData!$I$74),"")</f>
        <v>200364</v>
      </c>
      <c r="J74">
        <f ca="1">IFERROR(IF(0=LEN(ReferenceData!$H$74),"",ReferenceData!$H$74),"")</f>
        <v>204107</v>
      </c>
      <c r="K74">
        <f ca="1">IFERROR(IF(0=LEN(ReferenceData!$G$74),"",ReferenceData!$G$74),"")</f>
        <v>228123</v>
      </c>
      <c r="L74">
        <f ca="1">IFERROR(IF(0=LEN(ReferenceData!$F$74),"",ReferenceData!$F$74),"")</f>
        <v>242371</v>
      </c>
    </row>
    <row r="75" spans="1:12" x14ac:dyDescent="0.25">
      <c r="A75" t="str">
        <f>IFERROR(IF(0=LEN(ReferenceData!$A$75),"",ReferenceData!$A$75),"")</f>
        <v xml:space="preserve">    Cognizant Technology Solutions</v>
      </c>
      <c r="B75" t="str">
        <f>IFERROR(IF(0=LEN(ReferenceData!$B$75),"",ReferenceData!$B$75),"")</f>
        <v>CTSH US Equity</v>
      </c>
      <c r="C75" t="str">
        <f>IFERROR(IF(0=LEN(ReferenceData!$C$75),"",ReferenceData!$C$75),"")</f>
        <v>RR121</v>
      </c>
      <c r="D75" t="str">
        <f>IFERROR(IF(0=LEN(ReferenceData!$D$75),"",ReferenceData!$D$75),"")</f>
        <v>NUM_OF_EMPLOYEES</v>
      </c>
      <c r="E75" t="str">
        <f>IFERROR(IF(0=LEN(ReferenceData!$E$75),"",ReferenceData!$E$75),"")</f>
        <v>Dynamic</v>
      </c>
      <c r="F75">
        <f ca="1">IFERROR(IF(0=LEN(ReferenceData!$L$75),"",ReferenceData!$L$75),"")</f>
        <v>171400</v>
      </c>
      <c r="G75">
        <f ca="1">IFERROR(IF(0=LEN(ReferenceData!$K$75),"",ReferenceData!$K$75),"")</f>
        <v>211500</v>
      </c>
      <c r="H75">
        <f ca="1">IFERROR(IF(0=LEN(ReferenceData!$J$75),"",ReferenceData!$J$75),"")</f>
        <v>221700</v>
      </c>
      <c r="I75">
        <f ca="1">IFERROR(IF(0=LEN(ReferenceData!$I$75),"",ReferenceData!$I$75),"")</f>
        <v>260200</v>
      </c>
      <c r="J75">
        <f ca="1">IFERROR(IF(0=LEN(ReferenceData!$H$75),"",ReferenceData!$H$75),"")</f>
        <v>260000</v>
      </c>
      <c r="K75">
        <f ca="1">IFERROR(IF(0=LEN(ReferenceData!$G$75),"",ReferenceData!$G$75),"")</f>
        <v>281600</v>
      </c>
      <c r="L75">
        <f ca="1">IFERROR(IF(0=LEN(ReferenceData!$F$75),"",ReferenceData!$F$75),"")</f>
        <v>292500</v>
      </c>
    </row>
    <row r="76" spans="1:12" x14ac:dyDescent="0.25">
      <c r="A76" t="str">
        <f>IFERROR(IF(0=LEN(ReferenceData!$A$76),"",ReferenceData!$A$76),"")</f>
        <v xml:space="preserve">    Wipro Ltd</v>
      </c>
      <c r="B76" t="str">
        <f>IFERROR(IF(0=LEN(ReferenceData!$B$76),"",ReferenceData!$B$76),"")</f>
        <v>WIT US Equity</v>
      </c>
      <c r="C76" t="str">
        <f>IFERROR(IF(0=LEN(ReferenceData!$C$76),"",ReferenceData!$C$76),"")</f>
        <v>RR121</v>
      </c>
      <c r="D76" t="str">
        <f>IFERROR(IF(0=LEN(ReferenceData!$D$76),"",ReferenceData!$D$76),"")</f>
        <v>NUM_OF_EMPLOYEES</v>
      </c>
      <c r="E76" t="str">
        <f>IFERROR(IF(0=LEN(ReferenceData!$E$76),"",ReferenceData!$E$76),"")</f>
        <v>Dynamic</v>
      </c>
      <c r="F76">
        <f ca="1">IFERROR(IF(0=LEN(ReferenceData!$L$76),"",ReferenceData!$L$76),"")</f>
        <v>146053</v>
      </c>
      <c r="G76">
        <f ca="1">IFERROR(IF(0=LEN(ReferenceData!$K$76),"",ReferenceData!$K$76),"")</f>
        <v>158217</v>
      </c>
      <c r="H76">
        <f ca="1">IFERROR(IF(0=LEN(ReferenceData!$J$76),"",ReferenceData!$J$76),"")</f>
        <v>172912</v>
      </c>
      <c r="I76">
        <f ca="1">IFERROR(IF(0=LEN(ReferenceData!$I$76),"",ReferenceData!$I$76),"")</f>
        <v>181482</v>
      </c>
      <c r="J76">
        <f ca="1">IFERROR(IF(0=LEN(ReferenceData!$H$76),"",ReferenceData!$H$76),"")</f>
        <v>163827</v>
      </c>
      <c r="K76">
        <f ca="1">IFERROR(IF(0=LEN(ReferenceData!$G$76),"",ReferenceData!$G$76),"")</f>
        <v>171425</v>
      </c>
      <c r="L76">
        <f ca="1">IFERROR(IF(0=LEN(ReferenceData!$F$76),"",ReferenceData!$F$76),"")</f>
        <v>182886</v>
      </c>
    </row>
    <row r="77" spans="1:12" x14ac:dyDescent="0.25">
      <c r="A77" t="str">
        <f>IFERROR(IF(0=LEN(ReferenceData!$A$77),"",ReferenceData!$A$77),"")</f>
        <v xml:space="preserve">    HCL Technologies Ltd</v>
      </c>
      <c r="B77" t="str">
        <f>IFERROR(IF(0=LEN(ReferenceData!$B$77),"",ReferenceData!$B$77),"")</f>
        <v>HCLT IN Equity</v>
      </c>
      <c r="C77" t="str">
        <f>IFERROR(IF(0=LEN(ReferenceData!$C$77),"",ReferenceData!$C$77),"")</f>
        <v>RR121</v>
      </c>
      <c r="D77" t="str">
        <f>IFERROR(IF(0=LEN(ReferenceData!$D$77),"",ReferenceData!$D$77),"")</f>
        <v>NUM_OF_EMPLOYEES</v>
      </c>
      <c r="E77" t="str">
        <f>IFERROR(IF(0=LEN(ReferenceData!$E$77),"",ReferenceData!$E$77),"")</f>
        <v>Dynamic</v>
      </c>
      <c r="F77">
        <f ca="1">IFERROR(IF(0=LEN(ReferenceData!$L$77),"",ReferenceData!$L$77),"")</f>
        <v>91691</v>
      </c>
      <c r="G77" t="str">
        <f ca="1">IFERROR(IF(0=LEN(ReferenceData!$K$77),"",ReferenceData!$K$77),"")</f>
        <v/>
      </c>
      <c r="H77">
        <f ca="1">IFERROR(IF(0=LEN(ReferenceData!$J$77),"",ReferenceData!$J$77),"")</f>
        <v>104896</v>
      </c>
      <c r="I77">
        <f ca="1">IFERROR(IF(0=LEN(ReferenceData!$I$77),"",ReferenceData!$I$77),"")</f>
        <v>115973</v>
      </c>
      <c r="J77">
        <f ca="1">IFERROR(IF(0=LEN(ReferenceData!$H$77),"",ReferenceData!$H$77),"")</f>
        <v>120081</v>
      </c>
      <c r="K77">
        <f ca="1">IFERROR(IF(0=LEN(ReferenceData!$G$77),"",ReferenceData!$G$77),"")</f>
        <v>137965</v>
      </c>
      <c r="L77">
        <f ca="1">IFERROR(IF(0=LEN(ReferenceData!$F$77),"",ReferenceData!$F$77),"")</f>
        <v>150423</v>
      </c>
    </row>
    <row r="78" spans="1:12" x14ac:dyDescent="0.25">
      <c r="A78" t="str">
        <f>IFERROR(IF(0=LEN(ReferenceData!$A$78),"",ReferenceData!$A$78),"")</f>
        <v>Employee Attrition (%)</v>
      </c>
      <c r="B78" t="str">
        <f>IFERROR(IF(0=LEN(ReferenceData!$B$78),"",ReferenceData!$B$78),"")</f>
        <v>BRITBPOV Index</v>
      </c>
      <c r="C78" t="str">
        <f>IFERROR(IF(0=LEN(ReferenceData!$C$78),"",ReferenceData!$C$78),"")</f>
        <v/>
      </c>
      <c r="D78" t="str">
        <f>IFERROR(IF(0=LEN(ReferenceData!$D$78),"",ReferenceData!$D$78),"")</f>
        <v/>
      </c>
      <c r="E78" t="str">
        <f>IFERROR(IF(0=LEN(ReferenceData!$E$78),"",ReferenceData!$E$78),"")</f>
        <v>Median</v>
      </c>
      <c r="F78">
        <f ca="1">IFERROR(IF(0=LEN(ReferenceData!$L$78),"",ReferenceData!$L$78),"")</f>
        <v>16</v>
      </c>
      <c r="G78">
        <f ca="1">IFERROR(IF(0=LEN(ReferenceData!$K$78),"",ReferenceData!$K$78),"")</f>
        <v>16.5</v>
      </c>
      <c r="H78">
        <f ca="1">IFERROR(IF(0=LEN(ReferenceData!$J$78),"",ReferenceData!$J$78),"")</f>
        <v>16.700000000000003</v>
      </c>
      <c r="I78">
        <f ca="1">IFERROR(IF(0=LEN(ReferenceData!$I$78),"",ReferenceData!$I$78),"")</f>
        <v>16.3</v>
      </c>
      <c r="J78">
        <f ca="1">IFERROR(IF(0=LEN(ReferenceData!$H$78),"",ReferenceData!$H$78),"")</f>
        <v>16.05</v>
      </c>
      <c r="K78">
        <f ca="1">IFERROR(IF(0=LEN(ReferenceData!$G$78),"",ReferenceData!$G$78),"")</f>
        <v>17.649999999999999</v>
      </c>
      <c r="L78">
        <f ca="1">IFERROR(IF(0=LEN(ReferenceData!$F$78),"",ReferenceData!$F$78),"")</f>
        <v>14.7</v>
      </c>
    </row>
    <row r="79" spans="1:12" x14ac:dyDescent="0.25">
      <c r="A79" t="str">
        <f>IFERROR(IF(0=LEN(ReferenceData!$A$79),"",ReferenceData!$A$79),"")</f>
        <v xml:space="preserve">    Accenture PLC</v>
      </c>
      <c r="B79" t="str">
        <f>IFERROR(IF(0=LEN(ReferenceData!$B$79),"",ReferenceData!$B$79),"")</f>
        <v>ACN US Equity</v>
      </c>
      <c r="C79" t="str">
        <f>IFERROR(IF(0=LEN(ReferenceData!$C$79),"",ReferenceData!$C$79),"")</f>
        <v>M0005</v>
      </c>
      <c r="D79" t="str">
        <f>IFERROR(IF(0=LEN(ReferenceData!$D$79),"",ReferenceData!$D$79),"")</f>
        <v>ATTRITION_RATE</v>
      </c>
      <c r="E79" t="str">
        <f>IFERROR(IF(0=LEN(ReferenceData!$E$79),"",ReferenceData!$E$79),"")</f>
        <v>Dynamic</v>
      </c>
      <c r="F79">
        <f ca="1">IFERROR(IF(0=LEN(ReferenceData!$L$79),"",ReferenceData!$L$79),"")</f>
        <v>12</v>
      </c>
      <c r="G79">
        <f ca="1">IFERROR(IF(0=LEN(ReferenceData!$K$79),"",ReferenceData!$K$79),"")</f>
        <v>13</v>
      </c>
      <c r="H79">
        <f ca="1">IFERROR(IF(0=LEN(ReferenceData!$J$79),"",ReferenceData!$J$79),"")</f>
        <v>14</v>
      </c>
      <c r="I79">
        <f ca="1">IFERROR(IF(0=LEN(ReferenceData!$I$79),"",ReferenceData!$I$79),"")</f>
        <v>14</v>
      </c>
      <c r="J79" t="str">
        <f ca="1">IFERROR(IF(0=LEN(ReferenceData!$H$79),"",ReferenceData!$H$79),"")</f>
        <v/>
      </c>
      <c r="K79" t="str">
        <f ca="1">IFERROR(IF(0=LEN(ReferenceData!$G$79),"",ReferenceData!$G$79),"")</f>
        <v/>
      </c>
      <c r="L79" t="str">
        <f ca="1">IFERROR(IF(0=LEN(ReferenceData!$F$79),"",ReferenceData!$F$79),"")</f>
        <v/>
      </c>
    </row>
    <row r="80" spans="1:12" x14ac:dyDescent="0.25">
      <c r="A80" t="str">
        <f>IFERROR(IF(0=LEN(ReferenceData!$A$80),"",ReferenceData!$A$80),"")</f>
        <v xml:space="preserve">    Tata Consultancy Services Ltd</v>
      </c>
      <c r="B80" t="str">
        <f>IFERROR(IF(0=LEN(ReferenceData!$B$80),"",ReferenceData!$B$80),"")</f>
        <v>TCS IN Equity</v>
      </c>
      <c r="C80" t="str">
        <f>IFERROR(IF(0=LEN(ReferenceData!$C$80),"",ReferenceData!$C$80),"")</f>
        <v>M0005</v>
      </c>
      <c r="D80" t="str">
        <f>IFERROR(IF(0=LEN(ReferenceData!$D$80),"",ReferenceData!$D$80),"")</f>
        <v>ATTRITION_RATE</v>
      </c>
      <c r="E80" t="str">
        <f>IFERROR(IF(0=LEN(ReferenceData!$E$80),"",ReferenceData!$E$80),"")</f>
        <v>Dynamic</v>
      </c>
      <c r="F80" t="str">
        <f ca="1">IFERROR(IF(0=LEN(ReferenceData!$L$80),"",ReferenceData!$L$80),"")</f>
        <v/>
      </c>
      <c r="G80" t="str">
        <f ca="1">IFERROR(IF(0=LEN(ReferenceData!$K$80),"",ReferenceData!$K$80),"")</f>
        <v/>
      </c>
      <c r="H80" t="str">
        <f ca="1">IFERROR(IF(0=LEN(ReferenceData!$J$80),"",ReferenceData!$J$80),"")</f>
        <v/>
      </c>
      <c r="I80">
        <f ca="1">IFERROR(IF(0=LEN(ReferenceData!$I$80),"",ReferenceData!$I$80),"")</f>
        <v>11.5</v>
      </c>
      <c r="J80">
        <f ca="1">IFERROR(IF(0=LEN(ReferenceData!$H$80),"",ReferenceData!$H$80),"")</f>
        <v>11</v>
      </c>
      <c r="K80" t="str">
        <f ca="1">IFERROR(IF(0=LEN(ReferenceData!$G$80),"",ReferenceData!$G$80),"")</f>
        <v/>
      </c>
      <c r="L80">
        <f ca="1">IFERROR(IF(0=LEN(ReferenceData!$F$80),"",ReferenceData!$F$80),"")</f>
        <v>12.1</v>
      </c>
    </row>
    <row r="81" spans="1:12" x14ac:dyDescent="0.25">
      <c r="A81" t="str">
        <f>IFERROR(IF(0=LEN(ReferenceData!$A$81),"",ReferenceData!$A$81),"")</f>
        <v xml:space="preserve">    Infosys Ltd</v>
      </c>
      <c r="B81" t="str">
        <f>IFERROR(IF(0=LEN(ReferenceData!$B$81),"",ReferenceData!$B$81),"")</f>
        <v>INFY US Equity</v>
      </c>
      <c r="C81" t="str">
        <f>IFERROR(IF(0=LEN(ReferenceData!$C$81),"",ReferenceData!$C$81),"")</f>
        <v>M0005</v>
      </c>
      <c r="D81" t="str">
        <f>IFERROR(IF(0=LEN(ReferenceData!$D$81),"",ReferenceData!$D$81),"")</f>
        <v>ATTRITION_RATE</v>
      </c>
      <c r="E81" t="str">
        <f>IFERROR(IF(0=LEN(ReferenceData!$E$81),"",ReferenceData!$E$81),"")</f>
        <v>Dynamic</v>
      </c>
      <c r="F81">
        <f ca="1">IFERROR(IF(0=LEN(ReferenceData!$L$81),"",ReferenceData!$L$81),"")</f>
        <v>18.7</v>
      </c>
      <c r="G81">
        <f ca="1">IFERROR(IF(0=LEN(ReferenceData!$K$81),"",ReferenceData!$K$81),"")</f>
        <v>18.899999999999999</v>
      </c>
      <c r="H81">
        <f ca="1">IFERROR(IF(0=LEN(ReferenceData!$J$81),"",ReferenceData!$J$81),"")</f>
        <v>18.7</v>
      </c>
      <c r="I81">
        <f ca="1">IFERROR(IF(0=LEN(ReferenceData!$I$81),"",ReferenceData!$I$81),"")</f>
        <v>19.2</v>
      </c>
      <c r="J81">
        <f ca="1">IFERROR(IF(0=LEN(ReferenceData!$H$81),"",ReferenceData!$H$81),"")</f>
        <v>20</v>
      </c>
      <c r="K81" t="str">
        <f ca="1">IFERROR(IF(0=LEN(ReferenceData!$G$81),"",ReferenceData!$G$81),"")</f>
        <v/>
      </c>
      <c r="L81" t="str">
        <f ca="1">IFERROR(IF(0=LEN(ReferenceData!$F$81),"",ReferenceData!$F$81),"")</f>
        <v/>
      </c>
    </row>
    <row r="82" spans="1:12" x14ac:dyDescent="0.25">
      <c r="A82" t="str">
        <f>IFERROR(IF(0=LEN(ReferenceData!$A$82),"",ReferenceData!$A$82),"")</f>
        <v xml:space="preserve">    Wipro Ltd</v>
      </c>
      <c r="B82" t="str">
        <f>IFERROR(IF(0=LEN(ReferenceData!$B$82),"",ReferenceData!$B$82),"")</f>
        <v>WIT US Equity</v>
      </c>
      <c r="C82" t="str">
        <f>IFERROR(IF(0=LEN(ReferenceData!$C$82),"",ReferenceData!$C$82),"")</f>
        <v>M0005</v>
      </c>
      <c r="D82" t="str">
        <f>IFERROR(IF(0=LEN(ReferenceData!$D$82),"",ReferenceData!$D$82),"")</f>
        <v>ATTRITION_RATE</v>
      </c>
      <c r="E82" t="str">
        <f>IFERROR(IF(0=LEN(ReferenceData!$E$82),"",ReferenceData!$E$82),"")</f>
        <v>Dynamic</v>
      </c>
      <c r="F82">
        <f ca="1">IFERROR(IF(0=LEN(ReferenceData!$L$82),"",ReferenceData!$L$82),"")</f>
        <v>15.1</v>
      </c>
      <c r="G82">
        <f ca="1">IFERROR(IF(0=LEN(ReferenceData!$K$82),"",ReferenceData!$K$82),"")</f>
        <v>16.5</v>
      </c>
      <c r="H82">
        <f ca="1">IFERROR(IF(0=LEN(ReferenceData!$J$82),"",ReferenceData!$J$82),"")</f>
        <v>16.100000000000001</v>
      </c>
      <c r="I82">
        <f ca="1">IFERROR(IF(0=LEN(ReferenceData!$I$82),"",ReferenceData!$I$82),"")</f>
        <v>16.3</v>
      </c>
      <c r="J82">
        <f ca="1">IFERROR(IF(0=LEN(ReferenceData!$H$82),"",ReferenceData!$H$82),"")</f>
        <v>16.600000000000001</v>
      </c>
      <c r="K82">
        <f ca="1">IFERROR(IF(0=LEN(ReferenceData!$G$82),"",ReferenceData!$G$82),"")</f>
        <v>17.600000000000001</v>
      </c>
      <c r="L82">
        <f ca="1">IFERROR(IF(0=LEN(ReferenceData!$F$82),"",ReferenceData!$F$82),"")</f>
        <v>14.7</v>
      </c>
    </row>
    <row r="83" spans="1:12" x14ac:dyDescent="0.25">
      <c r="A83" t="str">
        <f>IFERROR(IF(0=LEN(ReferenceData!$A$83),"",ReferenceData!$A$83),"")</f>
        <v xml:space="preserve">    Cognizant Technology Solutions</v>
      </c>
      <c r="B83" t="str">
        <f>IFERROR(IF(0=LEN(ReferenceData!$B$83),"",ReferenceData!$B$83),"")</f>
        <v>CTSH US Equity</v>
      </c>
      <c r="C83" t="str">
        <f>IFERROR(IF(0=LEN(ReferenceData!$C$83),"",ReferenceData!$C$83),"")</f>
        <v>M0005</v>
      </c>
      <c r="D83" t="str">
        <f>IFERROR(IF(0=LEN(ReferenceData!$D$83),"",ReferenceData!$D$83),"")</f>
        <v>ATTRITION_RATE</v>
      </c>
      <c r="E83" t="str">
        <f>IFERROR(IF(0=LEN(ReferenceData!$E$83),"",ReferenceData!$E$83),"")</f>
        <v>Dynamic</v>
      </c>
      <c r="F83">
        <f ca="1">IFERROR(IF(0=LEN(ReferenceData!$L$83),"",ReferenceData!$L$83),"")</f>
        <v>16</v>
      </c>
      <c r="G83" t="str">
        <f ca="1">IFERROR(IF(0=LEN(ReferenceData!$K$83),"",ReferenceData!$K$83),"")</f>
        <v/>
      </c>
      <c r="H83" t="str">
        <f ca="1">IFERROR(IF(0=LEN(ReferenceData!$J$83),"",ReferenceData!$J$83),"")</f>
        <v/>
      </c>
      <c r="I83" t="str">
        <f ca="1">IFERROR(IF(0=LEN(ReferenceData!$I$83),"",ReferenceData!$I$83),"")</f>
        <v/>
      </c>
      <c r="J83" t="str">
        <f ca="1">IFERROR(IF(0=LEN(ReferenceData!$H$83),"",ReferenceData!$H$83),"")</f>
        <v/>
      </c>
      <c r="K83" t="str">
        <f ca="1">IFERROR(IF(0=LEN(ReferenceData!$G$83),"",ReferenceData!$G$83),"")</f>
        <v/>
      </c>
      <c r="L83" t="str">
        <f ca="1">IFERROR(IF(0=LEN(ReferenceData!$F$83),"",ReferenceData!$F$83),"")</f>
        <v/>
      </c>
    </row>
    <row r="84" spans="1:12" x14ac:dyDescent="0.25">
      <c r="A84" t="str">
        <f>IFERROR(IF(0=LEN(ReferenceData!$A$84),"",ReferenceData!$A$84),"")</f>
        <v xml:space="preserve">    HCL Technologies Ltd</v>
      </c>
      <c r="B84" t="str">
        <f>IFERROR(IF(0=LEN(ReferenceData!$B$84),"",ReferenceData!$B$84),"")</f>
        <v>HCLT IN Equity</v>
      </c>
      <c r="C84" t="str">
        <f>IFERROR(IF(0=LEN(ReferenceData!$C$84),"",ReferenceData!$C$84),"")</f>
        <v>M0005</v>
      </c>
      <c r="D84" t="str">
        <f>IFERROR(IF(0=LEN(ReferenceData!$D$84),"",ReferenceData!$D$84),"")</f>
        <v>ATTRITION_RATE</v>
      </c>
      <c r="E84" t="str">
        <f>IFERROR(IF(0=LEN(ReferenceData!$E$84),"",ReferenceData!$E$84),"")</f>
        <v>Dynamic</v>
      </c>
      <c r="F84">
        <f ca="1">IFERROR(IF(0=LEN(ReferenceData!$L$84),"",ReferenceData!$L$84),"")</f>
        <v>16.899999999999999</v>
      </c>
      <c r="G84" t="str">
        <f ca="1">IFERROR(IF(0=LEN(ReferenceData!$K$84),"",ReferenceData!$K$84),"")</f>
        <v/>
      </c>
      <c r="H84">
        <f ca="1">IFERROR(IF(0=LEN(ReferenceData!$J$84),"",ReferenceData!$J$84),"")</f>
        <v>17.3</v>
      </c>
      <c r="I84">
        <f ca="1">IFERROR(IF(0=LEN(ReferenceData!$I$84),"",ReferenceData!$I$84),"")</f>
        <v>16.899999999999999</v>
      </c>
      <c r="J84">
        <f ca="1">IFERROR(IF(0=LEN(ReferenceData!$H$84),"",ReferenceData!$H$84),"")</f>
        <v>15.5</v>
      </c>
      <c r="K84">
        <f ca="1">IFERROR(IF(0=LEN(ReferenceData!$G$84),"",ReferenceData!$G$84),"")</f>
        <v>17.7</v>
      </c>
      <c r="L84">
        <f ca="1">IFERROR(IF(0=LEN(ReferenceData!$F$84),"",ReferenceData!$F$84),"")</f>
        <v>16.3</v>
      </c>
    </row>
    <row r="85" spans="1:12" x14ac:dyDescent="0.25">
      <c r="A85" t="str">
        <f>IFERROR(IF(0=LEN(ReferenceData!$A$85),"",ReferenceData!$A$85),"")</f>
        <v>Employee Utilization (%)</v>
      </c>
      <c r="B85" t="str">
        <f>IFERROR(IF(0=LEN(ReferenceData!$B$85),"",ReferenceData!$B$85),"")</f>
        <v/>
      </c>
      <c r="C85" t="str">
        <f>IFERROR(IF(0=LEN(ReferenceData!$C$85),"",ReferenceData!$C$85),"")</f>
        <v/>
      </c>
      <c r="D85" t="str">
        <f>IFERROR(IF(0=LEN(ReferenceData!$D$85),"",ReferenceData!$D$85),"")</f>
        <v/>
      </c>
      <c r="E85" t="str">
        <f>IFERROR(IF(0=LEN(ReferenceData!$E$85),"",ReferenceData!$E$85),"")</f>
        <v>Average</v>
      </c>
      <c r="F85">
        <f ca="1">IFERROR(IF(0=LEN(ReferenceData!$L$85),"",ReferenceData!$L$85),"")</f>
        <v>81.125</v>
      </c>
      <c r="G85">
        <f ca="1">IFERROR(IF(0=LEN(ReferenceData!$K$85),"",ReferenceData!$K$85),"")</f>
        <v>82.666666666666671</v>
      </c>
      <c r="H85">
        <f ca="1">IFERROR(IF(0=LEN(ReferenceData!$J$85),"",ReferenceData!$J$85),"")</f>
        <v>84.025000000000006</v>
      </c>
      <c r="I85">
        <f ca="1">IFERROR(IF(0=LEN(ReferenceData!$I$85),"",ReferenceData!$I$85),"")</f>
        <v>85.424999999999997</v>
      </c>
      <c r="J85">
        <f ca="1">IFERROR(IF(0=LEN(ReferenceData!$H$85),"",ReferenceData!$H$85),"")</f>
        <v>83.86666666666666</v>
      </c>
      <c r="K85">
        <f ca="1">IFERROR(IF(0=LEN(ReferenceData!$G$85),"",ReferenceData!$G$85),"")</f>
        <v>84.333333333333329</v>
      </c>
      <c r="L85">
        <f ca="1">IFERROR(IF(0=LEN(ReferenceData!$F$85),"",ReferenceData!$F$85),"")</f>
        <v>82.45</v>
      </c>
    </row>
    <row r="86" spans="1:12" x14ac:dyDescent="0.25">
      <c r="A86" t="str">
        <f>IFERROR(IF(0=LEN(ReferenceData!$A$86),"",ReferenceData!$A$86),"")</f>
        <v xml:space="preserve">    Accenture PLC</v>
      </c>
      <c r="B86" t="str">
        <f>IFERROR(IF(0=LEN(ReferenceData!$B$86),"",ReferenceData!$B$86),"")</f>
        <v>ACN US Equity</v>
      </c>
      <c r="C86" t="str">
        <f>IFERROR(IF(0=LEN(ReferenceData!$C$86),"",ReferenceData!$C$86),"")</f>
        <v>M0006</v>
      </c>
      <c r="D86" t="str">
        <f>IFERROR(IF(0=LEN(ReferenceData!$D$86),"",ReferenceData!$D$86),"")</f>
        <v>UTILIZATION_RATE</v>
      </c>
      <c r="E86" t="str">
        <f>IFERROR(IF(0=LEN(ReferenceData!$E$86),"",ReferenceData!$E$86),"")</f>
        <v>Dynamic</v>
      </c>
      <c r="F86">
        <f ca="1">IFERROR(IF(0=LEN(ReferenceData!$L$86),"",ReferenceData!$L$86),"")</f>
        <v>88</v>
      </c>
      <c r="G86">
        <f ca="1">IFERROR(IF(0=LEN(ReferenceData!$K$86),"",ReferenceData!$K$86),"")</f>
        <v>88</v>
      </c>
      <c r="H86">
        <f ca="1">IFERROR(IF(0=LEN(ReferenceData!$J$86),"",ReferenceData!$J$86),"")</f>
        <v>90</v>
      </c>
      <c r="I86">
        <f ca="1">IFERROR(IF(0=LEN(ReferenceData!$I$86),"",ReferenceData!$I$86),"")</f>
        <v>92</v>
      </c>
      <c r="J86" t="str">
        <f ca="1">IFERROR(IF(0=LEN(ReferenceData!$H$86),"",ReferenceData!$H$86),"")</f>
        <v/>
      </c>
      <c r="K86" t="str">
        <f ca="1">IFERROR(IF(0=LEN(ReferenceData!$G$86),"",ReferenceData!$G$86),"")</f>
        <v/>
      </c>
      <c r="L86" t="str">
        <f ca="1">IFERROR(IF(0=LEN(ReferenceData!$F$86),"",ReferenceData!$F$86),"")</f>
        <v/>
      </c>
    </row>
    <row r="87" spans="1:12" x14ac:dyDescent="0.25">
      <c r="A87" t="str">
        <f>IFERROR(IF(0=LEN(ReferenceData!$A$87),"",ReferenceData!$A$87),"")</f>
        <v xml:space="preserve">    Tata Consultancy Services Ltd</v>
      </c>
      <c r="B87" t="str">
        <f>IFERROR(IF(0=LEN(ReferenceData!$B$87),"",ReferenceData!$B$87),"")</f>
        <v>TCS IN Equity</v>
      </c>
      <c r="C87" t="str">
        <f>IFERROR(IF(0=LEN(ReferenceData!$C$87),"",ReferenceData!$C$87),"")</f>
        <v>M0006</v>
      </c>
      <c r="D87" t="str">
        <f>IFERROR(IF(0=LEN(ReferenceData!$D$87),"",ReferenceData!$D$87),"")</f>
        <v>UTILIZATION_RATE</v>
      </c>
      <c r="E87" t="str">
        <f>IFERROR(IF(0=LEN(ReferenceData!$E$87),"",ReferenceData!$E$87),"")</f>
        <v>Dynamic</v>
      </c>
      <c r="F87" t="str">
        <f ca="1">IFERROR(IF(0=LEN(ReferenceData!$L$87),"",ReferenceData!$L$87),"")</f>
        <v/>
      </c>
      <c r="G87" t="str">
        <f ca="1">IFERROR(IF(0=LEN(ReferenceData!$K$87),"",ReferenceData!$K$87),"")</f>
        <v/>
      </c>
      <c r="H87" t="str">
        <f ca="1">IFERROR(IF(0=LEN(ReferenceData!$J$87),"",ReferenceData!$J$87),"")</f>
        <v/>
      </c>
      <c r="I87" t="str">
        <f ca="1">IFERROR(IF(0=LEN(ReferenceData!$I$87),"",ReferenceData!$I$87),"")</f>
        <v/>
      </c>
      <c r="J87" t="str">
        <f ca="1">IFERROR(IF(0=LEN(ReferenceData!$H$87),"",ReferenceData!$H$87),"")</f>
        <v/>
      </c>
      <c r="K87" t="str">
        <f ca="1">IFERROR(IF(0=LEN(ReferenceData!$G$87),"",ReferenceData!$G$87),"")</f>
        <v/>
      </c>
      <c r="L87" t="str">
        <f ca="1">IFERROR(IF(0=LEN(ReferenceData!$F$87),"",ReferenceData!$F$87),"")</f>
        <v/>
      </c>
    </row>
    <row r="88" spans="1:12" x14ac:dyDescent="0.25">
      <c r="A88" t="str">
        <f>IFERROR(IF(0=LEN(ReferenceData!$A$88),"",ReferenceData!$A$88),"")</f>
        <v xml:space="preserve">    Infosys Ltd</v>
      </c>
      <c r="B88" t="str">
        <f>IFERROR(IF(0=LEN(ReferenceData!$B$88),"",ReferenceData!$B$88),"")</f>
        <v>INFY US Equity</v>
      </c>
      <c r="C88" t="str">
        <f>IFERROR(IF(0=LEN(ReferenceData!$C$88),"",ReferenceData!$C$88),"")</f>
        <v>M0006</v>
      </c>
      <c r="D88" t="str">
        <f>IFERROR(IF(0=LEN(ReferenceData!$D$88),"",ReferenceData!$D$88),"")</f>
        <v>UTILIZATION_RATE</v>
      </c>
      <c r="E88" t="str">
        <f>IFERROR(IF(0=LEN(ReferenceData!$E$88),"",ReferenceData!$E$88),"")</f>
        <v>Dynamic</v>
      </c>
      <c r="F88">
        <f ca="1">IFERROR(IF(0=LEN(ReferenceData!$L$88),"",ReferenceData!$L$88),"")</f>
        <v>77.400000000000006</v>
      </c>
      <c r="G88">
        <f ca="1">IFERROR(IF(0=LEN(ReferenceData!$K$88),"",ReferenceData!$K$88),"")</f>
        <v>80.900000000000006</v>
      </c>
      <c r="H88">
        <f ca="1">IFERROR(IF(0=LEN(ReferenceData!$J$88),"",ReferenceData!$J$88),"")</f>
        <v>80.599999999999994</v>
      </c>
      <c r="I88">
        <f ca="1">IFERROR(IF(0=LEN(ReferenceData!$I$88),"",ReferenceData!$I$88),"")</f>
        <v>81.7</v>
      </c>
      <c r="J88">
        <f ca="1">IFERROR(IF(0=LEN(ReferenceData!$H$88),"",ReferenceData!$H$88),"")</f>
        <v>84.6</v>
      </c>
      <c r="K88">
        <f ca="1">IFERROR(IF(0=LEN(ReferenceData!$G$88),"",ReferenceData!$G$88),"")</f>
        <v>84.3</v>
      </c>
      <c r="L88">
        <f ca="1">IFERROR(IF(0=LEN(ReferenceData!$F$88),"",ReferenceData!$F$88),"")</f>
        <v>84</v>
      </c>
    </row>
    <row r="89" spans="1:12" x14ac:dyDescent="0.25">
      <c r="A89" t="str">
        <f>IFERROR(IF(0=LEN(ReferenceData!$A$89),"",ReferenceData!$A$89),"")</f>
        <v xml:space="preserve">    Cognizant Technology Solutions</v>
      </c>
      <c r="B89" t="str">
        <f>IFERROR(IF(0=LEN(ReferenceData!$B$89),"",ReferenceData!$B$89),"")</f>
        <v>CTSH US Equity</v>
      </c>
      <c r="C89" t="str">
        <f>IFERROR(IF(0=LEN(ReferenceData!$C$89),"",ReferenceData!$C$89),"")</f>
        <v>M0006</v>
      </c>
      <c r="D89" t="str">
        <f>IFERROR(IF(0=LEN(ReferenceData!$D$89),"",ReferenceData!$D$89),"")</f>
        <v>UTILIZATION_RATE</v>
      </c>
      <c r="E89" t="str">
        <f>IFERROR(IF(0=LEN(ReferenceData!$E$89),"",ReferenceData!$E$89),"")</f>
        <v>Dynamic</v>
      </c>
      <c r="F89" t="str">
        <f ca="1">IFERROR(IF(0=LEN(ReferenceData!$L$89),"",ReferenceData!$L$89),"")</f>
        <v/>
      </c>
      <c r="G89" t="str">
        <f ca="1">IFERROR(IF(0=LEN(ReferenceData!$K$89),"",ReferenceData!$K$89),"")</f>
        <v/>
      </c>
      <c r="H89" t="str">
        <f ca="1">IFERROR(IF(0=LEN(ReferenceData!$J$89),"",ReferenceData!$J$89),"")</f>
        <v/>
      </c>
      <c r="I89" t="str">
        <f ca="1">IFERROR(IF(0=LEN(ReferenceData!$I$89),"",ReferenceData!$I$89),"")</f>
        <v/>
      </c>
      <c r="J89" t="str">
        <f ca="1">IFERROR(IF(0=LEN(ReferenceData!$H$89),"",ReferenceData!$H$89),"")</f>
        <v/>
      </c>
      <c r="K89" t="str">
        <f ca="1">IFERROR(IF(0=LEN(ReferenceData!$G$89),"",ReferenceData!$G$89),"")</f>
        <v/>
      </c>
      <c r="L89" t="str">
        <f ca="1">IFERROR(IF(0=LEN(ReferenceData!$F$89),"",ReferenceData!$F$89),"")</f>
        <v/>
      </c>
    </row>
    <row r="90" spans="1:12" x14ac:dyDescent="0.25">
      <c r="A90" t="str">
        <f>IFERROR(IF(0=LEN(ReferenceData!$A$90),"",ReferenceData!$A$90),"")</f>
        <v xml:space="preserve">    Wipro Ltd</v>
      </c>
      <c r="B90" t="str">
        <f>IFERROR(IF(0=LEN(ReferenceData!$B$90),"",ReferenceData!$B$90),"")</f>
        <v>WIT US Equity</v>
      </c>
      <c r="C90" t="str">
        <f>IFERROR(IF(0=LEN(ReferenceData!$C$90),"",ReferenceData!$C$90),"")</f>
        <v>M0006</v>
      </c>
      <c r="D90" t="str">
        <f>IFERROR(IF(0=LEN(ReferenceData!$D$90),"",ReferenceData!$D$90),"")</f>
        <v>UTILIZATION_RATE</v>
      </c>
      <c r="E90" t="str">
        <f>IFERROR(IF(0=LEN(ReferenceData!$E$90),"",ReferenceData!$E$90),"")</f>
        <v>Dynamic</v>
      </c>
      <c r="F90">
        <f ca="1">IFERROR(IF(0=LEN(ReferenceData!$L$90),"",ReferenceData!$L$90),"")</f>
        <v>74.599999999999994</v>
      </c>
      <c r="G90">
        <f ca="1">IFERROR(IF(0=LEN(ReferenceData!$K$90),"",ReferenceData!$K$90),"")</f>
        <v>79.099999999999994</v>
      </c>
      <c r="H90">
        <f ca="1">IFERROR(IF(0=LEN(ReferenceData!$J$90),"",ReferenceData!$J$90),"")</f>
        <v>79.900000000000006</v>
      </c>
      <c r="I90">
        <f ca="1">IFERROR(IF(0=LEN(ReferenceData!$I$90),"",ReferenceData!$I$90),"")</f>
        <v>82.3</v>
      </c>
      <c r="J90">
        <f ca="1">IFERROR(IF(0=LEN(ReferenceData!$H$90),"",ReferenceData!$H$90),"")</f>
        <v>81.099999999999994</v>
      </c>
      <c r="K90">
        <f ca="1">IFERROR(IF(0=LEN(ReferenceData!$G$90),"",ReferenceData!$G$90),"")</f>
        <v>83.3</v>
      </c>
      <c r="L90">
        <f ca="1">IFERROR(IF(0=LEN(ReferenceData!$F$90),"",ReferenceData!$F$90),"")</f>
        <v>80.900000000000006</v>
      </c>
    </row>
    <row r="91" spans="1:12" x14ac:dyDescent="0.25">
      <c r="A91" t="str">
        <f>IFERROR(IF(0=LEN(ReferenceData!$A$91),"",ReferenceData!$A$91),"")</f>
        <v xml:space="preserve">    HCL Technologies Ltd</v>
      </c>
      <c r="B91" t="str">
        <f>IFERROR(IF(0=LEN(ReferenceData!$B$91),"",ReferenceData!$B$91),"")</f>
        <v>HCLT IN Equity</v>
      </c>
      <c r="C91" t="str">
        <f>IFERROR(IF(0=LEN(ReferenceData!$C$91),"",ReferenceData!$C$91),"")</f>
        <v>M0006</v>
      </c>
      <c r="D91" t="str">
        <f>IFERROR(IF(0=LEN(ReferenceData!$D$91),"",ReferenceData!$D$91),"")</f>
        <v>UTILIZATION_RATE</v>
      </c>
      <c r="E91" t="str">
        <f>IFERROR(IF(0=LEN(ReferenceData!$E$91),"",ReferenceData!$E$91),"")</f>
        <v>Dynamic</v>
      </c>
      <c r="F91">
        <f ca="1">IFERROR(IF(0=LEN(ReferenceData!$L$91),"",ReferenceData!$L$91),"")</f>
        <v>84.5</v>
      </c>
      <c r="G91" t="str">
        <f ca="1">IFERROR(IF(0=LEN(ReferenceData!$K$91),"",ReferenceData!$K$91),"")</f>
        <v/>
      </c>
      <c r="H91">
        <f ca="1">IFERROR(IF(0=LEN(ReferenceData!$J$91),"",ReferenceData!$J$91),"")</f>
        <v>85.6</v>
      </c>
      <c r="I91">
        <f ca="1">IFERROR(IF(0=LEN(ReferenceData!$I$91),"",ReferenceData!$I$91),"")</f>
        <v>85.7</v>
      </c>
      <c r="J91">
        <f ca="1">IFERROR(IF(0=LEN(ReferenceData!$H$91),"",ReferenceData!$H$91),"")</f>
        <v>85.9</v>
      </c>
      <c r="K91">
        <f ca="1">IFERROR(IF(0=LEN(ReferenceData!$G$91),"",ReferenceData!$G$91),"")</f>
        <v>85.4</v>
      </c>
      <c r="L91" t="str">
        <f ca="1">IFERROR(IF(0=LEN(ReferenceData!$F$91),"",ReferenceData!$F$91),"")</f>
        <v/>
      </c>
    </row>
    <row r="92" spans="1:12" x14ac:dyDescent="0.25">
      <c r="A92" t="str">
        <f>IFERROR(IF(0=LEN(ReferenceData!$A$92),"",ReferenceData!$A$92),"")</f>
        <v>Client Metrics:</v>
      </c>
      <c r="B92" t="str">
        <f>IFERROR(IF(0=LEN(ReferenceData!$B$92),"",ReferenceData!$B$92),"")</f>
        <v/>
      </c>
      <c r="C92" t="str">
        <f>IFERROR(IF(0=LEN(ReferenceData!$C$92),"",ReferenceData!$C$92),"")</f>
        <v/>
      </c>
      <c r="D92" t="str">
        <f>IFERROR(IF(0=LEN(ReferenceData!$D$92),"",ReferenceData!$D$92),"")</f>
        <v/>
      </c>
      <c r="E92" t="str">
        <f>IFERROR(IF(0=LEN(ReferenceData!$E$92),"",ReferenceData!$E$92),"")</f>
        <v>Heading</v>
      </c>
      <c r="F92" t="str">
        <f>IFERROR(IF(0=LEN(ReferenceData!$L$92),"",ReferenceData!$L$92),"")</f>
        <v/>
      </c>
      <c r="G92" t="str">
        <f>IFERROR(IF(0=LEN(ReferenceData!$K$92),"",ReferenceData!$K$92),"")</f>
        <v/>
      </c>
      <c r="H92" t="str">
        <f>IFERROR(IF(0=LEN(ReferenceData!$J$92),"",ReferenceData!$J$92),"")</f>
        <v/>
      </c>
      <c r="I92" t="str">
        <f>IFERROR(IF(0=LEN(ReferenceData!$I$92),"",ReferenceData!$I$92),"")</f>
        <v/>
      </c>
      <c r="J92" t="str">
        <f>IFERROR(IF(0=LEN(ReferenceData!$H$92),"",ReferenceData!$H$92),"")</f>
        <v/>
      </c>
      <c r="K92" t="str">
        <f>IFERROR(IF(0=LEN(ReferenceData!$G$92),"",ReferenceData!$G$92),"")</f>
        <v/>
      </c>
      <c r="L92" t="str">
        <f>IFERROR(IF(0=LEN(ReferenceData!$F$92),"",ReferenceData!$F$92),"")</f>
        <v/>
      </c>
    </row>
    <row r="93" spans="1:12" x14ac:dyDescent="0.25">
      <c r="A93" t="str">
        <f>IFERROR(IF(0=LEN(ReferenceData!$A$93),"",ReferenceData!$A$93),"")</f>
        <v>Active Clients</v>
      </c>
      <c r="B93" t="str">
        <f>IFERROR(IF(0=LEN(ReferenceData!$B$93),"",ReferenceData!$B$93),"")</f>
        <v/>
      </c>
      <c r="C93" t="str">
        <f>IFERROR(IF(0=LEN(ReferenceData!$C$93),"",ReferenceData!$C$93),"")</f>
        <v/>
      </c>
      <c r="D93" t="str">
        <f>IFERROR(IF(0=LEN(ReferenceData!$D$93),"",ReferenceData!$D$93),"")</f>
        <v/>
      </c>
      <c r="E93" t="str">
        <f>IFERROR(IF(0=LEN(ReferenceData!$E$93),"",ReferenceData!$E$93),"")</f>
        <v>Sum</v>
      </c>
      <c r="F93">
        <f ca="1">IFERROR(IF(0=LEN(ReferenceData!$L$93),"",ReferenceData!$L$93),"")</f>
        <v>3073</v>
      </c>
      <c r="G93">
        <f ca="1">IFERROR(IF(0=LEN(ReferenceData!$K$93),"",ReferenceData!$K$93),"")</f>
        <v>2275</v>
      </c>
      <c r="H93">
        <f ca="1">IFERROR(IF(0=LEN(ReferenceData!$J$93),"",ReferenceData!$J$93),"")</f>
        <v>2615</v>
      </c>
      <c r="I93">
        <f ca="1">IFERROR(IF(0=LEN(ReferenceData!$I$93),"",ReferenceData!$I$93),"")</f>
        <v>2814</v>
      </c>
      <c r="J93">
        <f ca="1">IFERROR(IF(0=LEN(ReferenceData!$H$93),"",ReferenceData!$H$93),"")</f>
        <v>2809</v>
      </c>
      <c r="K93">
        <f ca="1">IFERROR(IF(0=LEN(ReferenceData!$G$93),"",ReferenceData!$G$93),"")</f>
        <v>2772</v>
      </c>
      <c r="L93">
        <f ca="1">IFERROR(IF(0=LEN(ReferenceData!$F$93),"",ReferenceData!$F$93),"")</f>
        <v>2485</v>
      </c>
    </row>
    <row r="94" spans="1:12" x14ac:dyDescent="0.25">
      <c r="A94" t="str">
        <f>IFERROR(IF(0=LEN(ReferenceData!$A$94),"",ReferenceData!$A$94),"")</f>
        <v xml:space="preserve">    Cognizant Technology Solutions Corp</v>
      </c>
      <c r="B94" t="str">
        <f>IFERROR(IF(0=LEN(ReferenceData!$B$94),"",ReferenceData!$B$94),"")</f>
        <v>CTSH US Equity</v>
      </c>
      <c r="C94" t="str">
        <f>IFERROR(IF(0=LEN(ReferenceData!$C$94),"",ReferenceData!$C$94),"")</f>
        <v>M0008</v>
      </c>
      <c r="D94" t="str">
        <f>IFERROR(IF(0=LEN(ReferenceData!$D$94),"",ReferenceData!$D$94),"")</f>
        <v>NUMBER_OF_ACTIVE_CLIENTS</v>
      </c>
      <c r="E94" t="str">
        <f>IFERROR(IF(0=LEN(ReferenceData!$E$94),"",ReferenceData!$E$94),"")</f>
        <v>Dynamic</v>
      </c>
      <c r="F94">
        <f ca="1">IFERROR(IF(0=LEN(ReferenceData!$L$94),"",ReferenceData!$L$94),"")</f>
        <v>1197</v>
      </c>
      <c r="G94">
        <f ca="1">IFERROR(IF(0=LEN(ReferenceData!$K$94),"",ReferenceData!$K$94),"")</f>
        <v>271</v>
      </c>
      <c r="H94">
        <f ca="1">IFERROR(IF(0=LEN(ReferenceData!$J$94),"",ReferenceData!$J$94),"")</f>
        <v>300</v>
      </c>
      <c r="I94">
        <f ca="1">IFERROR(IF(0=LEN(ReferenceData!$I$94),"",ReferenceData!$I$94),"")</f>
        <v>329</v>
      </c>
      <c r="J94">
        <f ca="1">IFERROR(IF(0=LEN(ReferenceData!$H$94),"",ReferenceData!$H$94),"")</f>
        <v>357</v>
      </c>
      <c r="K94">
        <f ca="1">IFERROR(IF(0=LEN(ReferenceData!$G$94),"",ReferenceData!$G$94),"")</f>
        <v>378</v>
      </c>
      <c r="L94" t="str">
        <f ca="1">IFERROR(IF(0=LEN(ReferenceData!$F$94),"",ReferenceData!$F$94),"")</f>
        <v/>
      </c>
    </row>
    <row r="95" spans="1:12" x14ac:dyDescent="0.25">
      <c r="A95" t="str">
        <f>IFERROR(IF(0=LEN(ReferenceData!$A$95),"",ReferenceData!$A$95),"")</f>
        <v xml:space="preserve">    HCL Technologies Ltd</v>
      </c>
      <c r="B95" t="str">
        <f>IFERROR(IF(0=LEN(ReferenceData!$B$95),"",ReferenceData!$B$95),"")</f>
        <v>HCLT IN Equity</v>
      </c>
      <c r="C95" t="str">
        <f>IFERROR(IF(0=LEN(ReferenceData!$C$95),"",ReferenceData!$C$95),"")</f>
        <v>M0008</v>
      </c>
      <c r="D95" t="str">
        <f>IFERROR(IF(0=LEN(ReferenceData!$D$95),"",ReferenceData!$D$95),"")</f>
        <v>NUMBER_OF_ACTIVE_CLIENTS</v>
      </c>
      <c r="E95" t="str">
        <f>IFERROR(IF(0=LEN(ReferenceData!$E$95),"",ReferenceData!$E$95),"")</f>
        <v>Dynamic</v>
      </c>
      <c r="F95" t="str">
        <f ca="1">IFERROR(IF(0=LEN(ReferenceData!$L$95),"",ReferenceData!$L$95),"")</f>
        <v/>
      </c>
      <c r="G95" t="str">
        <f ca="1">IFERROR(IF(0=LEN(ReferenceData!$K$95),"",ReferenceData!$K$95),"")</f>
        <v/>
      </c>
      <c r="H95" t="str">
        <f ca="1">IFERROR(IF(0=LEN(ReferenceData!$J$95),"",ReferenceData!$J$95),"")</f>
        <v/>
      </c>
      <c r="I95" t="str">
        <f ca="1">IFERROR(IF(0=LEN(ReferenceData!$I$95),"",ReferenceData!$I$95),"")</f>
        <v/>
      </c>
      <c r="J95" t="str">
        <f ca="1">IFERROR(IF(0=LEN(ReferenceData!$H$95),"",ReferenceData!$H$95),"")</f>
        <v/>
      </c>
      <c r="K95" t="str">
        <f ca="1">IFERROR(IF(0=LEN(ReferenceData!$G$95),"",ReferenceData!$G$95),"")</f>
        <v/>
      </c>
      <c r="L95" t="str">
        <f ca="1">IFERROR(IF(0=LEN(ReferenceData!$F$95),"",ReferenceData!$F$95),"")</f>
        <v/>
      </c>
    </row>
    <row r="96" spans="1:12" x14ac:dyDescent="0.25">
      <c r="A96" t="str">
        <f>IFERROR(IF(0=LEN(ReferenceData!$A$96),"",ReferenceData!$A$96),"")</f>
        <v xml:space="preserve">    Infosys Ltd</v>
      </c>
      <c r="B96" t="str">
        <f>IFERROR(IF(0=LEN(ReferenceData!$B$96),"",ReferenceData!$B$96),"")</f>
        <v>INFY US Equity</v>
      </c>
      <c r="C96" t="str">
        <f>IFERROR(IF(0=LEN(ReferenceData!$C$96),"",ReferenceData!$C$96),"")</f>
        <v>M0008</v>
      </c>
      <c r="D96" t="str">
        <f>IFERROR(IF(0=LEN(ReferenceData!$D$96),"",ReferenceData!$D$96),"")</f>
        <v>NUMBER_OF_ACTIVE_CLIENTS</v>
      </c>
      <c r="E96" t="str">
        <f>IFERROR(IF(0=LEN(ReferenceData!$E$96),"",ReferenceData!$E$96),"")</f>
        <v>Dynamic</v>
      </c>
      <c r="F96">
        <f ca="1">IFERROR(IF(0=LEN(ReferenceData!$L$96),"",ReferenceData!$L$96),"")</f>
        <v>890</v>
      </c>
      <c r="G96">
        <f ca="1">IFERROR(IF(0=LEN(ReferenceData!$K$96),"",ReferenceData!$K$96),"")</f>
        <v>950</v>
      </c>
      <c r="H96">
        <f ca="1">IFERROR(IF(0=LEN(ReferenceData!$J$96),"",ReferenceData!$J$96),"")</f>
        <v>1092</v>
      </c>
      <c r="I96">
        <f ca="1">IFERROR(IF(0=LEN(ReferenceData!$I$96),"",ReferenceData!$I$96),"")</f>
        <v>1162</v>
      </c>
      <c r="J96">
        <f ca="1">IFERROR(IF(0=LEN(ReferenceData!$H$96),"",ReferenceData!$H$96),"")</f>
        <v>1204</v>
      </c>
      <c r="K96">
        <f ca="1">IFERROR(IF(0=LEN(ReferenceData!$G$96),"",ReferenceData!$G$96),"")</f>
        <v>1279</v>
      </c>
      <c r="L96">
        <f ca="1">IFERROR(IF(0=LEN(ReferenceData!$F$96),"",ReferenceData!$F$96),"")</f>
        <v>1411</v>
      </c>
    </row>
    <row r="97" spans="1:12" x14ac:dyDescent="0.25">
      <c r="A97" t="str">
        <f>IFERROR(IF(0=LEN(ReferenceData!$A$97),"",ReferenceData!$A$97),"")</f>
        <v xml:space="preserve">    Tata Consultancy Services Ltd</v>
      </c>
      <c r="B97" t="str">
        <f>IFERROR(IF(0=LEN(ReferenceData!$B$97),"",ReferenceData!$B$97),"")</f>
        <v>TCS IN Equity</v>
      </c>
      <c r="C97" t="str">
        <f>IFERROR(IF(0=LEN(ReferenceData!$C$97),"",ReferenceData!$C$97),"")</f>
        <v>M0008</v>
      </c>
      <c r="D97" t="str">
        <f>IFERROR(IF(0=LEN(ReferenceData!$D$97),"",ReferenceData!$D$97),"")</f>
        <v>NUMBER_OF_ACTIVE_CLIENTS</v>
      </c>
      <c r="E97" t="str">
        <f>IFERROR(IF(0=LEN(ReferenceData!$E$97),"",ReferenceData!$E$97),"")</f>
        <v>Dynamic</v>
      </c>
      <c r="F97" t="str">
        <f ca="1">IFERROR(IF(0=LEN(ReferenceData!$L$97),"",ReferenceData!$L$97),"")</f>
        <v/>
      </c>
      <c r="G97" t="str">
        <f ca="1">IFERROR(IF(0=LEN(ReferenceData!$K$97),"",ReferenceData!$K$97),"")</f>
        <v/>
      </c>
      <c r="H97" t="str">
        <f ca="1">IFERROR(IF(0=LEN(ReferenceData!$J$97),"",ReferenceData!$J$97),"")</f>
        <v/>
      </c>
      <c r="I97" t="str">
        <f ca="1">IFERROR(IF(0=LEN(ReferenceData!$I$97),"",ReferenceData!$I$97),"")</f>
        <v/>
      </c>
      <c r="J97" t="str">
        <f ca="1">IFERROR(IF(0=LEN(ReferenceData!$H$97),"",ReferenceData!$H$97),"")</f>
        <v/>
      </c>
      <c r="K97" t="str">
        <f ca="1">IFERROR(IF(0=LEN(ReferenceData!$G$97),"",ReferenceData!$G$97),"")</f>
        <v/>
      </c>
      <c r="L97" t="str">
        <f ca="1">IFERROR(IF(0=LEN(ReferenceData!$F$97),"",ReferenceData!$F$97),"")</f>
        <v/>
      </c>
    </row>
    <row r="98" spans="1:12" x14ac:dyDescent="0.25">
      <c r="A98" t="str">
        <f>IFERROR(IF(0=LEN(ReferenceData!$A$98),"",ReferenceData!$A$98),"")</f>
        <v xml:space="preserve">    Wipro Ltd</v>
      </c>
      <c r="B98" t="str">
        <f>IFERROR(IF(0=LEN(ReferenceData!$B$98),"",ReferenceData!$B$98),"")</f>
        <v>WIT US Equity</v>
      </c>
      <c r="C98" t="str">
        <f>IFERROR(IF(0=LEN(ReferenceData!$C$98),"",ReferenceData!$C$98),"")</f>
        <v>M0008</v>
      </c>
      <c r="D98" t="str">
        <f>IFERROR(IF(0=LEN(ReferenceData!$D$98),"",ReferenceData!$D$98),"")</f>
        <v>NUMBER_OF_ACTIVE_CLIENTS</v>
      </c>
      <c r="E98" t="str">
        <f>IFERROR(IF(0=LEN(ReferenceData!$E$98),"",ReferenceData!$E$98),"")</f>
        <v>Dynamic</v>
      </c>
      <c r="F98">
        <f ca="1">IFERROR(IF(0=LEN(ReferenceData!$L$98),"",ReferenceData!$L$98),"")</f>
        <v>986</v>
      </c>
      <c r="G98">
        <f ca="1">IFERROR(IF(0=LEN(ReferenceData!$K$98),"",ReferenceData!$K$98),"")</f>
        <v>1054</v>
      </c>
      <c r="H98">
        <f ca="1">IFERROR(IF(0=LEN(ReferenceData!$J$98),"",ReferenceData!$J$98),"")</f>
        <v>1223</v>
      </c>
      <c r="I98">
        <f ca="1">IFERROR(IF(0=LEN(ReferenceData!$I$98),"",ReferenceData!$I$98),"")</f>
        <v>1323</v>
      </c>
      <c r="J98">
        <f ca="1">IFERROR(IF(0=LEN(ReferenceData!$H$98),"",ReferenceData!$H$98),"")</f>
        <v>1248</v>
      </c>
      <c r="K98">
        <f ca="1">IFERROR(IF(0=LEN(ReferenceData!$G$98),"",ReferenceData!$G$98),"")</f>
        <v>1115</v>
      </c>
      <c r="L98">
        <f ca="1">IFERROR(IF(0=LEN(ReferenceData!$F$98),"",ReferenceData!$F$98),"")</f>
        <v>1074</v>
      </c>
    </row>
    <row r="99" spans="1:12" x14ac:dyDescent="0.25">
      <c r="A99" t="str">
        <f>IFERROR(IF(0=LEN(ReferenceData!$A$99),"",ReferenceData!$A$99),"")</f>
        <v>Client Revenue Contribution</v>
      </c>
      <c r="B99" t="str">
        <f>IFERROR(IF(0=LEN(ReferenceData!$B$99),"",ReferenceData!$B$99),"")</f>
        <v/>
      </c>
      <c r="C99" t="str">
        <f>IFERROR(IF(0=LEN(ReferenceData!$C$99),"",ReferenceData!$C$99),"")</f>
        <v/>
      </c>
      <c r="D99" t="str">
        <f>IFERROR(IF(0=LEN(ReferenceData!$D$99),"",ReferenceData!$D$99),"")</f>
        <v/>
      </c>
      <c r="E99" t="str">
        <f>IFERROR(IF(0=LEN(ReferenceData!$E$99),"",ReferenceData!$E$99),"")</f>
        <v>Static</v>
      </c>
      <c r="F99" t="str">
        <f ca="1">IFERROR(IF(0=LEN(ReferenceData!$L$99),"",ReferenceData!$L$99),"")</f>
        <v/>
      </c>
      <c r="G99" t="str">
        <f ca="1">IFERROR(IF(0=LEN(ReferenceData!$K$99),"",ReferenceData!$K$99),"")</f>
        <v/>
      </c>
      <c r="H99" t="str">
        <f ca="1">IFERROR(IF(0=LEN(ReferenceData!$J$99),"",ReferenceData!$J$99),"")</f>
        <v/>
      </c>
      <c r="I99" t="str">
        <f ca="1">IFERROR(IF(0=LEN(ReferenceData!$I$99),"",ReferenceData!$I$99),"")</f>
        <v/>
      </c>
      <c r="J99" t="str">
        <f ca="1">IFERROR(IF(0=LEN(ReferenceData!$H$99),"",ReferenceData!$H$99),"")</f>
        <v/>
      </c>
      <c r="K99" t="str">
        <f ca="1">IFERROR(IF(0=LEN(ReferenceData!$G$99),"",ReferenceData!$G$99),"")</f>
        <v/>
      </c>
      <c r="L99" t="str">
        <f ca="1">IFERROR(IF(0=LEN(ReferenceData!$F$99),"",ReferenceData!$F$99),"")</f>
        <v/>
      </c>
    </row>
    <row r="100" spans="1:12" x14ac:dyDescent="0.25">
      <c r="A100" t="str">
        <f>IFERROR(IF(0=LEN(ReferenceData!$A$100),"",ReferenceData!$A$100),"")</f>
        <v xml:space="preserve">    Top Client % of Revenue</v>
      </c>
      <c r="B100" t="str">
        <f>IFERROR(IF(0=LEN(ReferenceData!$B$100),"",ReferenceData!$B$100),"")</f>
        <v/>
      </c>
      <c r="C100" t="str">
        <f>IFERROR(IF(0=LEN(ReferenceData!$C$100),"",ReferenceData!$C$100),"")</f>
        <v/>
      </c>
      <c r="D100" t="str">
        <f>IFERROR(IF(0=LEN(ReferenceData!$D$100),"",ReferenceData!$D$100),"")</f>
        <v/>
      </c>
      <c r="E100" t="str">
        <f>IFERROR(IF(0=LEN(ReferenceData!$E$100),"",ReferenceData!$E$100),"")</f>
        <v>Average</v>
      </c>
      <c r="F100">
        <f ca="1">IFERROR(IF(0=LEN(ReferenceData!$L$100),"",ReferenceData!$L$100),"")</f>
        <v>3.75</v>
      </c>
      <c r="G100">
        <f ca="1">IFERROR(IF(0=LEN(ReferenceData!$K$100),"",ReferenceData!$K$100),"")</f>
        <v>3.5</v>
      </c>
      <c r="H100">
        <f ca="1">IFERROR(IF(0=LEN(ReferenceData!$J$100),"",ReferenceData!$J$100),"")</f>
        <v>3.35</v>
      </c>
      <c r="I100">
        <f ca="1">IFERROR(IF(0=LEN(ReferenceData!$I$100),"",ReferenceData!$I$100),"")</f>
        <v>3.05</v>
      </c>
      <c r="J100">
        <f ca="1">IFERROR(IF(0=LEN(ReferenceData!$H$100),"",ReferenceData!$H$100),"")</f>
        <v>3.25</v>
      </c>
      <c r="K100">
        <f ca="1">IFERROR(IF(0=LEN(ReferenceData!$G$100),"",ReferenceData!$G$100),"")</f>
        <v>3.7</v>
      </c>
      <c r="L100">
        <f ca="1">IFERROR(IF(0=LEN(ReferenceData!$F$100),"",ReferenceData!$F$100),"")</f>
        <v>3.1500000000000004</v>
      </c>
    </row>
    <row r="101" spans="1:12" x14ac:dyDescent="0.25">
      <c r="A101" t="str">
        <f>IFERROR(IF(0=LEN(ReferenceData!$A$101),"",ReferenceData!$A$101),"")</f>
        <v xml:space="preserve">        Cognizant Technology Solutions Corp</v>
      </c>
      <c r="B101" t="str">
        <f>IFERROR(IF(0=LEN(ReferenceData!$B$101),"",ReferenceData!$B$101),"")</f>
        <v>CTSH US Equity</v>
      </c>
      <c r="C101" t="str">
        <f>IFERROR(IF(0=LEN(ReferenceData!$C$101),"",ReferenceData!$C$101),"")</f>
        <v>M0018</v>
      </c>
      <c r="D101" t="str">
        <f>IFERROR(IF(0=LEN(ReferenceData!$D$101),"",ReferenceData!$D$101),"")</f>
        <v>TOP_CLIENTS_CONTRIB_TO_REVENUE</v>
      </c>
      <c r="E101" t="str">
        <f>IFERROR(IF(0=LEN(ReferenceData!$E$101),"",ReferenceData!$E$101),"")</f>
        <v>Dynamic</v>
      </c>
      <c r="F101" t="str">
        <f ca="1">IFERROR(IF(0=LEN(ReferenceData!$L$101),"",ReferenceData!$L$101),"")</f>
        <v/>
      </c>
      <c r="G101" t="str">
        <f ca="1">IFERROR(IF(0=LEN(ReferenceData!$K$101),"",ReferenceData!$K$101),"")</f>
        <v/>
      </c>
      <c r="H101" t="str">
        <f ca="1">IFERROR(IF(0=LEN(ReferenceData!$J$101),"",ReferenceData!$J$101),"")</f>
        <v/>
      </c>
      <c r="I101" t="str">
        <f ca="1">IFERROR(IF(0=LEN(ReferenceData!$I$101),"",ReferenceData!$I$101),"")</f>
        <v/>
      </c>
      <c r="J101" t="str">
        <f ca="1">IFERROR(IF(0=LEN(ReferenceData!$H$101),"",ReferenceData!$H$101),"")</f>
        <v/>
      </c>
      <c r="K101" t="str">
        <f ca="1">IFERROR(IF(0=LEN(ReferenceData!$G$101),"",ReferenceData!$G$101),"")</f>
        <v/>
      </c>
      <c r="L101" t="str">
        <f ca="1">IFERROR(IF(0=LEN(ReferenceData!$F$101),"",ReferenceData!$F$101),"")</f>
        <v/>
      </c>
    </row>
    <row r="102" spans="1:12" x14ac:dyDescent="0.25">
      <c r="A102" t="str">
        <f>IFERROR(IF(0=LEN(ReferenceData!$A$102),"",ReferenceData!$A$102),"")</f>
        <v xml:space="preserve">        HCL Technologies Ltd</v>
      </c>
      <c r="B102" t="str">
        <f>IFERROR(IF(0=LEN(ReferenceData!$B$102),"",ReferenceData!$B$102),"")</f>
        <v>HCLT IN Equity</v>
      </c>
      <c r="C102" t="str">
        <f>IFERROR(IF(0=LEN(ReferenceData!$C$102),"",ReferenceData!$C$102),"")</f>
        <v>M0018</v>
      </c>
      <c r="D102" t="str">
        <f>IFERROR(IF(0=LEN(ReferenceData!$D$102),"",ReferenceData!$D$102),"")</f>
        <v>TOP_CLIENTS_CONTRIB_TO_REVENUE</v>
      </c>
      <c r="E102" t="str">
        <f>IFERROR(IF(0=LEN(ReferenceData!$E$102),"",ReferenceData!$E$102),"")</f>
        <v>Dynamic</v>
      </c>
      <c r="F102" t="str">
        <f ca="1">IFERROR(IF(0=LEN(ReferenceData!$L$102),"",ReferenceData!$L$102),"")</f>
        <v/>
      </c>
      <c r="G102" t="str">
        <f ca="1">IFERROR(IF(0=LEN(ReferenceData!$K$102),"",ReferenceData!$K$102),"")</f>
        <v/>
      </c>
      <c r="H102" t="str">
        <f ca="1">IFERROR(IF(0=LEN(ReferenceData!$J$102),"",ReferenceData!$J$102),"")</f>
        <v/>
      </c>
      <c r="I102" t="str">
        <f ca="1">IFERROR(IF(0=LEN(ReferenceData!$I$102),"",ReferenceData!$I$102),"")</f>
        <v/>
      </c>
      <c r="J102" t="str">
        <f ca="1">IFERROR(IF(0=LEN(ReferenceData!$H$102),"",ReferenceData!$H$102),"")</f>
        <v/>
      </c>
      <c r="K102" t="str">
        <f ca="1">IFERROR(IF(0=LEN(ReferenceData!$G$102),"",ReferenceData!$G$102),"")</f>
        <v/>
      </c>
      <c r="L102" t="str">
        <f ca="1">IFERROR(IF(0=LEN(ReferenceData!$F$102),"",ReferenceData!$F$102),"")</f>
        <v/>
      </c>
    </row>
    <row r="103" spans="1:12" x14ac:dyDescent="0.25">
      <c r="A103" t="str">
        <f>IFERROR(IF(0=LEN(ReferenceData!$A$103),"",ReferenceData!$A$103),"")</f>
        <v xml:space="preserve">        Infosys Ltd</v>
      </c>
      <c r="B103" t="str">
        <f>IFERROR(IF(0=LEN(ReferenceData!$B$103),"",ReferenceData!$B$103),"")</f>
        <v>INFY US Equity</v>
      </c>
      <c r="C103" t="str">
        <f>IFERROR(IF(0=LEN(ReferenceData!$C$103),"",ReferenceData!$C$103),"")</f>
        <v>M0018</v>
      </c>
      <c r="D103" t="str">
        <f>IFERROR(IF(0=LEN(ReferenceData!$D$103),"",ReferenceData!$D$103),"")</f>
        <v>TOP_CLIENTS_CONTRIB_TO_REVENUE</v>
      </c>
      <c r="E103" t="str">
        <f>IFERROR(IF(0=LEN(ReferenceData!$E$103),"",ReferenceData!$E$103),"")</f>
        <v>Dynamic</v>
      </c>
      <c r="F103">
        <f ca="1">IFERROR(IF(0=LEN(ReferenceData!$L$103),"",ReferenceData!$L$103),"")</f>
        <v>3.8</v>
      </c>
      <c r="G103">
        <f ca="1">IFERROR(IF(0=LEN(ReferenceData!$K$103),"",ReferenceData!$K$103),"")</f>
        <v>3.3</v>
      </c>
      <c r="H103">
        <f ca="1">IFERROR(IF(0=LEN(ReferenceData!$J$103),"",ReferenceData!$J$103),"")</f>
        <v>3.6</v>
      </c>
      <c r="I103">
        <f ca="1">IFERROR(IF(0=LEN(ReferenceData!$I$103),"",ReferenceData!$I$103),"")</f>
        <v>3.4</v>
      </c>
      <c r="J103">
        <f ca="1">IFERROR(IF(0=LEN(ReferenceData!$H$103),"",ReferenceData!$H$103),"")</f>
        <v>3.4</v>
      </c>
      <c r="K103" t="str">
        <f ca="1">IFERROR(IF(0=LEN(ReferenceData!$G$103),"",ReferenceData!$G$103),"")</f>
        <v/>
      </c>
      <c r="L103">
        <f ca="1">IFERROR(IF(0=LEN(ReferenceData!$F$103),"",ReferenceData!$F$103),"")</f>
        <v>3.1</v>
      </c>
    </row>
    <row r="104" spans="1:12" x14ac:dyDescent="0.25">
      <c r="A104" t="str">
        <f>IFERROR(IF(0=LEN(ReferenceData!$A$104),"",ReferenceData!$A$104),"")</f>
        <v xml:space="preserve">        Tata Consultancy Services Ltd</v>
      </c>
      <c r="B104" t="str">
        <f>IFERROR(IF(0=LEN(ReferenceData!$B$104),"",ReferenceData!$B$104),"")</f>
        <v>TCS IN Equity</v>
      </c>
      <c r="C104" t="str">
        <f>IFERROR(IF(0=LEN(ReferenceData!$C$104),"",ReferenceData!$C$104),"")</f>
        <v>M0018</v>
      </c>
      <c r="D104" t="str">
        <f>IFERROR(IF(0=LEN(ReferenceData!$D$104),"",ReferenceData!$D$104),"")</f>
        <v>TOP_CLIENTS_CONTRIB_TO_REVENUE</v>
      </c>
      <c r="E104" t="str">
        <f>IFERROR(IF(0=LEN(ReferenceData!$E$104),"",ReferenceData!$E$104),"")</f>
        <v>Dynamic</v>
      </c>
      <c r="F104" t="str">
        <f ca="1">IFERROR(IF(0=LEN(ReferenceData!$L$104),"",ReferenceData!$L$104),"")</f>
        <v/>
      </c>
      <c r="G104" t="str">
        <f ca="1">IFERROR(IF(0=LEN(ReferenceData!$K$104),"",ReferenceData!$K$104),"")</f>
        <v/>
      </c>
      <c r="H104" t="str">
        <f ca="1">IFERROR(IF(0=LEN(ReferenceData!$J$104),"",ReferenceData!$J$104),"")</f>
        <v/>
      </c>
      <c r="I104" t="str">
        <f ca="1">IFERROR(IF(0=LEN(ReferenceData!$I$104),"",ReferenceData!$I$104),"")</f>
        <v/>
      </c>
      <c r="J104" t="str">
        <f ca="1">IFERROR(IF(0=LEN(ReferenceData!$H$104),"",ReferenceData!$H$104),"")</f>
        <v/>
      </c>
      <c r="K104" t="str">
        <f ca="1">IFERROR(IF(0=LEN(ReferenceData!$G$104),"",ReferenceData!$G$104),"")</f>
        <v/>
      </c>
      <c r="L104" t="str">
        <f ca="1">IFERROR(IF(0=LEN(ReferenceData!$F$104),"",ReferenceData!$F$104),"")</f>
        <v/>
      </c>
    </row>
    <row r="105" spans="1:12" x14ac:dyDescent="0.25">
      <c r="A105" t="str">
        <f>IFERROR(IF(0=LEN(ReferenceData!$A$105),"",ReferenceData!$A$105),"")</f>
        <v xml:space="preserve">        Wipro Ltd</v>
      </c>
      <c r="B105" t="str">
        <f>IFERROR(IF(0=LEN(ReferenceData!$B$105),"",ReferenceData!$B$105),"")</f>
        <v>WIT US Equity</v>
      </c>
      <c r="C105" t="str">
        <f>IFERROR(IF(0=LEN(ReferenceData!$C$105),"",ReferenceData!$C$105),"")</f>
        <v>M0018</v>
      </c>
      <c r="D105" t="str">
        <f>IFERROR(IF(0=LEN(ReferenceData!$D$105),"",ReferenceData!$D$105),"")</f>
        <v>TOP_CLIENTS_CONTRIB_TO_REVENUE</v>
      </c>
      <c r="E105" t="str">
        <f>IFERROR(IF(0=LEN(ReferenceData!$E$105),"",ReferenceData!$E$105),"")</f>
        <v>Dynamic</v>
      </c>
      <c r="F105">
        <f ca="1">IFERROR(IF(0=LEN(ReferenceData!$L$105),"",ReferenceData!$L$105),"")</f>
        <v>3.7</v>
      </c>
      <c r="G105">
        <f ca="1">IFERROR(IF(0=LEN(ReferenceData!$K$105),"",ReferenceData!$K$105),"")</f>
        <v>3.7</v>
      </c>
      <c r="H105">
        <f ca="1">IFERROR(IF(0=LEN(ReferenceData!$J$105),"",ReferenceData!$J$105),"")</f>
        <v>3.1</v>
      </c>
      <c r="I105">
        <f ca="1">IFERROR(IF(0=LEN(ReferenceData!$I$105),"",ReferenceData!$I$105),"")</f>
        <v>2.7</v>
      </c>
      <c r="J105">
        <f ca="1">IFERROR(IF(0=LEN(ReferenceData!$H$105),"",ReferenceData!$H$105),"")</f>
        <v>3.1</v>
      </c>
      <c r="K105">
        <f ca="1">IFERROR(IF(0=LEN(ReferenceData!$G$105),"",ReferenceData!$G$105),"")</f>
        <v>3.7</v>
      </c>
      <c r="L105">
        <f ca="1">IFERROR(IF(0=LEN(ReferenceData!$F$105),"",ReferenceData!$F$105),"")</f>
        <v>3.2</v>
      </c>
    </row>
    <row r="106" spans="1:12" x14ac:dyDescent="0.25">
      <c r="A106" t="str">
        <f>IFERROR(IF(0=LEN(ReferenceData!$A$106),"",ReferenceData!$A$106),"")</f>
        <v xml:space="preserve">    Top 5 Clients % of Revenue</v>
      </c>
      <c r="B106" t="str">
        <f>IFERROR(IF(0=LEN(ReferenceData!$B$106),"",ReferenceData!$B$106),"")</f>
        <v/>
      </c>
      <c r="C106" t="str">
        <f>IFERROR(IF(0=LEN(ReferenceData!$C$106),"",ReferenceData!$C$106),"")</f>
        <v/>
      </c>
      <c r="D106" t="str">
        <f>IFERROR(IF(0=LEN(ReferenceData!$D$106),"",ReferenceData!$D$106),"")</f>
        <v/>
      </c>
      <c r="E106" t="str">
        <f>IFERROR(IF(0=LEN(ReferenceData!$E$106),"",ReferenceData!$E$106),"")</f>
        <v>Average</v>
      </c>
      <c r="F106">
        <f ca="1">IFERROR(IF(0=LEN(ReferenceData!$L$106),"",ReferenceData!$L$106),"")</f>
        <v>14.049999999999999</v>
      </c>
      <c r="G106">
        <f ca="1">IFERROR(IF(0=LEN(ReferenceData!$K$106),"",ReferenceData!$K$106),"")</f>
        <v>13.200000000000001</v>
      </c>
      <c r="H106">
        <f ca="1">IFERROR(IF(0=LEN(ReferenceData!$J$106),"",ReferenceData!$J$106),"")</f>
        <v>13</v>
      </c>
      <c r="I106">
        <f ca="1">IFERROR(IF(0=LEN(ReferenceData!$I$106),"",ReferenceData!$I$106),"")</f>
        <v>12.433333333333332</v>
      </c>
      <c r="J106">
        <f ca="1">IFERROR(IF(0=LEN(ReferenceData!$H$106),"",ReferenceData!$H$106),"")</f>
        <v>9.1333333333333329</v>
      </c>
      <c r="K106">
        <f ca="1">IFERROR(IF(0=LEN(ReferenceData!$G$106),"",ReferenceData!$G$106),"")</f>
        <v>14.85</v>
      </c>
      <c r="L106">
        <f ca="1">IFERROR(IF(0=LEN(ReferenceData!$F$106),"",ReferenceData!$F$106),"")</f>
        <v>13.95</v>
      </c>
    </row>
    <row r="107" spans="1:12" x14ac:dyDescent="0.25">
      <c r="A107" t="str">
        <f>IFERROR(IF(0=LEN(ReferenceData!$A$107),"",ReferenceData!$A$107),"")</f>
        <v xml:space="preserve">        Cognizant Technology Solutions Corp</v>
      </c>
      <c r="B107" t="str">
        <f>IFERROR(IF(0=LEN(ReferenceData!$B$107),"",ReferenceData!$B$107),"")</f>
        <v>CTSH US Equity</v>
      </c>
      <c r="C107" t="str">
        <f>IFERROR(IF(0=LEN(ReferenceData!$C$107),"",ReferenceData!$C$107),"")</f>
        <v>M0019</v>
      </c>
      <c r="D107" t="str">
        <f>IFERROR(IF(0=LEN(ReferenceData!$D$107),"",ReferenceData!$D$107),"")</f>
        <v>TOP_5_CLIENTS_CONTRIB_TO_REV</v>
      </c>
      <c r="E107" t="str">
        <f>IFERROR(IF(0=LEN(ReferenceData!$E$107),"",ReferenceData!$E$107),"")</f>
        <v>Dynamic</v>
      </c>
      <c r="F107">
        <f ca="1">IFERROR(IF(0=LEN(ReferenceData!$L$107),"",ReferenceData!$L$107),"")</f>
        <v>13.2</v>
      </c>
      <c r="G107">
        <f ca="1">IFERROR(IF(0=LEN(ReferenceData!$K$107),"",ReferenceData!$K$107),"")</f>
        <v>12.2</v>
      </c>
      <c r="H107" t="str">
        <f ca="1">IFERROR(IF(0=LEN(ReferenceData!$J$107),"",ReferenceData!$J$107),"")</f>
        <v/>
      </c>
      <c r="I107" t="str">
        <f ca="1">IFERROR(IF(0=LEN(ReferenceData!$I$107),"",ReferenceData!$I$107),"")</f>
        <v/>
      </c>
      <c r="J107" t="str">
        <f ca="1">IFERROR(IF(0=LEN(ReferenceData!$H$107),"",ReferenceData!$H$107),"")</f>
        <v/>
      </c>
      <c r="K107" t="str">
        <f ca="1">IFERROR(IF(0=LEN(ReferenceData!$G$107),"",ReferenceData!$G$107),"")</f>
        <v/>
      </c>
      <c r="L107" t="str">
        <f ca="1">IFERROR(IF(0=LEN(ReferenceData!$F$107),"",ReferenceData!$F$107),"")</f>
        <v/>
      </c>
    </row>
    <row r="108" spans="1:12" x14ac:dyDescent="0.25">
      <c r="A108" t="str">
        <f>IFERROR(IF(0=LEN(ReferenceData!$A$108),"",ReferenceData!$A$108),"")</f>
        <v xml:space="preserve">        HCL Technologies Ltd</v>
      </c>
      <c r="B108" t="str">
        <f>IFERROR(IF(0=LEN(ReferenceData!$B$108),"",ReferenceData!$B$108),"")</f>
        <v>HCLT IN Equity</v>
      </c>
      <c r="C108" t="str">
        <f>IFERROR(IF(0=LEN(ReferenceData!$C$108),"",ReferenceData!$C$108),"")</f>
        <v>M0019</v>
      </c>
      <c r="D108" t="str">
        <f>IFERROR(IF(0=LEN(ReferenceData!$D$108),"",ReferenceData!$D$108),"")</f>
        <v>TOP_5_CLIENTS_CONTRIB_TO_REV</v>
      </c>
      <c r="E108" t="str">
        <f>IFERROR(IF(0=LEN(ReferenceData!$E$108),"",ReferenceData!$E$108),"")</f>
        <v>Dynamic</v>
      </c>
      <c r="F108">
        <f ca="1">IFERROR(IF(0=LEN(ReferenceData!$L$108),"",ReferenceData!$L$108),"")</f>
        <v>14.7</v>
      </c>
      <c r="G108" t="str">
        <f ca="1">IFERROR(IF(0=LEN(ReferenceData!$K$108),"",ReferenceData!$K$108),"")</f>
        <v/>
      </c>
      <c r="H108">
        <f ca="1">IFERROR(IF(0=LEN(ReferenceData!$J$108),"",ReferenceData!$J$108),"")</f>
        <v>13.6</v>
      </c>
      <c r="I108">
        <f ca="1">IFERROR(IF(0=LEN(ReferenceData!$I$108),"",ReferenceData!$I$108),"")</f>
        <v>14.7</v>
      </c>
      <c r="J108">
        <f ca="1">IFERROR(IF(0=LEN(ReferenceData!$H$108),"",ReferenceData!$H$108),"")</f>
        <v>16.3</v>
      </c>
      <c r="K108">
        <f ca="1">IFERROR(IF(0=LEN(ReferenceData!$G$108),"",ReferenceData!$G$108),"")</f>
        <v>17</v>
      </c>
      <c r="L108">
        <f ca="1">IFERROR(IF(0=LEN(ReferenceData!$F$108),"",ReferenceData!$F$108),"")</f>
        <v>15.1</v>
      </c>
    </row>
    <row r="109" spans="1:12" x14ac:dyDescent="0.25">
      <c r="A109" t="str">
        <f>IFERROR(IF(0=LEN(ReferenceData!$A$109),"",ReferenceData!$A$109),"")</f>
        <v xml:space="preserve">        Infosys Ltd</v>
      </c>
      <c r="B109" t="str">
        <f>IFERROR(IF(0=LEN(ReferenceData!$B$109),"",ReferenceData!$B$109),"")</f>
        <v>INFY US Equity</v>
      </c>
      <c r="C109" t="str">
        <f>IFERROR(IF(0=LEN(ReferenceData!$C$109),"",ReferenceData!$C$109),"")</f>
        <v>M0019</v>
      </c>
      <c r="D109" t="str">
        <f>IFERROR(IF(0=LEN(ReferenceData!$D$109),"",ReferenceData!$D$109),"")</f>
        <v>TOP_5_CLIENTS_CONTRIB_TO_REV</v>
      </c>
      <c r="E109" t="str">
        <f>IFERROR(IF(0=LEN(ReferenceData!$E$109),"",ReferenceData!$E$109),"")</f>
        <v>Dynamic</v>
      </c>
      <c r="F109">
        <f ca="1">IFERROR(IF(0=LEN(ReferenceData!$L$109),"",ReferenceData!$L$109),"")</f>
        <v>14.4</v>
      </c>
      <c r="G109">
        <f ca="1">IFERROR(IF(0=LEN(ReferenceData!$K$109),"",ReferenceData!$K$109),"")</f>
        <v>13.5</v>
      </c>
      <c r="H109">
        <f ca="1">IFERROR(IF(0=LEN(ReferenceData!$J$109),"",ReferenceData!$J$109),"")</f>
        <v>13.8</v>
      </c>
      <c r="I109">
        <f ca="1">IFERROR(IF(0=LEN(ReferenceData!$I$109),"",ReferenceData!$I$109),"")</f>
        <v>12.6</v>
      </c>
      <c r="J109">
        <f ca="1">IFERROR(IF(0=LEN(ReferenceData!$H$109),"",ReferenceData!$H$109),"")</f>
        <v>0</v>
      </c>
      <c r="K109" t="str">
        <f ca="1">IFERROR(IF(0=LEN(ReferenceData!$G$109),"",ReferenceData!$G$109),"")</f>
        <v/>
      </c>
      <c r="L109" t="str">
        <f ca="1">IFERROR(IF(0=LEN(ReferenceData!$F$109),"",ReferenceData!$F$109),"")</f>
        <v/>
      </c>
    </row>
    <row r="110" spans="1:12" x14ac:dyDescent="0.25">
      <c r="A110" t="str">
        <f>IFERROR(IF(0=LEN(ReferenceData!$A$110),"",ReferenceData!$A$110),"")</f>
        <v xml:space="preserve">        Tata Consultancy Services Ltd</v>
      </c>
      <c r="B110" t="str">
        <f>IFERROR(IF(0=LEN(ReferenceData!$B$110),"",ReferenceData!$B$110),"")</f>
        <v>TCS IN Equity</v>
      </c>
      <c r="C110" t="str">
        <f>IFERROR(IF(0=LEN(ReferenceData!$C$110),"",ReferenceData!$C$110),"")</f>
        <v>M0019</v>
      </c>
      <c r="D110" t="str">
        <f>IFERROR(IF(0=LEN(ReferenceData!$D$110),"",ReferenceData!$D$110),"")</f>
        <v>TOP_5_CLIENTS_CONTRIB_TO_REV</v>
      </c>
      <c r="E110" t="str">
        <f>IFERROR(IF(0=LEN(ReferenceData!$E$110),"",ReferenceData!$E$110),"")</f>
        <v>Dynamic</v>
      </c>
      <c r="F110" t="str">
        <f ca="1">IFERROR(IF(0=LEN(ReferenceData!$L$110),"",ReferenceData!$L$110),"")</f>
        <v/>
      </c>
      <c r="G110" t="str">
        <f ca="1">IFERROR(IF(0=LEN(ReferenceData!$K$110),"",ReferenceData!$K$110),"")</f>
        <v/>
      </c>
      <c r="H110" t="str">
        <f ca="1">IFERROR(IF(0=LEN(ReferenceData!$J$110),"",ReferenceData!$J$110),"")</f>
        <v/>
      </c>
      <c r="I110" t="str">
        <f ca="1">IFERROR(IF(0=LEN(ReferenceData!$I$110),"",ReferenceData!$I$110),"")</f>
        <v/>
      </c>
      <c r="J110" t="str">
        <f ca="1">IFERROR(IF(0=LEN(ReferenceData!$H$110),"",ReferenceData!$H$110),"")</f>
        <v/>
      </c>
      <c r="K110" t="str">
        <f ca="1">IFERROR(IF(0=LEN(ReferenceData!$G$110),"",ReferenceData!$G$110),"")</f>
        <v/>
      </c>
      <c r="L110" t="str">
        <f ca="1">IFERROR(IF(0=LEN(ReferenceData!$F$110),"",ReferenceData!$F$110),"")</f>
        <v/>
      </c>
    </row>
    <row r="111" spans="1:12" x14ac:dyDescent="0.25">
      <c r="A111" t="str">
        <f>IFERROR(IF(0=LEN(ReferenceData!$A$111),"",ReferenceData!$A$111),"")</f>
        <v xml:space="preserve">        Wipro Ltd</v>
      </c>
      <c r="B111" t="str">
        <f>IFERROR(IF(0=LEN(ReferenceData!$B$111),"",ReferenceData!$B$111),"")</f>
        <v>WIT US Equity</v>
      </c>
      <c r="C111" t="str">
        <f>IFERROR(IF(0=LEN(ReferenceData!$C$111),"",ReferenceData!$C$111),"")</f>
        <v>M0019</v>
      </c>
      <c r="D111" t="str">
        <f>IFERROR(IF(0=LEN(ReferenceData!$D$111),"",ReferenceData!$D$111),"")</f>
        <v>TOP_5_CLIENTS_CONTRIB_TO_REV</v>
      </c>
      <c r="E111" t="str">
        <f>IFERROR(IF(0=LEN(ReferenceData!$E$111),"",ReferenceData!$E$111),"")</f>
        <v>Dynamic</v>
      </c>
      <c r="F111">
        <f ca="1">IFERROR(IF(0=LEN(ReferenceData!$L$111),"",ReferenceData!$L$111),"")</f>
        <v>13.9</v>
      </c>
      <c r="G111">
        <f ca="1">IFERROR(IF(0=LEN(ReferenceData!$K$111),"",ReferenceData!$K$111),"")</f>
        <v>13.9</v>
      </c>
      <c r="H111">
        <f ca="1">IFERROR(IF(0=LEN(ReferenceData!$J$111),"",ReferenceData!$J$111),"")</f>
        <v>11.6</v>
      </c>
      <c r="I111">
        <f ca="1">IFERROR(IF(0=LEN(ReferenceData!$I$111),"",ReferenceData!$I$111),"")</f>
        <v>10</v>
      </c>
      <c r="J111">
        <f ca="1">IFERROR(IF(0=LEN(ReferenceData!$H$111),"",ReferenceData!$H$111),"")</f>
        <v>11.1</v>
      </c>
      <c r="K111">
        <f ca="1">IFERROR(IF(0=LEN(ReferenceData!$G$111),"",ReferenceData!$G$111),"")</f>
        <v>12.7</v>
      </c>
      <c r="L111">
        <f ca="1">IFERROR(IF(0=LEN(ReferenceData!$F$111),"",ReferenceData!$F$111),"")</f>
        <v>12.8</v>
      </c>
    </row>
    <row r="112" spans="1:12" x14ac:dyDescent="0.25">
      <c r="A112" t="str">
        <f>IFERROR(IF(0=LEN(ReferenceData!$A$112),"",ReferenceData!$A$112),"")</f>
        <v xml:space="preserve">    Top 10 Clients % of Revenue</v>
      </c>
      <c r="B112" t="str">
        <f>IFERROR(IF(0=LEN(ReferenceData!$B$112),"",ReferenceData!$B$112),"")</f>
        <v/>
      </c>
      <c r="C112" t="str">
        <f>IFERROR(IF(0=LEN(ReferenceData!$C$112),"",ReferenceData!$C$112),"")</f>
        <v/>
      </c>
      <c r="D112" t="str">
        <f>IFERROR(IF(0=LEN(ReferenceData!$D$112),"",ReferenceData!$D$112),"")</f>
        <v/>
      </c>
      <c r="E112" t="str">
        <f>IFERROR(IF(0=LEN(ReferenceData!$E$112),"",ReferenceData!$E$112),"")</f>
        <v>Average</v>
      </c>
      <c r="F112">
        <f ca="1">IFERROR(IF(0=LEN(ReferenceData!$L$112),"",ReferenceData!$L$112),"")</f>
        <v>23.2</v>
      </c>
      <c r="G112">
        <f ca="1">IFERROR(IF(0=LEN(ReferenceData!$K$112),"",ReferenceData!$K$112),"")</f>
        <v>22.233333333333334</v>
      </c>
      <c r="H112">
        <f ca="1">IFERROR(IF(0=LEN(ReferenceData!$J$112),"",ReferenceData!$J$112),"")</f>
        <v>21.2</v>
      </c>
      <c r="I112">
        <f ca="1">IFERROR(IF(0=LEN(ReferenceData!$I$112),"",ReferenceData!$I$112),"")</f>
        <v>20.066666666666666</v>
      </c>
      <c r="J112">
        <f ca="1">IFERROR(IF(0=LEN(ReferenceData!$H$112),"",ReferenceData!$H$112),"")</f>
        <v>20.3</v>
      </c>
      <c r="K112">
        <f ca="1">IFERROR(IF(0=LEN(ReferenceData!$G$112),"",ReferenceData!$G$112),"")</f>
        <v>21.8</v>
      </c>
      <c r="L112">
        <f ca="1">IFERROR(IF(0=LEN(ReferenceData!$F$112),"",ReferenceData!$F$112),"")</f>
        <v>20.85</v>
      </c>
    </row>
    <row r="113" spans="1:12" x14ac:dyDescent="0.25">
      <c r="A113" t="str">
        <f>IFERROR(IF(0=LEN(ReferenceData!$A$113),"",ReferenceData!$A$113),"")</f>
        <v xml:space="preserve">        Cognizant Technology Solutions Corp</v>
      </c>
      <c r="B113" t="str">
        <f>IFERROR(IF(0=LEN(ReferenceData!$B$113),"",ReferenceData!$B$113),"")</f>
        <v>CTSH US Equity</v>
      </c>
      <c r="C113" t="str">
        <f>IFERROR(IF(0=LEN(ReferenceData!$C$113),"",ReferenceData!$C$113),"")</f>
        <v>M0020</v>
      </c>
      <c r="D113" t="str">
        <f>IFERROR(IF(0=LEN(ReferenceData!$D$113),"",ReferenceData!$D$113),"")</f>
        <v>TOP_10_CLIENTS_CONTRIB_TO_REV</v>
      </c>
      <c r="E113" t="str">
        <f>IFERROR(IF(0=LEN(ReferenceData!$E$113),"",ReferenceData!$E$113),"")</f>
        <v>Dynamic</v>
      </c>
      <c r="F113">
        <f ca="1">IFERROR(IF(0=LEN(ReferenceData!$L$113),"",ReferenceData!$L$113),"")</f>
        <v>22.6</v>
      </c>
      <c r="G113">
        <f ca="1">IFERROR(IF(0=LEN(ReferenceData!$K$113),"",ReferenceData!$K$113),"")</f>
        <v>21.3</v>
      </c>
      <c r="H113" t="str">
        <f ca="1">IFERROR(IF(0=LEN(ReferenceData!$J$113),"",ReferenceData!$J$113),"")</f>
        <v/>
      </c>
      <c r="I113" t="str">
        <f ca="1">IFERROR(IF(0=LEN(ReferenceData!$I$113),"",ReferenceData!$I$113),"")</f>
        <v/>
      </c>
      <c r="J113" t="str">
        <f ca="1">IFERROR(IF(0=LEN(ReferenceData!$H$113),"",ReferenceData!$H$113),"")</f>
        <v/>
      </c>
      <c r="K113" t="str">
        <f ca="1">IFERROR(IF(0=LEN(ReferenceData!$G$113),"",ReferenceData!$G$113),"")</f>
        <v/>
      </c>
      <c r="L113" t="str">
        <f ca="1">IFERROR(IF(0=LEN(ReferenceData!$F$113),"",ReferenceData!$F$113),"")</f>
        <v/>
      </c>
    </row>
    <row r="114" spans="1:12" x14ac:dyDescent="0.25">
      <c r="A114" t="str">
        <f>IFERROR(IF(0=LEN(ReferenceData!$A$114),"",ReferenceData!$A$114),"")</f>
        <v xml:space="preserve">        HCL Technologies Ltd</v>
      </c>
      <c r="B114" t="str">
        <f>IFERROR(IF(0=LEN(ReferenceData!$B$114),"",ReferenceData!$B$114),"")</f>
        <v>HCLT IN Equity</v>
      </c>
      <c r="C114" t="str">
        <f>IFERROR(IF(0=LEN(ReferenceData!$C$114),"",ReferenceData!$C$114),"")</f>
        <v>M0020</v>
      </c>
      <c r="D114" t="str">
        <f>IFERROR(IF(0=LEN(ReferenceData!$D$114),"",ReferenceData!$D$114),"")</f>
        <v>TOP_10_CLIENTS_CONTRIB_TO_REV</v>
      </c>
      <c r="E114" t="str">
        <f>IFERROR(IF(0=LEN(ReferenceData!$E$114),"",ReferenceData!$E$114),"")</f>
        <v>Dynamic</v>
      </c>
      <c r="F114">
        <f ca="1">IFERROR(IF(0=LEN(ReferenceData!$L$114),"",ReferenceData!$L$114),"")</f>
        <v>23.7</v>
      </c>
      <c r="G114" t="str">
        <f ca="1">IFERROR(IF(0=LEN(ReferenceData!$K$114),"",ReferenceData!$K$114),"")</f>
        <v/>
      </c>
      <c r="H114">
        <f ca="1">IFERROR(IF(0=LEN(ReferenceData!$J$114),"",ReferenceData!$J$114),"")</f>
        <v>21.8</v>
      </c>
      <c r="I114">
        <f ca="1">IFERROR(IF(0=LEN(ReferenceData!$I$114),"",ReferenceData!$I$114),"")</f>
        <v>22.1</v>
      </c>
      <c r="J114">
        <f ca="1">IFERROR(IF(0=LEN(ReferenceData!$H$114),"",ReferenceData!$H$114),"")</f>
        <v>23.8</v>
      </c>
      <c r="K114">
        <f ca="1">IFERROR(IF(0=LEN(ReferenceData!$G$114),"",ReferenceData!$G$114),"")</f>
        <v>24.1</v>
      </c>
      <c r="L114">
        <f ca="1">IFERROR(IF(0=LEN(ReferenceData!$F$114),"",ReferenceData!$F$114),"")</f>
        <v>22</v>
      </c>
    </row>
    <row r="115" spans="1:12" x14ac:dyDescent="0.25">
      <c r="A115" t="str">
        <f>IFERROR(IF(0=LEN(ReferenceData!$A$115),"",ReferenceData!$A$115),"")</f>
        <v xml:space="preserve">        Infosys Ltd</v>
      </c>
      <c r="B115" t="str">
        <f>IFERROR(IF(0=LEN(ReferenceData!$B$115),"",ReferenceData!$B$115),"")</f>
        <v>INFY US Equity</v>
      </c>
      <c r="C115" t="str">
        <f>IFERROR(IF(0=LEN(ReferenceData!$C$115),"",ReferenceData!$C$115),"")</f>
        <v>M0020</v>
      </c>
      <c r="D115" t="str">
        <f>IFERROR(IF(0=LEN(ReferenceData!$D$115),"",ReferenceData!$D$115),"")</f>
        <v>TOP_10_CLIENTS_CONTRIB_TO_REV</v>
      </c>
      <c r="E115" t="str">
        <f>IFERROR(IF(0=LEN(ReferenceData!$E$115),"",ReferenceData!$E$115),"")</f>
        <v>Dynamic</v>
      </c>
      <c r="F115">
        <f ca="1">IFERROR(IF(0=LEN(ReferenceData!$L$115),"",ReferenceData!$L$115),"")</f>
        <v>23.8</v>
      </c>
      <c r="G115">
        <f ca="1">IFERROR(IF(0=LEN(ReferenceData!$K$115),"",ReferenceData!$K$115),"")</f>
        <v>22.7</v>
      </c>
      <c r="H115">
        <f ca="1">IFERROR(IF(0=LEN(ReferenceData!$J$115),"",ReferenceData!$J$115),"")</f>
        <v>22.5</v>
      </c>
      <c r="I115">
        <f ca="1">IFERROR(IF(0=LEN(ReferenceData!$I$115),"",ReferenceData!$I$115),"")</f>
        <v>21</v>
      </c>
      <c r="J115">
        <f ca="1">IFERROR(IF(0=LEN(ReferenceData!$H$115),"",ReferenceData!$H$115),"")</f>
        <v>19.3</v>
      </c>
      <c r="K115" t="str">
        <f ca="1">IFERROR(IF(0=LEN(ReferenceData!$G$115),"",ReferenceData!$G$115),"")</f>
        <v/>
      </c>
      <c r="L115" t="str">
        <f ca="1">IFERROR(IF(0=LEN(ReferenceData!$F$115),"",ReferenceData!$F$115),"")</f>
        <v/>
      </c>
    </row>
    <row r="116" spans="1:12" x14ac:dyDescent="0.25">
      <c r="A116" t="str">
        <f>IFERROR(IF(0=LEN(ReferenceData!$A$116),"",ReferenceData!$A$116),"")</f>
        <v xml:space="preserve">        Tata Consultancy Services Ltd</v>
      </c>
      <c r="B116" t="str">
        <f>IFERROR(IF(0=LEN(ReferenceData!$B$116),"",ReferenceData!$B$116),"")</f>
        <v>TCS IN Equity</v>
      </c>
      <c r="C116" t="str">
        <f>IFERROR(IF(0=LEN(ReferenceData!$C$116),"",ReferenceData!$C$116),"")</f>
        <v>M0020</v>
      </c>
      <c r="D116" t="str">
        <f>IFERROR(IF(0=LEN(ReferenceData!$D$116),"",ReferenceData!$D$116),"")</f>
        <v>TOP_10_CLIENTS_CONTRIB_TO_REV</v>
      </c>
      <c r="E116" t="str">
        <f>IFERROR(IF(0=LEN(ReferenceData!$E$116),"",ReferenceData!$E$116),"")</f>
        <v>Dynamic</v>
      </c>
      <c r="F116" t="str">
        <f ca="1">IFERROR(IF(0=LEN(ReferenceData!$L$116),"",ReferenceData!$L$116),"")</f>
        <v/>
      </c>
      <c r="G116" t="str">
        <f ca="1">IFERROR(IF(0=LEN(ReferenceData!$K$116),"",ReferenceData!$K$116),"")</f>
        <v/>
      </c>
      <c r="H116" t="str">
        <f ca="1">IFERROR(IF(0=LEN(ReferenceData!$J$116),"",ReferenceData!$J$116),"")</f>
        <v/>
      </c>
      <c r="I116" t="str">
        <f ca="1">IFERROR(IF(0=LEN(ReferenceData!$I$116),"",ReferenceData!$I$116),"")</f>
        <v/>
      </c>
      <c r="J116" t="str">
        <f ca="1">IFERROR(IF(0=LEN(ReferenceData!$H$116),"",ReferenceData!$H$116),"")</f>
        <v/>
      </c>
      <c r="K116" t="str">
        <f ca="1">IFERROR(IF(0=LEN(ReferenceData!$G$116),"",ReferenceData!$G$116),"")</f>
        <v/>
      </c>
      <c r="L116" t="str">
        <f ca="1">IFERROR(IF(0=LEN(ReferenceData!$F$116),"",ReferenceData!$F$116),"")</f>
        <v/>
      </c>
    </row>
    <row r="117" spans="1:12" x14ac:dyDescent="0.25">
      <c r="A117" t="str">
        <f>IFERROR(IF(0=LEN(ReferenceData!$A$117),"",ReferenceData!$A$117),"")</f>
        <v xml:space="preserve">        Wipro Ltd</v>
      </c>
      <c r="B117" t="str">
        <f>IFERROR(IF(0=LEN(ReferenceData!$B$117),"",ReferenceData!$B$117),"")</f>
        <v>WIT US Equity</v>
      </c>
      <c r="C117" t="str">
        <f>IFERROR(IF(0=LEN(ReferenceData!$C$117),"",ReferenceData!$C$117),"")</f>
        <v>M0020</v>
      </c>
      <c r="D117" t="str">
        <f>IFERROR(IF(0=LEN(ReferenceData!$D$117),"",ReferenceData!$D$117),"")</f>
        <v>TOP_10_CLIENTS_CONTRIB_TO_REV</v>
      </c>
      <c r="E117" t="str">
        <f>IFERROR(IF(0=LEN(ReferenceData!$E$117),"",ReferenceData!$E$117),"")</f>
        <v>Dynamic</v>
      </c>
      <c r="F117">
        <f ca="1">IFERROR(IF(0=LEN(ReferenceData!$L$117),"",ReferenceData!$L$117),"")</f>
        <v>22.7</v>
      </c>
      <c r="G117">
        <f ca="1">IFERROR(IF(0=LEN(ReferenceData!$K$117),"",ReferenceData!$K$117),"")</f>
        <v>22.7</v>
      </c>
      <c r="H117">
        <f ca="1">IFERROR(IF(0=LEN(ReferenceData!$J$117),"",ReferenceData!$J$117),"")</f>
        <v>19.3</v>
      </c>
      <c r="I117">
        <f ca="1">IFERROR(IF(0=LEN(ReferenceData!$I$117),"",ReferenceData!$I$117),"")</f>
        <v>17.100000000000001</v>
      </c>
      <c r="J117">
        <f ca="1">IFERROR(IF(0=LEN(ReferenceData!$H$117),"",ReferenceData!$H$117),"")</f>
        <v>17.8</v>
      </c>
      <c r="K117">
        <f ca="1">IFERROR(IF(0=LEN(ReferenceData!$G$117),"",ReferenceData!$G$117),"")</f>
        <v>19.5</v>
      </c>
      <c r="L117">
        <f ca="1">IFERROR(IF(0=LEN(ReferenceData!$F$117),"",ReferenceData!$F$117),"")</f>
        <v>19.7</v>
      </c>
    </row>
    <row r="118" spans="1:12" x14ac:dyDescent="0.25">
      <c r="A118" t="str">
        <f>IFERROR(IF(0=LEN(ReferenceData!$A$118),"",ReferenceData!$A$118),"")</f>
        <v>Client Concentration</v>
      </c>
      <c r="B118" t="str">
        <f>IFERROR(IF(0=LEN(ReferenceData!$B$118),"",ReferenceData!$B$118),"")</f>
        <v/>
      </c>
      <c r="C118" t="str">
        <f>IFERROR(IF(0=LEN(ReferenceData!$C$118),"",ReferenceData!$C$118),"")</f>
        <v/>
      </c>
      <c r="D118" t="str">
        <f>IFERROR(IF(0=LEN(ReferenceData!$D$118),"",ReferenceData!$D$118),"")</f>
        <v/>
      </c>
      <c r="E118" t="str">
        <f>IFERROR(IF(0=LEN(ReferenceData!$E$118),"",ReferenceData!$E$118),"")</f>
        <v>Static</v>
      </c>
      <c r="F118" t="str">
        <f ca="1">IFERROR(IF(0=LEN(ReferenceData!$L$118),"",ReferenceData!$L$118),"")</f>
        <v/>
      </c>
      <c r="G118" t="str">
        <f ca="1">IFERROR(IF(0=LEN(ReferenceData!$K$118),"",ReferenceData!$K$118),"")</f>
        <v/>
      </c>
      <c r="H118" t="str">
        <f ca="1">IFERROR(IF(0=LEN(ReferenceData!$J$118),"",ReferenceData!$J$118),"")</f>
        <v/>
      </c>
      <c r="I118" t="str">
        <f ca="1">IFERROR(IF(0=LEN(ReferenceData!$I$118),"",ReferenceData!$I$118),"")</f>
        <v/>
      </c>
      <c r="J118" t="str">
        <f ca="1">IFERROR(IF(0=LEN(ReferenceData!$H$118),"",ReferenceData!$H$118),"")</f>
        <v/>
      </c>
      <c r="K118" t="str">
        <f ca="1">IFERROR(IF(0=LEN(ReferenceData!$G$118),"",ReferenceData!$G$118),"")</f>
        <v/>
      </c>
      <c r="L118" t="str">
        <f ca="1">IFERROR(IF(0=LEN(ReferenceData!$F$118),"",ReferenceData!$F$118),"")</f>
        <v/>
      </c>
    </row>
    <row r="119" spans="1:12" x14ac:dyDescent="0.25">
      <c r="A119" t="str">
        <f>IFERROR(IF(0=LEN(ReferenceData!$A$119),"",ReferenceData!$A$119),"")</f>
        <v xml:space="preserve">    # of Clients $0mn-$5mn</v>
      </c>
      <c r="B119" t="str">
        <f>IFERROR(IF(0=LEN(ReferenceData!$B$119),"",ReferenceData!$B$119),"")</f>
        <v/>
      </c>
      <c r="C119" t="str">
        <f>IFERROR(IF(0=LEN(ReferenceData!$C$119),"",ReferenceData!$C$119),"")</f>
        <v/>
      </c>
      <c r="D119" t="str">
        <f>IFERROR(IF(0=LEN(ReferenceData!$D$119),"",ReferenceData!$D$119),"")</f>
        <v/>
      </c>
      <c r="E119" t="str">
        <f>IFERROR(IF(0=LEN(ReferenceData!$E$119),"",ReferenceData!$E$119),"")</f>
        <v>Sum</v>
      </c>
      <c r="F119">
        <f ca="1">IFERROR(IF(0=LEN(ReferenceData!$L$119),"",ReferenceData!$L$119),"")</f>
        <v>1709</v>
      </c>
      <c r="G119">
        <f ca="1">IFERROR(IF(0=LEN(ReferenceData!$K$119),"",ReferenceData!$K$119),"")</f>
        <v>1382</v>
      </c>
      <c r="H119">
        <f ca="1">IFERROR(IF(0=LEN(ReferenceData!$J$119),"",ReferenceData!$J$119),"")</f>
        <v>1921</v>
      </c>
      <c r="I119">
        <f ca="1">IFERROR(IF(0=LEN(ReferenceData!$I$119),"",ReferenceData!$I$119),"")</f>
        <v>2957</v>
      </c>
      <c r="J119">
        <f ca="1">IFERROR(IF(0=LEN(ReferenceData!$H$119),"",ReferenceData!$H$119),"")</f>
        <v>3158</v>
      </c>
      <c r="K119">
        <f ca="1">IFERROR(IF(0=LEN(ReferenceData!$G$119),"",ReferenceData!$G$119),"")</f>
        <v>2195</v>
      </c>
      <c r="L119">
        <f ca="1">IFERROR(IF(0=LEN(ReferenceData!$F$119),"",ReferenceData!$F$119),"")</f>
        <v>3496</v>
      </c>
    </row>
    <row r="120" spans="1:12" x14ac:dyDescent="0.25">
      <c r="A120" t="str">
        <f>IFERROR(IF(0=LEN(ReferenceData!$A$120),"",ReferenceData!$A$120),"")</f>
        <v xml:space="preserve">        Cognizant Technology Solutions Corp</v>
      </c>
      <c r="B120" t="str">
        <f>IFERROR(IF(0=LEN(ReferenceData!$B$120),"",ReferenceData!$B$120),"")</f>
        <v>CTSH US Equity</v>
      </c>
      <c r="C120" t="str">
        <f>IFERROR(IF(0=LEN(ReferenceData!$C$120),"",ReferenceData!$C$120),"")</f>
        <v>M0010</v>
      </c>
      <c r="D120" t="str">
        <f>IFERROR(IF(0=LEN(ReferenceData!$D$120),"",ReferenceData!$D$120),"")</f>
        <v>NUMBER_OF_CLIENTS_0_TO_5MM</v>
      </c>
      <c r="E120" t="str">
        <f>IFERROR(IF(0=LEN(ReferenceData!$E$120),"",ReferenceData!$E$120),"")</f>
        <v>Dynamic</v>
      </c>
      <c r="F120" t="str">
        <f ca="1">IFERROR(IF(0=LEN(ReferenceData!$L$120),"",ReferenceData!$L$120),"")</f>
        <v/>
      </c>
      <c r="G120" t="str">
        <f ca="1">IFERROR(IF(0=LEN(ReferenceData!$K$120),"",ReferenceData!$K$120),"")</f>
        <v/>
      </c>
      <c r="H120" t="str">
        <f ca="1">IFERROR(IF(0=LEN(ReferenceData!$J$120),"",ReferenceData!$J$120),"")</f>
        <v/>
      </c>
      <c r="I120" t="str">
        <f ca="1">IFERROR(IF(0=LEN(ReferenceData!$I$120),"",ReferenceData!$I$120),"")</f>
        <v/>
      </c>
      <c r="J120" t="str">
        <f ca="1">IFERROR(IF(0=LEN(ReferenceData!$H$120),"",ReferenceData!$H$120),"")</f>
        <v/>
      </c>
      <c r="K120" t="str">
        <f ca="1">IFERROR(IF(0=LEN(ReferenceData!$G$120),"",ReferenceData!$G$120),"")</f>
        <v/>
      </c>
      <c r="L120" t="str">
        <f ca="1">IFERROR(IF(0=LEN(ReferenceData!$F$120),"",ReferenceData!$F$120),"")</f>
        <v/>
      </c>
    </row>
    <row r="121" spans="1:12" x14ac:dyDescent="0.25">
      <c r="A121" t="str">
        <f>IFERROR(IF(0=LEN(ReferenceData!$A$121),"",ReferenceData!$A$121),"")</f>
        <v xml:space="preserve">        HCL Technologies Ltd</v>
      </c>
      <c r="B121" t="str">
        <f>IFERROR(IF(0=LEN(ReferenceData!$B$121),"",ReferenceData!$B$121),"")</f>
        <v>HCLT IN Equity</v>
      </c>
      <c r="C121" t="str">
        <f>IFERROR(IF(0=LEN(ReferenceData!$C$121),"",ReferenceData!$C$121),"")</f>
        <v>M0010</v>
      </c>
      <c r="D121" t="str">
        <f>IFERROR(IF(0=LEN(ReferenceData!$D$121),"",ReferenceData!$D$121),"")</f>
        <v>NUMBER_OF_CLIENTS_0_TO_5MM</v>
      </c>
      <c r="E121" t="str">
        <f>IFERROR(IF(0=LEN(ReferenceData!$E$121),"",ReferenceData!$E$121),"")</f>
        <v>Dynamic</v>
      </c>
      <c r="F121">
        <f ca="1">IFERROR(IF(0=LEN(ReferenceData!$L$121),"",ReferenceData!$L$121),"")</f>
        <v>429</v>
      </c>
      <c r="G121" t="str">
        <f ca="1">IFERROR(IF(0=LEN(ReferenceData!$K$121),"",ReferenceData!$K$121),"")</f>
        <v/>
      </c>
      <c r="H121">
        <f ca="1">IFERROR(IF(0=LEN(ReferenceData!$J$121),"",ReferenceData!$J$121),"")</f>
        <v>482</v>
      </c>
      <c r="I121">
        <f ca="1">IFERROR(IF(0=LEN(ReferenceData!$I$121),"",ReferenceData!$I$121),"")</f>
        <v>506</v>
      </c>
      <c r="J121">
        <f ca="1">IFERROR(IF(0=LEN(ReferenceData!$H$121),"",ReferenceData!$H$121),"")</f>
        <v>561</v>
      </c>
      <c r="K121">
        <f ca="1">IFERROR(IF(0=LEN(ReferenceData!$G$121),"",ReferenceData!$G$121),"")</f>
        <v>623</v>
      </c>
      <c r="L121">
        <f ca="1">IFERROR(IF(0=LEN(ReferenceData!$F$121),"",ReferenceData!$F$121),"")</f>
        <v>791</v>
      </c>
    </row>
    <row r="122" spans="1:12" x14ac:dyDescent="0.25">
      <c r="A122" t="str">
        <f>IFERROR(IF(0=LEN(ReferenceData!$A$122),"",ReferenceData!$A$122),"")</f>
        <v xml:space="preserve">        Infosys Ltd</v>
      </c>
      <c r="B122" t="str">
        <f>IFERROR(IF(0=LEN(ReferenceData!$B$122),"",ReferenceData!$B$122),"")</f>
        <v>INFY US Equity</v>
      </c>
      <c r="C122" t="str">
        <f>IFERROR(IF(0=LEN(ReferenceData!$C$122),"",ReferenceData!$C$122),"")</f>
        <v>M0010</v>
      </c>
      <c r="D122" t="str">
        <f>IFERROR(IF(0=LEN(ReferenceData!$D$122),"",ReferenceData!$D$122),"")</f>
        <v>NUMBER_OF_CLIENTS_0_TO_5MM</v>
      </c>
      <c r="E122" t="str">
        <f>IFERROR(IF(0=LEN(ReferenceData!$E$122),"",ReferenceData!$E$122),"")</f>
        <v>Dynamic</v>
      </c>
      <c r="F122">
        <f ca="1">IFERROR(IF(0=LEN(ReferenceData!$L$122),"",ReferenceData!$L$122),"")</f>
        <v>501</v>
      </c>
      <c r="G122">
        <f ca="1">IFERROR(IF(0=LEN(ReferenceData!$K$122),"",ReferenceData!$K$122),"")</f>
        <v>529</v>
      </c>
      <c r="H122">
        <f ca="1">IFERROR(IF(0=LEN(ReferenceData!$J$122),"",ReferenceData!$J$122),"")</f>
        <v>558</v>
      </c>
      <c r="I122">
        <f ca="1">IFERROR(IF(0=LEN(ReferenceData!$I$122),"",ReferenceData!$I$122),"")</f>
        <v>598</v>
      </c>
      <c r="J122">
        <f ca="1">IFERROR(IF(0=LEN(ReferenceData!$H$122),"",ReferenceData!$H$122),"")</f>
        <v>634</v>
      </c>
      <c r="K122">
        <f ca="1">IFERROR(IF(0=LEN(ReferenceData!$G$122),"",ReferenceData!$G$122),"")</f>
        <v>662</v>
      </c>
      <c r="L122">
        <f ca="1">IFERROR(IF(0=LEN(ReferenceData!$F$122),"",ReferenceData!$F$122),"")</f>
        <v>718</v>
      </c>
    </row>
    <row r="123" spans="1:12" x14ac:dyDescent="0.25">
      <c r="A123" t="str">
        <f>IFERROR(IF(0=LEN(ReferenceData!$A$123),"",ReferenceData!$A$123),"")</f>
        <v xml:space="preserve">        Tata Consultancy Services Ltd</v>
      </c>
      <c r="B123" t="str">
        <f>IFERROR(IF(0=LEN(ReferenceData!$B$123),"",ReferenceData!$B$123),"")</f>
        <v>TCS IN Equity</v>
      </c>
      <c r="C123" t="str">
        <f>IFERROR(IF(0=LEN(ReferenceData!$C$123),"",ReferenceData!$C$123),"")</f>
        <v>M0010</v>
      </c>
      <c r="D123" t="str">
        <f>IFERROR(IF(0=LEN(ReferenceData!$D$123),"",ReferenceData!$D$123),"")</f>
        <v>NUMBER_OF_CLIENTS_0_TO_5MM</v>
      </c>
      <c r="E123" t="str">
        <f>IFERROR(IF(0=LEN(ReferenceData!$E$123),"",ReferenceData!$E$123),"")</f>
        <v>Dynamic</v>
      </c>
      <c r="F123" t="str">
        <f ca="1">IFERROR(IF(0=LEN(ReferenceData!$L$123),"",ReferenceData!$L$123),"")</f>
        <v/>
      </c>
      <c r="G123" t="str">
        <f ca="1">IFERROR(IF(0=LEN(ReferenceData!$K$123),"",ReferenceData!$K$123),"")</f>
        <v/>
      </c>
      <c r="H123" t="str">
        <f ca="1">IFERROR(IF(0=LEN(ReferenceData!$J$123),"",ReferenceData!$J$123),"")</f>
        <v/>
      </c>
      <c r="I123">
        <f ca="1">IFERROR(IF(0=LEN(ReferenceData!$I$123),"",ReferenceData!$I$123),"")</f>
        <v>897</v>
      </c>
      <c r="J123">
        <f ca="1">IFERROR(IF(0=LEN(ReferenceData!$H$123),"",ReferenceData!$H$123),"")</f>
        <v>963</v>
      </c>
      <c r="K123" t="str">
        <f ca="1">IFERROR(IF(0=LEN(ReferenceData!$G$123),"",ReferenceData!$G$123),"")</f>
        <v/>
      </c>
      <c r="L123">
        <f ca="1">IFERROR(IF(0=LEN(ReferenceData!$F$123),"",ReferenceData!$F$123),"")</f>
        <v>1072</v>
      </c>
    </row>
    <row r="124" spans="1:12" x14ac:dyDescent="0.25">
      <c r="A124" t="str">
        <f>IFERROR(IF(0=LEN(ReferenceData!$A$124),"",ReferenceData!$A$124),"")</f>
        <v xml:space="preserve">        Wipro Ltd</v>
      </c>
      <c r="B124" t="str">
        <f>IFERROR(IF(0=LEN(ReferenceData!$B$124),"",ReferenceData!$B$124),"")</f>
        <v>WIT US Equity</v>
      </c>
      <c r="C124" t="str">
        <f>IFERROR(IF(0=LEN(ReferenceData!$C$124),"",ReferenceData!$C$124),"")</f>
        <v>M0010</v>
      </c>
      <c r="D124" t="str">
        <f>IFERROR(IF(0=LEN(ReferenceData!$D$124),"",ReferenceData!$D$124),"")</f>
        <v>NUMBER_OF_CLIENTS_0_TO_5MM</v>
      </c>
      <c r="E124" t="str">
        <f>IFERROR(IF(0=LEN(ReferenceData!$E$124),"",ReferenceData!$E$124),"")</f>
        <v>Dynamic</v>
      </c>
      <c r="F124">
        <f ca="1">IFERROR(IF(0=LEN(ReferenceData!$L$124),"",ReferenceData!$L$124),"")</f>
        <v>779</v>
      </c>
      <c r="G124">
        <f ca="1">IFERROR(IF(0=LEN(ReferenceData!$K$124),"",ReferenceData!$K$124),"")</f>
        <v>853</v>
      </c>
      <c r="H124">
        <f ca="1">IFERROR(IF(0=LEN(ReferenceData!$J$124),"",ReferenceData!$J$124),"")</f>
        <v>881</v>
      </c>
      <c r="I124">
        <f ca="1">IFERROR(IF(0=LEN(ReferenceData!$I$124),"",ReferenceData!$I$124),"")</f>
        <v>956</v>
      </c>
      <c r="J124">
        <f ca="1">IFERROR(IF(0=LEN(ReferenceData!$H$124),"",ReferenceData!$H$124),"")</f>
        <v>1000</v>
      </c>
      <c r="K124">
        <f ca="1">IFERROR(IF(0=LEN(ReferenceData!$G$124),"",ReferenceData!$G$124),"")</f>
        <v>910</v>
      </c>
      <c r="L124">
        <f ca="1">IFERROR(IF(0=LEN(ReferenceData!$F$124),"",ReferenceData!$F$124),"")</f>
        <v>915</v>
      </c>
    </row>
    <row r="125" spans="1:12" x14ac:dyDescent="0.25">
      <c r="A125" t="str">
        <f>IFERROR(IF(0=LEN(ReferenceData!$A$125),"",ReferenceData!$A$125),"")</f>
        <v xml:space="preserve">    # of Clients $5M-$10M</v>
      </c>
      <c r="B125" t="str">
        <f>IFERROR(IF(0=LEN(ReferenceData!$B$125),"",ReferenceData!$B$125),"")</f>
        <v/>
      </c>
      <c r="C125" t="str">
        <f>IFERROR(IF(0=LEN(ReferenceData!$C$125),"",ReferenceData!$C$125),"")</f>
        <v/>
      </c>
      <c r="D125" t="str">
        <f>IFERROR(IF(0=LEN(ReferenceData!$D$125),"",ReferenceData!$D$125),"")</f>
        <v/>
      </c>
      <c r="E125" t="str">
        <f>IFERROR(IF(0=LEN(ReferenceData!$E$125),"",ReferenceData!$E$125),"")</f>
        <v>Sum</v>
      </c>
      <c r="F125">
        <f ca="1">IFERROR(IF(0=LEN(ReferenceData!$L$125),"",ReferenceData!$L$125),"")</f>
        <v>639</v>
      </c>
      <c r="G125">
        <f ca="1">IFERROR(IF(0=LEN(ReferenceData!$K$125),"",ReferenceData!$K$125),"")</f>
        <v>475</v>
      </c>
      <c r="H125">
        <f ca="1">IFERROR(IF(0=LEN(ReferenceData!$J$125),"",ReferenceData!$J$125),"")</f>
        <v>749</v>
      </c>
      <c r="I125">
        <f ca="1">IFERROR(IF(0=LEN(ReferenceData!$I$125),"",ReferenceData!$I$125),"")</f>
        <v>1255</v>
      </c>
      <c r="J125">
        <f ca="1">IFERROR(IF(0=LEN(ReferenceData!$H$125),"",ReferenceData!$H$125),"")</f>
        <v>1331</v>
      </c>
      <c r="K125">
        <f ca="1">IFERROR(IF(0=LEN(ReferenceData!$G$125),"",ReferenceData!$G$125),"")</f>
        <v>545</v>
      </c>
      <c r="L125">
        <f ca="1">IFERROR(IF(0=LEN(ReferenceData!$F$125),"",ReferenceData!$F$125),"")</f>
        <v>1133</v>
      </c>
    </row>
    <row r="126" spans="1:12" x14ac:dyDescent="0.25">
      <c r="A126" t="str">
        <f>IFERROR(IF(0=LEN(ReferenceData!$A$126),"",ReferenceData!$A$126),"")</f>
        <v xml:space="preserve">        Cognizant Technology Solutions Corp</v>
      </c>
      <c r="B126" t="str">
        <f>IFERROR(IF(0=LEN(ReferenceData!$B$126),"",ReferenceData!$B$126),"")</f>
        <v>CTSH US Equity</v>
      </c>
      <c r="C126" t="str">
        <f>IFERROR(IF(0=LEN(ReferenceData!$C$126),"",ReferenceData!$C$126),"")</f>
        <v>M0011</v>
      </c>
      <c r="D126" t="str">
        <f>IFERROR(IF(0=LEN(ReferenceData!$D$126),"",ReferenceData!$D$126),"")</f>
        <v>NUM_CLIENTS_5MM_TO_10MM</v>
      </c>
      <c r="E126" t="str">
        <f>IFERROR(IF(0=LEN(ReferenceData!$E$126),"",ReferenceData!$E$126),"")</f>
        <v>Dynamic</v>
      </c>
      <c r="F126" t="str">
        <f ca="1">IFERROR(IF(0=LEN(ReferenceData!$L$126),"",ReferenceData!$L$126),"")</f>
        <v/>
      </c>
      <c r="G126" t="str">
        <f ca="1">IFERROR(IF(0=LEN(ReferenceData!$K$126),"",ReferenceData!$K$126),"")</f>
        <v/>
      </c>
      <c r="H126" t="str">
        <f ca="1">IFERROR(IF(0=LEN(ReferenceData!$J$126),"",ReferenceData!$J$126),"")</f>
        <v/>
      </c>
      <c r="I126" t="str">
        <f ca="1">IFERROR(IF(0=LEN(ReferenceData!$I$126),"",ReferenceData!$I$126),"")</f>
        <v/>
      </c>
      <c r="J126" t="str">
        <f ca="1">IFERROR(IF(0=LEN(ReferenceData!$H$126),"",ReferenceData!$H$126),"")</f>
        <v/>
      </c>
      <c r="K126" t="str">
        <f ca="1">IFERROR(IF(0=LEN(ReferenceData!$G$126),"",ReferenceData!$G$126),"")</f>
        <v/>
      </c>
      <c r="L126" t="str">
        <f ca="1">IFERROR(IF(0=LEN(ReferenceData!$F$126),"",ReferenceData!$F$126),"")</f>
        <v/>
      </c>
    </row>
    <row r="127" spans="1:12" x14ac:dyDescent="0.25">
      <c r="A127" t="str">
        <f>IFERROR(IF(0=LEN(ReferenceData!$A$127),"",ReferenceData!$A$127),"")</f>
        <v xml:space="preserve">        HCL Technologies Ltd</v>
      </c>
      <c r="B127" t="str">
        <f>IFERROR(IF(0=LEN(ReferenceData!$B$127),"",ReferenceData!$B$127),"")</f>
        <v>HCLT IN Equity</v>
      </c>
      <c r="C127" t="str">
        <f>IFERROR(IF(0=LEN(ReferenceData!$C$127),"",ReferenceData!$C$127),"")</f>
        <v>M0011</v>
      </c>
      <c r="D127" t="str">
        <f>IFERROR(IF(0=LEN(ReferenceData!$D$127),"",ReferenceData!$D$127),"")</f>
        <v>NUM_CLIENTS_5MM_TO_10MM</v>
      </c>
      <c r="E127" t="str">
        <f>IFERROR(IF(0=LEN(ReferenceData!$E$127),"",ReferenceData!$E$127),"")</f>
        <v>Dynamic</v>
      </c>
      <c r="F127">
        <f ca="1">IFERROR(IF(0=LEN(ReferenceData!$L$127),"",ReferenceData!$L$127),"")</f>
        <v>187</v>
      </c>
      <c r="G127" t="str">
        <f ca="1">IFERROR(IF(0=LEN(ReferenceData!$K$127),"",ReferenceData!$K$127),"")</f>
        <v/>
      </c>
      <c r="H127">
        <f ca="1">IFERROR(IF(0=LEN(ReferenceData!$J$127),"",ReferenceData!$J$127),"")</f>
        <v>233</v>
      </c>
      <c r="I127">
        <f ca="1">IFERROR(IF(0=LEN(ReferenceData!$I$127),"",ReferenceData!$I$127),"")</f>
        <v>246</v>
      </c>
      <c r="J127">
        <f ca="1">IFERROR(IF(0=LEN(ReferenceData!$H$127),"",ReferenceData!$H$127),"")</f>
        <v>264</v>
      </c>
      <c r="K127">
        <f ca="1">IFERROR(IF(0=LEN(ReferenceData!$G$127),"",ReferenceData!$G$127),"")</f>
        <v>283</v>
      </c>
      <c r="L127">
        <f ca="1">IFERROR(IF(0=LEN(ReferenceData!$F$127),"",ReferenceData!$F$127),"")</f>
        <v>308</v>
      </c>
    </row>
    <row r="128" spans="1:12" x14ac:dyDescent="0.25">
      <c r="A128" t="str">
        <f>IFERROR(IF(0=LEN(ReferenceData!$A$128),"",ReferenceData!$A$128),"")</f>
        <v xml:space="preserve">        Infosys Ltd</v>
      </c>
      <c r="B128" t="str">
        <f>IFERROR(IF(0=LEN(ReferenceData!$B$128),"",ReferenceData!$B$128),"")</f>
        <v>INFY US Equity</v>
      </c>
      <c r="C128" t="str">
        <f>IFERROR(IF(0=LEN(ReferenceData!$C$128),"",ReferenceData!$C$128),"")</f>
        <v>M0011</v>
      </c>
      <c r="D128" t="str">
        <f>IFERROR(IF(0=LEN(ReferenceData!$D$128),"",ReferenceData!$D$128),"")</f>
        <v>NUM_CLIENTS_5MM_TO_10MM</v>
      </c>
      <c r="E128" t="str">
        <f>IFERROR(IF(0=LEN(ReferenceData!$E$128),"",ReferenceData!$E$128),"")</f>
        <v>Dynamic</v>
      </c>
      <c r="F128">
        <f ca="1">IFERROR(IF(0=LEN(ReferenceData!$L$128),"",ReferenceData!$L$128),"")</f>
        <v>232</v>
      </c>
      <c r="G128">
        <f ca="1">IFERROR(IF(0=LEN(ReferenceData!$K$128),"",ReferenceData!$K$128),"")</f>
        <v>244</v>
      </c>
      <c r="H128">
        <f ca="1">IFERROR(IF(0=LEN(ReferenceData!$J$128),"",ReferenceData!$J$128),"")</f>
        <v>268</v>
      </c>
      <c r="I128">
        <f ca="1">IFERROR(IF(0=LEN(ReferenceData!$I$128),"",ReferenceData!$I$128),"")</f>
        <v>282</v>
      </c>
      <c r="J128">
        <f ca="1">IFERROR(IF(0=LEN(ReferenceData!$H$128),"",ReferenceData!$H$128),"")</f>
        <v>295</v>
      </c>
      <c r="K128" t="str">
        <f ca="1">IFERROR(IF(0=LEN(ReferenceData!$G$128),"",ReferenceData!$G$128),"")</f>
        <v/>
      </c>
      <c r="L128" t="str">
        <f ca="1">IFERROR(IF(0=LEN(ReferenceData!$F$128),"",ReferenceData!$F$128),"")</f>
        <v/>
      </c>
    </row>
    <row r="129" spans="1:12" x14ac:dyDescent="0.25">
      <c r="A129" t="str">
        <f>IFERROR(IF(0=LEN(ReferenceData!$A$129),"",ReferenceData!$A$129),"")</f>
        <v xml:space="preserve">        Tata Consultancy Services Ltd</v>
      </c>
      <c r="B129" t="str">
        <f>IFERROR(IF(0=LEN(ReferenceData!$B$129),"",ReferenceData!$B$129),"")</f>
        <v>TCS IN Equity</v>
      </c>
      <c r="C129" t="str">
        <f>IFERROR(IF(0=LEN(ReferenceData!$C$129),"",ReferenceData!$C$129),"")</f>
        <v>M0011</v>
      </c>
      <c r="D129" t="str">
        <f>IFERROR(IF(0=LEN(ReferenceData!$D$129),"",ReferenceData!$D$129),"")</f>
        <v>NUM_CLIENTS_5MM_TO_10MM</v>
      </c>
      <c r="E129" t="str">
        <f>IFERROR(IF(0=LEN(ReferenceData!$E$129),"",ReferenceData!$E$129),"")</f>
        <v>Dynamic</v>
      </c>
      <c r="F129" t="str">
        <f ca="1">IFERROR(IF(0=LEN(ReferenceData!$L$129),"",ReferenceData!$L$129),"")</f>
        <v/>
      </c>
      <c r="G129" t="str">
        <f ca="1">IFERROR(IF(0=LEN(ReferenceData!$K$129),"",ReferenceData!$K$129),"")</f>
        <v/>
      </c>
      <c r="H129" t="str">
        <f ca="1">IFERROR(IF(0=LEN(ReferenceData!$J$129),"",ReferenceData!$J$129),"")</f>
        <v/>
      </c>
      <c r="I129">
        <f ca="1">IFERROR(IF(0=LEN(ReferenceData!$I$129),"",ReferenceData!$I$129),"")</f>
        <v>459</v>
      </c>
      <c r="J129">
        <f ca="1">IFERROR(IF(0=LEN(ReferenceData!$H$129),"",ReferenceData!$H$129),"")</f>
        <v>495</v>
      </c>
      <c r="K129" t="str">
        <f ca="1">IFERROR(IF(0=LEN(ReferenceData!$G$129),"",ReferenceData!$G$129),"")</f>
        <v/>
      </c>
      <c r="L129">
        <f ca="1">IFERROR(IF(0=LEN(ReferenceData!$F$129),"",ReferenceData!$F$129),"")</f>
        <v>565</v>
      </c>
    </row>
    <row r="130" spans="1:12" x14ac:dyDescent="0.25">
      <c r="A130" t="str">
        <f>IFERROR(IF(0=LEN(ReferenceData!$A$130),"",ReferenceData!$A$130),"")</f>
        <v xml:space="preserve">        Wipro Ltd</v>
      </c>
      <c r="B130" t="str">
        <f>IFERROR(IF(0=LEN(ReferenceData!$B$130),"",ReferenceData!$B$130),"")</f>
        <v>WIT US Equity</v>
      </c>
      <c r="C130" t="str">
        <f>IFERROR(IF(0=LEN(ReferenceData!$C$130),"",ReferenceData!$C$130),"")</f>
        <v>M0011</v>
      </c>
      <c r="D130" t="str">
        <f>IFERROR(IF(0=LEN(ReferenceData!$D$130),"",ReferenceData!$D$130),"")</f>
        <v>NUM_CLIENTS_5MM_TO_10MM</v>
      </c>
      <c r="E130" t="str">
        <f>IFERROR(IF(0=LEN(ReferenceData!$E$130),"",ReferenceData!$E$130),"")</f>
        <v>Dynamic</v>
      </c>
      <c r="F130">
        <f ca="1">IFERROR(IF(0=LEN(ReferenceData!$L$130),"",ReferenceData!$L$130),"")</f>
        <v>220</v>
      </c>
      <c r="G130">
        <f ca="1">IFERROR(IF(0=LEN(ReferenceData!$K$130),"",ReferenceData!$K$130),"")</f>
        <v>231</v>
      </c>
      <c r="H130">
        <f ca="1">IFERROR(IF(0=LEN(ReferenceData!$J$130),"",ReferenceData!$J$130),"")</f>
        <v>248</v>
      </c>
      <c r="I130">
        <f ca="1">IFERROR(IF(0=LEN(ReferenceData!$I$130),"",ReferenceData!$I$130),"")</f>
        <v>268</v>
      </c>
      <c r="J130">
        <f ca="1">IFERROR(IF(0=LEN(ReferenceData!$H$130),"",ReferenceData!$H$130),"")</f>
        <v>277</v>
      </c>
      <c r="K130">
        <f ca="1">IFERROR(IF(0=LEN(ReferenceData!$G$130),"",ReferenceData!$G$130),"")</f>
        <v>262</v>
      </c>
      <c r="L130">
        <f ca="1">IFERROR(IF(0=LEN(ReferenceData!$F$130),"",ReferenceData!$F$130),"")</f>
        <v>260</v>
      </c>
    </row>
    <row r="131" spans="1:12" x14ac:dyDescent="0.25">
      <c r="A131" t="str">
        <f>IFERROR(IF(0=LEN(ReferenceData!$A$131),"",ReferenceData!$A$131),"")</f>
        <v xml:space="preserve">    # of Clients $10mn-$20mn</v>
      </c>
      <c r="B131" t="str">
        <f>IFERROR(IF(0=LEN(ReferenceData!$B$131),"",ReferenceData!$B$131),"")</f>
        <v/>
      </c>
      <c r="C131" t="str">
        <f>IFERROR(IF(0=LEN(ReferenceData!$C$131),"",ReferenceData!$C$131),"")</f>
        <v/>
      </c>
      <c r="D131" t="str">
        <f>IFERROR(IF(0=LEN(ReferenceData!$D$131),"",ReferenceData!$D$131),"")</f>
        <v/>
      </c>
      <c r="E131" t="str">
        <f>IFERROR(IF(0=LEN(ReferenceData!$E$131),"",ReferenceData!$E$131),"")</f>
        <v>Sum</v>
      </c>
      <c r="F131">
        <f ca="1">IFERROR(IF(0=LEN(ReferenceData!$L$131),"",ReferenceData!$L$131),"")</f>
        <v>405</v>
      </c>
      <c r="G131">
        <f ca="1">IFERROR(IF(0=LEN(ReferenceData!$K$131),"",ReferenceData!$K$131),"")</f>
        <v>309</v>
      </c>
      <c r="H131">
        <f ca="1">IFERROR(IF(0=LEN(ReferenceData!$J$131),"",ReferenceData!$J$131),"")</f>
        <v>481</v>
      </c>
      <c r="I131">
        <f ca="1">IFERROR(IF(0=LEN(ReferenceData!$I$131),"",ReferenceData!$I$131),"")</f>
        <v>815</v>
      </c>
      <c r="J131">
        <f ca="1">IFERROR(IF(0=LEN(ReferenceData!$H$131),"",ReferenceData!$H$131),"")</f>
        <v>879</v>
      </c>
      <c r="K131">
        <f ca="1">IFERROR(IF(0=LEN(ReferenceData!$G$131),"",ReferenceData!$G$131),"")</f>
        <v>560</v>
      </c>
      <c r="L131">
        <f ca="1">IFERROR(IF(0=LEN(ReferenceData!$F$131),"",ReferenceData!$F$131),"")</f>
        <v>962</v>
      </c>
    </row>
    <row r="132" spans="1:12" x14ac:dyDescent="0.25">
      <c r="A132" t="str">
        <f>IFERROR(IF(0=LEN(ReferenceData!$A$132),"",ReferenceData!$A$132),"")</f>
        <v xml:space="preserve">        Cognizant Technology Solutions Corp</v>
      </c>
      <c r="B132" t="str">
        <f>IFERROR(IF(0=LEN(ReferenceData!$B$132),"",ReferenceData!$B$132),"")</f>
        <v>CTSH US Equity</v>
      </c>
      <c r="C132" t="str">
        <f>IFERROR(IF(0=LEN(ReferenceData!$C$132),"",ReferenceData!$C$132),"")</f>
        <v>M0012</v>
      </c>
      <c r="D132" t="str">
        <f>IFERROR(IF(0=LEN(ReferenceData!$D$132),"",ReferenceData!$D$132),"")</f>
        <v>NUM_CLIENTS_10MM_TO_20MM</v>
      </c>
      <c r="E132" t="str">
        <f>IFERROR(IF(0=LEN(ReferenceData!$E$132),"",ReferenceData!$E$132),"")</f>
        <v>Dynamic</v>
      </c>
      <c r="F132" t="str">
        <f ca="1">IFERROR(IF(0=LEN(ReferenceData!$L$132),"",ReferenceData!$L$132),"")</f>
        <v/>
      </c>
      <c r="G132" t="str">
        <f ca="1">IFERROR(IF(0=LEN(ReferenceData!$K$132),"",ReferenceData!$K$132),"")</f>
        <v/>
      </c>
      <c r="H132" t="str">
        <f ca="1">IFERROR(IF(0=LEN(ReferenceData!$J$132),"",ReferenceData!$J$132),"")</f>
        <v/>
      </c>
      <c r="I132" t="str">
        <f ca="1">IFERROR(IF(0=LEN(ReferenceData!$I$132),"",ReferenceData!$I$132),"")</f>
        <v/>
      </c>
      <c r="J132" t="str">
        <f ca="1">IFERROR(IF(0=LEN(ReferenceData!$H$132),"",ReferenceData!$H$132),"")</f>
        <v/>
      </c>
      <c r="K132" t="str">
        <f ca="1">IFERROR(IF(0=LEN(ReferenceData!$G$132),"",ReferenceData!$G$132),"")</f>
        <v/>
      </c>
      <c r="L132" t="str">
        <f ca="1">IFERROR(IF(0=LEN(ReferenceData!$F$132),"",ReferenceData!$F$132),"")</f>
        <v/>
      </c>
    </row>
    <row r="133" spans="1:12" x14ac:dyDescent="0.25">
      <c r="A133" t="str">
        <f>IFERROR(IF(0=LEN(ReferenceData!$A$133),"",ReferenceData!$A$133),"")</f>
        <v xml:space="preserve">        HCL Technologies Ltd</v>
      </c>
      <c r="B133" t="str">
        <f>IFERROR(IF(0=LEN(ReferenceData!$B$133),"",ReferenceData!$B$133),"")</f>
        <v>HCLT IN Equity</v>
      </c>
      <c r="C133" t="str">
        <f>IFERROR(IF(0=LEN(ReferenceData!$C$133),"",ReferenceData!$C$133),"")</f>
        <v>M0012</v>
      </c>
      <c r="D133" t="str">
        <f>IFERROR(IF(0=LEN(ReferenceData!$D$133),"",ReferenceData!$D$133),"")</f>
        <v>NUM_CLIENTS_10MM_TO_20MM</v>
      </c>
      <c r="E133" t="str">
        <f>IFERROR(IF(0=LEN(ReferenceData!$E$133),"",ReferenceData!$E$133),"")</f>
        <v>Dynamic</v>
      </c>
      <c r="F133">
        <f ca="1">IFERROR(IF(0=LEN(ReferenceData!$L$133),"",ReferenceData!$L$133),"")</f>
        <v>114</v>
      </c>
      <c r="G133" t="str">
        <f ca="1">IFERROR(IF(0=LEN(ReferenceData!$K$133),"",ReferenceData!$K$133),"")</f>
        <v/>
      </c>
      <c r="H133">
        <f ca="1">IFERROR(IF(0=LEN(ReferenceData!$J$133),"",ReferenceData!$J$133),"")</f>
        <v>144</v>
      </c>
      <c r="I133">
        <f ca="1">IFERROR(IF(0=LEN(ReferenceData!$I$133),"",ReferenceData!$I$133),"")</f>
        <v>153</v>
      </c>
      <c r="J133">
        <f ca="1">IFERROR(IF(0=LEN(ReferenceData!$H$133),"",ReferenceData!$H$133),"")</f>
        <v>160</v>
      </c>
      <c r="K133">
        <f ca="1">IFERROR(IF(0=LEN(ReferenceData!$G$133),"",ReferenceData!$G$133),"")</f>
        <v>166</v>
      </c>
      <c r="L133">
        <f ca="1">IFERROR(IF(0=LEN(ReferenceData!$F$133),"",ReferenceData!$F$133),"")</f>
        <v>171</v>
      </c>
    </row>
    <row r="134" spans="1:12" x14ac:dyDescent="0.25">
      <c r="A134" t="str">
        <f>IFERROR(IF(0=LEN(ReferenceData!$A$134),"",ReferenceData!$A$134),"")</f>
        <v xml:space="preserve">        Infosys Ltd</v>
      </c>
      <c r="B134" t="str">
        <f>IFERROR(IF(0=LEN(ReferenceData!$B$134),"",ReferenceData!$B$134),"")</f>
        <v>INFY US Equity</v>
      </c>
      <c r="C134" t="str">
        <f>IFERROR(IF(0=LEN(ReferenceData!$C$134),"",ReferenceData!$C$134),"")</f>
        <v>M0012</v>
      </c>
      <c r="D134" t="str">
        <f>IFERROR(IF(0=LEN(ReferenceData!$D$134),"",ReferenceData!$D$134),"")</f>
        <v>NUM_CLIENTS_10MM_TO_20MM</v>
      </c>
      <c r="E134" t="str">
        <f>IFERROR(IF(0=LEN(ReferenceData!$E$134),"",ReferenceData!$E$134),"")</f>
        <v>Dynamic</v>
      </c>
      <c r="F134">
        <f ca="1">IFERROR(IF(0=LEN(ReferenceData!$L$134),"",ReferenceData!$L$134),"")</f>
        <v>148</v>
      </c>
      <c r="G134">
        <f ca="1">IFERROR(IF(0=LEN(ReferenceData!$K$134),"",ReferenceData!$K$134),"")</f>
        <v>159</v>
      </c>
      <c r="H134">
        <f ca="1">IFERROR(IF(0=LEN(ReferenceData!$J$134),"",ReferenceData!$J$134),"")</f>
        <v>177</v>
      </c>
      <c r="I134">
        <f ca="1">IFERROR(IF(0=LEN(ReferenceData!$I$134),"",ReferenceData!$I$134),"")</f>
        <v>189</v>
      </c>
      <c r="J134">
        <f ca="1">IFERROR(IF(0=LEN(ReferenceData!$H$134),"",ReferenceData!$H$134),"")</f>
        <v>198</v>
      </c>
      <c r="K134">
        <f ca="1">IFERROR(IF(0=LEN(ReferenceData!$G$134),"",ReferenceData!$G$134),"")</f>
        <v>222</v>
      </c>
      <c r="L134">
        <f ca="1">IFERROR(IF(0=LEN(ReferenceData!$F$134),"",ReferenceData!$F$134),"")</f>
        <v>234</v>
      </c>
    </row>
    <row r="135" spans="1:12" x14ac:dyDescent="0.25">
      <c r="A135" t="str">
        <f>IFERROR(IF(0=LEN(ReferenceData!$A$135),"",ReferenceData!$A$135),"")</f>
        <v xml:space="preserve">        Tata Consultancy Services Ltd</v>
      </c>
      <c r="B135" t="str">
        <f>IFERROR(IF(0=LEN(ReferenceData!$B$135),"",ReferenceData!$B$135),"")</f>
        <v>TCS IN Equity</v>
      </c>
      <c r="C135" t="str">
        <f>IFERROR(IF(0=LEN(ReferenceData!$C$135),"",ReferenceData!$C$135),"")</f>
        <v>M0012</v>
      </c>
      <c r="D135" t="str">
        <f>IFERROR(IF(0=LEN(ReferenceData!$D$135),"",ReferenceData!$D$135),"")</f>
        <v>NUM_CLIENTS_10MM_TO_20MM</v>
      </c>
      <c r="E135" t="str">
        <f>IFERROR(IF(0=LEN(ReferenceData!$E$135),"",ReferenceData!$E$135),"")</f>
        <v>Dynamic</v>
      </c>
      <c r="F135" t="str">
        <f ca="1">IFERROR(IF(0=LEN(ReferenceData!$L$135),"",ReferenceData!$L$135),"")</f>
        <v/>
      </c>
      <c r="G135" t="str">
        <f ca="1">IFERROR(IF(0=LEN(ReferenceData!$K$135),"",ReferenceData!$K$135),"")</f>
        <v/>
      </c>
      <c r="H135" t="str">
        <f ca="1">IFERROR(IF(0=LEN(ReferenceData!$J$135),"",ReferenceData!$J$135),"")</f>
        <v/>
      </c>
      <c r="I135">
        <f ca="1">IFERROR(IF(0=LEN(ReferenceData!$I$135),"",ReferenceData!$I$135),"")</f>
        <v>310</v>
      </c>
      <c r="J135">
        <f ca="1">IFERROR(IF(0=LEN(ReferenceData!$H$135),"",ReferenceData!$H$135),"")</f>
        <v>350</v>
      </c>
      <c r="K135" t="str">
        <f ca="1">IFERROR(IF(0=LEN(ReferenceData!$G$135),"",ReferenceData!$G$135),"")</f>
        <v/>
      </c>
      <c r="L135">
        <f ca="1">IFERROR(IF(0=LEN(ReferenceData!$F$135),"",ReferenceData!$F$135),"")</f>
        <v>391</v>
      </c>
    </row>
    <row r="136" spans="1:12" x14ac:dyDescent="0.25">
      <c r="A136" t="str">
        <f>IFERROR(IF(0=LEN(ReferenceData!$A$136),"",ReferenceData!$A$136),"")</f>
        <v xml:space="preserve">        Wipro Ltd</v>
      </c>
      <c r="B136" t="str">
        <f>IFERROR(IF(0=LEN(ReferenceData!$B$136),"",ReferenceData!$B$136),"")</f>
        <v>WIT US Equity</v>
      </c>
      <c r="C136" t="str">
        <f>IFERROR(IF(0=LEN(ReferenceData!$C$136),"",ReferenceData!$C$136),"")</f>
        <v>M0012</v>
      </c>
      <c r="D136" t="str">
        <f>IFERROR(IF(0=LEN(ReferenceData!$D$136),"",ReferenceData!$D$136),"")</f>
        <v>NUM_CLIENTS_10MM_TO_20MM</v>
      </c>
      <c r="E136" t="str">
        <f>IFERROR(IF(0=LEN(ReferenceData!$E$136),"",ReferenceData!$E$136),"")</f>
        <v>Dynamic</v>
      </c>
      <c r="F136">
        <f ca="1">IFERROR(IF(0=LEN(ReferenceData!$L$136),"",ReferenceData!$L$136),"")</f>
        <v>143</v>
      </c>
      <c r="G136">
        <f ca="1">IFERROR(IF(0=LEN(ReferenceData!$K$136),"",ReferenceData!$K$136),"")</f>
        <v>150</v>
      </c>
      <c r="H136">
        <f ca="1">IFERROR(IF(0=LEN(ReferenceData!$J$136),"",ReferenceData!$J$136),"")</f>
        <v>160</v>
      </c>
      <c r="I136">
        <f ca="1">IFERROR(IF(0=LEN(ReferenceData!$I$136),"",ReferenceData!$I$136),"")</f>
        <v>163</v>
      </c>
      <c r="J136">
        <f ca="1">IFERROR(IF(0=LEN(ReferenceData!$H$136),"",ReferenceData!$H$136),"")</f>
        <v>171</v>
      </c>
      <c r="K136">
        <f ca="1">IFERROR(IF(0=LEN(ReferenceData!$G$136),"",ReferenceData!$G$136),"")</f>
        <v>172</v>
      </c>
      <c r="L136">
        <f ca="1">IFERROR(IF(0=LEN(ReferenceData!$F$136),"",ReferenceData!$F$136),"")</f>
        <v>166</v>
      </c>
    </row>
    <row r="137" spans="1:12" x14ac:dyDescent="0.25">
      <c r="A137" t="str">
        <f>IFERROR(IF(0=LEN(ReferenceData!$A$137),"",ReferenceData!$A$137),"")</f>
        <v xml:space="preserve">    # of Clients $20mn-$30mn</v>
      </c>
      <c r="B137" t="str">
        <f>IFERROR(IF(0=LEN(ReferenceData!$B$137),"",ReferenceData!$B$137),"")</f>
        <v/>
      </c>
      <c r="C137" t="str">
        <f>IFERROR(IF(0=LEN(ReferenceData!$C$137),"",ReferenceData!$C$137),"")</f>
        <v/>
      </c>
      <c r="D137" t="str">
        <f>IFERROR(IF(0=LEN(ReferenceData!$D$137),"",ReferenceData!$D$137),"")</f>
        <v/>
      </c>
      <c r="E137" t="str">
        <f>IFERROR(IF(0=LEN(ReferenceData!$E$137),"",ReferenceData!$E$137),"")</f>
        <v>Sum</v>
      </c>
      <c r="F137">
        <f ca="1">IFERROR(IF(0=LEN(ReferenceData!$L$137),"",ReferenceData!$L$137),"")</f>
        <v>240</v>
      </c>
      <c r="G137">
        <f ca="1">IFERROR(IF(0=LEN(ReferenceData!$K$137),"",ReferenceData!$K$137),"")</f>
        <v>169</v>
      </c>
      <c r="H137">
        <f ca="1">IFERROR(IF(0=LEN(ReferenceData!$J$137),"",ReferenceData!$J$137),"")</f>
        <v>252</v>
      </c>
      <c r="I137">
        <f ca="1">IFERROR(IF(0=LEN(ReferenceData!$I$137),"",ReferenceData!$I$137),"")</f>
        <v>457</v>
      </c>
      <c r="J137">
        <f ca="1">IFERROR(IF(0=LEN(ReferenceData!$H$137),"",ReferenceData!$H$137),"")</f>
        <v>494</v>
      </c>
      <c r="K137">
        <f ca="1">IFERROR(IF(0=LEN(ReferenceData!$G$137),"",ReferenceData!$G$137),"")</f>
        <v>191</v>
      </c>
      <c r="L137">
        <f ca="1">IFERROR(IF(0=LEN(ReferenceData!$F$137),"",ReferenceData!$F$137),"")</f>
        <v>432</v>
      </c>
    </row>
    <row r="138" spans="1:12" x14ac:dyDescent="0.25">
      <c r="A138" t="str">
        <f>IFERROR(IF(0=LEN(ReferenceData!$A$138),"",ReferenceData!$A$138),"")</f>
        <v xml:space="preserve">        Cognizant Technology Solutions Corp</v>
      </c>
      <c r="B138" t="str">
        <f>IFERROR(IF(0=LEN(ReferenceData!$B$138),"",ReferenceData!$B$138),"")</f>
        <v>CTSH US Equity</v>
      </c>
      <c r="C138" t="str">
        <f>IFERROR(IF(0=LEN(ReferenceData!$C$138),"",ReferenceData!$C$138),"")</f>
        <v>M0013</v>
      </c>
      <c r="D138" t="str">
        <f>IFERROR(IF(0=LEN(ReferenceData!$D$138),"",ReferenceData!$D$138),"")</f>
        <v>NUM_CLIENTS_20MM_TO_30MM</v>
      </c>
      <c r="E138" t="str">
        <f>IFERROR(IF(0=LEN(ReferenceData!$E$138),"",ReferenceData!$E$138),"")</f>
        <v>Dynamic</v>
      </c>
      <c r="F138" t="str">
        <f ca="1">IFERROR(IF(0=LEN(ReferenceData!$L$138),"",ReferenceData!$L$138),"")</f>
        <v/>
      </c>
      <c r="G138" t="str">
        <f ca="1">IFERROR(IF(0=LEN(ReferenceData!$K$138),"",ReferenceData!$K$138),"")</f>
        <v/>
      </c>
      <c r="H138" t="str">
        <f ca="1">IFERROR(IF(0=LEN(ReferenceData!$J$138),"",ReferenceData!$J$138),"")</f>
        <v/>
      </c>
      <c r="I138" t="str">
        <f ca="1">IFERROR(IF(0=LEN(ReferenceData!$I$138),"",ReferenceData!$I$138),"")</f>
        <v/>
      </c>
      <c r="J138" t="str">
        <f ca="1">IFERROR(IF(0=LEN(ReferenceData!$H$138),"",ReferenceData!$H$138),"")</f>
        <v/>
      </c>
      <c r="K138" t="str">
        <f ca="1">IFERROR(IF(0=LEN(ReferenceData!$G$138),"",ReferenceData!$G$138),"")</f>
        <v/>
      </c>
      <c r="L138" t="str">
        <f ca="1">IFERROR(IF(0=LEN(ReferenceData!$F$138),"",ReferenceData!$F$138),"")</f>
        <v/>
      </c>
    </row>
    <row r="139" spans="1:12" x14ac:dyDescent="0.25">
      <c r="A139" t="str">
        <f>IFERROR(IF(0=LEN(ReferenceData!$A$139),"",ReferenceData!$A$139),"")</f>
        <v xml:space="preserve">        HCL Technologies Ltd</v>
      </c>
      <c r="B139" t="str">
        <f>IFERROR(IF(0=LEN(ReferenceData!$B$139),"",ReferenceData!$B$139),"")</f>
        <v>HCLT IN Equity</v>
      </c>
      <c r="C139" t="str">
        <f>IFERROR(IF(0=LEN(ReferenceData!$C$139),"",ReferenceData!$C$139),"")</f>
        <v>M0013</v>
      </c>
      <c r="D139" t="str">
        <f>IFERROR(IF(0=LEN(ReferenceData!$D$139),"",ReferenceData!$D$139),"")</f>
        <v>NUM_CLIENTS_20MM_TO_30MM</v>
      </c>
      <c r="E139" t="str">
        <f>IFERROR(IF(0=LEN(ReferenceData!$E$139),"",ReferenceData!$E$139),"")</f>
        <v>Dynamic</v>
      </c>
      <c r="F139">
        <f ca="1">IFERROR(IF(0=LEN(ReferenceData!$L$139),"",ReferenceData!$L$139),"")</f>
        <v>67</v>
      </c>
      <c r="G139" t="str">
        <f ca="1">IFERROR(IF(0=LEN(ReferenceData!$K$139),"",ReferenceData!$K$139),"")</f>
        <v/>
      </c>
      <c r="H139">
        <f ca="1">IFERROR(IF(0=LEN(ReferenceData!$J$139),"",ReferenceData!$J$139),"")</f>
        <v>75</v>
      </c>
      <c r="I139">
        <f ca="1">IFERROR(IF(0=LEN(ReferenceData!$I$139),"",ReferenceData!$I$139),"")</f>
        <v>85</v>
      </c>
      <c r="J139">
        <f ca="1">IFERROR(IF(0=LEN(ReferenceData!$H$139),"",ReferenceData!$H$139),"")</f>
        <v>87</v>
      </c>
      <c r="K139">
        <f ca="1">IFERROR(IF(0=LEN(ReferenceData!$G$139),"",ReferenceData!$G$139),"")</f>
        <v>95</v>
      </c>
      <c r="L139">
        <f ca="1">IFERROR(IF(0=LEN(ReferenceData!$F$139),"",ReferenceData!$F$139),"")</f>
        <v>96</v>
      </c>
    </row>
    <row r="140" spans="1:12" x14ac:dyDescent="0.25">
      <c r="A140" t="str">
        <f>IFERROR(IF(0=LEN(ReferenceData!$A$140),"",ReferenceData!$A$140),"")</f>
        <v xml:space="preserve">        Infosys Ltd</v>
      </c>
      <c r="B140" t="str">
        <f>IFERROR(IF(0=LEN(ReferenceData!$B$140),"",ReferenceData!$B$140),"")</f>
        <v>INFY US Equity</v>
      </c>
      <c r="C140" t="str">
        <f>IFERROR(IF(0=LEN(ReferenceData!$C$140),"",ReferenceData!$C$140),"")</f>
        <v>M0013</v>
      </c>
      <c r="D140" t="str">
        <f>IFERROR(IF(0=LEN(ReferenceData!$D$140),"",ReferenceData!$D$140),"")</f>
        <v>NUM_CLIENTS_20MM_TO_30MM</v>
      </c>
      <c r="E140" t="str">
        <f>IFERROR(IF(0=LEN(ReferenceData!$E$140),"",ReferenceData!$E$140),"")</f>
        <v>Dynamic</v>
      </c>
      <c r="F140">
        <f ca="1">IFERROR(IF(0=LEN(ReferenceData!$L$140),"",ReferenceData!$L$140),"")</f>
        <v>91</v>
      </c>
      <c r="G140">
        <f ca="1">IFERROR(IF(0=LEN(ReferenceData!$K$140),"",ReferenceData!$K$140),"")</f>
        <v>83</v>
      </c>
      <c r="H140">
        <f ca="1">IFERROR(IF(0=LEN(ReferenceData!$J$140),"",ReferenceData!$J$140),"")</f>
        <v>88</v>
      </c>
      <c r="I140">
        <f ca="1">IFERROR(IF(0=LEN(ReferenceData!$I$140),"",ReferenceData!$I$140),"")</f>
        <v>91</v>
      </c>
      <c r="J140">
        <f ca="1">IFERROR(IF(0=LEN(ReferenceData!$H$140),"",ReferenceData!$H$140),"")</f>
        <v>105</v>
      </c>
      <c r="K140" t="str">
        <f ca="1">IFERROR(IF(0=LEN(ReferenceData!$G$140),"",ReferenceData!$G$140),"")</f>
        <v/>
      </c>
      <c r="L140" t="str">
        <f ca="1">IFERROR(IF(0=LEN(ReferenceData!$F$140),"",ReferenceData!$F$140),"")</f>
        <v/>
      </c>
    </row>
    <row r="141" spans="1:12" x14ac:dyDescent="0.25">
      <c r="A141" t="str">
        <f>IFERROR(IF(0=LEN(ReferenceData!$A$141),"",ReferenceData!$A$141),"")</f>
        <v xml:space="preserve">        Tata Consultancy Services Ltd</v>
      </c>
      <c r="B141" t="str">
        <f>IFERROR(IF(0=LEN(ReferenceData!$B$141),"",ReferenceData!$B$141),"")</f>
        <v>TCS IN Equity</v>
      </c>
      <c r="C141" t="str">
        <f>IFERROR(IF(0=LEN(ReferenceData!$C$141),"",ReferenceData!$C$141),"")</f>
        <v>M0013</v>
      </c>
      <c r="D141" t="str">
        <f>IFERROR(IF(0=LEN(ReferenceData!$D$141),"",ReferenceData!$D$141),"")</f>
        <v>NUM_CLIENTS_20MM_TO_30MM</v>
      </c>
      <c r="E141" t="str">
        <f>IFERROR(IF(0=LEN(ReferenceData!$E$141),"",ReferenceData!$E$141),"")</f>
        <v>Dynamic</v>
      </c>
      <c r="F141" t="str">
        <f ca="1">IFERROR(IF(0=LEN(ReferenceData!$L$141),"",ReferenceData!$L$141),"")</f>
        <v/>
      </c>
      <c r="G141" t="str">
        <f ca="1">IFERROR(IF(0=LEN(ReferenceData!$K$141),"",ReferenceData!$K$141),"")</f>
        <v/>
      </c>
      <c r="H141" t="str">
        <f ca="1">IFERROR(IF(0=LEN(ReferenceData!$J$141),"",ReferenceData!$J$141),"")</f>
        <v/>
      </c>
      <c r="I141">
        <f ca="1">IFERROR(IF(0=LEN(ReferenceData!$I$141),"",ReferenceData!$I$141),"")</f>
        <v>190</v>
      </c>
      <c r="J141">
        <f ca="1">IFERROR(IF(0=LEN(ReferenceData!$H$141),"",ReferenceData!$H$141),"")</f>
        <v>207</v>
      </c>
      <c r="K141" t="str">
        <f ca="1">IFERROR(IF(0=LEN(ReferenceData!$G$141),"",ReferenceData!$G$141),"")</f>
        <v/>
      </c>
      <c r="L141">
        <f ca="1">IFERROR(IF(0=LEN(ReferenceData!$F$141),"",ReferenceData!$F$141),"")</f>
        <v>240</v>
      </c>
    </row>
    <row r="142" spans="1:12" x14ac:dyDescent="0.25">
      <c r="A142" t="str">
        <f>IFERROR(IF(0=LEN(ReferenceData!$A$142),"",ReferenceData!$A$142),"")</f>
        <v xml:space="preserve">        Wipro Ltd</v>
      </c>
      <c r="B142" t="str">
        <f>IFERROR(IF(0=LEN(ReferenceData!$B$142),"",ReferenceData!$B$142),"")</f>
        <v>WIT US Equity</v>
      </c>
      <c r="C142" t="str">
        <f>IFERROR(IF(0=LEN(ReferenceData!$C$142),"",ReferenceData!$C$142),"")</f>
        <v>M0013</v>
      </c>
      <c r="D142" t="str">
        <f>IFERROR(IF(0=LEN(ReferenceData!$D$142),"",ReferenceData!$D$142),"")</f>
        <v>NUM_CLIENTS_20MM_TO_30MM</v>
      </c>
      <c r="E142" t="str">
        <f>IFERROR(IF(0=LEN(ReferenceData!$E$142),"",ReferenceData!$E$142),"")</f>
        <v>Dynamic</v>
      </c>
      <c r="F142">
        <f ca="1">IFERROR(IF(0=LEN(ReferenceData!$L$142),"",ReferenceData!$L$142),"")</f>
        <v>82</v>
      </c>
      <c r="G142">
        <f ca="1">IFERROR(IF(0=LEN(ReferenceData!$K$142),"",ReferenceData!$K$142),"")</f>
        <v>86</v>
      </c>
      <c r="H142">
        <f ca="1">IFERROR(IF(0=LEN(ReferenceData!$J$142),"",ReferenceData!$J$142),"")</f>
        <v>89</v>
      </c>
      <c r="I142">
        <f ca="1">IFERROR(IF(0=LEN(ReferenceData!$I$142),"",ReferenceData!$I$142),"")</f>
        <v>91</v>
      </c>
      <c r="J142">
        <f ca="1">IFERROR(IF(0=LEN(ReferenceData!$H$142),"",ReferenceData!$H$142),"")</f>
        <v>95</v>
      </c>
      <c r="K142">
        <f ca="1">IFERROR(IF(0=LEN(ReferenceData!$G$142),"",ReferenceData!$G$142),"")</f>
        <v>96</v>
      </c>
      <c r="L142">
        <f ca="1">IFERROR(IF(0=LEN(ReferenceData!$F$142),"",ReferenceData!$F$142),"")</f>
        <v>96</v>
      </c>
    </row>
    <row r="143" spans="1:12" x14ac:dyDescent="0.25">
      <c r="A143" t="str">
        <f>IFERROR(IF(0=LEN(ReferenceData!$A$143),"",ReferenceData!$A$143),"")</f>
        <v xml:space="preserve">    # of Clients $30mn-$40mn</v>
      </c>
      <c r="B143" t="str">
        <f>IFERROR(IF(0=LEN(ReferenceData!$B$143),"",ReferenceData!$B$143),"")</f>
        <v/>
      </c>
      <c r="C143" t="str">
        <f>IFERROR(IF(0=LEN(ReferenceData!$C$143),"",ReferenceData!$C$143),"")</f>
        <v/>
      </c>
      <c r="D143" t="str">
        <f>IFERROR(IF(0=LEN(ReferenceData!$D$143),"",ReferenceData!$D$143),"")</f>
        <v/>
      </c>
      <c r="E143" t="str">
        <f>IFERROR(IF(0=LEN(ReferenceData!$E$143),"",ReferenceData!$E$143),"")</f>
        <v>Sum</v>
      </c>
      <c r="F143">
        <f ca="1">IFERROR(IF(0=LEN(ReferenceData!$L$143),"",ReferenceData!$L$143),"")</f>
        <v>107</v>
      </c>
      <c r="G143" t="str">
        <f ca="1">IFERROR(IF(0=LEN(ReferenceData!$K$143),"",ReferenceData!$K$143),"")</f>
        <v/>
      </c>
      <c r="H143">
        <f ca="1">IFERROR(IF(0=LEN(ReferenceData!$J$143),"",ReferenceData!$J$143),"")</f>
        <v>43</v>
      </c>
      <c r="I143">
        <f ca="1">IFERROR(IF(0=LEN(ReferenceData!$I$143),"",ReferenceData!$I$143),"")</f>
        <v>49</v>
      </c>
      <c r="J143">
        <f ca="1">IFERROR(IF(0=LEN(ReferenceData!$H$143),"",ReferenceData!$H$143),"")</f>
        <v>58</v>
      </c>
      <c r="K143" t="str">
        <f ca="1">IFERROR(IF(0=LEN(ReferenceData!$G$143),"",ReferenceData!$G$143),"")</f>
        <v/>
      </c>
      <c r="L143" t="str">
        <f ca="1">IFERROR(IF(0=LEN(ReferenceData!$F$143),"",ReferenceData!$F$143),"")</f>
        <v/>
      </c>
    </row>
    <row r="144" spans="1:12" x14ac:dyDescent="0.25">
      <c r="A144" t="str">
        <f>IFERROR(IF(0=LEN(ReferenceData!$A$144),"",ReferenceData!$A$144),"")</f>
        <v xml:space="preserve">        Cognizant Technology Solutions Corp</v>
      </c>
      <c r="B144" t="str">
        <f>IFERROR(IF(0=LEN(ReferenceData!$B$144),"",ReferenceData!$B$144),"")</f>
        <v>CTSH US Equity</v>
      </c>
      <c r="C144" t="str">
        <f>IFERROR(IF(0=LEN(ReferenceData!$C$144),"",ReferenceData!$C$144),"")</f>
        <v>M0014</v>
      </c>
      <c r="D144" t="str">
        <f>IFERROR(IF(0=LEN(ReferenceData!$D$144),"",ReferenceData!$D$144),"")</f>
        <v>NUM_CLIENTS_30MM_TO_40MM</v>
      </c>
      <c r="E144" t="str">
        <f>IFERROR(IF(0=LEN(ReferenceData!$E$144),"",ReferenceData!$E$144),"")</f>
        <v>Dynamic</v>
      </c>
      <c r="F144" t="str">
        <f ca="1">IFERROR(IF(0=LEN(ReferenceData!$L$144),"",ReferenceData!$L$144),"")</f>
        <v/>
      </c>
      <c r="G144" t="str">
        <f ca="1">IFERROR(IF(0=LEN(ReferenceData!$K$144),"",ReferenceData!$K$144),"")</f>
        <v/>
      </c>
      <c r="H144" t="str">
        <f ca="1">IFERROR(IF(0=LEN(ReferenceData!$J$144),"",ReferenceData!$J$144),"")</f>
        <v/>
      </c>
      <c r="I144" t="str">
        <f ca="1">IFERROR(IF(0=LEN(ReferenceData!$I$144),"",ReferenceData!$I$144),"")</f>
        <v/>
      </c>
      <c r="J144" t="str">
        <f ca="1">IFERROR(IF(0=LEN(ReferenceData!$H$144),"",ReferenceData!$H$144),"")</f>
        <v/>
      </c>
      <c r="K144" t="str">
        <f ca="1">IFERROR(IF(0=LEN(ReferenceData!$G$144),"",ReferenceData!$G$144),"")</f>
        <v/>
      </c>
      <c r="L144" t="str">
        <f ca="1">IFERROR(IF(0=LEN(ReferenceData!$F$144),"",ReferenceData!$F$144),"")</f>
        <v/>
      </c>
    </row>
    <row r="145" spans="1:12" x14ac:dyDescent="0.25">
      <c r="A145" t="str">
        <f>IFERROR(IF(0=LEN(ReferenceData!$A$145),"",ReferenceData!$A$145),"")</f>
        <v xml:space="preserve">        HCL Technologies Ltd</v>
      </c>
      <c r="B145" t="str">
        <f>IFERROR(IF(0=LEN(ReferenceData!$B$145),"",ReferenceData!$B$145),"")</f>
        <v>HCLT IN Equity</v>
      </c>
      <c r="C145" t="str">
        <f>IFERROR(IF(0=LEN(ReferenceData!$C$145),"",ReferenceData!$C$145),"")</f>
        <v>M0014</v>
      </c>
      <c r="D145" t="str">
        <f>IFERROR(IF(0=LEN(ReferenceData!$D$145),"",ReferenceData!$D$145),"")</f>
        <v>NUM_CLIENTS_30MM_TO_40MM</v>
      </c>
      <c r="E145" t="str">
        <f>IFERROR(IF(0=LEN(ReferenceData!$E$145),"",ReferenceData!$E$145),"")</f>
        <v>Dynamic</v>
      </c>
      <c r="F145">
        <f ca="1">IFERROR(IF(0=LEN(ReferenceData!$L$145),"",ReferenceData!$L$145),"")</f>
        <v>37</v>
      </c>
      <c r="G145" t="str">
        <f ca="1">IFERROR(IF(0=LEN(ReferenceData!$K$145),"",ReferenceData!$K$145),"")</f>
        <v/>
      </c>
      <c r="H145">
        <f ca="1">IFERROR(IF(0=LEN(ReferenceData!$J$145),"",ReferenceData!$J$145),"")</f>
        <v>43</v>
      </c>
      <c r="I145">
        <f ca="1">IFERROR(IF(0=LEN(ReferenceData!$I$145),"",ReferenceData!$I$145),"")</f>
        <v>49</v>
      </c>
      <c r="J145">
        <f ca="1">IFERROR(IF(0=LEN(ReferenceData!$H$145),"",ReferenceData!$H$145),"")</f>
        <v>58</v>
      </c>
      <c r="K145" t="str">
        <f ca="1">IFERROR(IF(0=LEN(ReferenceData!$G$145),"",ReferenceData!$G$145),"")</f>
        <v/>
      </c>
      <c r="L145" t="str">
        <f ca="1">IFERROR(IF(0=LEN(ReferenceData!$F$145),"",ReferenceData!$F$145),"")</f>
        <v/>
      </c>
    </row>
    <row r="146" spans="1:12" x14ac:dyDescent="0.25">
      <c r="A146" t="str">
        <f>IFERROR(IF(0=LEN(ReferenceData!$A$146),"",ReferenceData!$A$146),"")</f>
        <v xml:space="preserve">        Infosys Ltd</v>
      </c>
      <c r="B146" t="str">
        <f>IFERROR(IF(0=LEN(ReferenceData!$B$146),"",ReferenceData!$B$146),"")</f>
        <v>INFY US Equity</v>
      </c>
      <c r="C146" t="str">
        <f>IFERROR(IF(0=LEN(ReferenceData!$C$146),"",ReferenceData!$C$146),"")</f>
        <v>M0014</v>
      </c>
      <c r="D146" t="str">
        <f>IFERROR(IF(0=LEN(ReferenceData!$D$146),"",ReferenceData!$D$146),"")</f>
        <v>NUM_CLIENTS_30MM_TO_40MM</v>
      </c>
      <c r="E146" t="str">
        <f>IFERROR(IF(0=LEN(ReferenceData!$E$146),"",ReferenceData!$E$146),"")</f>
        <v>Dynamic</v>
      </c>
      <c r="F146">
        <f ca="1">IFERROR(IF(0=LEN(ReferenceData!$L$146),"",ReferenceData!$L$146),"")</f>
        <v>70</v>
      </c>
      <c r="G146" t="str">
        <f ca="1">IFERROR(IF(0=LEN(ReferenceData!$K$146),"",ReferenceData!$K$146),"")</f>
        <v/>
      </c>
      <c r="H146" t="str">
        <f ca="1">IFERROR(IF(0=LEN(ReferenceData!$J$146),"",ReferenceData!$J$146),"")</f>
        <v/>
      </c>
      <c r="I146" t="str">
        <f ca="1">IFERROR(IF(0=LEN(ReferenceData!$I$146),"",ReferenceData!$I$146),"")</f>
        <v/>
      </c>
      <c r="J146" t="str">
        <f ca="1">IFERROR(IF(0=LEN(ReferenceData!$H$146),"",ReferenceData!$H$146),"")</f>
        <v/>
      </c>
      <c r="K146" t="str">
        <f ca="1">IFERROR(IF(0=LEN(ReferenceData!$G$146),"",ReferenceData!$G$146),"")</f>
        <v/>
      </c>
      <c r="L146" t="str">
        <f ca="1">IFERROR(IF(0=LEN(ReferenceData!$F$146),"",ReferenceData!$F$146),"")</f>
        <v/>
      </c>
    </row>
    <row r="147" spans="1:12" x14ac:dyDescent="0.25">
      <c r="A147" t="str">
        <f>IFERROR(IF(0=LEN(ReferenceData!$A$147),"",ReferenceData!$A$147),"")</f>
        <v xml:space="preserve">        Tata Consultancy Services Ltd</v>
      </c>
      <c r="B147" t="str">
        <f>IFERROR(IF(0=LEN(ReferenceData!$B$147),"",ReferenceData!$B$147),"")</f>
        <v>TCS IN Equity</v>
      </c>
      <c r="C147" t="str">
        <f>IFERROR(IF(0=LEN(ReferenceData!$C$147),"",ReferenceData!$C$147),"")</f>
        <v>M0014</v>
      </c>
      <c r="D147" t="str">
        <f>IFERROR(IF(0=LEN(ReferenceData!$D$147),"",ReferenceData!$D$147),"")</f>
        <v>NUM_CLIENTS_30MM_TO_40MM</v>
      </c>
      <c r="E147" t="str">
        <f>IFERROR(IF(0=LEN(ReferenceData!$E$147),"",ReferenceData!$E$147),"")</f>
        <v>Dynamic</v>
      </c>
      <c r="F147" t="str">
        <f ca="1">IFERROR(IF(0=LEN(ReferenceData!$L$147),"",ReferenceData!$L$147),"")</f>
        <v/>
      </c>
      <c r="G147" t="str">
        <f ca="1">IFERROR(IF(0=LEN(ReferenceData!$K$147),"",ReferenceData!$K$147),"")</f>
        <v/>
      </c>
      <c r="H147" t="str">
        <f ca="1">IFERROR(IF(0=LEN(ReferenceData!$J$147),"",ReferenceData!$J$147),"")</f>
        <v/>
      </c>
      <c r="I147" t="str">
        <f ca="1">IFERROR(IF(0=LEN(ReferenceData!$I$147),"",ReferenceData!$I$147),"")</f>
        <v/>
      </c>
      <c r="J147" t="str">
        <f ca="1">IFERROR(IF(0=LEN(ReferenceData!$H$147),"",ReferenceData!$H$147),"")</f>
        <v/>
      </c>
      <c r="K147" t="str">
        <f ca="1">IFERROR(IF(0=LEN(ReferenceData!$G$147),"",ReferenceData!$G$147),"")</f>
        <v/>
      </c>
      <c r="L147" t="str">
        <f ca="1">IFERROR(IF(0=LEN(ReferenceData!$F$147),"",ReferenceData!$F$147),"")</f>
        <v/>
      </c>
    </row>
    <row r="148" spans="1:12" x14ac:dyDescent="0.25">
      <c r="A148" t="str">
        <f>IFERROR(IF(0=LEN(ReferenceData!$A$148),"",ReferenceData!$A$148),"")</f>
        <v xml:space="preserve">        Wipro Ltd</v>
      </c>
      <c r="B148" t="str">
        <f>IFERROR(IF(0=LEN(ReferenceData!$B$148),"",ReferenceData!$B$148),"")</f>
        <v>WIT US Equity</v>
      </c>
      <c r="C148" t="str">
        <f>IFERROR(IF(0=LEN(ReferenceData!$C$148),"",ReferenceData!$C$148),"")</f>
        <v>M0014</v>
      </c>
      <c r="D148" t="str">
        <f>IFERROR(IF(0=LEN(ReferenceData!$D$148),"",ReferenceData!$D$148),"")</f>
        <v>NUM_CLIENTS_30MM_TO_40MM</v>
      </c>
      <c r="E148" t="str">
        <f>IFERROR(IF(0=LEN(ReferenceData!$E$148),"",ReferenceData!$E$148),"")</f>
        <v>Dynamic</v>
      </c>
      <c r="F148" t="str">
        <f ca="1">IFERROR(IF(0=LEN(ReferenceData!$L$148),"",ReferenceData!$L$148),"")</f>
        <v/>
      </c>
      <c r="G148" t="str">
        <f ca="1">IFERROR(IF(0=LEN(ReferenceData!$K$148),"",ReferenceData!$K$148),"")</f>
        <v/>
      </c>
      <c r="H148" t="str">
        <f ca="1">IFERROR(IF(0=LEN(ReferenceData!$J$148),"",ReferenceData!$J$148),"")</f>
        <v/>
      </c>
      <c r="I148" t="str">
        <f ca="1">IFERROR(IF(0=LEN(ReferenceData!$I$148),"",ReferenceData!$I$148),"")</f>
        <v/>
      </c>
      <c r="J148" t="str">
        <f ca="1">IFERROR(IF(0=LEN(ReferenceData!$H$148),"",ReferenceData!$H$148),"")</f>
        <v/>
      </c>
      <c r="K148" t="str">
        <f ca="1">IFERROR(IF(0=LEN(ReferenceData!$G$148),"",ReferenceData!$G$148),"")</f>
        <v/>
      </c>
      <c r="L148" t="str">
        <f ca="1">IFERROR(IF(0=LEN(ReferenceData!$F$148),"",ReferenceData!$F$148),"")</f>
        <v/>
      </c>
    </row>
    <row r="149" spans="1:12" x14ac:dyDescent="0.25">
      <c r="A149" t="str">
        <f>IFERROR(IF(0=LEN(ReferenceData!$A$149),"",ReferenceData!$A$149),"")</f>
        <v xml:space="preserve">    # of Clients $40mn-$50mn</v>
      </c>
      <c r="B149" t="str">
        <f>IFERROR(IF(0=LEN(ReferenceData!$B$149),"",ReferenceData!$B$149),"")</f>
        <v/>
      </c>
      <c r="C149" t="str">
        <f>IFERROR(IF(0=LEN(ReferenceData!$C$149),"",ReferenceData!$C$149),"")</f>
        <v/>
      </c>
      <c r="D149" t="str">
        <f>IFERROR(IF(0=LEN(ReferenceData!$D$149),"",ReferenceData!$D$149),"")</f>
        <v/>
      </c>
      <c r="E149" t="str">
        <f>IFERROR(IF(0=LEN(ReferenceData!$E$149),"",ReferenceData!$E$149),"")</f>
        <v>Sum</v>
      </c>
      <c r="F149">
        <f ca="1">IFERROR(IF(0=LEN(ReferenceData!$L$149),"",ReferenceData!$L$149),"")</f>
        <v>75</v>
      </c>
      <c r="G149" t="str">
        <f ca="1">IFERROR(IF(0=LEN(ReferenceData!$K$149),"",ReferenceData!$K$149),"")</f>
        <v/>
      </c>
      <c r="H149">
        <f ca="1">IFERROR(IF(0=LEN(ReferenceData!$J$149),"",ReferenceData!$J$149),"")</f>
        <v>29</v>
      </c>
      <c r="I149">
        <f ca="1">IFERROR(IF(0=LEN(ReferenceData!$I$149),"",ReferenceData!$I$149),"")</f>
        <v>34</v>
      </c>
      <c r="J149">
        <f ca="1">IFERROR(IF(0=LEN(ReferenceData!$H$149),"",ReferenceData!$H$149),"")</f>
        <v>40</v>
      </c>
      <c r="K149" t="str">
        <f ca="1">IFERROR(IF(0=LEN(ReferenceData!$G$149),"",ReferenceData!$G$149),"")</f>
        <v/>
      </c>
      <c r="L149" t="str">
        <f ca="1">IFERROR(IF(0=LEN(ReferenceData!$F$149),"",ReferenceData!$F$149),"")</f>
        <v/>
      </c>
    </row>
    <row r="150" spans="1:12" x14ac:dyDescent="0.25">
      <c r="A150" t="str">
        <f>IFERROR(IF(0=LEN(ReferenceData!$A$150),"",ReferenceData!$A$150),"")</f>
        <v xml:space="preserve">        Cognizant Technology Solutions Corp</v>
      </c>
      <c r="B150" t="str">
        <f>IFERROR(IF(0=LEN(ReferenceData!$B$150),"",ReferenceData!$B$150),"")</f>
        <v>CTSH US Equity</v>
      </c>
      <c r="C150" t="str">
        <f>IFERROR(IF(0=LEN(ReferenceData!$C$150),"",ReferenceData!$C$150),"")</f>
        <v>M0015</v>
      </c>
      <c r="D150" t="str">
        <f>IFERROR(IF(0=LEN(ReferenceData!$D$150),"",ReferenceData!$D$150),"")</f>
        <v>NUM_CLIENTS_40MM_TO_50MM</v>
      </c>
      <c r="E150" t="str">
        <f>IFERROR(IF(0=LEN(ReferenceData!$E$150),"",ReferenceData!$E$150),"")</f>
        <v>Dynamic</v>
      </c>
      <c r="F150" t="str">
        <f ca="1">IFERROR(IF(0=LEN(ReferenceData!$L$150),"",ReferenceData!$L$150),"")</f>
        <v/>
      </c>
      <c r="G150" t="str">
        <f ca="1">IFERROR(IF(0=LEN(ReferenceData!$K$150),"",ReferenceData!$K$150),"")</f>
        <v/>
      </c>
      <c r="H150" t="str">
        <f ca="1">IFERROR(IF(0=LEN(ReferenceData!$J$150),"",ReferenceData!$J$150),"")</f>
        <v/>
      </c>
      <c r="I150" t="str">
        <f ca="1">IFERROR(IF(0=LEN(ReferenceData!$I$150),"",ReferenceData!$I$150),"")</f>
        <v/>
      </c>
      <c r="J150" t="str">
        <f ca="1">IFERROR(IF(0=LEN(ReferenceData!$H$150),"",ReferenceData!$H$150),"")</f>
        <v/>
      </c>
      <c r="K150" t="str">
        <f ca="1">IFERROR(IF(0=LEN(ReferenceData!$G$150),"",ReferenceData!$G$150),"")</f>
        <v/>
      </c>
      <c r="L150" t="str">
        <f ca="1">IFERROR(IF(0=LEN(ReferenceData!$F$150),"",ReferenceData!$F$150),"")</f>
        <v/>
      </c>
    </row>
    <row r="151" spans="1:12" x14ac:dyDescent="0.25">
      <c r="A151" t="str">
        <f>IFERROR(IF(0=LEN(ReferenceData!$A$151),"",ReferenceData!$A$151),"")</f>
        <v xml:space="preserve">        HCL Technologies Ltd</v>
      </c>
      <c r="B151" t="str">
        <f>IFERROR(IF(0=LEN(ReferenceData!$B$151),"",ReferenceData!$B$151),"")</f>
        <v>HCLT IN Equity</v>
      </c>
      <c r="C151" t="str">
        <f>IFERROR(IF(0=LEN(ReferenceData!$C$151),"",ReferenceData!$C$151),"")</f>
        <v>M0015</v>
      </c>
      <c r="D151" t="str">
        <f>IFERROR(IF(0=LEN(ReferenceData!$D$151),"",ReferenceData!$D$151),"")</f>
        <v>NUM_CLIENTS_40MM_TO_50MM</v>
      </c>
      <c r="E151" t="str">
        <f>IFERROR(IF(0=LEN(ReferenceData!$E$151),"",ReferenceData!$E$151),"")</f>
        <v>Dynamic</v>
      </c>
      <c r="F151">
        <f ca="1">IFERROR(IF(0=LEN(ReferenceData!$L$151),"",ReferenceData!$L$151),"")</f>
        <v>18</v>
      </c>
      <c r="G151" t="str">
        <f ca="1">IFERROR(IF(0=LEN(ReferenceData!$K$151),"",ReferenceData!$K$151),"")</f>
        <v/>
      </c>
      <c r="H151">
        <f ca="1">IFERROR(IF(0=LEN(ReferenceData!$J$151),"",ReferenceData!$J$151),"")</f>
        <v>29</v>
      </c>
      <c r="I151">
        <f ca="1">IFERROR(IF(0=LEN(ReferenceData!$I$151),"",ReferenceData!$I$151),"")</f>
        <v>34</v>
      </c>
      <c r="J151">
        <f ca="1">IFERROR(IF(0=LEN(ReferenceData!$H$151),"",ReferenceData!$H$151),"")</f>
        <v>40</v>
      </c>
      <c r="K151" t="str">
        <f ca="1">IFERROR(IF(0=LEN(ReferenceData!$G$151),"",ReferenceData!$G$151),"")</f>
        <v/>
      </c>
      <c r="L151" t="str">
        <f ca="1">IFERROR(IF(0=LEN(ReferenceData!$F$151),"",ReferenceData!$F$151),"")</f>
        <v/>
      </c>
    </row>
    <row r="152" spans="1:12" x14ac:dyDescent="0.25">
      <c r="A152" t="str">
        <f>IFERROR(IF(0=LEN(ReferenceData!$A$152),"",ReferenceData!$A$152),"")</f>
        <v xml:space="preserve">        Infosys Ltd</v>
      </c>
      <c r="B152" t="str">
        <f>IFERROR(IF(0=LEN(ReferenceData!$B$152),"",ReferenceData!$B$152),"")</f>
        <v>INFY US Equity</v>
      </c>
      <c r="C152" t="str">
        <f>IFERROR(IF(0=LEN(ReferenceData!$C$152),"",ReferenceData!$C$152),"")</f>
        <v>M0015</v>
      </c>
      <c r="D152" t="str">
        <f>IFERROR(IF(0=LEN(ReferenceData!$D$152),"",ReferenceData!$D$152),"")</f>
        <v>NUM_CLIENTS_40MM_TO_50MM</v>
      </c>
      <c r="E152" t="str">
        <f>IFERROR(IF(0=LEN(ReferenceData!$E$152),"",ReferenceData!$E$152),"")</f>
        <v>Dynamic</v>
      </c>
      <c r="F152">
        <f ca="1">IFERROR(IF(0=LEN(ReferenceData!$L$152),"",ReferenceData!$L$152),"")</f>
        <v>57</v>
      </c>
      <c r="G152" t="str">
        <f ca="1">IFERROR(IF(0=LEN(ReferenceData!$K$152),"",ReferenceData!$K$152),"")</f>
        <v/>
      </c>
      <c r="H152" t="str">
        <f ca="1">IFERROR(IF(0=LEN(ReferenceData!$J$152),"",ReferenceData!$J$152),"")</f>
        <v/>
      </c>
      <c r="I152" t="str">
        <f ca="1">IFERROR(IF(0=LEN(ReferenceData!$I$152),"",ReferenceData!$I$152),"")</f>
        <v/>
      </c>
      <c r="J152" t="str">
        <f ca="1">IFERROR(IF(0=LEN(ReferenceData!$H$152),"",ReferenceData!$H$152),"")</f>
        <v/>
      </c>
      <c r="K152" t="str">
        <f ca="1">IFERROR(IF(0=LEN(ReferenceData!$G$152),"",ReferenceData!$G$152),"")</f>
        <v/>
      </c>
      <c r="L152" t="str">
        <f ca="1">IFERROR(IF(0=LEN(ReferenceData!$F$152),"",ReferenceData!$F$152),"")</f>
        <v/>
      </c>
    </row>
    <row r="153" spans="1:12" x14ac:dyDescent="0.25">
      <c r="A153" t="str">
        <f>IFERROR(IF(0=LEN(ReferenceData!$A$153),"",ReferenceData!$A$153),"")</f>
        <v xml:space="preserve">        Tata Consultancy Services Ltd</v>
      </c>
      <c r="B153" t="str">
        <f>IFERROR(IF(0=LEN(ReferenceData!$B$153),"",ReferenceData!$B$153),"")</f>
        <v>TCS IN Equity</v>
      </c>
      <c r="C153" t="str">
        <f>IFERROR(IF(0=LEN(ReferenceData!$C$153),"",ReferenceData!$C$153),"")</f>
        <v>M0015</v>
      </c>
      <c r="D153" t="str">
        <f>IFERROR(IF(0=LEN(ReferenceData!$D$153),"",ReferenceData!$D$153),"")</f>
        <v>NUM_CLIENTS_40MM_TO_50MM</v>
      </c>
      <c r="E153" t="str">
        <f>IFERROR(IF(0=LEN(ReferenceData!$E$153),"",ReferenceData!$E$153),"")</f>
        <v>Dynamic</v>
      </c>
      <c r="F153" t="str">
        <f ca="1">IFERROR(IF(0=LEN(ReferenceData!$L$153),"",ReferenceData!$L$153),"")</f>
        <v/>
      </c>
      <c r="G153" t="str">
        <f ca="1">IFERROR(IF(0=LEN(ReferenceData!$K$153),"",ReferenceData!$K$153),"")</f>
        <v/>
      </c>
      <c r="H153" t="str">
        <f ca="1">IFERROR(IF(0=LEN(ReferenceData!$J$153),"",ReferenceData!$J$153),"")</f>
        <v/>
      </c>
      <c r="I153" t="str">
        <f ca="1">IFERROR(IF(0=LEN(ReferenceData!$I$153),"",ReferenceData!$I$153),"")</f>
        <v/>
      </c>
      <c r="J153" t="str">
        <f ca="1">IFERROR(IF(0=LEN(ReferenceData!$H$153),"",ReferenceData!$H$153),"")</f>
        <v/>
      </c>
      <c r="K153" t="str">
        <f ca="1">IFERROR(IF(0=LEN(ReferenceData!$G$153),"",ReferenceData!$G$153),"")</f>
        <v/>
      </c>
      <c r="L153" t="str">
        <f ca="1">IFERROR(IF(0=LEN(ReferenceData!$F$153),"",ReferenceData!$F$153),"")</f>
        <v/>
      </c>
    </row>
    <row r="154" spans="1:12" x14ac:dyDescent="0.25">
      <c r="A154" t="str">
        <f>IFERROR(IF(0=LEN(ReferenceData!$A$154),"",ReferenceData!$A$154),"")</f>
        <v xml:space="preserve">        Wipro Ltd</v>
      </c>
      <c r="B154" t="str">
        <f>IFERROR(IF(0=LEN(ReferenceData!$B$154),"",ReferenceData!$B$154),"")</f>
        <v>WIT US Equity</v>
      </c>
      <c r="C154" t="str">
        <f>IFERROR(IF(0=LEN(ReferenceData!$C$154),"",ReferenceData!$C$154),"")</f>
        <v>M0015</v>
      </c>
      <c r="D154" t="str">
        <f>IFERROR(IF(0=LEN(ReferenceData!$D$154),"",ReferenceData!$D$154),"")</f>
        <v>NUM_CLIENTS_40MM_TO_50MM</v>
      </c>
      <c r="E154" t="str">
        <f>IFERROR(IF(0=LEN(ReferenceData!$E$154),"",ReferenceData!$E$154),"")</f>
        <v>Dynamic</v>
      </c>
      <c r="F154" t="str">
        <f ca="1">IFERROR(IF(0=LEN(ReferenceData!$L$154),"",ReferenceData!$L$154),"")</f>
        <v/>
      </c>
      <c r="G154" t="str">
        <f ca="1">IFERROR(IF(0=LEN(ReferenceData!$K$154),"",ReferenceData!$K$154),"")</f>
        <v/>
      </c>
      <c r="H154" t="str">
        <f ca="1">IFERROR(IF(0=LEN(ReferenceData!$J$154),"",ReferenceData!$J$154),"")</f>
        <v/>
      </c>
      <c r="I154" t="str">
        <f ca="1">IFERROR(IF(0=LEN(ReferenceData!$I$154),"",ReferenceData!$I$154),"")</f>
        <v/>
      </c>
      <c r="J154" t="str">
        <f ca="1">IFERROR(IF(0=LEN(ReferenceData!$H$154),"",ReferenceData!$H$154),"")</f>
        <v/>
      </c>
      <c r="K154" t="str">
        <f ca="1">IFERROR(IF(0=LEN(ReferenceData!$G$154),"",ReferenceData!$G$154),"")</f>
        <v/>
      </c>
      <c r="L154" t="str">
        <f ca="1">IFERROR(IF(0=LEN(ReferenceData!$F$154),"",ReferenceData!$F$154),"")</f>
        <v/>
      </c>
    </row>
    <row r="155" spans="1:12" x14ac:dyDescent="0.25">
      <c r="A155" t="str">
        <f>IFERROR(IF(0=LEN(ReferenceData!$A$155),"",ReferenceData!$A$155),"")</f>
        <v xml:space="preserve">    # of Clients $50mn-$100mn</v>
      </c>
      <c r="B155" t="str">
        <f>IFERROR(IF(0=LEN(ReferenceData!$B$155),"",ReferenceData!$B$155),"")</f>
        <v/>
      </c>
      <c r="C155" t="str">
        <f>IFERROR(IF(0=LEN(ReferenceData!$C$155),"",ReferenceData!$C$155),"")</f>
        <v/>
      </c>
      <c r="D155" t="str">
        <f>IFERROR(IF(0=LEN(ReferenceData!$D$155),"",ReferenceData!$D$155),"")</f>
        <v/>
      </c>
      <c r="E155" t="str">
        <f>IFERROR(IF(0=LEN(ReferenceData!$E$155),"",ReferenceData!$E$155),"")</f>
        <v>Sum</v>
      </c>
      <c r="F155">
        <f ca="1">IFERROR(IF(0=LEN(ReferenceData!$L$155),"",ReferenceData!$L$155),"")</f>
        <v>205</v>
      </c>
      <c r="G155">
        <f ca="1">IFERROR(IF(0=LEN(ReferenceData!$K$155),"",ReferenceData!$K$155),"")</f>
        <v>122</v>
      </c>
      <c r="H155">
        <f ca="1">IFERROR(IF(0=LEN(ReferenceData!$J$155),"",ReferenceData!$J$155),"")</f>
        <v>153</v>
      </c>
      <c r="I155">
        <f ca="1">IFERROR(IF(0=LEN(ReferenceData!$I$155),"",ReferenceData!$I$155),"")</f>
        <v>248</v>
      </c>
      <c r="J155">
        <f ca="1">IFERROR(IF(0=LEN(ReferenceData!$H$155),"",ReferenceData!$H$155),"")</f>
        <v>276</v>
      </c>
      <c r="K155">
        <f ca="1">IFERROR(IF(0=LEN(ReferenceData!$G$155),"",ReferenceData!$G$155),"")</f>
        <v>152</v>
      </c>
      <c r="L155">
        <f ca="1">IFERROR(IF(0=LEN(ReferenceData!$F$155),"",ReferenceData!$F$155),"")</f>
        <v>258</v>
      </c>
    </row>
    <row r="156" spans="1:12" x14ac:dyDescent="0.25">
      <c r="A156" t="str">
        <f>IFERROR(IF(0=LEN(ReferenceData!$A$156),"",ReferenceData!$A$156),"")</f>
        <v xml:space="preserve">        Cognizant Technology Solutions Corp</v>
      </c>
      <c r="B156" t="str">
        <f>IFERROR(IF(0=LEN(ReferenceData!$B$156),"",ReferenceData!$B$156),"")</f>
        <v>CTSH US Equity</v>
      </c>
      <c r="C156" t="str">
        <f>IFERROR(IF(0=LEN(ReferenceData!$C$156),"",ReferenceData!$C$156),"")</f>
        <v>M0016</v>
      </c>
      <c r="D156" t="str">
        <f>IFERROR(IF(0=LEN(ReferenceData!$D$156),"",ReferenceData!$D$156),"")</f>
        <v>NUM_CLIENTS_50MM_TO_100MM</v>
      </c>
      <c r="E156" t="str">
        <f>IFERROR(IF(0=LEN(ReferenceData!$E$156),"",ReferenceData!$E$156),"")</f>
        <v>Dynamic</v>
      </c>
      <c r="F156" t="str">
        <f ca="1">IFERROR(IF(0=LEN(ReferenceData!$L$156),"",ReferenceData!$L$156),"")</f>
        <v/>
      </c>
      <c r="G156" t="str">
        <f ca="1">IFERROR(IF(0=LEN(ReferenceData!$K$156),"",ReferenceData!$K$156),"")</f>
        <v/>
      </c>
      <c r="H156" t="str">
        <f ca="1">IFERROR(IF(0=LEN(ReferenceData!$J$156),"",ReferenceData!$J$156),"")</f>
        <v/>
      </c>
      <c r="I156" t="str">
        <f ca="1">IFERROR(IF(0=LEN(ReferenceData!$I$156),"",ReferenceData!$I$156),"")</f>
        <v/>
      </c>
      <c r="J156" t="str">
        <f ca="1">IFERROR(IF(0=LEN(ReferenceData!$H$156),"",ReferenceData!$H$156),"")</f>
        <v/>
      </c>
      <c r="K156" t="str">
        <f ca="1">IFERROR(IF(0=LEN(ReferenceData!$G$156),"",ReferenceData!$G$156),"")</f>
        <v/>
      </c>
      <c r="L156" t="str">
        <f ca="1">IFERROR(IF(0=LEN(ReferenceData!$F$156),"",ReferenceData!$F$156),"")</f>
        <v/>
      </c>
    </row>
    <row r="157" spans="1:12" x14ac:dyDescent="0.25">
      <c r="A157" t="str">
        <f>IFERROR(IF(0=LEN(ReferenceData!$A$157),"",ReferenceData!$A$157),"")</f>
        <v xml:space="preserve">        HCL Technologies Ltd</v>
      </c>
      <c r="B157" t="str">
        <f>IFERROR(IF(0=LEN(ReferenceData!$B$157),"",ReferenceData!$B$157),"")</f>
        <v>HCLT IN Equity</v>
      </c>
      <c r="C157" t="str">
        <f>IFERROR(IF(0=LEN(ReferenceData!$C$157),"",ReferenceData!$C$157),"")</f>
        <v>M0016</v>
      </c>
      <c r="D157" t="str">
        <f>IFERROR(IF(0=LEN(ReferenceData!$D$157),"",ReferenceData!$D$157),"")</f>
        <v>NUM_CLIENTS_50MM_TO_100MM</v>
      </c>
      <c r="E157" t="str">
        <f>IFERROR(IF(0=LEN(ReferenceData!$E$157),"",ReferenceData!$E$157),"")</f>
        <v>Dynamic</v>
      </c>
      <c r="F157">
        <f ca="1">IFERROR(IF(0=LEN(ReferenceData!$L$157),"",ReferenceData!$L$157),"")</f>
        <v>15</v>
      </c>
      <c r="G157" t="str">
        <f ca="1">IFERROR(IF(0=LEN(ReferenceData!$K$157),"",ReferenceData!$K$157),"")</f>
        <v/>
      </c>
      <c r="H157">
        <f ca="1">IFERROR(IF(0=LEN(ReferenceData!$J$157),"",ReferenceData!$J$157),"")</f>
        <v>19</v>
      </c>
      <c r="I157">
        <f ca="1">IFERROR(IF(0=LEN(ReferenceData!$I$157),"",ReferenceData!$I$157),"")</f>
        <v>25</v>
      </c>
      <c r="J157">
        <f ca="1">IFERROR(IF(0=LEN(ReferenceData!$H$157),"",ReferenceData!$H$157),"")</f>
        <v>28</v>
      </c>
      <c r="K157">
        <f ca="1">IFERROR(IF(0=LEN(ReferenceData!$G$157),"",ReferenceData!$G$157),"")</f>
        <v>29</v>
      </c>
      <c r="L157">
        <f ca="1">IFERROR(IF(0=LEN(ReferenceData!$F$157),"",ReferenceData!$F$157),"")</f>
        <v>30</v>
      </c>
    </row>
    <row r="158" spans="1:12" x14ac:dyDescent="0.25">
      <c r="A158" t="str">
        <f>IFERROR(IF(0=LEN(ReferenceData!$A$158),"",ReferenceData!$A$158),"")</f>
        <v xml:space="preserve">        Infosys Ltd</v>
      </c>
      <c r="B158" t="str">
        <f>IFERROR(IF(0=LEN(ReferenceData!$B$158),"",ReferenceData!$B$158),"")</f>
        <v>INFY US Equity</v>
      </c>
      <c r="C158" t="str">
        <f>IFERROR(IF(0=LEN(ReferenceData!$C$158),"",ReferenceData!$C$158),"")</f>
        <v>M0016</v>
      </c>
      <c r="D158" t="str">
        <f>IFERROR(IF(0=LEN(ReferenceData!$D$158),"",ReferenceData!$D$158),"")</f>
        <v>NUM_CLIENTS_50MM_TO_100MM</v>
      </c>
      <c r="E158" t="str">
        <f>IFERROR(IF(0=LEN(ReferenceData!$E$158),"",ReferenceData!$E$158),"")</f>
        <v>Dynamic</v>
      </c>
      <c r="F158">
        <f ca="1">IFERROR(IF(0=LEN(ReferenceData!$L$158),"",ReferenceData!$L$158),"")</f>
        <v>147</v>
      </c>
      <c r="G158">
        <f ca="1">IFERROR(IF(0=LEN(ReferenceData!$K$158),"",ReferenceData!$K$158),"")</f>
        <v>76</v>
      </c>
      <c r="H158">
        <f ca="1">IFERROR(IF(0=LEN(ReferenceData!$J$158),"",ReferenceData!$J$158),"")</f>
        <v>83</v>
      </c>
      <c r="I158">
        <f ca="1">IFERROR(IF(0=LEN(ReferenceData!$I$158),"",ReferenceData!$I$158),"")</f>
        <v>87</v>
      </c>
      <c r="J158">
        <f ca="1">IFERROR(IF(0=LEN(ReferenceData!$H$158),"",ReferenceData!$H$158),"")</f>
        <v>92</v>
      </c>
      <c r="K158">
        <f ca="1">IFERROR(IF(0=LEN(ReferenceData!$G$158),"",ReferenceData!$G$158),"")</f>
        <v>60</v>
      </c>
      <c r="L158">
        <f ca="1">IFERROR(IF(0=LEN(ReferenceData!$F$158),"",ReferenceData!$F$158),"")</f>
        <v>61</v>
      </c>
    </row>
    <row r="159" spans="1:12" x14ac:dyDescent="0.25">
      <c r="A159" t="str">
        <f>IFERROR(IF(0=LEN(ReferenceData!$A$159),"",ReferenceData!$A$159),"")</f>
        <v xml:space="preserve">        Tata Consultancy Services Ltd</v>
      </c>
      <c r="B159" t="str">
        <f>IFERROR(IF(0=LEN(ReferenceData!$B$159),"",ReferenceData!$B$159),"")</f>
        <v>TCS IN Equity</v>
      </c>
      <c r="C159" t="str">
        <f>IFERROR(IF(0=LEN(ReferenceData!$C$159),"",ReferenceData!$C$159),"")</f>
        <v>M0016</v>
      </c>
      <c r="D159" t="str">
        <f>IFERROR(IF(0=LEN(ReferenceData!$D$159),"",ReferenceData!$D$159),"")</f>
        <v>NUM_CLIENTS_50MM_TO_100MM</v>
      </c>
      <c r="E159" t="str">
        <f>IFERROR(IF(0=LEN(ReferenceData!$E$159),"",ReferenceData!$E$159),"")</f>
        <v>Dynamic</v>
      </c>
      <c r="F159" t="str">
        <f ca="1">IFERROR(IF(0=LEN(ReferenceData!$L$159),"",ReferenceData!$L$159),"")</f>
        <v/>
      </c>
      <c r="G159" t="str">
        <f ca="1">IFERROR(IF(0=LEN(ReferenceData!$K$159),"",ReferenceData!$K$159),"")</f>
        <v/>
      </c>
      <c r="H159" t="str">
        <f ca="1">IFERROR(IF(0=LEN(ReferenceData!$J$159),"",ReferenceData!$J$159),"")</f>
        <v/>
      </c>
      <c r="I159">
        <f ca="1">IFERROR(IF(0=LEN(ReferenceData!$I$159),"",ReferenceData!$I$159),"")</f>
        <v>84</v>
      </c>
      <c r="J159">
        <f ca="1">IFERROR(IF(0=LEN(ReferenceData!$H$159),"",ReferenceData!$H$159),"")</f>
        <v>97</v>
      </c>
      <c r="K159" t="str">
        <f ca="1">IFERROR(IF(0=LEN(ReferenceData!$G$159),"",ReferenceData!$G$159),"")</f>
        <v/>
      </c>
      <c r="L159">
        <f ca="1">IFERROR(IF(0=LEN(ReferenceData!$F$159),"",ReferenceData!$F$159),"")</f>
        <v>105</v>
      </c>
    </row>
    <row r="160" spans="1:12" x14ac:dyDescent="0.25">
      <c r="A160" t="str">
        <f>IFERROR(IF(0=LEN(ReferenceData!$A$160),"",ReferenceData!$A$160),"")</f>
        <v xml:space="preserve">        Wipro Ltd</v>
      </c>
      <c r="B160" t="str">
        <f>IFERROR(IF(0=LEN(ReferenceData!$B$160),"",ReferenceData!$B$160),"")</f>
        <v>WIT US Equity</v>
      </c>
      <c r="C160" t="str">
        <f>IFERROR(IF(0=LEN(ReferenceData!$C$160),"",ReferenceData!$C$160),"")</f>
        <v>M0016</v>
      </c>
      <c r="D160" t="str">
        <f>IFERROR(IF(0=LEN(ReferenceData!$D$160),"",ReferenceData!$D$160),"")</f>
        <v>NUM_CLIENTS_50MM_TO_100MM</v>
      </c>
      <c r="E160" t="str">
        <f>IFERROR(IF(0=LEN(ReferenceData!$E$160),"",ReferenceData!$E$160),"")</f>
        <v>Dynamic</v>
      </c>
      <c r="F160">
        <f ca="1">IFERROR(IF(0=LEN(ReferenceData!$L$160),"",ReferenceData!$L$160),"")</f>
        <v>43</v>
      </c>
      <c r="G160">
        <f ca="1">IFERROR(IF(0=LEN(ReferenceData!$K$160),"",ReferenceData!$K$160),"")</f>
        <v>46</v>
      </c>
      <c r="H160">
        <f ca="1">IFERROR(IF(0=LEN(ReferenceData!$J$160),"",ReferenceData!$J$160),"")</f>
        <v>51</v>
      </c>
      <c r="I160">
        <f ca="1">IFERROR(IF(0=LEN(ReferenceData!$I$160),"",ReferenceData!$I$160),"")</f>
        <v>52</v>
      </c>
      <c r="J160">
        <f ca="1">IFERROR(IF(0=LEN(ReferenceData!$H$160),"",ReferenceData!$H$160),"")</f>
        <v>59</v>
      </c>
      <c r="K160">
        <f ca="1">IFERROR(IF(0=LEN(ReferenceData!$G$160),"",ReferenceData!$G$160),"")</f>
        <v>63</v>
      </c>
      <c r="L160">
        <f ca="1">IFERROR(IF(0=LEN(ReferenceData!$F$160),"",ReferenceData!$F$160),"")</f>
        <v>62</v>
      </c>
    </row>
    <row r="161" spans="1:12" x14ac:dyDescent="0.25">
      <c r="A161" t="str">
        <f>IFERROR(IF(0=LEN(ReferenceData!$A$161),"",ReferenceData!$A$161),"")</f>
        <v xml:space="preserve">    # of Clients $100mn+</v>
      </c>
      <c r="B161" t="str">
        <f>IFERROR(IF(0=LEN(ReferenceData!$B$161),"",ReferenceData!$B$161),"")</f>
        <v/>
      </c>
      <c r="C161" t="str">
        <f>IFERROR(IF(0=LEN(ReferenceData!$C$161),"",ReferenceData!$C$161),"")</f>
        <v/>
      </c>
      <c r="D161" t="str">
        <f>IFERROR(IF(0=LEN(ReferenceData!$D$161),"",ReferenceData!$D$161),"")</f>
        <v/>
      </c>
      <c r="E161" t="str">
        <f>IFERROR(IF(0=LEN(ReferenceData!$E$161),"",ReferenceData!$E$161),"")</f>
        <v>Sum</v>
      </c>
      <c r="F161">
        <f ca="1">IFERROR(IF(0=LEN(ReferenceData!$L$161),"",ReferenceData!$L$161),"")</f>
        <v>33</v>
      </c>
      <c r="G161">
        <f ca="1">IFERROR(IF(0=LEN(ReferenceData!$K$161),"",ReferenceData!$K$161),"")</f>
        <v>30</v>
      </c>
      <c r="H161">
        <f ca="1">IFERROR(IF(0=LEN(ReferenceData!$J$161),"",ReferenceData!$J$161),"")</f>
        <v>38</v>
      </c>
      <c r="I161">
        <f ca="1">IFERROR(IF(0=LEN(ReferenceData!$I$161),"",ReferenceData!$I$161),"")</f>
        <v>78</v>
      </c>
      <c r="J161">
        <f ca="1">IFERROR(IF(0=LEN(ReferenceData!$H$161),"",ReferenceData!$H$161),"")</f>
        <v>74</v>
      </c>
      <c r="K161">
        <f ca="1">IFERROR(IF(0=LEN(ReferenceData!$G$161),"",ReferenceData!$G$161),"")</f>
        <v>45</v>
      </c>
      <c r="L161">
        <f ca="1">IFERROR(IF(0=LEN(ReferenceData!$F$161),"",ReferenceData!$F$161),"")</f>
        <v>107</v>
      </c>
    </row>
    <row r="162" spans="1:12" x14ac:dyDescent="0.25">
      <c r="A162" t="str">
        <f>IFERROR(IF(0=LEN(ReferenceData!$A$162),"",ReferenceData!$A$162),"")</f>
        <v xml:space="preserve">        Cognizant Technology Solutions Corp</v>
      </c>
      <c r="B162" t="str">
        <f>IFERROR(IF(0=LEN(ReferenceData!$B$162),"",ReferenceData!$B$162),"")</f>
        <v>CTSH US Equity</v>
      </c>
      <c r="C162" t="str">
        <f>IFERROR(IF(0=LEN(ReferenceData!$C$162),"",ReferenceData!$C$162),"")</f>
        <v>M0017</v>
      </c>
      <c r="D162" t="str">
        <f>IFERROR(IF(0=LEN(ReferenceData!$D$162),"",ReferenceData!$D$162),"")</f>
        <v>NUM_OF_CLIENTS_OVER_100MM</v>
      </c>
      <c r="E162" t="str">
        <f>IFERROR(IF(0=LEN(ReferenceData!$E$162),"",ReferenceData!$E$162),"")</f>
        <v>Dynamic</v>
      </c>
      <c r="F162" t="str">
        <f ca="1">IFERROR(IF(0=LEN(ReferenceData!$L$162),"",ReferenceData!$L$162),"")</f>
        <v/>
      </c>
      <c r="G162" t="str">
        <f ca="1">IFERROR(IF(0=LEN(ReferenceData!$K$162),"",ReferenceData!$K$162),"")</f>
        <v/>
      </c>
      <c r="H162" t="str">
        <f ca="1">IFERROR(IF(0=LEN(ReferenceData!$J$162),"",ReferenceData!$J$162),"")</f>
        <v/>
      </c>
      <c r="I162" t="str">
        <f ca="1">IFERROR(IF(0=LEN(ReferenceData!$I$162),"",ReferenceData!$I$162),"")</f>
        <v/>
      </c>
      <c r="J162" t="str">
        <f ca="1">IFERROR(IF(0=LEN(ReferenceData!$H$162),"",ReferenceData!$H$162),"")</f>
        <v/>
      </c>
      <c r="K162" t="str">
        <f ca="1">IFERROR(IF(0=LEN(ReferenceData!$G$162),"",ReferenceData!$G$162),"")</f>
        <v/>
      </c>
      <c r="L162" t="str">
        <f ca="1">IFERROR(IF(0=LEN(ReferenceData!$F$162),"",ReferenceData!$F$162),"")</f>
        <v/>
      </c>
    </row>
    <row r="163" spans="1:12" x14ac:dyDescent="0.25">
      <c r="A163" t="str">
        <f>IFERROR(IF(0=LEN(ReferenceData!$A$163),"",ReferenceData!$A$163),"")</f>
        <v xml:space="preserve">        HCL Technologies Ltd</v>
      </c>
      <c r="B163" t="str">
        <f>IFERROR(IF(0=LEN(ReferenceData!$B$163),"",ReferenceData!$B$163),"")</f>
        <v>HCLT IN Equity</v>
      </c>
      <c r="C163" t="str">
        <f>IFERROR(IF(0=LEN(ReferenceData!$C$163),"",ReferenceData!$C$163),"")</f>
        <v>M0017</v>
      </c>
      <c r="D163" t="str">
        <f>IFERROR(IF(0=LEN(ReferenceData!$D$163),"",ReferenceData!$D$163),"")</f>
        <v>NUM_OF_CLIENTS_OVER_100MM</v>
      </c>
      <c r="E163" t="str">
        <f>IFERROR(IF(0=LEN(ReferenceData!$E$163),"",ReferenceData!$E$163),"")</f>
        <v>Dynamic</v>
      </c>
      <c r="F163">
        <f ca="1">IFERROR(IF(0=LEN(ReferenceData!$L$163),"",ReferenceData!$L$163),"")</f>
        <v>6</v>
      </c>
      <c r="G163" t="str">
        <f ca="1">IFERROR(IF(0=LEN(ReferenceData!$K$163),"",ReferenceData!$K$163),"")</f>
        <v/>
      </c>
      <c r="H163">
        <f ca="1">IFERROR(IF(0=LEN(ReferenceData!$J$163),"",ReferenceData!$J$163),"")</f>
        <v>8</v>
      </c>
      <c r="I163">
        <f ca="1">IFERROR(IF(0=LEN(ReferenceData!$I$163),"",ReferenceData!$I$163),"")</f>
        <v>8</v>
      </c>
      <c r="J163">
        <f ca="1">IFERROR(IF(0=LEN(ReferenceData!$H$163),"",ReferenceData!$H$163),"")</f>
        <v>8</v>
      </c>
      <c r="K163">
        <f ca="1">IFERROR(IF(0=LEN(ReferenceData!$G$163),"",ReferenceData!$G$163),"")</f>
        <v>10</v>
      </c>
      <c r="L163">
        <f ca="1">IFERROR(IF(0=LEN(ReferenceData!$F$163),"",ReferenceData!$F$163),"")</f>
        <v>15</v>
      </c>
    </row>
    <row r="164" spans="1:12" x14ac:dyDescent="0.25">
      <c r="A164" t="str">
        <f>IFERROR(IF(0=LEN(ReferenceData!$A$164),"",ReferenceData!$A$164),"")</f>
        <v xml:space="preserve">        Infosys Ltd</v>
      </c>
      <c r="B164" t="str">
        <f>IFERROR(IF(0=LEN(ReferenceData!$B$164),"",ReferenceData!$B$164),"")</f>
        <v>INFY US Equity</v>
      </c>
      <c r="C164" t="str">
        <f>IFERROR(IF(0=LEN(ReferenceData!$C$164),"",ReferenceData!$C$164),"")</f>
        <v>M0017</v>
      </c>
      <c r="D164" t="str">
        <f>IFERROR(IF(0=LEN(ReferenceData!$D$164),"",ReferenceData!$D$164),"")</f>
        <v>NUM_OF_CLIENTS_OVER_100MM</v>
      </c>
      <c r="E164" t="str">
        <f>IFERROR(IF(0=LEN(ReferenceData!$E$164),"",ReferenceData!$E$164),"")</f>
        <v>Dynamic</v>
      </c>
      <c r="F164">
        <f ca="1">IFERROR(IF(0=LEN(ReferenceData!$L$164),"",ReferenceData!$L$164),"")</f>
        <v>17</v>
      </c>
      <c r="G164">
        <f ca="1">IFERROR(IF(0=LEN(ReferenceData!$K$164),"",ReferenceData!$K$164),"")</f>
        <v>19</v>
      </c>
      <c r="H164">
        <f ca="1">IFERROR(IF(0=LEN(ReferenceData!$J$164),"",ReferenceData!$J$164),"")</f>
        <v>21</v>
      </c>
      <c r="I164">
        <f ca="1">IFERROR(IF(0=LEN(ReferenceData!$I$164),"",ReferenceData!$I$164),"")</f>
        <v>26</v>
      </c>
      <c r="J164">
        <f ca="1">IFERROR(IF(0=LEN(ReferenceData!$H$164),"",ReferenceData!$H$164),"")</f>
        <v>20</v>
      </c>
      <c r="K164">
        <f ca="1">IFERROR(IF(0=LEN(ReferenceData!$G$164),"",ReferenceData!$G$164),"")</f>
        <v>25</v>
      </c>
      <c r="L164">
        <f ca="1">IFERROR(IF(0=LEN(ReferenceData!$F$164),"",ReferenceData!$F$164),"")</f>
        <v>28</v>
      </c>
    </row>
    <row r="165" spans="1:12" x14ac:dyDescent="0.25">
      <c r="A165" t="str">
        <f>IFERROR(IF(0=LEN(ReferenceData!$A$165),"",ReferenceData!$A$165),"")</f>
        <v xml:space="preserve">        Tata Consultancy Services Ltd</v>
      </c>
      <c r="B165" t="str">
        <f>IFERROR(IF(0=LEN(ReferenceData!$B$165),"",ReferenceData!$B$165),"")</f>
        <v>TCS IN Equity</v>
      </c>
      <c r="C165" t="str">
        <f>IFERROR(IF(0=LEN(ReferenceData!$C$165),"",ReferenceData!$C$165),"")</f>
        <v>M0017</v>
      </c>
      <c r="D165" t="str">
        <f>IFERROR(IF(0=LEN(ReferenceData!$D$165),"",ReferenceData!$D$165),"")</f>
        <v>NUM_OF_CLIENTS_OVER_100MM</v>
      </c>
      <c r="E165" t="str">
        <f>IFERROR(IF(0=LEN(ReferenceData!$E$165),"",ReferenceData!$E$165),"")</f>
        <v>Dynamic</v>
      </c>
      <c r="F165" t="str">
        <f ca="1">IFERROR(IF(0=LEN(ReferenceData!$L$165),"",ReferenceData!$L$165),"")</f>
        <v/>
      </c>
      <c r="G165" t="str">
        <f ca="1">IFERROR(IF(0=LEN(ReferenceData!$K$165),"",ReferenceData!$K$165),"")</f>
        <v/>
      </c>
      <c r="H165" t="str">
        <f ca="1">IFERROR(IF(0=LEN(ReferenceData!$J$165),"",ReferenceData!$J$165),"")</f>
        <v/>
      </c>
      <c r="I165">
        <f ca="1">IFERROR(IF(0=LEN(ReferenceData!$I$165),"",ReferenceData!$I$165),"")</f>
        <v>35</v>
      </c>
      <c r="J165">
        <f ca="1">IFERROR(IF(0=LEN(ReferenceData!$H$165),"",ReferenceData!$H$165),"")</f>
        <v>38</v>
      </c>
      <c r="K165" t="str">
        <f ca="1">IFERROR(IF(0=LEN(ReferenceData!$G$165),"",ReferenceData!$G$165),"")</f>
        <v/>
      </c>
      <c r="L165">
        <f ca="1">IFERROR(IF(0=LEN(ReferenceData!$F$165),"",ReferenceData!$F$165),"")</f>
        <v>49</v>
      </c>
    </row>
    <row r="166" spans="1:12" x14ac:dyDescent="0.25">
      <c r="A166" t="str">
        <f>IFERROR(IF(0=LEN(ReferenceData!$A$166),"",ReferenceData!$A$166),"")</f>
        <v xml:space="preserve">        Wipro Ltd</v>
      </c>
      <c r="B166" t="str">
        <f>IFERROR(IF(0=LEN(ReferenceData!$B$166),"",ReferenceData!$B$166),"")</f>
        <v>WIT US Equity</v>
      </c>
      <c r="C166" t="str">
        <f>IFERROR(IF(0=LEN(ReferenceData!$C$166),"",ReferenceData!$C$166),"")</f>
        <v>M0017</v>
      </c>
      <c r="D166" t="str">
        <f>IFERROR(IF(0=LEN(ReferenceData!$D$166),"",ReferenceData!$D$166),"")</f>
        <v>NUM_OF_CLIENTS_OVER_100MM</v>
      </c>
      <c r="E166" t="str">
        <f>IFERROR(IF(0=LEN(ReferenceData!$E$166),"",ReferenceData!$E$166),"")</f>
        <v>Dynamic</v>
      </c>
      <c r="F166">
        <f ca="1">IFERROR(IF(0=LEN(ReferenceData!$L$166),"",ReferenceData!$L$166),"")</f>
        <v>10</v>
      </c>
      <c r="G166">
        <f ca="1">IFERROR(IF(0=LEN(ReferenceData!$K$166),"",ReferenceData!$K$166),"")</f>
        <v>11</v>
      </c>
      <c r="H166">
        <f ca="1">IFERROR(IF(0=LEN(ReferenceData!$J$166),"",ReferenceData!$J$166),"")</f>
        <v>9</v>
      </c>
      <c r="I166">
        <f ca="1">IFERROR(IF(0=LEN(ReferenceData!$I$166),"",ReferenceData!$I$166),"")</f>
        <v>9</v>
      </c>
      <c r="J166">
        <f ca="1">IFERROR(IF(0=LEN(ReferenceData!$H$166),"",ReferenceData!$H$166),"")</f>
        <v>8</v>
      </c>
      <c r="K166">
        <f ca="1">IFERROR(IF(0=LEN(ReferenceData!$G$166),"",ReferenceData!$G$166),"")</f>
        <v>10</v>
      </c>
      <c r="L166">
        <f ca="1">IFERROR(IF(0=LEN(ReferenceData!$F$166),"",ReferenceData!$F$166),"")</f>
        <v>15</v>
      </c>
    </row>
    <row r="167" spans="1:12" x14ac:dyDescent="0.25">
      <c r="A167" t="str">
        <f>IFERROR(IF(0=LEN(ReferenceData!$A$167),"",ReferenceData!$A$167),"")</f>
        <v>Contract Metrics:</v>
      </c>
      <c r="B167" t="str">
        <f>IFERROR(IF(0=LEN(ReferenceData!$B$167),"",ReferenceData!$B$167),"")</f>
        <v/>
      </c>
      <c r="C167" t="str">
        <f>IFERROR(IF(0=LEN(ReferenceData!$C$167),"",ReferenceData!$C$167),"")</f>
        <v/>
      </c>
      <c r="D167" t="str">
        <f>IFERROR(IF(0=LEN(ReferenceData!$D$167),"",ReferenceData!$D$167),"")</f>
        <v/>
      </c>
      <c r="E167" t="str">
        <f>IFERROR(IF(0=LEN(ReferenceData!$E$167),"",ReferenceData!$E$167),"")</f>
        <v>Heading</v>
      </c>
      <c r="F167" t="str">
        <f>IFERROR(IF(0=LEN(ReferenceData!$L$167),"",ReferenceData!$L$167),"")</f>
        <v/>
      </c>
      <c r="G167" t="str">
        <f>IFERROR(IF(0=LEN(ReferenceData!$K$167),"",ReferenceData!$K$167),"")</f>
        <v/>
      </c>
      <c r="H167" t="str">
        <f>IFERROR(IF(0=LEN(ReferenceData!$J$167),"",ReferenceData!$J$167),"")</f>
        <v/>
      </c>
      <c r="I167" t="str">
        <f>IFERROR(IF(0=LEN(ReferenceData!$I$167),"",ReferenceData!$I$167),"")</f>
        <v/>
      </c>
      <c r="J167" t="str">
        <f>IFERROR(IF(0=LEN(ReferenceData!$H$167),"",ReferenceData!$H$167),"")</f>
        <v/>
      </c>
      <c r="K167" t="str">
        <f>IFERROR(IF(0=LEN(ReferenceData!$G$167),"",ReferenceData!$G$167),"")</f>
        <v/>
      </c>
      <c r="L167" t="str">
        <f>IFERROR(IF(0=LEN(ReferenceData!$F$167),"",ReferenceData!$F$167),"")</f>
        <v/>
      </c>
    </row>
    <row r="168" spans="1:12" x14ac:dyDescent="0.25">
      <c r="A168" t="str">
        <f>IFERROR(IF(0=LEN(ReferenceData!$A$168),"",ReferenceData!$A$168),"")</f>
        <v>Fixed Price (% of Total)</v>
      </c>
      <c r="B168" t="str">
        <f>IFERROR(IF(0=LEN(ReferenceData!$B$168),"",ReferenceData!$B$168),"")</f>
        <v/>
      </c>
      <c r="C168" t="str">
        <f>IFERROR(IF(0=LEN(ReferenceData!$C$168),"",ReferenceData!$C$168),"")</f>
        <v/>
      </c>
      <c r="D168" t="str">
        <f>IFERROR(IF(0=LEN(ReferenceData!$D$168),"",ReferenceData!$D$168),"")</f>
        <v/>
      </c>
      <c r="E168" t="str">
        <f>IFERROR(IF(0=LEN(ReferenceData!$E$168),"",ReferenceData!$E$168),"")</f>
        <v>Average</v>
      </c>
      <c r="F168">
        <f ca="1">IFERROR(IF(0=LEN(ReferenceData!$L$168),"",ReferenceData!$L$168),"")</f>
        <v>45.650000000000006</v>
      </c>
      <c r="G168">
        <f ca="1">IFERROR(IF(0=LEN(ReferenceData!$K$168),"",ReferenceData!$K$168),"")</f>
        <v>43.866666666666667</v>
      </c>
      <c r="H168">
        <f ca="1">IFERROR(IF(0=LEN(ReferenceData!$J$168),"",ReferenceData!$J$168),"")</f>
        <v>48.125</v>
      </c>
      <c r="I168">
        <f ca="1">IFERROR(IF(0=LEN(ReferenceData!$I$168),"",ReferenceData!$I$168),"")</f>
        <v>51.199999999999996</v>
      </c>
      <c r="J168">
        <f ca="1">IFERROR(IF(0=LEN(ReferenceData!$H$168),"",ReferenceData!$H$168),"")</f>
        <v>56.433333333333337</v>
      </c>
      <c r="K168">
        <f ca="1">IFERROR(IF(0=LEN(ReferenceData!$G$168),"",ReferenceData!$G$168),"")</f>
        <v>61.05</v>
      </c>
      <c r="L168">
        <f ca="1">IFERROR(IF(0=LEN(ReferenceData!$F$168),"",ReferenceData!$F$168),"")</f>
        <v>65.349999999999994</v>
      </c>
    </row>
    <row r="169" spans="1:12" x14ac:dyDescent="0.25">
      <c r="A169" t="str">
        <f>IFERROR(IF(0=LEN(ReferenceData!$A$169),"",ReferenceData!$A$169),"")</f>
        <v xml:space="preserve">    Cognizant Technology Solutions Corp</v>
      </c>
      <c r="B169" t="str">
        <f>IFERROR(IF(0=LEN(ReferenceData!$B$169),"",ReferenceData!$B$169),"")</f>
        <v>CTSH US Equity</v>
      </c>
      <c r="C169" t="str">
        <f>IFERROR(IF(0=LEN(ReferenceData!$C$169),"",ReferenceData!$C$169),"")</f>
        <v>M0021</v>
      </c>
      <c r="D169" t="str">
        <f>IFERROR(IF(0=LEN(ReferenceData!$D$169),"",ReferenceData!$D$169),"")</f>
        <v>FIXED_PRICE_PROJECTS</v>
      </c>
      <c r="E169" t="str">
        <f>IFERROR(IF(0=LEN(ReferenceData!$E$169),"",ReferenceData!$E$169),"")</f>
        <v>Dynamic</v>
      </c>
      <c r="F169">
        <f ca="1">IFERROR(IF(0=LEN(ReferenceData!$L$169),"",ReferenceData!$L$169),"")</f>
        <v>34</v>
      </c>
      <c r="G169">
        <f ca="1">IFERROR(IF(0=LEN(ReferenceData!$K$169),"",ReferenceData!$K$169),"")</f>
        <v>35.5</v>
      </c>
      <c r="H169">
        <f ca="1">IFERROR(IF(0=LEN(ReferenceData!$J$169),"",ReferenceData!$J$169),"")</f>
        <v>36.5</v>
      </c>
      <c r="I169">
        <f ca="1">IFERROR(IF(0=LEN(ReferenceData!$I$169),"",ReferenceData!$I$169),"")</f>
        <v>37.9</v>
      </c>
      <c r="J169" t="str">
        <f ca="1">IFERROR(IF(0=LEN(ReferenceData!$H$169),"",ReferenceData!$H$169),"")</f>
        <v/>
      </c>
      <c r="K169" t="str">
        <f ca="1">IFERROR(IF(0=LEN(ReferenceData!$G$169),"",ReferenceData!$G$169),"")</f>
        <v/>
      </c>
      <c r="L169" t="str">
        <f ca="1">IFERROR(IF(0=LEN(ReferenceData!$F$169),"",ReferenceData!$F$169),"")</f>
        <v/>
      </c>
    </row>
    <row r="170" spans="1:12" x14ac:dyDescent="0.25">
      <c r="A170" t="str">
        <f>IFERROR(IF(0=LEN(ReferenceData!$A$170),"",ReferenceData!$A$170),"")</f>
        <v xml:space="preserve">    HCL Technologies Ltd</v>
      </c>
      <c r="B170" t="str">
        <f>IFERROR(IF(0=LEN(ReferenceData!$B$170),"",ReferenceData!$B$170),"")</f>
        <v>HCLT IN Equity</v>
      </c>
      <c r="C170" t="str">
        <f>IFERROR(IF(0=LEN(ReferenceData!$C$170),"",ReferenceData!$C$170),"")</f>
        <v>M0021</v>
      </c>
      <c r="D170" t="str">
        <f>IFERROR(IF(0=LEN(ReferenceData!$D$170),"",ReferenceData!$D$170),"")</f>
        <v>FIXED_PRICE_PROJECTS</v>
      </c>
      <c r="E170" t="str">
        <f>IFERROR(IF(0=LEN(ReferenceData!$E$170),"",ReferenceData!$E$170),"")</f>
        <v>Dynamic</v>
      </c>
      <c r="F170">
        <f ca="1">IFERROR(IF(0=LEN(ReferenceData!$L$170),"",ReferenceData!$L$170),"")</f>
        <v>56.5</v>
      </c>
      <c r="G170" t="str">
        <f ca="1">IFERROR(IF(0=LEN(ReferenceData!$K$170),"",ReferenceData!$K$170),"")</f>
        <v/>
      </c>
      <c r="H170">
        <f ca="1">IFERROR(IF(0=LEN(ReferenceData!$J$170),"",ReferenceData!$J$170),"")</f>
        <v>56.8</v>
      </c>
      <c r="I170">
        <f ca="1">IFERROR(IF(0=LEN(ReferenceData!$I$170),"",ReferenceData!$I$170),"")</f>
        <v>61.8</v>
      </c>
      <c r="J170">
        <f ca="1">IFERROR(IF(0=LEN(ReferenceData!$H$170),"",ReferenceData!$H$170),"")</f>
        <v>60.7</v>
      </c>
      <c r="K170">
        <f ca="1">IFERROR(IF(0=LEN(ReferenceData!$G$170),"",ReferenceData!$G$170),"")</f>
        <v>62.7</v>
      </c>
      <c r="L170">
        <f ca="1">IFERROR(IF(0=LEN(ReferenceData!$F$170),"",ReferenceData!$F$170),"")</f>
        <v>68.3</v>
      </c>
    </row>
    <row r="171" spans="1:12" x14ac:dyDescent="0.25">
      <c r="A171" t="str">
        <f>IFERROR(IF(0=LEN(ReferenceData!$A$171),"",ReferenceData!$A$171),"")</f>
        <v xml:space="preserve">    Infosys Ltd</v>
      </c>
      <c r="B171" t="str">
        <f>IFERROR(IF(0=LEN(ReferenceData!$B$171),"",ReferenceData!$B$171),"")</f>
        <v>INFY US Equity</v>
      </c>
      <c r="C171" t="str">
        <f>IFERROR(IF(0=LEN(ReferenceData!$C$171),"",ReferenceData!$C$171),"")</f>
        <v>M0021</v>
      </c>
      <c r="D171" t="str">
        <f>IFERROR(IF(0=LEN(ReferenceData!$D$171),"",ReferenceData!$D$171),"")</f>
        <v>FIXED_PRICE_PROJECTS</v>
      </c>
      <c r="E171" t="str">
        <f>IFERROR(IF(0=LEN(ReferenceData!$E$171),"",ReferenceData!$E$171),"")</f>
        <v>Dynamic</v>
      </c>
      <c r="F171">
        <f ca="1">IFERROR(IF(0=LEN(ReferenceData!$L$171),"",ReferenceData!$L$171),"")</f>
        <v>40.799999999999997</v>
      </c>
      <c r="G171">
        <f ca="1">IFERROR(IF(0=LEN(ReferenceData!$K$171),"",ReferenceData!$K$171),"")</f>
        <v>42.1</v>
      </c>
      <c r="H171">
        <f ca="1">IFERROR(IF(0=LEN(ReferenceData!$J$171),"",ReferenceData!$J$171),"")</f>
        <v>44</v>
      </c>
      <c r="I171">
        <f ca="1">IFERROR(IF(0=LEN(ReferenceData!$I$171),"",ReferenceData!$I$171),"")</f>
        <v>48</v>
      </c>
      <c r="J171">
        <f ca="1">IFERROR(IF(0=LEN(ReferenceData!$H$171),"",ReferenceData!$H$171),"")</f>
        <v>50.5</v>
      </c>
      <c r="K171" t="str">
        <f ca="1">IFERROR(IF(0=LEN(ReferenceData!$G$171),"",ReferenceData!$G$171),"")</f>
        <v/>
      </c>
      <c r="L171" t="str">
        <f ca="1">IFERROR(IF(0=LEN(ReferenceData!$F$171),"",ReferenceData!$F$171),"")</f>
        <v/>
      </c>
    </row>
    <row r="172" spans="1:12" x14ac:dyDescent="0.25">
      <c r="A172" t="str">
        <f>IFERROR(IF(0=LEN(ReferenceData!$A$172),"",ReferenceData!$A$172),"")</f>
        <v xml:space="preserve">    Tata Consultancy Services Ltd</v>
      </c>
      <c r="B172" t="str">
        <f>IFERROR(IF(0=LEN(ReferenceData!$B$172),"",ReferenceData!$B$172),"")</f>
        <v>TCS IN Equity</v>
      </c>
      <c r="C172" t="str">
        <f>IFERROR(IF(0=LEN(ReferenceData!$C$172),"",ReferenceData!$C$172),"")</f>
        <v>M0021</v>
      </c>
      <c r="D172" t="str">
        <f>IFERROR(IF(0=LEN(ReferenceData!$D$172),"",ReferenceData!$D$172),"")</f>
        <v>FIXED_PRICE_PROJECTS</v>
      </c>
      <c r="E172" t="str">
        <f>IFERROR(IF(0=LEN(ReferenceData!$E$172),"",ReferenceData!$E$172),"")</f>
        <v>Dynamic</v>
      </c>
      <c r="F172" t="str">
        <f ca="1">IFERROR(IF(0=LEN(ReferenceData!$L$172),"",ReferenceData!$L$172),"")</f>
        <v/>
      </c>
      <c r="G172" t="str">
        <f ca="1">IFERROR(IF(0=LEN(ReferenceData!$K$172),"",ReferenceData!$K$172),"")</f>
        <v/>
      </c>
      <c r="H172" t="str">
        <f ca="1">IFERROR(IF(0=LEN(ReferenceData!$J$172),"",ReferenceData!$J$172),"")</f>
        <v/>
      </c>
      <c r="I172" t="str">
        <f ca="1">IFERROR(IF(0=LEN(ReferenceData!$I$172),"",ReferenceData!$I$172),"")</f>
        <v/>
      </c>
      <c r="J172" t="str">
        <f ca="1">IFERROR(IF(0=LEN(ReferenceData!$H$172),"",ReferenceData!$H$172),"")</f>
        <v/>
      </c>
      <c r="K172" t="str">
        <f ca="1">IFERROR(IF(0=LEN(ReferenceData!$G$172),"",ReferenceData!$G$172),"")</f>
        <v/>
      </c>
      <c r="L172" t="str">
        <f ca="1">IFERROR(IF(0=LEN(ReferenceData!$F$172),"",ReferenceData!$F$172),"")</f>
        <v/>
      </c>
    </row>
    <row r="173" spans="1:12" x14ac:dyDescent="0.25">
      <c r="A173" t="str">
        <f>IFERROR(IF(0=LEN(ReferenceData!$A$173),"",ReferenceData!$A$173),"")</f>
        <v xml:space="preserve">    Wipro Ltd</v>
      </c>
      <c r="B173" t="str">
        <f>IFERROR(IF(0=LEN(ReferenceData!$B$173),"",ReferenceData!$B$173),"")</f>
        <v>WIT US Equity</v>
      </c>
      <c r="C173" t="str">
        <f>IFERROR(IF(0=LEN(ReferenceData!$C$173),"",ReferenceData!$C$173),"")</f>
        <v>M0021</v>
      </c>
      <c r="D173" t="str">
        <f>IFERROR(IF(0=LEN(ReferenceData!$D$173),"",ReferenceData!$D$173),"")</f>
        <v>FIXED_PRICE_PROJECTS</v>
      </c>
      <c r="E173" t="str">
        <f>IFERROR(IF(0=LEN(ReferenceData!$E$173),"",ReferenceData!$E$173),"")</f>
        <v>Dynamic</v>
      </c>
      <c r="F173">
        <f ca="1">IFERROR(IF(0=LEN(ReferenceData!$L$173),"",ReferenceData!$L$173),"")</f>
        <v>51.3</v>
      </c>
      <c r="G173">
        <f ca="1">IFERROR(IF(0=LEN(ReferenceData!$K$173),"",ReferenceData!$K$173),"")</f>
        <v>54</v>
      </c>
      <c r="H173">
        <f ca="1">IFERROR(IF(0=LEN(ReferenceData!$J$173),"",ReferenceData!$J$173),"")</f>
        <v>55.2</v>
      </c>
      <c r="I173">
        <f ca="1">IFERROR(IF(0=LEN(ReferenceData!$I$173),"",ReferenceData!$I$173),"")</f>
        <v>57.1</v>
      </c>
      <c r="J173">
        <f ca="1">IFERROR(IF(0=LEN(ReferenceData!$H$173),"",ReferenceData!$H$173),"")</f>
        <v>58.1</v>
      </c>
      <c r="K173">
        <f ca="1">IFERROR(IF(0=LEN(ReferenceData!$G$173),"",ReferenceData!$G$173),"")</f>
        <v>59.4</v>
      </c>
      <c r="L173">
        <f ca="1">IFERROR(IF(0=LEN(ReferenceData!$F$173),"",ReferenceData!$F$173),"")</f>
        <v>62.4</v>
      </c>
    </row>
    <row r="174" spans="1:12" x14ac:dyDescent="0.25">
      <c r="A174" t="str">
        <f>IFERROR(IF(0=LEN(ReferenceData!$A$174),"",ReferenceData!$A$174),"")</f>
        <v>Time &amp; Materials (% of Total)</v>
      </c>
      <c r="B174" t="str">
        <f>IFERROR(IF(0=LEN(ReferenceData!$B$174),"",ReferenceData!$B$174),"")</f>
        <v/>
      </c>
      <c r="C174" t="str">
        <f>IFERROR(IF(0=LEN(ReferenceData!$C$174),"",ReferenceData!$C$174),"")</f>
        <v/>
      </c>
      <c r="D174" t="str">
        <f>IFERROR(IF(0=LEN(ReferenceData!$D$174),"",ReferenceData!$D$174),"")</f>
        <v/>
      </c>
      <c r="E174" t="str">
        <f>IFERROR(IF(0=LEN(ReferenceData!$E$174),"",ReferenceData!$E$174),"")</f>
        <v>Average</v>
      </c>
      <c r="F174">
        <f ca="1">IFERROR(IF(0=LEN(ReferenceData!$L$174),"",ReferenceData!$L$174),"")</f>
        <v>45.566666666666663</v>
      </c>
      <c r="G174">
        <f ca="1">IFERROR(IF(0=LEN(ReferenceData!$K$174),"",ReferenceData!$K$174),"")</f>
        <v>46.7</v>
      </c>
      <c r="H174">
        <f ca="1">IFERROR(IF(0=LEN(ReferenceData!$J$174),"",ReferenceData!$J$174),"")</f>
        <v>45.233333333333327</v>
      </c>
      <c r="I174">
        <f ca="1">IFERROR(IF(0=LEN(ReferenceData!$I$174),"",ReferenceData!$I$174),"")</f>
        <v>42.699999999999996</v>
      </c>
      <c r="J174">
        <f ca="1">IFERROR(IF(0=LEN(ReferenceData!$H$174),"",ReferenceData!$H$174),"")</f>
        <v>44.4</v>
      </c>
      <c r="K174">
        <f ca="1">IFERROR(IF(0=LEN(ReferenceData!$G$174),"",ReferenceData!$G$174),"")</f>
        <v>36.299999999999997</v>
      </c>
      <c r="L174">
        <f ca="1">IFERROR(IF(0=LEN(ReferenceData!$F$174),"",ReferenceData!$F$174),"")</f>
        <v>31.7</v>
      </c>
    </row>
    <row r="175" spans="1:12" x14ac:dyDescent="0.25">
      <c r="A175" t="str">
        <f>IFERROR(IF(0=LEN(ReferenceData!$A$175),"",ReferenceData!$A$175),"")</f>
        <v xml:space="preserve">    Cognizant Technology Solutions Corp</v>
      </c>
      <c r="B175" t="str">
        <f>IFERROR(IF(0=LEN(ReferenceData!$B$175),"",ReferenceData!$B$175),"")</f>
        <v>CTSH US Equity</v>
      </c>
      <c r="C175" t="str">
        <f>IFERROR(IF(0=LEN(ReferenceData!$C$175),"",ReferenceData!$C$175),"")</f>
        <v>M0022</v>
      </c>
      <c r="D175" t="str">
        <f>IFERROR(IF(0=LEN(ReferenceData!$D$175),"",ReferenceData!$D$175),"")</f>
        <v>TIME_&amp;_MATERIALS_PROJECTS</v>
      </c>
      <c r="E175" t="str">
        <f>IFERROR(IF(0=LEN(ReferenceData!$E$175),"",ReferenceData!$E$175),"")</f>
        <v>Dynamic</v>
      </c>
      <c r="F175">
        <f ca="1">IFERROR(IF(0=LEN(ReferenceData!$L$175),"",ReferenceData!$L$175),"")</f>
        <v>34</v>
      </c>
      <c r="G175">
        <f ca="1">IFERROR(IF(0=LEN(ReferenceData!$K$175),"",ReferenceData!$K$175),"")</f>
        <v>35.5</v>
      </c>
      <c r="H175">
        <f ca="1">IFERROR(IF(0=LEN(ReferenceData!$J$175),"",ReferenceData!$J$175),"")</f>
        <v>36.5</v>
      </c>
      <c r="I175">
        <f ca="1">IFERROR(IF(0=LEN(ReferenceData!$I$175),"",ReferenceData!$I$175),"")</f>
        <v>37.9</v>
      </c>
      <c r="J175" t="str">
        <f ca="1">IFERROR(IF(0=LEN(ReferenceData!$H$175),"",ReferenceData!$H$175),"")</f>
        <v/>
      </c>
      <c r="K175" t="str">
        <f ca="1">IFERROR(IF(0=LEN(ReferenceData!$G$175),"",ReferenceData!$G$175),"")</f>
        <v/>
      </c>
      <c r="L175" t="str">
        <f ca="1">IFERROR(IF(0=LEN(ReferenceData!$F$175),"",ReferenceData!$F$175),"")</f>
        <v/>
      </c>
    </row>
    <row r="176" spans="1:12" x14ac:dyDescent="0.25">
      <c r="A176" t="str">
        <f>IFERROR(IF(0=LEN(ReferenceData!$A$176),"",ReferenceData!$A$176),"")</f>
        <v xml:space="preserve">    HCL Technologies Ltd</v>
      </c>
      <c r="B176" t="str">
        <f>IFERROR(IF(0=LEN(ReferenceData!$B$176),"",ReferenceData!$B$176),"")</f>
        <v>HCLT IN Equity</v>
      </c>
      <c r="C176" t="str">
        <f>IFERROR(IF(0=LEN(ReferenceData!$C$176),"",ReferenceData!$C$176),"")</f>
        <v>M0022</v>
      </c>
      <c r="D176" t="str">
        <f>IFERROR(IF(0=LEN(ReferenceData!$D$176),"",ReferenceData!$D$176),"")</f>
        <v>TIME_&amp;_MATERIALS_PROJECTS</v>
      </c>
      <c r="E176" t="str">
        <f>IFERROR(IF(0=LEN(ReferenceData!$E$176),"",ReferenceData!$E$176),"")</f>
        <v>Dynamic</v>
      </c>
      <c r="F176">
        <f ca="1">IFERROR(IF(0=LEN(ReferenceData!$L$176),"",ReferenceData!$L$176),"")</f>
        <v>43.5</v>
      </c>
      <c r="G176" t="str">
        <f ca="1">IFERROR(IF(0=LEN(ReferenceData!$K$176),"",ReferenceData!$K$176),"")</f>
        <v/>
      </c>
      <c r="H176">
        <f ca="1">IFERROR(IF(0=LEN(ReferenceData!$J$176),"",ReferenceData!$J$176),"")</f>
        <v>43.2</v>
      </c>
      <c r="I176">
        <f ca="1">IFERROR(IF(0=LEN(ReferenceData!$I$176),"",ReferenceData!$I$176),"")</f>
        <v>38.200000000000003</v>
      </c>
      <c r="J176">
        <f ca="1">IFERROR(IF(0=LEN(ReferenceData!$H$176),"",ReferenceData!$H$176),"")</f>
        <v>39.299999999999997</v>
      </c>
      <c r="K176">
        <f ca="1">IFERROR(IF(0=LEN(ReferenceData!$G$176),"",ReferenceData!$G$176),"")</f>
        <v>36.299999999999997</v>
      </c>
      <c r="L176">
        <f ca="1">IFERROR(IF(0=LEN(ReferenceData!$F$176),"",ReferenceData!$F$176),"")</f>
        <v>31.7</v>
      </c>
    </row>
    <row r="177" spans="1:12" x14ac:dyDescent="0.25">
      <c r="A177" t="str">
        <f>IFERROR(IF(0=LEN(ReferenceData!$A$177),"",ReferenceData!$A$177),"")</f>
        <v xml:space="preserve">    Infosys Ltd</v>
      </c>
      <c r="B177" t="str">
        <f>IFERROR(IF(0=LEN(ReferenceData!$B$177),"",ReferenceData!$B$177),"")</f>
        <v>INFY US Equity</v>
      </c>
      <c r="C177" t="str">
        <f>IFERROR(IF(0=LEN(ReferenceData!$C$177),"",ReferenceData!$C$177),"")</f>
        <v>M0022</v>
      </c>
      <c r="D177" t="str">
        <f>IFERROR(IF(0=LEN(ReferenceData!$D$177),"",ReferenceData!$D$177),"")</f>
        <v>TIME_&amp;_MATERIALS_PROJECTS</v>
      </c>
      <c r="E177" t="str">
        <f>IFERROR(IF(0=LEN(ReferenceData!$E$177),"",ReferenceData!$E$177),"")</f>
        <v>Dynamic</v>
      </c>
      <c r="F177">
        <f ca="1">IFERROR(IF(0=LEN(ReferenceData!$L$177),"",ReferenceData!$L$177),"")</f>
        <v>59.2</v>
      </c>
      <c r="G177">
        <f ca="1">IFERROR(IF(0=LEN(ReferenceData!$K$177),"",ReferenceData!$K$177),"")</f>
        <v>57.9</v>
      </c>
      <c r="H177">
        <f ca="1">IFERROR(IF(0=LEN(ReferenceData!$J$177),"",ReferenceData!$J$177),"")</f>
        <v>56</v>
      </c>
      <c r="I177">
        <f ca="1">IFERROR(IF(0=LEN(ReferenceData!$I$177),"",ReferenceData!$I$177),"")</f>
        <v>52</v>
      </c>
      <c r="J177">
        <f ca="1">IFERROR(IF(0=LEN(ReferenceData!$H$177),"",ReferenceData!$H$177),"")</f>
        <v>49.5</v>
      </c>
      <c r="K177" t="str">
        <f ca="1">IFERROR(IF(0=LEN(ReferenceData!$G$177),"",ReferenceData!$G$177),"")</f>
        <v/>
      </c>
      <c r="L177" t="str">
        <f ca="1">IFERROR(IF(0=LEN(ReferenceData!$F$177),"",ReferenceData!$F$177),"")</f>
        <v/>
      </c>
    </row>
    <row r="178" spans="1:12" x14ac:dyDescent="0.25">
      <c r="A178" t="str">
        <f>IFERROR(IF(0=LEN(ReferenceData!$A$178),"",ReferenceData!$A$178),"")</f>
        <v xml:space="preserve">    Tata Consultancy Services Ltd</v>
      </c>
      <c r="B178" t="str">
        <f>IFERROR(IF(0=LEN(ReferenceData!$B$178),"",ReferenceData!$B$178),"")</f>
        <v>TCS IN Equity</v>
      </c>
      <c r="C178" t="str">
        <f>IFERROR(IF(0=LEN(ReferenceData!$C$178),"",ReferenceData!$C$178),"")</f>
        <v>M0022</v>
      </c>
      <c r="D178" t="str">
        <f>IFERROR(IF(0=LEN(ReferenceData!$D$178),"",ReferenceData!$D$178),"")</f>
        <v>TIME_&amp;_MATERIALS_PROJECTS</v>
      </c>
      <c r="E178" t="str">
        <f>IFERROR(IF(0=LEN(ReferenceData!$E$178),"",ReferenceData!$E$178),"")</f>
        <v>Dynamic</v>
      </c>
      <c r="F178" t="str">
        <f ca="1">IFERROR(IF(0=LEN(ReferenceData!$L$178),"",ReferenceData!$L$178),"")</f>
        <v/>
      </c>
      <c r="G178" t="str">
        <f ca="1">IFERROR(IF(0=LEN(ReferenceData!$K$178),"",ReferenceData!$K$178),"")</f>
        <v/>
      </c>
      <c r="H178" t="str">
        <f ca="1">IFERROR(IF(0=LEN(ReferenceData!$J$178),"",ReferenceData!$J$178),"")</f>
        <v/>
      </c>
      <c r="I178" t="str">
        <f ca="1">IFERROR(IF(0=LEN(ReferenceData!$I$178),"",ReferenceData!$I$178),"")</f>
        <v/>
      </c>
      <c r="J178" t="str">
        <f ca="1">IFERROR(IF(0=LEN(ReferenceData!$H$178),"",ReferenceData!$H$178),"")</f>
        <v/>
      </c>
      <c r="K178" t="str">
        <f ca="1">IFERROR(IF(0=LEN(ReferenceData!$G$178),"",ReferenceData!$G$178),"")</f>
        <v/>
      </c>
      <c r="L178" t="str">
        <f ca="1">IFERROR(IF(0=LEN(ReferenceData!$F$178),"",ReferenceData!$F$178),"")</f>
        <v/>
      </c>
    </row>
    <row r="179" spans="1:12" x14ac:dyDescent="0.25">
      <c r="A179" t="str">
        <f>IFERROR(IF(0=LEN(ReferenceData!$A$179),"",ReferenceData!$A$179),"")</f>
        <v xml:space="preserve">    Wipro Ltd</v>
      </c>
      <c r="B179" t="str">
        <f>IFERROR(IF(0=LEN(ReferenceData!$B$179),"",ReferenceData!$B$179),"")</f>
        <v>WIT US Equity</v>
      </c>
      <c r="C179" t="str">
        <f>IFERROR(IF(0=LEN(ReferenceData!$C$179),"",ReferenceData!$C$179),"")</f>
        <v>M0022</v>
      </c>
      <c r="D179" t="str">
        <f>IFERROR(IF(0=LEN(ReferenceData!$D$179),"",ReferenceData!$D$179),"")</f>
        <v>TIME_&amp;_MATERIALS_PROJECTS</v>
      </c>
      <c r="E179" t="str">
        <f>IFERROR(IF(0=LEN(ReferenceData!$E$179),"",ReferenceData!$E$179),"")</f>
        <v>Dynamic</v>
      </c>
      <c r="F179" t="str">
        <f ca="1">IFERROR(IF(0=LEN(ReferenceData!$L$179),"",ReferenceData!$L$179),"")</f>
        <v/>
      </c>
      <c r="G179" t="str">
        <f ca="1">IFERROR(IF(0=LEN(ReferenceData!$K$179),"",ReferenceData!$K$179),"")</f>
        <v/>
      </c>
      <c r="H179" t="str">
        <f ca="1">IFERROR(IF(0=LEN(ReferenceData!$J$179),"",ReferenceData!$J$179),"")</f>
        <v/>
      </c>
      <c r="I179" t="str">
        <f ca="1">IFERROR(IF(0=LEN(ReferenceData!$I$179),"",ReferenceData!$I$179),"")</f>
        <v/>
      </c>
      <c r="J179" t="str">
        <f ca="1">IFERROR(IF(0=LEN(ReferenceData!$H$179),"",ReferenceData!$H$179),"")</f>
        <v/>
      </c>
      <c r="K179" t="str">
        <f ca="1">IFERROR(IF(0=LEN(ReferenceData!$G$179),"",ReferenceData!$G$179),"")</f>
        <v/>
      </c>
      <c r="L179" t="str">
        <f ca="1">IFERROR(IF(0=LEN(ReferenceData!$F$179),"",ReferenceData!$F$179),"")</f>
        <v/>
      </c>
    </row>
    <row r="180" spans="1:12" x14ac:dyDescent="0.25">
      <c r="A180" t="str">
        <f>IFERROR(IF(0=LEN(ReferenceData!$A$180),"",ReferenceData!$A$180),"")</f>
        <v>Revenue by Geography</v>
      </c>
      <c r="B180" t="str">
        <f>IFERROR(IF(0=LEN(ReferenceData!$B$180),"",ReferenceData!$B$180),"")</f>
        <v/>
      </c>
      <c r="C180" t="str">
        <f>IFERROR(IF(0=LEN(ReferenceData!$C$180),"",ReferenceData!$C$180),"")</f>
        <v/>
      </c>
      <c r="D180" t="str">
        <f>IFERROR(IF(0=LEN(ReferenceData!$D$180),"",ReferenceData!$D$180),"")</f>
        <v/>
      </c>
      <c r="E180" t="str">
        <f>IFERROR(IF(0=LEN(ReferenceData!$E$180),"",ReferenceData!$E$180),"")</f>
        <v>Static</v>
      </c>
      <c r="F180" t="str">
        <f ca="1">IFERROR(IF(0=LEN(ReferenceData!$L$180),"",ReferenceData!$L$180),"")</f>
        <v/>
      </c>
      <c r="G180" t="str">
        <f ca="1">IFERROR(IF(0=LEN(ReferenceData!$K$180),"",ReferenceData!$K$180),"")</f>
        <v/>
      </c>
      <c r="H180" t="str">
        <f ca="1">IFERROR(IF(0=LEN(ReferenceData!$J$180),"",ReferenceData!$J$180),"")</f>
        <v/>
      </c>
      <c r="I180" t="str">
        <f ca="1">IFERROR(IF(0=LEN(ReferenceData!$I$180),"",ReferenceData!$I$180),"")</f>
        <v/>
      </c>
      <c r="J180" t="str">
        <f ca="1">IFERROR(IF(0=LEN(ReferenceData!$H$180),"",ReferenceData!$H$180),"")</f>
        <v/>
      </c>
      <c r="K180" t="str">
        <f ca="1">IFERROR(IF(0=LEN(ReferenceData!$G$180),"",ReferenceData!$G$180),"")</f>
        <v/>
      </c>
      <c r="L180" t="str">
        <f ca="1">IFERROR(IF(0=LEN(ReferenceData!$F$180),"",ReferenceData!$F$180),"")</f>
        <v/>
      </c>
    </row>
    <row r="181" spans="1:12" x14ac:dyDescent="0.25">
      <c r="A181" t="str">
        <f>IFERROR(IF(0=LEN(ReferenceData!$A$181),"",ReferenceData!$A$181),"")</f>
        <v xml:space="preserve">    North America</v>
      </c>
      <c r="B181" t="str">
        <f>IFERROR(IF(0=LEN(ReferenceData!$B$181),"",ReferenceData!$B$181),"")</f>
        <v/>
      </c>
      <c r="C181" t="str">
        <f>IFERROR(IF(0=LEN(ReferenceData!$C$181),"",ReferenceData!$C$181),"")</f>
        <v/>
      </c>
      <c r="D181" t="str">
        <f>IFERROR(IF(0=LEN(ReferenceData!$D$181),"",ReferenceData!$D$181),"")</f>
        <v/>
      </c>
      <c r="E181" t="str">
        <f>IFERROR(IF(0=LEN(ReferenceData!$E$181),"",ReferenceData!$E$181),"")</f>
        <v>Sum</v>
      </c>
      <c r="F181">
        <f ca="1">IFERROR(IF(0=LEN(ReferenceData!$L$181),"",ReferenceData!$L$181),"")</f>
        <v>82476.899517999991</v>
      </c>
      <c r="G181">
        <f ca="1">IFERROR(IF(0=LEN(ReferenceData!$K$181),"",ReferenceData!$K$181),"")</f>
        <v>79532.529924000002</v>
      </c>
      <c r="H181">
        <f ca="1">IFERROR(IF(0=LEN(ReferenceData!$J$181),"",ReferenceData!$J$181),"")</f>
        <v>81562.873418999996</v>
      </c>
      <c r="I181">
        <f ca="1">IFERROR(IF(0=LEN(ReferenceData!$I$181),"",ReferenceData!$I$181),"")</f>
        <v>84245.954841999992</v>
      </c>
      <c r="J181">
        <f ca="1">IFERROR(IF(0=LEN(ReferenceData!$H$181),"",ReferenceData!$H$181),"")</f>
        <v>86089.592843999999</v>
      </c>
      <c r="K181">
        <f ca="1">IFERROR(IF(0=LEN(ReferenceData!$G$181),"",ReferenceData!$G$181),"")</f>
        <v>89559.516973999984</v>
      </c>
      <c r="L181">
        <f ca="1">IFERROR(IF(0=LEN(ReferenceData!$F$181),"",ReferenceData!$F$181),"")</f>
        <v>93412.932560000001</v>
      </c>
    </row>
    <row r="182" spans="1:12" x14ac:dyDescent="0.25">
      <c r="A182" t="str">
        <f>IFERROR(IF(0=LEN(ReferenceData!$A$182),"",ReferenceData!$A$182),"")</f>
        <v xml:space="preserve">        International Business Machine</v>
      </c>
      <c r="B182" t="str">
        <f>IFERROR(IF(0=LEN(ReferenceData!$B$182),"",ReferenceData!$B$182),"")</f>
        <v>IBM US Equity</v>
      </c>
      <c r="C182" t="str">
        <f>IFERROR(IF(0=LEN(ReferenceData!$C$182),"",ReferenceData!$C$182),"")</f>
        <v>BI047</v>
      </c>
      <c r="D182" t="str">
        <f>IFERROR(IF(0=LEN(ReferenceData!$D$182),"",ReferenceData!$D$182),"")</f>
        <v>BICS_SEGMENT_DATA</v>
      </c>
      <c r="E182" t="str">
        <f>IFERROR(IF(0=LEN(ReferenceData!$E$182),"",ReferenceData!$E$182),"")</f>
        <v>Dynamic</v>
      </c>
      <c r="F182">
        <f ca="1">IFERROR(IF(0=LEN(ReferenceData!$L$182),"",ReferenceData!$L$182),"")</f>
        <v>43249</v>
      </c>
      <c r="G182">
        <f ca="1">IFERROR(IF(0=LEN(ReferenceData!$K$182),"",ReferenceData!$K$182),"")</f>
        <v>41410</v>
      </c>
      <c r="H182">
        <f ca="1">IFERROR(IF(0=LEN(ReferenceData!$J$182),"",ReferenceData!$J$182),"")</f>
        <v>38486</v>
      </c>
      <c r="I182">
        <f ca="1">IFERROR(IF(0=LEN(ReferenceData!$I$182),"",ReferenceData!$I$182),"")</f>
        <v>37513</v>
      </c>
      <c r="J182">
        <f ca="1">IFERROR(IF(0=LEN(ReferenceData!$H$182),"",ReferenceData!$H$182),"")</f>
        <v>37479</v>
      </c>
      <c r="K182">
        <f ca="1">IFERROR(IF(0=LEN(ReferenceData!$G$182),"",ReferenceData!$G$182),"")</f>
        <v>36994</v>
      </c>
      <c r="L182">
        <f ca="1">IFERROR(IF(0=LEN(ReferenceData!$F$182),"",ReferenceData!$F$182),"")</f>
        <v>36274</v>
      </c>
    </row>
    <row r="183" spans="1:12" x14ac:dyDescent="0.25">
      <c r="A183" t="str">
        <f>IFERROR(IF(0=LEN(ReferenceData!$A$183),"",ReferenceData!$A$183),"")</f>
        <v xml:space="preserve">        Accenture PLC</v>
      </c>
      <c r="B183" t="str">
        <f>IFERROR(IF(0=LEN(ReferenceData!$B$183),"",ReferenceData!$B$183),"")</f>
        <v>ACN US Equity</v>
      </c>
      <c r="C183" t="str">
        <f>IFERROR(IF(0=LEN(ReferenceData!$C$183),"",ReferenceData!$C$183),"")</f>
        <v>BI047</v>
      </c>
      <c r="D183" t="str">
        <f>IFERROR(IF(0=LEN(ReferenceData!$D$183),"",ReferenceData!$D$183),"")</f>
        <v>BICS_SEGMENT_DATA</v>
      </c>
      <c r="E183" t="str">
        <f>IFERROR(IF(0=LEN(ReferenceData!$E$183),"",ReferenceData!$E$183),"")</f>
        <v>Dynamic</v>
      </c>
      <c r="F183">
        <f ca="1">IFERROR(IF(0=LEN(ReferenceData!$L$183),"",ReferenceData!$L$183),"")</f>
        <v>13518.623</v>
      </c>
      <c r="G183">
        <f ca="1">IFERROR(IF(0=LEN(ReferenceData!$K$183),"",ReferenceData!$K$183),"")</f>
        <v>12796.846</v>
      </c>
      <c r="H183">
        <f ca="1">IFERROR(IF(0=LEN(ReferenceData!$J$183),"",ReferenceData!$J$183),"")</f>
        <v>14209.387000000001</v>
      </c>
      <c r="I183">
        <f ca="1">IFERROR(IF(0=LEN(ReferenceData!$I$183),"",ReferenceData!$I$183),"")</f>
        <v>15653.29</v>
      </c>
      <c r="J183">
        <f ca="1">IFERROR(IF(0=LEN(ReferenceData!$H$183),"",ReferenceData!$H$183),"")</f>
        <v>16291</v>
      </c>
      <c r="K183">
        <f ca="1">IFERROR(IF(0=LEN(ReferenceData!$G$183),"",ReferenceData!$G$183),"")</f>
        <v>17849</v>
      </c>
      <c r="L183">
        <f ca="1">IFERROR(IF(0=LEN(ReferenceData!$F$183),"",ReferenceData!$F$183),"")</f>
        <v>19986.135999999999</v>
      </c>
    </row>
    <row r="184" spans="1:12" x14ac:dyDescent="0.25">
      <c r="A184" t="str">
        <f>IFERROR(IF(0=LEN(ReferenceData!$A$184),"",ReferenceData!$A$184),"")</f>
        <v xml:space="preserve">        Tata Consultancy Services Ltd</v>
      </c>
      <c r="B184" t="str">
        <f>IFERROR(IF(0=LEN(ReferenceData!$B$184),"",ReferenceData!$B$184),"")</f>
        <v>TCS IN Equity</v>
      </c>
      <c r="C184" t="str">
        <f>IFERROR(IF(0=LEN(ReferenceData!$C$184),"",ReferenceData!$C$184),"")</f>
        <v>BI047</v>
      </c>
      <c r="D184" t="str">
        <f>IFERROR(IF(0=LEN(ReferenceData!$D$184),"",ReferenceData!$D$184),"")</f>
        <v>BICS_SEGMENT_DATA</v>
      </c>
      <c r="E184" t="str">
        <f>IFERROR(IF(0=LEN(ReferenceData!$E$184),"",ReferenceData!$E$184),"")</f>
        <v>Dynamic</v>
      </c>
      <c r="F184">
        <f ca="1">IFERROR(IF(0=LEN(ReferenceData!$L$184),"",ReferenceData!$L$184),"")</f>
        <v>7496.0403919999999</v>
      </c>
      <c r="G184">
        <f ca="1">IFERROR(IF(0=LEN(ReferenceData!$K$184),"",ReferenceData!$K$184),"")</f>
        <v>8361.6576760000007</v>
      </c>
      <c r="H184">
        <f ca="1">IFERROR(IF(0=LEN(ReferenceData!$J$184),"",ReferenceData!$J$184),"")</f>
        <v>9169.8668369999996</v>
      </c>
      <c r="I184">
        <f ca="1">IFERROR(IF(0=LEN(ReferenceData!$I$184),"",ReferenceData!$I$184),"")</f>
        <v>9871.4766469999995</v>
      </c>
      <c r="J184">
        <f ca="1">IFERROR(IF(0=LEN(ReferenceData!$H$184),"",ReferenceData!$H$184),"")</f>
        <v>10254.11529</v>
      </c>
      <c r="K184">
        <f ca="1">IFERROR(IF(0=LEN(ReferenceData!$G$184),"",ReferenceData!$G$184),"")</f>
        <v>11105.56691</v>
      </c>
      <c r="L184">
        <f ca="1">IFERROR(IF(0=LEN(ReferenceData!$F$184),"",ReferenceData!$F$184),"")</f>
        <v>11581.67619</v>
      </c>
    </row>
    <row r="185" spans="1:12" x14ac:dyDescent="0.25">
      <c r="A185" t="str">
        <f>IFERROR(IF(0=LEN(ReferenceData!$A$185),"",ReferenceData!$A$185),"")</f>
        <v xml:space="preserve">        Cognizant Technology Solutions</v>
      </c>
      <c r="B185" t="str">
        <f>IFERROR(IF(0=LEN(ReferenceData!$B$185),"",ReferenceData!$B$185),"")</f>
        <v>CTSH US Equity</v>
      </c>
      <c r="C185" t="str">
        <f>IFERROR(IF(0=LEN(ReferenceData!$C$185),"",ReferenceData!$C$185),"")</f>
        <v>BI047</v>
      </c>
      <c r="D185" t="str">
        <f>IFERROR(IF(0=LEN(ReferenceData!$D$185),"",ReferenceData!$D$185),"")</f>
        <v>BICS_SEGMENT_DATA</v>
      </c>
      <c r="E185" t="str">
        <f>IFERROR(IF(0=LEN(ReferenceData!$E$185),"",ReferenceData!$E$185),"")</f>
        <v>Dynamic</v>
      </c>
      <c r="F185">
        <f ca="1">IFERROR(IF(0=LEN(ReferenceData!$L$185),"",ReferenceData!$L$185),"")</f>
        <v>6860.067</v>
      </c>
      <c r="G185">
        <f ca="1">IFERROR(IF(0=LEN(ReferenceData!$K$185),"",ReferenceData!$K$185),"")</f>
        <v>7879.8</v>
      </c>
      <c r="H185">
        <f ca="1">IFERROR(IF(0=LEN(ReferenceData!$J$185),"",ReferenceData!$J$185),"")</f>
        <v>9759</v>
      </c>
      <c r="I185">
        <f ca="1">IFERROR(IF(0=LEN(ReferenceData!$I$185),"",ReferenceData!$I$185),"")</f>
        <v>10546</v>
      </c>
      <c r="J185">
        <f ca="1">IFERROR(IF(0=LEN(ReferenceData!$H$185),"",ReferenceData!$H$185),"")</f>
        <v>11450</v>
      </c>
      <c r="K185">
        <f ca="1">IFERROR(IF(0=LEN(ReferenceData!$G$185),"",ReferenceData!$G$185),"")</f>
        <v>12293</v>
      </c>
      <c r="L185">
        <f ca="1">IFERROR(IF(0=LEN(ReferenceData!$F$185),"",ReferenceData!$F$185),"")</f>
        <v>12726</v>
      </c>
    </row>
    <row r="186" spans="1:12" x14ac:dyDescent="0.25">
      <c r="A186" t="str">
        <f>IFERROR(IF(0=LEN(ReferenceData!$A$186),"",ReferenceData!$A$186),"")</f>
        <v xml:space="preserve">        Infosys Ltd</v>
      </c>
      <c r="B186" t="str">
        <f>IFERROR(IF(0=LEN(ReferenceData!$B$186),"",ReferenceData!$B$186),"")</f>
        <v>INFY US Equity</v>
      </c>
      <c r="C186" t="str">
        <f>IFERROR(IF(0=LEN(ReferenceData!$C$186),"",ReferenceData!$C$186),"")</f>
        <v>BI047</v>
      </c>
      <c r="D186" t="str">
        <f>IFERROR(IF(0=LEN(ReferenceData!$D$186),"",ReferenceData!$D$186),"")</f>
        <v>BICS_SEGMENT_DATA</v>
      </c>
      <c r="E186" t="str">
        <f>IFERROR(IF(0=LEN(ReferenceData!$E$186),"",ReferenceData!$E$186),"")</f>
        <v>Dynamic</v>
      </c>
      <c r="F186">
        <f ca="1">IFERROR(IF(0=LEN(ReferenceData!$L$186),"",ReferenceData!$L$186),"")</f>
        <v>5037.1177109999999</v>
      </c>
      <c r="G186">
        <f ca="1">IFERROR(IF(0=LEN(ReferenceData!$K$186),"",ReferenceData!$K$186),"")</f>
        <v>5365.1230679999999</v>
      </c>
      <c r="H186">
        <f ca="1">IFERROR(IF(0=LEN(ReferenceData!$J$186),"",ReferenceData!$J$186),"")</f>
        <v>5984.3790710000003</v>
      </c>
      <c r="I186">
        <f ca="1">IFERROR(IF(0=LEN(ReferenceData!$I$186),"",ReferenceData!$I$186),"")</f>
        <v>6325.7234129999997</v>
      </c>
      <c r="J186">
        <f ca="1">IFERROR(IF(0=LEN(ReferenceData!$H$186),"",ReferenceData!$H$186),"")</f>
        <v>6603.9899299999997</v>
      </c>
      <c r="K186">
        <f ca="1">IFERROR(IF(0=LEN(ReferenceData!$G$186),"",ReferenceData!$G$186),"")</f>
        <v>7158.7448009999998</v>
      </c>
      <c r="L186">
        <f ca="1">IFERROR(IF(0=LEN(ReferenceData!$F$186),"",ReferenceData!$F$186),"")</f>
        <v>7874.0805579999997</v>
      </c>
    </row>
    <row r="187" spans="1:12" x14ac:dyDescent="0.25">
      <c r="A187" t="str">
        <f>IFERROR(IF(0=LEN(ReferenceData!$A$187),"",ReferenceData!$A$187),"")</f>
        <v xml:space="preserve">        Wipro Ltd</v>
      </c>
      <c r="B187" t="str">
        <f>IFERROR(IF(0=LEN(ReferenceData!$B$187),"",ReferenceData!$B$187),"")</f>
        <v>WIT US Equity</v>
      </c>
      <c r="C187" t="str">
        <f>IFERROR(IF(0=LEN(ReferenceData!$C$187),"",ReferenceData!$C$187),"")</f>
        <v>BI047</v>
      </c>
      <c r="D187" t="str">
        <f>IFERROR(IF(0=LEN(ReferenceData!$D$187),"",ReferenceData!$D$187),"")</f>
        <v>BICS_SEGMENT_DATA</v>
      </c>
      <c r="E187" t="str">
        <f>IFERROR(IF(0=LEN(ReferenceData!$E$187),"",ReferenceData!$E$187),"")</f>
        <v>Dynamic</v>
      </c>
      <c r="F187">
        <f ca="1">IFERROR(IF(0=LEN(ReferenceData!$L$187),"",ReferenceData!$L$187),"")</f>
        <v>3318.1576089999999</v>
      </c>
      <c r="G187">
        <f ca="1">IFERROR(IF(0=LEN(ReferenceData!$K$187),"",ReferenceData!$K$187),"")</f>
        <v>3719.1031800000001</v>
      </c>
      <c r="H187">
        <f ca="1">IFERROR(IF(0=LEN(ReferenceData!$J$187),"",ReferenceData!$J$187),"")</f>
        <v>3954.240511</v>
      </c>
      <c r="I187">
        <f ca="1">IFERROR(IF(0=LEN(ReferenceData!$I$187),"",ReferenceData!$I$187),"")</f>
        <v>4336.464782</v>
      </c>
      <c r="J187">
        <f ca="1">IFERROR(IF(0=LEN(ReferenceData!$H$187),"",ReferenceData!$H$187),"")</f>
        <v>4011.4876239999999</v>
      </c>
      <c r="K187">
        <f ca="1">IFERROR(IF(0=LEN(ReferenceData!$G$187),"",ReferenceData!$G$187),"")</f>
        <v>4159.2052629999998</v>
      </c>
      <c r="L187">
        <f ca="1">IFERROR(IF(0=LEN(ReferenceData!$F$187),"",ReferenceData!$F$187),"")</f>
        <v>4971.039812</v>
      </c>
    </row>
    <row r="188" spans="1:12" x14ac:dyDescent="0.25">
      <c r="A188" t="str">
        <f>IFERROR(IF(0=LEN(ReferenceData!$A$188),"",ReferenceData!$A$188),"")</f>
        <v xml:space="preserve">        HCL Technologies Ltd</v>
      </c>
      <c r="B188" t="str">
        <f>IFERROR(IF(0=LEN(ReferenceData!$B$188),"",ReferenceData!$B$188),"")</f>
        <v>HCLT IN Equity</v>
      </c>
      <c r="C188" t="str">
        <f>IFERROR(IF(0=LEN(ReferenceData!$C$188),"",ReferenceData!$C$188),"")</f>
        <v>BI047</v>
      </c>
      <c r="D188" t="str">
        <f>IFERROR(IF(0=LEN(ReferenceData!$D$188),"",ReferenceData!$D$188),"")</f>
        <v>BICS_SEGMENT_DATA</v>
      </c>
      <c r="E188" t="str">
        <f>IFERROR(IF(0=LEN(ReferenceData!$E$188),"",ReferenceData!$E$188),"")</f>
        <v>Dynamic</v>
      </c>
      <c r="F188">
        <f ca="1">IFERROR(IF(0=LEN(ReferenceData!$L$188),"",ReferenceData!$L$188),"")</f>
        <v>2997.893806</v>
      </c>
      <c r="G188" t="str">
        <f ca="1">IFERROR(IF(0=LEN(ReferenceData!$K$188),"",ReferenceData!$K$188),"")</f>
        <v/>
      </c>
      <c r="H188" t="str">
        <f ca="1">IFERROR(IF(0=LEN(ReferenceData!$J$188),"",ReferenceData!$J$188),"")</f>
        <v/>
      </c>
      <c r="I188" t="str">
        <f ca="1">IFERROR(IF(0=LEN(ReferenceData!$I$188),"",ReferenceData!$I$188),"")</f>
        <v/>
      </c>
      <c r="J188" t="str">
        <f ca="1">IFERROR(IF(0=LEN(ReferenceData!$H$188),"",ReferenceData!$H$188),"")</f>
        <v/>
      </c>
      <c r="K188" t="str">
        <f ca="1">IFERROR(IF(0=LEN(ReferenceData!$G$188),"",ReferenceData!$G$188),"")</f>
        <v/>
      </c>
      <c r="L188" t="str">
        <f ca="1">IFERROR(IF(0=LEN(ReferenceData!$F$188),"",ReferenceData!$F$188),"")</f>
        <v/>
      </c>
    </row>
    <row r="189" spans="1:12" x14ac:dyDescent="0.25">
      <c r="A189" t="str">
        <f>IFERROR(IF(0=LEN(ReferenceData!$A$189),"",ReferenceData!$A$189),"")</f>
        <v xml:space="preserve">        </v>
      </c>
      <c r="B189" t="str">
        <f>IFERROR(IF(0=LEN(ReferenceData!$B$189),"",ReferenceData!$B$189),"")</f>
        <v/>
      </c>
      <c r="C189" t="str">
        <f>IFERROR(IF(0=LEN(ReferenceData!$C$189),"",ReferenceData!$C$189),"")</f>
        <v/>
      </c>
      <c r="D189" t="str">
        <f>IFERROR(IF(0=LEN(ReferenceData!$D$189),"",ReferenceData!$D$189),"")</f>
        <v/>
      </c>
      <c r="E189" t="str">
        <f>IFERROR(IF(0=LEN(ReferenceData!$E$189),"",ReferenceData!$E$189),"")</f>
        <v>Static</v>
      </c>
      <c r="F189" t="str">
        <f ca="1">IFERROR(IF(0=LEN(ReferenceData!$L$189),"",ReferenceData!$L$189),"")</f>
        <v/>
      </c>
      <c r="G189" t="str">
        <f ca="1">IFERROR(IF(0=LEN(ReferenceData!$K$189),"",ReferenceData!$K$189),"")</f>
        <v/>
      </c>
      <c r="H189" t="str">
        <f ca="1">IFERROR(IF(0=LEN(ReferenceData!$J$189),"",ReferenceData!$J$189),"")</f>
        <v/>
      </c>
      <c r="I189" t="str">
        <f ca="1">IFERROR(IF(0=LEN(ReferenceData!$I$189),"",ReferenceData!$I$189),"")</f>
        <v/>
      </c>
      <c r="J189" t="str">
        <f ca="1">IFERROR(IF(0=LEN(ReferenceData!$H$189),"",ReferenceData!$H$189),"")</f>
        <v/>
      </c>
      <c r="K189" t="str">
        <f ca="1">IFERROR(IF(0=LEN(ReferenceData!$G$189),"",ReferenceData!$G$189),"")</f>
        <v/>
      </c>
      <c r="L189" t="str">
        <f ca="1">IFERROR(IF(0=LEN(ReferenceData!$F$189),"",ReferenceData!$F$189),"")</f>
        <v/>
      </c>
    </row>
    <row r="190" spans="1:12" x14ac:dyDescent="0.25">
      <c r="A190" t="str">
        <f>IFERROR(IF(0=LEN(ReferenceData!$A$190),"",ReferenceData!$A$190),"")</f>
        <v xml:space="preserve">    Europe</v>
      </c>
      <c r="B190" t="str">
        <f>IFERROR(IF(0=LEN(ReferenceData!$B$190),"",ReferenceData!$B$190),"")</f>
        <v/>
      </c>
      <c r="C190" t="str">
        <f>IFERROR(IF(0=LEN(ReferenceData!$C$190),"",ReferenceData!$C$190),"")</f>
        <v/>
      </c>
      <c r="D190" t="str">
        <f>IFERROR(IF(0=LEN(ReferenceData!$D$190),"",ReferenceData!$D$190),"")</f>
        <v/>
      </c>
      <c r="E190" t="str">
        <f>IFERROR(IF(0=LEN(ReferenceData!$E$190),"",ReferenceData!$E$190),"")</f>
        <v>Sum</v>
      </c>
      <c r="F190">
        <f ca="1">IFERROR(IF(0=LEN(ReferenceData!$L$190),"",ReferenceData!$L$190),"")</f>
        <v>75210.062690000006</v>
      </c>
      <c r="G190">
        <f ca="1">IFERROR(IF(0=LEN(ReferenceData!$K$190),"",ReferenceData!$K$190),"")</f>
        <v>64933.132611000001</v>
      </c>
      <c r="H190">
        <f ca="1">IFERROR(IF(0=LEN(ReferenceData!$J$190),"",ReferenceData!$J$190),"")</f>
        <v>52266.253587999992</v>
      </c>
      <c r="I190">
        <f ca="1">IFERROR(IF(0=LEN(ReferenceData!$I$190),"",ReferenceData!$I$190),"")</f>
        <v>55288.363975</v>
      </c>
      <c r="J190">
        <f ca="1">IFERROR(IF(0=LEN(ReferenceData!$H$190),"",ReferenceData!$H$190),"")</f>
        <v>57748.904397999999</v>
      </c>
      <c r="K190">
        <f ca="1">IFERROR(IF(0=LEN(ReferenceData!$G$190),"",ReferenceData!$G$190),"")</f>
        <v>63984.768227000008</v>
      </c>
      <c r="L190" t="str">
        <f ca="1">IFERROR(IF(0=LEN(ReferenceData!$F$190),"",ReferenceData!$F$190),"")</f>
        <v/>
      </c>
    </row>
    <row r="191" spans="1:12" x14ac:dyDescent="0.25">
      <c r="A191" t="str">
        <f>IFERROR(IF(0=LEN(ReferenceData!$A$191),"",ReferenceData!$A$191),"")</f>
        <v xml:space="preserve">        International Business Machine</v>
      </c>
      <c r="B191" t="str">
        <f>IFERROR(IF(0=LEN(ReferenceData!$B$191),"",ReferenceData!$B$191),"")</f>
        <v>IBM US Equity</v>
      </c>
      <c r="C191" t="str">
        <f>IFERROR(IF(0=LEN(ReferenceData!$C$191),"",ReferenceData!$C$191),"")</f>
        <v>BI047</v>
      </c>
      <c r="D191" t="str">
        <f>IFERROR(IF(0=LEN(ReferenceData!$D$191),"",ReferenceData!$D$191),"")</f>
        <v>BICS_SEGMENT_DATA</v>
      </c>
      <c r="E191" t="str">
        <f>IFERROR(IF(0=LEN(ReferenceData!$E$191),"",ReferenceData!$E$191),"")</f>
        <v>Dynamic</v>
      </c>
      <c r="F191">
        <f ca="1">IFERROR(IF(0=LEN(ReferenceData!$L$191),"",ReferenceData!$L$191),"")</f>
        <v>31628</v>
      </c>
      <c r="G191">
        <f ca="1">IFERROR(IF(0=LEN(ReferenceData!$K$191),"",ReferenceData!$K$191),"")</f>
        <v>30700</v>
      </c>
      <c r="H191">
        <f ca="1">IFERROR(IF(0=LEN(ReferenceData!$J$191),"",ReferenceData!$J$191),"")</f>
        <v>26073</v>
      </c>
      <c r="I191">
        <f ca="1">IFERROR(IF(0=LEN(ReferenceData!$I$191),"",ReferenceData!$I$191),"")</f>
        <v>24769</v>
      </c>
      <c r="J191">
        <f ca="1">IFERROR(IF(0=LEN(ReferenceData!$H$191),"",ReferenceData!$H$191),"")</f>
        <v>24345</v>
      </c>
      <c r="K191">
        <f ca="1">IFERROR(IF(0=LEN(ReferenceData!$G$191),"",ReferenceData!$G$191),"")</f>
        <v>25491</v>
      </c>
      <c r="L191">
        <f ca="1">IFERROR(IF(0=LEN(ReferenceData!$F$191),"",ReferenceData!$F$191),"")</f>
        <v>24443</v>
      </c>
    </row>
    <row r="192" spans="1:12" x14ac:dyDescent="0.25">
      <c r="A192" t="str">
        <f>IFERROR(IF(0=LEN(ReferenceData!$A$192),"",ReferenceData!$A$192),"")</f>
        <v xml:space="preserve">        Accenture PLC</v>
      </c>
      <c r="B192" t="str">
        <f>IFERROR(IF(0=LEN(ReferenceData!$B$192),"",ReferenceData!$B$192),"")</f>
        <v>ACN US Equity</v>
      </c>
      <c r="C192" t="str">
        <f>IFERROR(IF(0=LEN(ReferenceData!$C$192),"",ReferenceData!$C$192),"")</f>
        <v>BI047</v>
      </c>
      <c r="D192" t="str">
        <f>IFERROR(IF(0=LEN(ReferenceData!$D$192),"",ReferenceData!$D$192),"")</f>
        <v>BICS_SEGMENT_DATA</v>
      </c>
      <c r="E192" t="str">
        <f>IFERROR(IF(0=LEN(ReferenceData!$E$192),"",ReferenceData!$E$192),"")</f>
        <v>Dynamic</v>
      </c>
      <c r="F192">
        <f ca="1">IFERROR(IF(0=LEN(ReferenceData!$L$192),"",ReferenceData!$L$192),"")</f>
        <v>11047.416999999999</v>
      </c>
      <c r="G192">
        <f ca="1">IFERROR(IF(0=LEN(ReferenceData!$K$192),"",ReferenceData!$K$192),"")</f>
        <v>11254.953</v>
      </c>
      <c r="H192">
        <f ca="1">IFERROR(IF(0=LEN(ReferenceData!$J$192),"",ReferenceData!$J$192),"")</f>
        <v>10929.572</v>
      </c>
      <c r="I192">
        <f ca="1">IFERROR(IF(0=LEN(ReferenceData!$I$192),"",ReferenceData!$I$192),"")</f>
        <v>11448.361000000001</v>
      </c>
      <c r="J192">
        <f ca="1">IFERROR(IF(0=LEN(ReferenceData!$H$192),"",ReferenceData!$H$192),"")</f>
        <v>12002</v>
      </c>
      <c r="K192">
        <f ca="1">IFERROR(IF(0=LEN(ReferenceData!$G$192),"",ReferenceData!$G$192),"")</f>
        <v>14112</v>
      </c>
      <c r="L192">
        <f ca="1">IFERROR(IF(0=LEN(ReferenceData!$F$192),"",ReferenceData!$F$192),"")</f>
        <v>14680.739</v>
      </c>
    </row>
    <row r="193" spans="1:12" x14ac:dyDescent="0.25">
      <c r="A193" t="str">
        <f>IFERROR(IF(0=LEN(ReferenceData!$A$193),"",ReferenceData!$A$193),"")</f>
        <v xml:space="preserve">        AtoS</v>
      </c>
      <c r="B193" t="str">
        <f>IFERROR(IF(0=LEN(ReferenceData!$B$193),"",ReferenceData!$B$193),"")</f>
        <v>ATO FP Equity</v>
      </c>
      <c r="C193" t="str">
        <f>IFERROR(IF(0=LEN(ReferenceData!$C$193),"",ReferenceData!$C$193),"")</f>
        <v/>
      </c>
      <c r="D193" t="str">
        <f>IFERROR(IF(0=LEN(ReferenceData!$D$193),"",ReferenceData!$D$193),"")</f>
        <v/>
      </c>
      <c r="E193" t="str">
        <f>IFERROR(IF(0=LEN(ReferenceData!$E$193),"",ReferenceData!$E$193),"")</f>
        <v>Expression</v>
      </c>
      <c r="F193">
        <f ca="1">IFERROR(IF(0=LEN(ReferenceData!$L$193),"",ReferenceData!$L$193),"")</f>
        <v>9536.3462980000004</v>
      </c>
      <c r="G193" t="str">
        <f ca="1">IFERROR(IF(0=LEN(ReferenceData!$K$193),"",ReferenceData!$K$193),"")</f>
        <v/>
      </c>
      <c r="H193" t="str">
        <f ca="1">IFERROR(IF(0=LEN(ReferenceData!$J$193),"",ReferenceData!$J$193),"")</f>
        <v/>
      </c>
      <c r="I193" t="str">
        <f ca="1">IFERROR(IF(0=LEN(ReferenceData!$I$193),"",ReferenceData!$I$193),"")</f>
        <v/>
      </c>
      <c r="J193" t="str">
        <f ca="1">IFERROR(IF(0=LEN(ReferenceData!$H$193),"",ReferenceData!$H$193),"")</f>
        <v/>
      </c>
      <c r="K193" t="str">
        <f ca="1">IFERROR(IF(0=LEN(ReferenceData!$G$193),"",ReferenceData!$G$193),"")</f>
        <v/>
      </c>
      <c r="L193" t="str">
        <f ca="1">IFERROR(IF(0=LEN(ReferenceData!$F$193),"",ReferenceData!$F$193),"")</f>
        <v/>
      </c>
    </row>
    <row r="194" spans="1:12" x14ac:dyDescent="0.25">
      <c r="A194" t="str">
        <f>IFERROR(IF(0=LEN(ReferenceData!$A$194),"",ReferenceData!$A$194),"")</f>
        <v xml:space="preserve">        Cap Gemini SA</v>
      </c>
      <c r="B194" t="str">
        <f>IFERROR(IF(0=LEN(ReferenceData!$B$194),"",ReferenceData!$B$194),"")</f>
        <v>CAP FP Equity</v>
      </c>
      <c r="C194" t="str">
        <f>IFERROR(IF(0=LEN(ReferenceData!$C$194),"",ReferenceData!$C$194),"")</f>
        <v/>
      </c>
      <c r="D194" t="str">
        <f>IFERROR(IF(0=LEN(ReferenceData!$D$194),"",ReferenceData!$D$194),"")</f>
        <v/>
      </c>
      <c r="E194" t="str">
        <f>IFERROR(IF(0=LEN(ReferenceData!$E$194),"",ReferenceData!$E$194),"")</f>
        <v>Expression</v>
      </c>
      <c r="F194">
        <f ca="1">IFERROR(IF(0=LEN(ReferenceData!$L$194),"",ReferenceData!$L$194),"")</f>
        <v>7005.514518</v>
      </c>
      <c r="G194">
        <f ca="1">IFERROR(IF(0=LEN(ReferenceData!$K$194),"",ReferenceData!$K$194),"")</f>
        <v>7456.7908209999996</v>
      </c>
      <c r="H194" t="str">
        <f ca="1">IFERROR(IF(0=LEN(ReferenceData!$J$194),"",ReferenceData!$J$194),"")</f>
        <v/>
      </c>
      <c r="I194" t="str">
        <f ca="1">IFERROR(IF(0=LEN(ReferenceData!$I$194),"",ReferenceData!$I$194),"")</f>
        <v/>
      </c>
      <c r="J194" t="str">
        <f ca="1">IFERROR(IF(0=LEN(ReferenceData!$H$194),"",ReferenceData!$H$194),"")</f>
        <v/>
      </c>
      <c r="K194" t="str">
        <f ca="1">IFERROR(IF(0=LEN(ReferenceData!$G$194),"",ReferenceData!$G$194),"")</f>
        <v/>
      </c>
      <c r="L194" t="str">
        <f ca="1">IFERROR(IF(0=LEN(ReferenceData!$F$194),"",ReferenceData!$F$194),"")</f>
        <v/>
      </c>
    </row>
    <row r="195" spans="1:12" x14ac:dyDescent="0.25">
      <c r="A195" t="str">
        <f>IFERROR(IF(0=LEN(ReferenceData!$A$195),"",ReferenceData!$A$195),"")</f>
        <v xml:space="preserve">        Computacenter PLC</v>
      </c>
      <c r="B195" t="str">
        <f>IFERROR(IF(0=LEN(ReferenceData!$B$195),"",ReferenceData!$B$195),"")</f>
        <v>CCC LN Equity</v>
      </c>
      <c r="C195" t="str">
        <f>IFERROR(IF(0=LEN(ReferenceData!$C$195),"",ReferenceData!$C$195),"")</f>
        <v>IS010</v>
      </c>
      <c r="D195" t="str">
        <f>IFERROR(IF(0=LEN(ReferenceData!$D$195),"",ReferenceData!$D$195),"")</f>
        <v>SALES_REV_TURN</v>
      </c>
      <c r="E195" t="str">
        <f>IFERROR(IF(0=LEN(ReferenceData!$E$195),"",ReferenceData!$E$195),"")</f>
        <v>Dynamic</v>
      </c>
      <c r="F195">
        <f ca="1">IFERROR(IF(0=LEN(ReferenceData!$L$195),"",ReferenceData!$L$195),"")</f>
        <v>4807.1172219999999</v>
      </c>
      <c r="G195">
        <f ca="1">IFERROR(IF(0=LEN(ReferenceData!$K$195),"",ReferenceData!$K$195),"")</f>
        <v>5119.6211450000001</v>
      </c>
      <c r="H195">
        <f ca="1">IFERROR(IF(0=LEN(ReferenceData!$J$195),"",ReferenceData!$J$195),"")</f>
        <v>4673.0792339999998</v>
      </c>
      <c r="I195">
        <f ca="1">IFERROR(IF(0=LEN(ReferenceData!$I$195),"",ReferenceData!$I$195),"")</f>
        <v>4398.7554499999997</v>
      </c>
      <c r="J195">
        <f ca="1">IFERROR(IF(0=LEN(ReferenceData!$H$195),"",ReferenceData!$H$195),"")</f>
        <v>4888.1111709999996</v>
      </c>
      <c r="K195">
        <f ca="1">IFERROR(IF(0=LEN(ReferenceData!$G$195),"",ReferenceData!$G$195),"")</f>
        <v>5811.0322409999999</v>
      </c>
      <c r="L195">
        <f ca="1">IFERROR(IF(0=LEN(ReferenceData!$F$195),"",ReferenceData!$F$195),"")</f>
        <v>6451.0690889999996</v>
      </c>
    </row>
    <row r="196" spans="1:12" x14ac:dyDescent="0.25">
      <c r="A196" t="str">
        <f>IFERROR(IF(0=LEN(ReferenceData!$A$196),"",ReferenceData!$A$196),"")</f>
        <v xml:space="preserve">        Indra Sistemas SA</v>
      </c>
      <c r="B196" t="str">
        <f>IFERROR(IF(0=LEN(ReferenceData!$B$196),"",ReferenceData!$B$196),"")</f>
        <v>IDR SM Equity</v>
      </c>
      <c r="C196" t="str">
        <f>IFERROR(IF(0=LEN(ReferenceData!$C$196),"",ReferenceData!$C$196),"")</f>
        <v/>
      </c>
      <c r="D196" t="str">
        <f>IFERROR(IF(0=LEN(ReferenceData!$D$196),"",ReferenceData!$D$196),"")</f>
        <v/>
      </c>
      <c r="E196" t="str">
        <f>IFERROR(IF(0=LEN(ReferenceData!$E$196),"",ReferenceData!$E$196),"")</f>
        <v>Expression</v>
      </c>
      <c r="F196" t="str">
        <f ca="1">IFERROR(IF(0=LEN(ReferenceData!$L$196),"",ReferenceData!$L$196),"")</f>
        <v/>
      </c>
      <c r="G196" t="str">
        <f ca="1">IFERROR(IF(0=LEN(ReferenceData!$K$196),"",ReferenceData!$K$196),"")</f>
        <v/>
      </c>
      <c r="H196" t="str">
        <f ca="1">IFERROR(IF(0=LEN(ReferenceData!$J$196),"",ReferenceData!$J$196),"")</f>
        <v/>
      </c>
      <c r="I196">
        <f ca="1">IFERROR(IF(0=LEN(ReferenceData!$I$196),"",ReferenceData!$I$196),"")</f>
        <v>1868.734121</v>
      </c>
      <c r="J196">
        <f ca="1">IFERROR(IF(0=LEN(ReferenceData!$H$196),"",ReferenceData!$H$196),"")</f>
        <v>2121.9690529999998</v>
      </c>
      <c r="K196">
        <f ca="1">IFERROR(IF(0=LEN(ReferenceData!$G$196),"",ReferenceData!$G$196),"")</f>
        <v>2433.1018899999999</v>
      </c>
      <c r="L196" t="str">
        <f ca="1">IFERROR(IF(0=LEN(ReferenceData!$F$196),"",ReferenceData!$F$196),"")</f>
        <v/>
      </c>
    </row>
    <row r="197" spans="1:12" x14ac:dyDescent="0.25">
      <c r="A197" t="str">
        <f>IFERROR(IF(0=LEN(ReferenceData!$A$197),"",ReferenceData!$A$197),"")</f>
        <v xml:space="preserve">        Tata Consultancy Services Ltd</v>
      </c>
      <c r="B197" t="str">
        <f>IFERROR(IF(0=LEN(ReferenceData!$B$197),"",ReferenceData!$B$197),"")</f>
        <v>TCS IN Equity</v>
      </c>
      <c r="C197" t="str">
        <f>IFERROR(IF(0=LEN(ReferenceData!$C$197),"",ReferenceData!$C$197),"")</f>
        <v>BI047</v>
      </c>
      <c r="D197" t="str">
        <f>IFERROR(IF(0=LEN(ReferenceData!$D$197),"",ReferenceData!$D$197),"")</f>
        <v>BICS_SEGMENT_DATA</v>
      </c>
      <c r="E197" t="str">
        <f>IFERROR(IF(0=LEN(ReferenceData!$E$197),"",ReferenceData!$E$197),"")</f>
        <v>Dynamic</v>
      </c>
      <c r="F197">
        <f ca="1">IFERROR(IF(0=LEN(ReferenceData!$L$197),"",ReferenceData!$L$197),"")</f>
        <v>3881.0136510000002</v>
      </c>
      <c r="G197">
        <f ca="1">IFERROR(IF(0=LEN(ReferenceData!$K$197),"",ReferenceData!$K$197),"")</f>
        <v>4382.1279480000003</v>
      </c>
      <c r="H197">
        <f ca="1">IFERROR(IF(0=LEN(ReferenceData!$J$197),"",ReferenceData!$J$197),"")</f>
        <v>4452.0367980000001</v>
      </c>
      <c r="I197">
        <f ca="1">IFERROR(IF(0=LEN(ReferenceData!$I$197),"",ReferenceData!$I$197),"")</f>
        <v>4469.4386240000003</v>
      </c>
      <c r="J197">
        <f ca="1">IFERROR(IF(0=LEN(ReferenceData!$H$197),"",ReferenceData!$H$197),"")</f>
        <v>5289.3667329999998</v>
      </c>
      <c r="K197">
        <f ca="1">IFERROR(IF(0=LEN(ReferenceData!$G$197),"",ReferenceData!$G$197),"")</f>
        <v>6223.30825</v>
      </c>
      <c r="L197">
        <f ca="1">IFERROR(IF(0=LEN(ReferenceData!$F$197),"",ReferenceData!$F$197),"")</f>
        <v>6776.2770840000003</v>
      </c>
    </row>
    <row r="198" spans="1:12" x14ac:dyDescent="0.25">
      <c r="A198" t="str">
        <f>IFERROR(IF(0=LEN(ReferenceData!$A$198),"",ReferenceData!$A$198),"")</f>
        <v xml:space="preserve">        Wipro Ltd</v>
      </c>
      <c r="B198" t="str">
        <f>IFERROR(IF(0=LEN(ReferenceData!$B$198),"",ReferenceData!$B$198),"")</f>
        <v>WIT US Equity</v>
      </c>
      <c r="C198" t="str">
        <f>IFERROR(IF(0=LEN(ReferenceData!$C$198),"",ReferenceData!$C$198),"")</f>
        <v>BI047</v>
      </c>
      <c r="D198" t="str">
        <f>IFERROR(IF(0=LEN(ReferenceData!$D$198),"",ReferenceData!$D$198),"")</f>
        <v>BICS_SEGMENT_DATA</v>
      </c>
      <c r="E198" t="str">
        <f>IFERROR(IF(0=LEN(ReferenceData!$E$198),"",ReferenceData!$E$198),"")</f>
        <v>Dynamic</v>
      </c>
      <c r="F198">
        <f ca="1">IFERROR(IF(0=LEN(ReferenceData!$L$198),"",ReferenceData!$L$198),"")</f>
        <v>2001.8621760000001</v>
      </c>
      <c r="G198">
        <f ca="1">IFERROR(IF(0=LEN(ReferenceData!$K$198),"",ReferenceData!$K$198),"")</f>
        <v>2037.205647</v>
      </c>
      <c r="H198">
        <f ca="1">IFERROR(IF(0=LEN(ReferenceData!$J$198),"",ReferenceData!$J$198),"")</f>
        <v>1932.924319</v>
      </c>
      <c r="I198">
        <f ca="1">IFERROR(IF(0=LEN(ReferenceData!$I$198),"",ReferenceData!$I$198),"")</f>
        <v>1997.432787</v>
      </c>
      <c r="J198">
        <f ca="1">IFERROR(IF(0=LEN(ReferenceData!$H$198),"",ReferenceData!$H$198),"")</f>
        <v>1960.9080329999999</v>
      </c>
      <c r="K198">
        <f ca="1">IFERROR(IF(0=LEN(ReferenceData!$G$198),"",ReferenceData!$G$198),"")</f>
        <v>1915.784719</v>
      </c>
      <c r="L198">
        <f ca="1">IFERROR(IF(0=LEN(ReferenceData!$F$198),"",ReferenceData!$F$198),"")</f>
        <v>2044.1258170000001</v>
      </c>
    </row>
    <row r="199" spans="1:12" x14ac:dyDescent="0.25">
      <c r="A199" t="str">
        <f>IFERROR(IF(0=LEN(ReferenceData!$A$199),"",ReferenceData!$A$199),"")</f>
        <v xml:space="preserve">        Cognizant Technology Solutions</v>
      </c>
      <c r="B199" t="str">
        <f>IFERROR(IF(0=LEN(ReferenceData!$B$199),"",ReferenceData!$B$199),"")</f>
        <v>CTSH US Equity</v>
      </c>
      <c r="C199" t="str">
        <f>IFERROR(IF(0=LEN(ReferenceData!$C$199),"",ReferenceData!$C$199),"")</f>
        <v>BI047</v>
      </c>
      <c r="D199" t="str">
        <f>IFERROR(IF(0=LEN(ReferenceData!$D$199),"",ReferenceData!$D$199),"")</f>
        <v>BICS_SEGMENT_DATA</v>
      </c>
      <c r="E199" t="str">
        <f>IFERROR(IF(0=LEN(ReferenceData!$E$199),"",ReferenceData!$E$199),"")</f>
        <v>Dynamic</v>
      </c>
      <c r="F199">
        <f ca="1">IFERROR(IF(0=LEN(ReferenceData!$L$199),"",ReferenceData!$L$199),"")</f>
        <v>1579.2049999999999</v>
      </c>
      <c r="G199">
        <f ca="1">IFERROR(IF(0=LEN(ReferenceData!$K$199),"",ReferenceData!$K$199),"")</f>
        <v>1883.6</v>
      </c>
      <c r="H199">
        <f ca="1">IFERROR(IF(0=LEN(ReferenceData!$J$199),"",ReferenceData!$J$199),"")</f>
        <v>2008</v>
      </c>
      <c r="I199">
        <f ca="1">IFERROR(IF(0=LEN(ReferenceData!$I$199),"",ReferenceData!$I$199),"")</f>
        <v>2145</v>
      </c>
      <c r="J199">
        <f ca="1">IFERROR(IF(0=LEN(ReferenceData!$H$199),"",ReferenceData!$H$199),"")</f>
        <v>2398</v>
      </c>
      <c r="K199">
        <f ca="1">IFERROR(IF(0=LEN(ReferenceData!$G$199),"",ReferenceData!$G$199),"")</f>
        <v>2837</v>
      </c>
      <c r="L199">
        <f ca="1">IFERROR(IF(0=LEN(ReferenceData!$F$199),"",ReferenceData!$F$199),"")</f>
        <v>3004</v>
      </c>
    </row>
    <row r="200" spans="1:12" x14ac:dyDescent="0.25">
      <c r="A200" t="str">
        <f>IFERROR(IF(0=LEN(ReferenceData!$A$200),"",ReferenceData!$A$200),"")</f>
        <v xml:space="preserve">        Infosys Ltd</v>
      </c>
      <c r="B200" t="str">
        <f>IFERROR(IF(0=LEN(ReferenceData!$B$200),"",ReferenceData!$B$200),"")</f>
        <v>INFY US Equity</v>
      </c>
      <c r="C200" t="str">
        <f>IFERROR(IF(0=LEN(ReferenceData!$C$200),"",ReferenceData!$C$200),"")</f>
        <v>BI047</v>
      </c>
      <c r="D200" t="str">
        <f>IFERROR(IF(0=LEN(ReferenceData!$D$200),"",ReferenceData!$D$200),"")</f>
        <v>BICS_SEGMENT_DATA</v>
      </c>
      <c r="E200" t="str">
        <f>IFERROR(IF(0=LEN(ReferenceData!$E$200),"",ReferenceData!$E$200),"")</f>
        <v>Dynamic</v>
      </c>
      <c r="F200">
        <f ca="1">IFERROR(IF(0=LEN(ReferenceData!$L$200),"",ReferenceData!$L$200),"")</f>
        <v>2028.8919860000001</v>
      </c>
      <c r="G200">
        <f ca="1">IFERROR(IF(0=LEN(ReferenceData!$K$200),"",ReferenceData!$K$200),"")</f>
        <v>2098.8340499999999</v>
      </c>
      <c r="H200">
        <f ca="1">IFERROR(IF(0=LEN(ReferenceData!$J$200),"",ReferenceData!$J$200),"")</f>
        <v>2197.6412369999998</v>
      </c>
      <c r="I200">
        <f ca="1">IFERROR(IF(0=LEN(ReferenceData!$I$200),"",ReferenceData!$I$200),"")</f>
        <v>2295.9237589999998</v>
      </c>
      <c r="J200">
        <f ca="1">IFERROR(IF(0=LEN(ReferenceData!$H$200),"",ReferenceData!$H$200),"")</f>
        <v>2596.3026060000002</v>
      </c>
      <c r="K200">
        <f ca="1">IFERROR(IF(0=LEN(ReferenceData!$G$200),"",ReferenceData!$G$200),"")</f>
        <v>2853.0254770000001</v>
      </c>
      <c r="L200">
        <f ca="1">IFERROR(IF(0=LEN(ReferenceData!$F$200),"",ReferenceData!$F$200),"")</f>
        <v>3092.2348360000001</v>
      </c>
    </row>
    <row r="201" spans="1:12" x14ac:dyDescent="0.25">
      <c r="A201" t="str">
        <f>IFERROR(IF(0=LEN(ReferenceData!$A$201),"",ReferenceData!$A$201),"")</f>
        <v xml:space="preserve">        HCL Technologies Ltd</v>
      </c>
      <c r="B201" t="str">
        <f>IFERROR(IF(0=LEN(ReferenceData!$B$201),"",ReferenceData!$B$201),"")</f>
        <v>HCLT IN Equity</v>
      </c>
      <c r="C201" t="str">
        <f>IFERROR(IF(0=LEN(ReferenceData!$C$201),"",ReferenceData!$C$201),"")</f>
        <v>BI047</v>
      </c>
      <c r="D201" t="str">
        <f>IFERROR(IF(0=LEN(ReferenceData!$D$201),"",ReferenceData!$D$201),"")</f>
        <v>BICS_SEGMENT_DATA</v>
      </c>
      <c r="E201" t="str">
        <f>IFERROR(IF(0=LEN(ReferenceData!$E$201),"",ReferenceData!$E$201),"")</f>
        <v>Dynamic</v>
      </c>
      <c r="F201">
        <f ca="1">IFERROR(IF(0=LEN(ReferenceData!$L$201),"",ReferenceData!$L$201),"")</f>
        <v>1694.694839</v>
      </c>
      <c r="G201" t="str">
        <f ca="1">IFERROR(IF(0=LEN(ReferenceData!$K$201),"",ReferenceData!$K$201),"")</f>
        <v/>
      </c>
      <c r="H201" t="str">
        <f ca="1">IFERROR(IF(0=LEN(ReferenceData!$J$201),"",ReferenceData!$J$201),"")</f>
        <v/>
      </c>
      <c r="I201">
        <f ca="1">IFERROR(IF(0=LEN(ReferenceData!$I$201),"",ReferenceData!$I$201),"")</f>
        <v>1895.7182339999999</v>
      </c>
      <c r="J201">
        <f ca="1">IFERROR(IF(0=LEN(ReferenceData!$H$201),"",ReferenceData!$H$201),"")</f>
        <v>2147.2468020000001</v>
      </c>
      <c r="K201">
        <f ca="1">IFERROR(IF(0=LEN(ReferenceData!$G$201),"",ReferenceData!$G$201),"")</f>
        <v>2308.5156499999998</v>
      </c>
      <c r="L201">
        <f ca="1">IFERROR(IF(0=LEN(ReferenceData!$F$201),"",ReferenceData!$F$201),"")</f>
        <v>2726.7420000000002</v>
      </c>
    </row>
    <row r="202" spans="1:12" x14ac:dyDescent="0.25">
      <c r="A202" t="str">
        <f>IFERROR(IF(0=LEN(ReferenceData!$A$202),"",ReferenceData!$A$202),"")</f>
        <v xml:space="preserve">        </v>
      </c>
      <c r="B202" t="str">
        <f>IFERROR(IF(0=LEN(ReferenceData!$B$202),"",ReferenceData!$B$202),"")</f>
        <v/>
      </c>
      <c r="C202" t="str">
        <f>IFERROR(IF(0=LEN(ReferenceData!$C$202),"",ReferenceData!$C$202),"")</f>
        <v/>
      </c>
      <c r="D202" t="str">
        <f>IFERROR(IF(0=LEN(ReferenceData!$D$202),"",ReferenceData!$D$202),"")</f>
        <v/>
      </c>
      <c r="E202" t="str">
        <f>IFERROR(IF(0=LEN(ReferenceData!$E$202),"",ReferenceData!$E$202),"")</f>
        <v>Static</v>
      </c>
      <c r="F202" t="str">
        <f ca="1">IFERROR(IF(0=LEN(ReferenceData!$L$202),"",ReferenceData!$L$202),"")</f>
        <v/>
      </c>
      <c r="G202" t="str">
        <f ca="1">IFERROR(IF(0=LEN(ReferenceData!$K$202),"",ReferenceData!$K$202),"")</f>
        <v/>
      </c>
      <c r="H202" t="str">
        <f ca="1">IFERROR(IF(0=LEN(ReferenceData!$J$202),"",ReferenceData!$J$202),"")</f>
        <v/>
      </c>
      <c r="I202" t="str">
        <f ca="1">IFERROR(IF(0=LEN(ReferenceData!$I$202),"",ReferenceData!$I$202),"")</f>
        <v/>
      </c>
      <c r="J202" t="str">
        <f ca="1">IFERROR(IF(0=LEN(ReferenceData!$H$202),"",ReferenceData!$H$202),"")</f>
        <v/>
      </c>
      <c r="K202" t="str">
        <f ca="1">IFERROR(IF(0=LEN(ReferenceData!$G$202),"",ReferenceData!$G$202),"")</f>
        <v/>
      </c>
      <c r="L202" t="str">
        <f ca="1">IFERROR(IF(0=LEN(ReferenceData!$F$202),"",ReferenceData!$F$202),"")</f>
        <v/>
      </c>
    </row>
    <row r="203" spans="1:12" x14ac:dyDescent="0.25">
      <c r="A203" t="str">
        <f>IFERROR(IF(0=LEN(ReferenceData!$A$203),"",ReferenceData!$A$203),"")</f>
        <v xml:space="preserve">    Asia/Pacific and Others</v>
      </c>
      <c r="B203" t="str">
        <f>IFERROR(IF(0=LEN(ReferenceData!$B$203),"",ReferenceData!$B$203),"")</f>
        <v/>
      </c>
      <c r="C203" t="str">
        <f>IFERROR(IF(0=LEN(ReferenceData!$C$203),"",ReferenceData!$C$203),"")</f>
        <v/>
      </c>
      <c r="D203" t="str">
        <f>IFERROR(IF(0=LEN(ReferenceData!$D$203),"",ReferenceData!$D$203),"")</f>
        <v/>
      </c>
      <c r="E203" t="str">
        <f>IFERROR(IF(0=LEN(ReferenceData!$E$203),"",ReferenceData!$E$203),"")</f>
        <v>Sum</v>
      </c>
      <c r="F203">
        <f ca="1">IFERROR(IF(0=LEN(ReferenceData!$L$203),"",ReferenceData!$L$203),"")</f>
        <v>29061.007946000002</v>
      </c>
      <c r="G203">
        <f ca="1">IFERROR(IF(0=LEN(ReferenceData!$K$203),"",ReferenceData!$K$203),"")</f>
        <v>28842.122028000002</v>
      </c>
      <c r="H203">
        <f ca="1">IFERROR(IF(0=LEN(ReferenceData!$J$203),"",ReferenceData!$J$203),"")</f>
        <v>25579.856834000002</v>
      </c>
      <c r="I203">
        <f ca="1">IFERROR(IF(0=LEN(ReferenceData!$I$203),"",ReferenceData!$I$203),"")</f>
        <v>26038.901795999998</v>
      </c>
      <c r="J203">
        <f ca="1">IFERROR(IF(0=LEN(ReferenceData!$H$203),"",ReferenceData!$H$203),"")</f>
        <v>26618.658156999998</v>
      </c>
      <c r="K203">
        <f ca="1">IFERROR(IF(0=LEN(ReferenceData!$G$203),"",ReferenceData!$G$203),"")</f>
        <v>27897.012433</v>
      </c>
      <c r="L203">
        <f ca="1">IFERROR(IF(0=LEN(ReferenceData!$F$203),"",ReferenceData!$F$203),"")</f>
        <v>28251.687766999999</v>
      </c>
    </row>
    <row r="204" spans="1:12" x14ac:dyDescent="0.25">
      <c r="A204" t="str">
        <f>IFERROR(IF(0=LEN(ReferenceData!$A$204),"",ReferenceData!$A$204),"")</f>
        <v xml:space="preserve">        International Business Machine</v>
      </c>
      <c r="B204" t="str">
        <f>IFERROR(IF(0=LEN(ReferenceData!$B$204),"",ReferenceData!$B$204),"")</f>
        <v>IBM US Equity</v>
      </c>
      <c r="C204" t="str">
        <f>IFERROR(IF(0=LEN(ReferenceData!$C$204),"",ReferenceData!$C$204),"")</f>
        <v>BI047</v>
      </c>
      <c r="D204" t="str">
        <f>IFERROR(IF(0=LEN(ReferenceData!$D$204),"",ReferenceData!$D$204),"")</f>
        <v>BICS_SEGMENT_DATA</v>
      </c>
      <c r="E204" t="str">
        <f>IFERROR(IF(0=LEN(ReferenceData!$E$204),"",ReferenceData!$E$204),"")</f>
        <v>Dynamic</v>
      </c>
      <c r="F204">
        <f ca="1">IFERROR(IF(0=LEN(ReferenceData!$L$204),"",ReferenceData!$L$204),"")</f>
        <v>22923</v>
      </c>
      <c r="G204">
        <f ca="1">IFERROR(IF(0=LEN(ReferenceData!$K$204),"",ReferenceData!$K$204),"")</f>
        <v>20216</v>
      </c>
      <c r="H204">
        <f ca="1">IFERROR(IF(0=LEN(ReferenceData!$J$204),"",ReferenceData!$J$204),"")</f>
        <v>16871</v>
      </c>
      <c r="I204">
        <f ca="1">IFERROR(IF(0=LEN(ReferenceData!$I$204),"",ReferenceData!$I$204),"")</f>
        <v>17313</v>
      </c>
      <c r="J204">
        <f ca="1">IFERROR(IF(0=LEN(ReferenceData!$H$204),"",ReferenceData!$H$204),"")</f>
        <v>16970</v>
      </c>
      <c r="K204">
        <f ca="1">IFERROR(IF(0=LEN(ReferenceData!$G$204),"",ReferenceData!$G$204),"")</f>
        <v>17106</v>
      </c>
      <c r="L204">
        <f ca="1">IFERROR(IF(0=LEN(ReferenceData!$F$204),"",ReferenceData!$F$204),"")</f>
        <v>16430</v>
      </c>
    </row>
    <row r="205" spans="1:12" x14ac:dyDescent="0.25">
      <c r="A205" t="str">
        <f>IFERROR(IF(0=LEN(ReferenceData!$A$205),"",ReferenceData!$A$205),"")</f>
        <v xml:space="preserve">        Accenture PLC</v>
      </c>
      <c r="B205" t="str">
        <f>IFERROR(IF(0=LEN(ReferenceData!$B$205),"",ReferenceData!$B$205),"")</f>
        <v>ACN US Equity</v>
      </c>
      <c r="C205" t="str">
        <f>IFERROR(IF(0=LEN(ReferenceData!$C$205),"",ReferenceData!$C$205),"")</f>
        <v>BI047</v>
      </c>
      <c r="D205" t="str">
        <f>IFERROR(IF(0=LEN(ReferenceData!$D$205),"",ReferenceData!$D$205),"")</f>
        <v>BICS_SEGMENT_DATA</v>
      </c>
      <c r="E205" t="str">
        <f>IFERROR(IF(0=LEN(ReferenceData!$E$205),"",ReferenceData!$E$205),"")</f>
        <v>Dynamic</v>
      </c>
      <c r="F205">
        <f ca="1">IFERROR(IF(0=LEN(ReferenceData!$L$205),"",ReferenceData!$L$205),"")</f>
        <v>3996.77</v>
      </c>
      <c r="G205">
        <f ca="1">IFERROR(IF(0=LEN(ReferenceData!$K$205),"",ReferenceData!$K$205),"")</f>
        <v>5950.5950000000003</v>
      </c>
      <c r="H205">
        <f ca="1">IFERROR(IF(0=LEN(ReferenceData!$J$205),"",ReferenceData!$J$205),"")</f>
        <v>5908.9719999999998</v>
      </c>
      <c r="I205">
        <f ca="1">IFERROR(IF(0=LEN(ReferenceData!$I$205),"",ReferenceData!$I$205),"")</f>
        <v>5781.0720000000001</v>
      </c>
      <c r="J205">
        <f ca="1">IFERROR(IF(0=LEN(ReferenceData!$H$205),"",ReferenceData!$H$205),"")</f>
        <v>6557</v>
      </c>
      <c r="K205">
        <f ca="1">IFERROR(IF(0=LEN(ReferenceData!$G$205),"",ReferenceData!$G$205),"")</f>
        <v>7613</v>
      </c>
      <c r="L205">
        <f ca="1">IFERROR(IF(0=LEN(ReferenceData!$F$205),"",ReferenceData!$F$205),"")</f>
        <v>8548.1380000000008</v>
      </c>
    </row>
    <row r="206" spans="1:12" x14ac:dyDescent="0.25">
      <c r="A206" t="str">
        <f>IFERROR(IF(0=LEN(ReferenceData!$A$206),"",ReferenceData!$A$206),"")</f>
        <v xml:space="preserve">        Tata Consultancy Services Ltd</v>
      </c>
      <c r="B206" t="str">
        <f>IFERROR(IF(0=LEN(ReferenceData!$B$206),"",ReferenceData!$B$206),"")</f>
        <v>TCS IN Equity</v>
      </c>
      <c r="C206" t="str">
        <f>IFERROR(IF(0=LEN(ReferenceData!$C$206),"",ReferenceData!$C$206),"")</f>
        <v>BI047</v>
      </c>
      <c r="D206" t="str">
        <f>IFERROR(IF(0=LEN(ReferenceData!$D$206),"",ReferenceData!$D$206),"")</f>
        <v>BICS_SEGMENT_DATA</v>
      </c>
      <c r="E206" t="str">
        <f>IFERROR(IF(0=LEN(ReferenceData!$E$206),"",ReferenceData!$E$206),"")</f>
        <v>Dynamic</v>
      </c>
      <c r="F206">
        <f ca="1">IFERROR(IF(0=LEN(ReferenceData!$L$206),"",ReferenceData!$L$206),"")</f>
        <v>978.85674300000005</v>
      </c>
      <c r="G206">
        <f ca="1">IFERROR(IF(0=LEN(ReferenceData!$K$206),"",ReferenceData!$K$206),"")</f>
        <v>1440.063228</v>
      </c>
      <c r="H206">
        <f ca="1">IFERROR(IF(0=LEN(ReferenceData!$J$206),"",ReferenceData!$J$206),"")</f>
        <v>1578.1473719999999</v>
      </c>
      <c r="I206">
        <f ca="1">IFERROR(IF(0=LEN(ReferenceData!$I$206),"",ReferenceData!$I$206),"")</f>
        <v>1706.8328610000001</v>
      </c>
      <c r="J206">
        <f ca="1">IFERROR(IF(0=LEN(ReferenceData!$H$206),"",ReferenceData!$H$206),"")</f>
        <v>1852.2331160000001</v>
      </c>
      <c r="K206">
        <f ca="1">IFERROR(IF(0=LEN(ReferenceData!$G$206),"",ReferenceData!$G$206),"")</f>
        <v>1990.620484</v>
      </c>
      <c r="L206">
        <f ca="1">IFERROR(IF(0=LEN(ReferenceData!$F$206),"",ReferenceData!$F$206),"")</f>
        <v>2059.4567609999999</v>
      </c>
    </row>
    <row r="207" spans="1:12" x14ac:dyDescent="0.25">
      <c r="A207" t="str">
        <f>IFERROR(IF(0=LEN(ReferenceData!$A$207),"",ReferenceData!$A$207),"")</f>
        <v xml:space="preserve">        Wipro Ltd</v>
      </c>
      <c r="B207" t="str">
        <f>IFERROR(IF(0=LEN(ReferenceData!$B$207),"",ReferenceData!$B$207),"")</f>
        <v>WIT US Equity</v>
      </c>
      <c r="C207" t="str">
        <f>IFERROR(IF(0=LEN(ReferenceData!$C$207),"",ReferenceData!$C$207),"")</f>
        <v>BI047</v>
      </c>
      <c r="D207" t="str">
        <f>IFERROR(IF(0=LEN(ReferenceData!$D$207),"",ReferenceData!$D$207),"")</f>
        <v>BICS_SEGMENT_DATA</v>
      </c>
      <c r="E207" t="str">
        <f>IFERROR(IF(0=LEN(ReferenceData!$E$207),"",ReferenceData!$E$207),"")</f>
        <v>Dynamic</v>
      </c>
      <c r="F207">
        <f ca="1">IFERROR(IF(0=LEN(ReferenceData!$L$207),"",ReferenceData!$L$207),"")</f>
        <v>1162.3812029999999</v>
      </c>
      <c r="G207">
        <f ca="1">IFERROR(IF(0=LEN(ReferenceData!$K$207),"",ReferenceData!$K$207),"")</f>
        <v>1235.4638</v>
      </c>
      <c r="H207">
        <f ca="1">IFERROR(IF(0=LEN(ReferenceData!$J$207),"",ReferenceData!$J$207),"")</f>
        <v>1221.7374620000001</v>
      </c>
      <c r="I207">
        <f ca="1">IFERROR(IF(0=LEN(ReferenceData!$I$207),"",ReferenceData!$I$207),"")</f>
        <v>1237.9969349999999</v>
      </c>
      <c r="J207">
        <f ca="1">IFERROR(IF(0=LEN(ReferenceData!$H$207),"",ReferenceData!$H$207),"")</f>
        <v>1239.425041</v>
      </c>
      <c r="K207">
        <f ca="1">IFERROR(IF(0=LEN(ReferenceData!$G$207),"",ReferenceData!$G$207),"")</f>
        <v>1187.3919490000001</v>
      </c>
      <c r="L207">
        <f ca="1">IFERROR(IF(0=LEN(ReferenceData!$F$207),"",ReferenceData!$F$207),"")</f>
        <v>1214.0930060000001</v>
      </c>
    </row>
    <row r="208" spans="1:12" x14ac:dyDescent="0.25">
      <c r="A208" t="str">
        <f>IFERROR(IF(0=LEN(ReferenceData!$A$208),"",ReferenceData!$A$208),"")</f>
        <v xml:space="preserve">        </v>
      </c>
      <c r="B208" t="str">
        <f>IFERROR(IF(0=LEN(ReferenceData!$B$208),"",ReferenceData!$B$208),"")</f>
        <v/>
      </c>
      <c r="C208" t="str">
        <f>IFERROR(IF(0=LEN(ReferenceData!$C$208),"",ReferenceData!$C$208),"")</f>
        <v/>
      </c>
      <c r="D208" t="str">
        <f>IFERROR(IF(0=LEN(ReferenceData!$D$208),"",ReferenceData!$D$208),"")</f>
        <v/>
      </c>
      <c r="E208" t="str">
        <f>IFERROR(IF(0=LEN(ReferenceData!$E$208),"",ReferenceData!$E$208),"")</f>
        <v>Static</v>
      </c>
      <c r="F208" t="str">
        <f ca="1">IFERROR(IF(0=LEN(ReferenceData!$L$208),"",ReferenceData!$L$208),"")</f>
        <v/>
      </c>
      <c r="G208" t="str">
        <f ca="1">IFERROR(IF(0=LEN(ReferenceData!$K$208),"",ReferenceData!$K$208),"")</f>
        <v/>
      </c>
      <c r="H208" t="str">
        <f ca="1">IFERROR(IF(0=LEN(ReferenceData!$J$208),"",ReferenceData!$J$208),"")</f>
        <v/>
      </c>
      <c r="I208" t="str">
        <f ca="1">IFERROR(IF(0=LEN(ReferenceData!$I$208),"",ReferenceData!$I$208),"")</f>
        <v/>
      </c>
      <c r="J208" t="str">
        <f ca="1">IFERROR(IF(0=LEN(ReferenceData!$H$208),"",ReferenceData!$H$208),"")</f>
        <v/>
      </c>
      <c r="K208" t="str">
        <f ca="1">IFERROR(IF(0=LEN(ReferenceData!$G$208),"",ReferenceData!$G$208),"")</f>
        <v/>
      </c>
      <c r="L208" t="str">
        <f ca="1">IFERROR(IF(0=LEN(ReferenceData!$F$208),"",ReferenceData!$F$208),"")</f>
        <v/>
      </c>
    </row>
    <row r="209" spans="1:12" x14ac:dyDescent="0.25">
      <c r="A209" t="str">
        <f>IFERROR(IF(0=LEN(ReferenceData!$A$209),"",ReferenceData!$A$209),"")</f>
        <v xml:space="preserve">    India</v>
      </c>
      <c r="B209" t="str">
        <f>IFERROR(IF(0=LEN(ReferenceData!$B$209),"",ReferenceData!$B$209),"")</f>
        <v/>
      </c>
      <c r="C209" t="str">
        <f>IFERROR(IF(0=LEN(ReferenceData!$C$209),"",ReferenceData!$C$209),"")</f>
        <v/>
      </c>
      <c r="D209" t="str">
        <f>IFERROR(IF(0=LEN(ReferenceData!$D$209),"",ReferenceData!$D$209),"")</f>
        <v/>
      </c>
      <c r="E209" t="str">
        <f>IFERROR(IF(0=LEN(ReferenceData!$E$209),"",ReferenceData!$E$209),"")</f>
        <v>Sum</v>
      </c>
      <c r="F209">
        <f ca="1">IFERROR(IF(0=LEN(ReferenceData!$L$209),"",ReferenceData!$L$209),"")</f>
        <v>1888.9895317</v>
      </c>
      <c r="G209">
        <f ca="1">IFERROR(IF(0=LEN(ReferenceData!$K$209),"",ReferenceData!$K$209),"")</f>
        <v>1949.5971164999999</v>
      </c>
      <c r="H209">
        <f ca="1">IFERROR(IF(0=LEN(ReferenceData!$J$209),"",ReferenceData!$J$209),"")</f>
        <v>2063.5725868</v>
      </c>
      <c r="I209">
        <f ca="1">IFERROR(IF(0=LEN(ReferenceData!$I$209),"",ReferenceData!$I$209),"")</f>
        <v>2425.6001944</v>
      </c>
      <c r="J209">
        <f ca="1">IFERROR(IF(0=LEN(ReferenceData!$H$209),"",ReferenceData!$H$209),"")</f>
        <v>2674.4423491000002</v>
      </c>
      <c r="K209">
        <f ca="1">IFERROR(IF(0=LEN(ReferenceData!$G$209),"",ReferenceData!$G$209),"")</f>
        <v>2456.4304709999997</v>
      </c>
      <c r="L209">
        <f ca="1">IFERROR(IF(0=LEN(ReferenceData!$F$209),"",ReferenceData!$F$209),"")</f>
        <v>2352.2198862999999</v>
      </c>
    </row>
    <row r="210" spans="1:12" x14ac:dyDescent="0.25">
      <c r="A210" t="str">
        <f>IFERROR(IF(0=LEN(ReferenceData!$A$210),"",ReferenceData!$A$210),"")</f>
        <v xml:space="preserve">        Wipro Ltd</v>
      </c>
      <c r="B210" t="str">
        <f>IFERROR(IF(0=LEN(ReferenceData!$B$210),"",ReferenceData!$B$210),"")</f>
        <v>WIT US Equity</v>
      </c>
      <c r="C210" t="str">
        <f>IFERROR(IF(0=LEN(ReferenceData!$C$210),"",ReferenceData!$C$210),"")</f>
        <v>BI047</v>
      </c>
      <c r="D210" t="str">
        <f>IFERROR(IF(0=LEN(ReferenceData!$D$210),"",ReferenceData!$D$210),"")</f>
        <v>BICS_SEGMENT_DATA</v>
      </c>
      <c r="E210" t="str">
        <f>IFERROR(IF(0=LEN(ReferenceData!$E$210),"",ReferenceData!$E$210),"")</f>
        <v>Dynamic</v>
      </c>
      <c r="F210">
        <f ca="1">IFERROR(IF(0=LEN(ReferenceData!$L$210),"",ReferenceData!$L$210),"")</f>
        <v>765.76180369999997</v>
      </c>
      <c r="G210">
        <f ca="1">IFERROR(IF(0=LEN(ReferenceData!$K$210),"",ReferenceData!$K$210),"")</f>
        <v>748.52252150000004</v>
      </c>
      <c r="H210">
        <f ca="1">IFERROR(IF(0=LEN(ReferenceData!$J$210),"",ReferenceData!$J$210),"")</f>
        <v>785.46599879999997</v>
      </c>
      <c r="I210">
        <f ca="1">IFERROR(IF(0=LEN(ReferenceData!$I$210),"",ReferenceData!$I$210),"")</f>
        <v>694.43042230000003</v>
      </c>
      <c r="J210">
        <f ca="1">IFERROR(IF(0=LEN(ReferenceData!$H$210),"",ReferenceData!$H$210),"")</f>
        <v>796.83750250000003</v>
      </c>
      <c r="K210">
        <f ca="1">IFERROR(IF(0=LEN(ReferenceData!$G$210),"",ReferenceData!$G$210),"")</f>
        <v>666.04453460000002</v>
      </c>
      <c r="L210">
        <f ca="1">IFERROR(IF(0=LEN(ReferenceData!$F$210),"",ReferenceData!$F$210),"")</f>
        <v>425.51386289999999</v>
      </c>
    </row>
    <row r="211" spans="1:12" x14ac:dyDescent="0.25">
      <c r="A211" t="str">
        <f>IFERROR(IF(0=LEN(ReferenceData!$A$211),"",ReferenceData!$A$211),"")</f>
        <v xml:space="preserve">        Tata Consultancy Services Ltd</v>
      </c>
      <c r="B211" t="str">
        <f>IFERROR(IF(0=LEN(ReferenceData!$B$211),"",ReferenceData!$B$211),"")</f>
        <v>TCS IN Equity</v>
      </c>
      <c r="C211" t="str">
        <f>IFERROR(IF(0=LEN(ReferenceData!$C$211),"",ReferenceData!$C$211),"")</f>
        <v>BI047</v>
      </c>
      <c r="D211" t="str">
        <f>IFERROR(IF(0=LEN(ReferenceData!$D$211),"",ReferenceData!$D$211),"")</f>
        <v>BICS_SEGMENT_DATA</v>
      </c>
      <c r="E211" t="str">
        <f>IFERROR(IF(0=LEN(ReferenceData!$E$211),"",ReferenceData!$E$211),"")</f>
        <v>Dynamic</v>
      </c>
      <c r="F211">
        <f ca="1">IFERROR(IF(0=LEN(ReferenceData!$L$211),"",ReferenceData!$L$211),"")</f>
        <v>908.91048479999995</v>
      </c>
      <c r="G211">
        <f ca="1">IFERROR(IF(0=LEN(ReferenceData!$K$211),"",ReferenceData!$K$211),"")</f>
        <v>991.0112292</v>
      </c>
      <c r="H211">
        <f ca="1">IFERROR(IF(0=LEN(ReferenceData!$J$211),"",ReferenceData!$J$211),"")</f>
        <v>1029.948811</v>
      </c>
      <c r="I211">
        <f ca="1">IFERROR(IF(0=LEN(ReferenceData!$I$211),"",ReferenceData!$I$211),"")</f>
        <v>1108.561549</v>
      </c>
      <c r="J211">
        <f ca="1">IFERROR(IF(0=LEN(ReferenceData!$H$211),"",ReferenceData!$H$211),"")</f>
        <v>1222.0919530000001</v>
      </c>
      <c r="K211">
        <f ca="1">IFERROR(IF(0=LEN(ReferenceData!$G$211),"",ReferenceData!$G$211),"")</f>
        <v>1194.37229</v>
      </c>
      <c r="L211">
        <f ca="1">IFERROR(IF(0=LEN(ReferenceData!$F$211),"",ReferenceData!$F$211),"")</f>
        <v>1262.2476919999999</v>
      </c>
    </row>
    <row r="212" spans="1:12" x14ac:dyDescent="0.25">
      <c r="A212" t="str">
        <f>IFERROR(IF(0=LEN(ReferenceData!$A$212),"",ReferenceData!$A$212),"")</f>
        <v xml:space="preserve">        HCL Technologies Ltd</v>
      </c>
      <c r="B212" t="str">
        <f>IFERROR(IF(0=LEN(ReferenceData!$B$212),"",ReferenceData!$B$212),"")</f>
        <v>HCLT IN Equity</v>
      </c>
      <c r="C212" t="str">
        <f>IFERROR(IF(0=LEN(ReferenceData!$C$212),"",ReferenceData!$C$212),"")</f>
        <v>BI047</v>
      </c>
      <c r="D212" t="str">
        <f>IFERROR(IF(0=LEN(ReferenceData!$D$212),"",ReferenceData!$D$212),"")</f>
        <v>BICS_SEGMENT_DATA</v>
      </c>
      <c r="E212" t="str">
        <f>IFERROR(IF(0=LEN(ReferenceData!$E$212),"",ReferenceData!$E$212),"")</f>
        <v>Dynamic</v>
      </c>
      <c r="F212" t="str">
        <f ca="1">IFERROR(IF(0=LEN(ReferenceData!$L$212),"",ReferenceData!$L$212),"")</f>
        <v/>
      </c>
      <c r="G212" t="str">
        <f ca="1">IFERROR(IF(0=LEN(ReferenceData!$K$212),"",ReferenceData!$K$212),"")</f>
        <v/>
      </c>
      <c r="H212" t="str">
        <f ca="1">IFERROR(IF(0=LEN(ReferenceData!$J$212),"",ReferenceData!$J$212),"")</f>
        <v/>
      </c>
      <c r="I212">
        <f ca="1">IFERROR(IF(0=LEN(ReferenceData!$I$212),"",ReferenceData!$I$212),"")</f>
        <v>297.43191109999998</v>
      </c>
      <c r="J212">
        <f ca="1">IFERROR(IF(0=LEN(ReferenceData!$H$212),"",ReferenceData!$H$212),"")</f>
        <v>309.45296330000002</v>
      </c>
      <c r="K212">
        <f ca="1">IFERROR(IF(0=LEN(ReferenceData!$G$212),"",ReferenceData!$G$212),"")</f>
        <v>303.014139</v>
      </c>
      <c r="L212">
        <f ca="1">IFERROR(IF(0=LEN(ReferenceData!$F$212),"",ReferenceData!$F$212),"")</f>
        <v>330.76900000000001</v>
      </c>
    </row>
    <row r="213" spans="1:12" x14ac:dyDescent="0.25">
      <c r="A213" t="str">
        <f>IFERROR(IF(0=LEN(ReferenceData!$A$213),"",ReferenceData!$A$213),"")</f>
        <v xml:space="preserve">        Infosys Ltd</v>
      </c>
      <c r="B213" t="str">
        <f>IFERROR(IF(0=LEN(ReferenceData!$B$213),"",ReferenceData!$B$213),"")</f>
        <v>INFY US Equity</v>
      </c>
      <c r="C213" t="str">
        <f>IFERROR(IF(0=LEN(ReferenceData!$C$213),"",ReferenceData!$C$213),"")</f>
        <v>BI047</v>
      </c>
      <c r="D213" t="str">
        <f>IFERROR(IF(0=LEN(ReferenceData!$D$213),"",ReferenceData!$D$213),"")</f>
        <v>BICS_SEGMENT_DATA</v>
      </c>
      <c r="E213" t="str">
        <f>IFERROR(IF(0=LEN(ReferenceData!$E$213),"",ReferenceData!$E$213),"")</f>
        <v>Dynamic</v>
      </c>
      <c r="F213">
        <f ca="1">IFERROR(IF(0=LEN(ReferenceData!$L$213),"",ReferenceData!$L$213),"")</f>
        <v>214.31724320000001</v>
      </c>
      <c r="G213">
        <f ca="1">IFERROR(IF(0=LEN(ReferenceData!$K$213),"",ReferenceData!$K$213),"")</f>
        <v>210.06336580000001</v>
      </c>
      <c r="H213">
        <f ca="1">IFERROR(IF(0=LEN(ReferenceData!$J$213),"",ReferenceData!$J$213),"")</f>
        <v>248.15777700000001</v>
      </c>
      <c r="I213">
        <f ca="1">IFERROR(IF(0=LEN(ReferenceData!$I$213),"",ReferenceData!$I$213),"")</f>
        <v>325.176312</v>
      </c>
      <c r="J213">
        <f ca="1">IFERROR(IF(0=LEN(ReferenceData!$H$213),"",ReferenceData!$H$213),"")</f>
        <v>346.05993030000002</v>
      </c>
      <c r="K213">
        <f ca="1">IFERROR(IF(0=LEN(ReferenceData!$G$213),"",ReferenceData!$G$213),"")</f>
        <v>292.99950740000003</v>
      </c>
      <c r="L213">
        <f ca="1">IFERROR(IF(0=LEN(ReferenceData!$F$213),"",ReferenceData!$F$213),"")</f>
        <v>333.68933140000001</v>
      </c>
    </row>
    <row r="214" spans="1:12" x14ac:dyDescent="0.25">
      <c r="A214" t="str">
        <f>IFERROR(IF(0=LEN(ReferenceData!$A$214),"",ReferenceData!$A$214),"")</f>
        <v>Revenue by Vertical</v>
      </c>
      <c r="B214" t="str">
        <f>IFERROR(IF(0=LEN(ReferenceData!$B$214),"",ReferenceData!$B$214),"")</f>
        <v/>
      </c>
      <c r="C214" t="str">
        <f>IFERROR(IF(0=LEN(ReferenceData!$C$214),"",ReferenceData!$C$214),"")</f>
        <v/>
      </c>
      <c r="D214" t="str">
        <f>IFERROR(IF(0=LEN(ReferenceData!$D$214),"",ReferenceData!$D$214),"")</f>
        <v/>
      </c>
      <c r="E214" t="str">
        <f>IFERROR(IF(0=LEN(ReferenceData!$E$214),"",ReferenceData!$E$214),"")</f>
        <v>Static</v>
      </c>
      <c r="F214" t="str">
        <f ca="1">IFERROR(IF(0=LEN(ReferenceData!$L$214),"",ReferenceData!$L$214),"")</f>
        <v/>
      </c>
      <c r="G214" t="str">
        <f ca="1">IFERROR(IF(0=LEN(ReferenceData!$K$214),"",ReferenceData!$K$214),"")</f>
        <v/>
      </c>
      <c r="H214" t="str">
        <f ca="1">IFERROR(IF(0=LEN(ReferenceData!$J$214),"",ReferenceData!$J$214),"")</f>
        <v/>
      </c>
      <c r="I214" t="str">
        <f ca="1">IFERROR(IF(0=LEN(ReferenceData!$I$214),"",ReferenceData!$I$214),"")</f>
        <v/>
      </c>
      <c r="J214" t="str">
        <f ca="1">IFERROR(IF(0=LEN(ReferenceData!$H$214),"",ReferenceData!$H$214),"")</f>
        <v/>
      </c>
      <c r="K214" t="str">
        <f ca="1">IFERROR(IF(0=LEN(ReferenceData!$G$214),"",ReferenceData!$G$214),"")</f>
        <v/>
      </c>
      <c r="L214" t="str">
        <f ca="1">IFERROR(IF(0=LEN(ReferenceData!$F$214),"",ReferenceData!$F$214),"")</f>
        <v/>
      </c>
    </row>
    <row r="215" spans="1:12" x14ac:dyDescent="0.25">
      <c r="A215" t="str">
        <f>IFERROR(IF(0=LEN(ReferenceData!$A$215),"",ReferenceData!$A$215),"")</f>
        <v xml:space="preserve">    Financial Services (BFSI)</v>
      </c>
      <c r="B215" t="str">
        <f>IFERROR(IF(0=LEN(ReferenceData!$B$215),"",ReferenceData!$B$215),"")</f>
        <v/>
      </c>
      <c r="C215" t="str">
        <f>IFERROR(IF(0=LEN(ReferenceData!$C$215),"",ReferenceData!$C$215),"")</f>
        <v/>
      </c>
      <c r="D215" t="str">
        <f>IFERROR(IF(0=LEN(ReferenceData!$D$215),"",ReferenceData!$D$215),"")</f>
        <v/>
      </c>
      <c r="E215" t="str">
        <f>IFERROR(IF(0=LEN(ReferenceData!$E$215),"",ReferenceData!$E$215),"")</f>
        <v>Sum</v>
      </c>
      <c r="F215">
        <f ca="1">IFERROR(IF(0=LEN(ReferenceData!$L$215),"",ReferenceData!$L$215),"")</f>
        <v>7925.7374639999998</v>
      </c>
      <c r="G215">
        <f ca="1">IFERROR(IF(0=LEN(ReferenceData!$K$215),"",ReferenceData!$K$215),"")</f>
        <v>8397.989012</v>
      </c>
      <c r="H215">
        <f ca="1">IFERROR(IF(0=LEN(ReferenceData!$J$215),"",ReferenceData!$J$215),"")</f>
        <v>8695.4395420000001</v>
      </c>
      <c r="I215">
        <f ca="1">IFERROR(IF(0=LEN(ReferenceData!$I$215),"",ReferenceData!$I$215),"")</f>
        <v>9141.0193749999999</v>
      </c>
      <c r="J215">
        <f ca="1">IFERROR(IF(0=LEN(ReferenceData!$H$215),"",ReferenceData!$H$215),"")</f>
        <v>9768.8801729999996</v>
      </c>
      <c r="K215">
        <f ca="1">IFERROR(IF(0=LEN(ReferenceData!$G$215),"",ReferenceData!$G$215),"")</f>
        <v>10827.853074000001</v>
      </c>
      <c r="L215">
        <f ca="1">IFERROR(IF(0=LEN(ReferenceData!$F$215),"",ReferenceData!$F$215),"")</f>
        <v>11176.798473999999</v>
      </c>
    </row>
    <row r="216" spans="1:12" x14ac:dyDescent="0.25">
      <c r="A216" t="str">
        <f>IFERROR(IF(0=LEN(ReferenceData!$A$216),"",ReferenceData!$A$216),"")</f>
        <v xml:space="preserve">        Accenture PLC</v>
      </c>
      <c r="B216" t="str">
        <f>IFERROR(IF(0=LEN(ReferenceData!$B$216),"",ReferenceData!$B$216),"")</f>
        <v>ACN US Equity</v>
      </c>
      <c r="C216" t="str">
        <f>IFERROR(IF(0=LEN(ReferenceData!$C$216),"",ReferenceData!$C$216),"")</f>
        <v>BI047</v>
      </c>
      <c r="D216" t="str">
        <f>IFERROR(IF(0=LEN(ReferenceData!$D$216),"",ReferenceData!$D$216),"")</f>
        <v>BICS_SEGMENT_DATA</v>
      </c>
      <c r="E216" t="str">
        <f>IFERROR(IF(0=LEN(ReferenceData!$E$216),"",ReferenceData!$E$216),"")</f>
        <v>Dynamic</v>
      </c>
      <c r="F216">
        <f ca="1">IFERROR(IF(0=LEN(ReferenceData!$L$216),"",ReferenceData!$L$216),"")</f>
        <v>6165.6629999999996</v>
      </c>
      <c r="G216">
        <f ca="1">IFERROR(IF(0=LEN(ReferenceData!$K$216),"",ReferenceData!$K$216),"")</f>
        <v>6511.2280000000001</v>
      </c>
      <c r="H216">
        <f ca="1">IFERROR(IF(0=LEN(ReferenceData!$J$216),"",ReferenceData!$J$216),"")</f>
        <v>6634.7709999999997</v>
      </c>
      <c r="I216">
        <f ca="1">IFERROR(IF(0=LEN(ReferenceData!$I$216),"",ReferenceData!$I$216),"")</f>
        <v>7031.0529999999999</v>
      </c>
      <c r="J216">
        <f ca="1">IFERROR(IF(0=LEN(ReferenceData!$H$216),"",ReferenceData!$H$216),"")</f>
        <v>7393.9449999999997</v>
      </c>
      <c r="K216">
        <f ca="1">IFERROR(IF(0=LEN(ReferenceData!$G$216),"",ReferenceData!$G$216),"")</f>
        <v>8237.982</v>
      </c>
      <c r="L216">
        <f ca="1">IFERROR(IF(0=LEN(ReferenceData!$F$216),"",ReferenceData!$F$216),"")</f>
        <v>8493.8189999999995</v>
      </c>
    </row>
    <row r="217" spans="1:12" x14ac:dyDescent="0.25">
      <c r="A217" t="str">
        <f>IFERROR(IF(0=LEN(ReferenceData!$A$217),"",ReferenceData!$A$217),"")</f>
        <v xml:space="preserve">        Tata Consultancy Services Ltd</v>
      </c>
      <c r="B217" t="str">
        <f>IFERROR(IF(0=LEN(ReferenceData!$B$217),"",ReferenceData!$B$217),"")</f>
        <v>TCS IN Equity</v>
      </c>
      <c r="C217" t="str">
        <f>IFERROR(IF(0=LEN(ReferenceData!$C$217),"",ReferenceData!$C$217),"")</f>
        <v>BI047</v>
      </c>
      <c r="D217" t="str">
        <f>IFERROR(IF(0=LEN(ReferenceData!$D$217),"",ReferenceData!$D$217),"")</f>
        <v>BICS_SEGMENT_DATA</v>
      </c>
      <c r="E217" t="str">
        <f>IFERROR(IF(0=LEN(ReferenceData!$E$217),"",ReferenceData!$E$217),"")</f>
        <v>Dynamic</v>
      </c>
      <c r="F217" t="str">
        <f ca="1">IFERROR(IF(0=LEN(ReferenceData!$L$217),"",ReferenceData!$L$217),"")</f>
        <v/>
      </c>
      <c r="G217" t="str">
        <f ca="1">IFERROR(IF(0=LEN(ReferenceData!$K$217),"",ReferenceData!$K$217),"")</f>
        <v/>
      </c>
      <c r="H217" t="str">
        <f ca="1">IFERROR(IF(0=LEN(ReferenceData!$J$217),"",ReferenceData!$J$217),"")</f>
        <v/>
      </c>
      <c r="I217" t="str">
        <f ca="1">IFERROR(IF(0=LEN(ReferenceData!$I$217),"",ReferenceData!$I$217),"")</f>
        <v/>
      </c>
      <c r="J217" t="str">
        <f ca="1">IFERROR(IF(0=LEN(ReferenceData!$H$217),"",ReferenceData!$H$217),"")</f>
        <v/>
      </c>
      <c r="K217" t="str">
        <f ca="1">IFERROR(IF(0=LEN(ReferenceData!$G$217),"",ReferenceData!$G$217),"")</f>
        <v/>
      </c>
      <c r="L217" t="str">
        <f ca="1">IFERROR(IF(0=LEN(ReferenceData!$F$217),"",ReferenceData!$F$217),"")</f>
        <v/>
      </c>
    </row>
    <row r="218" spans="1:12" x14ac:dyDescent="0.25">
      <c r="A218" t="str">
        <f>IFERROR(IF(0=LEN(ReferenceData!$A$218),"",ReferenceData!$A$218),"")</f>
        <v xml:space="preserve">        Cognizant Technology Solutions</v>
      </c>
      <c r="B218" t="str">
        <f>IFERROR(IF(0=LEN(ReferenceData!$B$218),"",ReferenceData!$B$218),"")</f>
        <v>CTSH US Equity</v>
      </c>
      <c r="C218" t="str">
        <f>IFERROR(IF(0=LEN(ReferenceData!$C$218),"",ReferenceData!$C$218),"")</f>
        <v>BI047</v>
      </c>
      <c r="D218" t="str">
        <f>IFERROR(IF(0=LEN(ReferenceData!$D$218),"",ReferenceData!$D$218),"")</f>
        <v>BICS_SEGMENT_DATA</v>
      </c>
      <c r="E218" t="str">
        <f>IFERROR(IF(0=LEN(ReferenceData!$E$218),"",ReferenceData!$E$218),"")</f>
        <v>Dynamic</v>
      </c>
      <c r="F218" t="str">
        <f ca="1">IFERROR(IF(0=LEN(ReferenceData!$L$218),"",ReferenceData!$L$218),"")</f>
        <v/>
      </c>
      <c r="G218" t="str">
        <f ca="1">IFERROR(IF(0=LEN(ReferenceData!$K$218),"",ReferenceData!$K$218),"")</f>
        <v/>
      </c>
      <c r="H218" t="str">
        <f ca="1">IFERROR(IF(0=LEN(ReferenceData!$J$218),"",ReferenceData!$J$218),"")</f>
        <v/>
      </c>
      <c r="I218" t="str">
        <f ca="1">IFERROR(IF(0=LEN(ReferenceData!$I$218),"",ReferenceData!$I$218),"")</f>
        <v/>
      </c>
      <c r="J218" t="str">
        <f ca="1">IFERROR(IF(0=LEN(ReferenceData!$H$218),"",ReferenceData!$H$218),"")</f>
        <v/>
      </c>
      <c r="K218" t="str">
        <f ca="1">IFERROR(IF(0=LEN(ReferenceData!$G$218),"",ReferenceData!$G$218),"")</f>
        <v/>
      </c>
      <c r="L218" t="str">
        <f ca="1">IFERROR(IF(0=LEN(ReferenceData!$F$218),"",ReferenceData!$F$218),"")</f>
        <v/>
      </c>
    </row>
    <row r="219" spans="1:12" x14ac:dyDescent="0.25">
      <c r="A219" t="str">
        <f>IFERROR(IF(0=LEN(ReferenceData!$A$219),"",ReferenceData!$A$219),"")</f>
        <v xml:space="preserve">        Infosys Ltd</v>
      </c>
      <c r="B219" t="str">
        <f>IFERROR(IF(0=LEN(ReferenceData!$B$219),"",ReferenceData!$B$219),"")</f>
        <v>INFY US Equity</v>
      </c>
      <c r="C219" t="str">
        <f>IFERROR(IF(0=LEN(ReferenceData!$C$219),"",ReferenceData!$C$219),"")</f>
        <v>BI047</v>
      </c>
      <c r="D219" t="str">
        <f>IFERROR(IF(0=LEN(ReferenceData!$D$219),"",ReferenceData!$D$219),"")</f>
        <v>BICS_SEGMENT_DATA</v>
      </c>
      <c r="E219" t="str">
        <f>IFERROR(IF(0=LEN(ReferenceData!$E$219),"",ReferenceData!$E$219),"")</f>
        <v>Dynamic</v>
      </c>
      <c r="F219" t="str">
        <f ca="1">IFERROR(IF(0=LEN(ReferenceData!$L$219),"",ReferenceData!$L$219),"")</f>
        <v/>
      </c>
      <c r="G219" t="str">
        <f ca="1">IFERROR(IF(0=LEN(ReferenceData!$K$219),"",ReferenceData!$K$219),"")</f>
        <v/>
      </c>
      <c r="H219" t="str">
        <f ca="1">IFERROR(IF(0=LEN(ReferenceData!$J$219),"",ReferenceData!$J$219),"")</f>
        <v/>
      </c>
      <c r="I219" t="str">
        <f ca="1">IFERROR(IF(0=LEN(ReferenceData!$I$219),"",ReferenceData!$I$219),"")</f>
        <v/>
      </c>
      <c r="J219" t="str">
        <f ca="1">IFERROR(IF(0=LEN(ReferenceData!$H$219),"",ReferenceData!$H$219),"")</f>
        <v/>
      </c>
      <c r="K219" t="str">
        <f ca="1">IFERROR(IF(0=LEN(ReferenceData!$G$219),"",ReferenceData!$G$219),"")</f>
        <v/>
      </c>
      <c r="L219" t="str">
        <f ca="1">IFERROR(IF(0=LEN(ReferenceData!$F$219),"",ReferenceData!$F$219),"")</f>
        <v/>
      </c>
    </row>
    <row r="220" spans="1:12" x14ac:dyDescent="0.25">
      <c r="A220" t="str">
        <f>IFERROR(IF(0=LEN(ReferenceData!$A$220),"",ReferenceData!$A$220),"")</f>
        <v xml:space="preserve">        Wipro Ltd</v>
      </c>
      <c r="B220" t="str">
        <f>IFERROR(IF(0=LEN(ReferenceData!$B$220),"",ReferenceData!$B$220),"")</f>
        <v>WIT US Equity</v>
      </c>
      <c r="C220" t="str">
        <f>IFERROR(IF(0=LEN(ReferenceData!$C$220),"",ReferenceData!$C$220),"")</f>
        <v>BI047</v>
      </c>
      <c r="D220" t="str">
        <f>IFERROR(IF(0=LEN(ReferenceData!$D$220),"",ReferenceData!$D$220),"")</f>
        <v>BICS_SEGMENT_DATA</v>
      </c>
      <c r="E220" t="str">
        <f>IFERROR(IF(0=LEN(ReferenceData!$E$220),"",ReferenceData!$E$220),"")</f>
        <v>Dynamic</v>
      </c>
      <c r="F220">
        <f ca="1">IFERROR(IF(0=LEN(ReferenceData!$L$220),"",ReferenceData!$L$220),"")</f>
        <v>1760.074464</v>
      </c>
      <c r="G220">
        <f ca="1">IFERROR(IF(0=LEN(ReferenceData!$K$220),"",ReferenceData!$K$220),"")</f>
        <v>1886.7610119999999</v>
      </c>
      <c r="H220">
        <f ca="1">IFERROR(IF(0=LEN(ReferenceData!$J$220),"",ReferenceData!$J$220),"")</f>
        <v>2060.6685419999999</v>
      </c>
      <c r="I220">
        <f ca="1">IFERROR(IF(0=LEN(ReferenceData!$I$220),"",ReferenceData!$I$220),"")</f>
        <v>2109.966375</v>
      </c>
      <c r="J220">
        <f ca="1">IFERROR(IF(0=LEN(ReferenceData!$H$220),"",ReferenceData!$H$220),"")</f>
        <v>2374.9351729999998</v>
      </c>
      <c r="K220">
        <f ca="1">IFERROR(IF(0=LEN(ReferenceData!$G$220),"",ReferenceData!$G$220),"")</f>
        <v>2589.8710740000001</v>
      </c>
      <c r="L220">
        <f ca="1">IFERROR(IF(0=LEN(ReferenceData!$F$220),"",ReferenceData!$F$220),"")</f>
        <v>2682.9794740000002</v>
      </c>
    </row>
    <row r="221" spans="1:12" x14ac:dyDescent="0.25">
      <c r="A221" t="str">
        <f>IFERROR(IF(0=LEN(ReferenceData!$A$221),"",ReferenceData!$A$221),"")</f>
        <v xml:space="preserve">    Health Care &amp; Life Sciences</v>
      </c>
      <c r="B221" t="str">
        <f>IFERROR(IF(0=LEN(ReferenceData!$B$221),"",ReferenceData!$B$221),"")</f>
        <v/>
      </c>
      <c r="C221" t="str">
        <f>IFERROR(IF(0=LEN(ReferenceData!$C$221),"",ReferenceData!$C$221),"")</f>
        <v/>
      </c>
      <c r="D221" t="str">
        <f>IFERROR(IF(0=LEN(ReferenceData!$D$221),"",ReferenceData!$D$221),"")</f>
        <v/>
      </c>
      <c r="E221" t="str">
        <f>IFERROR(IF(0=LEN(ReferenceData!$E$221),"",ReferenceData!$E$221),"")</f>
        <v>Sum</v>
      </c>
      <c r="F221">
        <f ca="1">IFERROR(IF(0=LEN(ReferenceData!$L$221),"",ReferenceData!$L$221),"")</f>
        <v>10114.877550300002</v>
      </c>
      <c r="G221">
        <f ca="1">IFERROR(IF(0=LEN(ReferenceData!$K$221),"",ReferenceData!$K$221),"")</f>
        <v>11182.030180199999</v>
      </c>
      <c r="H221">
        <f ca="1">IFERROR(IF(0=LEN(ReferenceData!$J$221),"",ReferenceData!$J$221),"")</f>
        <v>13105.816020999999</v>
      </c>
      <c r="I221">
        <f ca="1">IFERROR(IF(0=LEN(ReferenceData!$I$221),"",ReferenceData!$I$221),"")</f>
        <v>13971.985637000002</v>
      </c>
      <c r="J221">
        <f ca="1">IFERROR(IF(0=LEN(ReferenceData!$H$221),"",ReferenceData!$H$221),"")</f>
        <v>9927.6346199999989</v>
      </c>
      <c r="K221">
        <f ca="1">IFERROR(IF(0=LEN(ReferenceData!$G$221),"",ReferenceData!$G$221),"")</f>
        <v>10849.880561</v>
      </c>
      <c r="L221" t="str">
        <f ca="1">IFERROR(IF(0=LEN(ReferenceData!$F$221),"",ReferenceData!$F$221),"")</f>
        <v/>
      </c>
    </row>
    <row r="222" spans="1:12" x14ac:dyDescent="0.25">
      <c r="A222" t="str">
        <f>IFERROR(IF(0=LEN(ReferenceData!$A$222),"",ReferenceData!$A$222),"")</f>
        <v xml:space="preserve">        Accenture PLC</v>
      </c>
      <c r="B222" t="str">
        <f>IFERROR(IF(0=LEN(ReferenceData!$B$222),"",ReferenceData!$B$222),"")</f>
        <v>ACN US Equity</v>
      </c>
      <c r="C222" t="str">
        <f>IFERROR(IF(0=LEN(ReferenceData!$C$222),"",ReferenceData!$C$222),"")</f>
        <v>BI047</v>
      </c>
      <c r="D222" t="str">
        <f>IFERROR(IF(0=LEN(ReferenceData!$D$222),"",ReferenceData!$D$222),"")</f>
        <v>BICS_SEGMENT_DATA</v>
      </c>
      <c r="E222" t="str">
        <f>IFERROR(IF(0=LEN(ReferenceData!$E$222),"",ReferenceData!$E$222),"")</f>
        <v>Dynamic</v>
      </c>
      <c r="F222">
        <f ca="1">IFERROR(IF(0=LEN(ReferenceData!$L$222),"",ReferenceData!$L$222),"")</f>
        <v>4739.4830000000002</v>
      </c>
      <c r="G222">
        <f ca="1">IFERROR(IF(0=LEN(ReferenceData!$K$222),"",ReferenceData!$K$222),"")</f>
        <v>5021.692</v>
      </c>
      <c r="H222">
        <f ca="1">IFERROR(IF(0=LEN(ReferenceData!$J$222),"",ReferenceData!$J$222),"")</f>
        <v>5462.55</v>
      </c>
      <c r="I222">
        <f ca="1">IFERROR(IF(0=LEN(ReferenceData!$I$222),"",ReferenceData!$I$222),"")</f>
        <v>5986.8779999999997</v>
      </c>
      <c r="J222">
        <f ca="1">IFERROR(IF(0=LEN(ReferenceData!$H$222),"",ReferenceData!$H$222),"")</f>
        <v>6177.8459999999995</v>
      </c>
      <c r="K222">
        <f ca="1">IFERROR(IF(0=LEN(ReferenceData!$G$222),"",ReferenceData!$G$222),"")</f>
        <v>6688.4669999999996</v>
      </c>
      <c r="L222" t="str">
        <f ca="1">IFERROR(IF(0=LEN(ReferenceData!$F$222),"",ReferenceData!$F$222),"")</f>
        <v/>
      </c>
    </row>
    <row r="223" spans="1:12" x14ac:dyDescent="0.25">
      <c r="A223" t="str">
        <f>IFERROR(IF(0=LEN(ReferenceData!$A$223),"",ReferenceData!$A$223),"")</f>
        <v xml:space="preserve">        Cognizant Technology Solutions</v>
      </c>
      <c r="B223" t="str">
        <f>IFERROR(IF(0=LEN(ReferenceData!$B$223),"",ReferenceData!$B$223),"")</f>
        <v>CTSH US Equity</v>
      </c>
      <c r="C223" t="str">
        <f>IFERROR(IF(0=LEN(ReferenceData!$C$223),"",ReferenceData!$C$223),"")</f>
        <v>BI047</v>
      </c>
      <c r="D223" t="str">
        <f>IFERROR(IF(0=LEN(ReferenceData!$D$223),"",ReferenceData!$D$223),"")</f>
        <v>BICS_SEGMENT_DATA</v>
      </c>
      <c r="E223" t="str">
        <f>IFERROR(IF(0=LEN(ReferenceData!$E$223),"",ReferenceData!$E$223),"")</f>
        <v>Dynamic</v>
      </c>
      <c r="F223">
        <f ca="1">IFERROR(IF(0=LEN(ReferenceData!$L$223),"",ReferenceData!$L$223),"")</f>
        <v>2264.826</v>
      </c>
      <c r="G223">
        <f ca="1">IFERROR(IF(0=LEN(ReferenceData!$K$223),"",ReferenceData!$K$223),"")</f>
        <v>2689.4</v>
      </c>
      <c r="H223">
        <f ca="1">IFERROR(IF(0=LEN(ReferenceData!$J$223),"",ReferenceData!$J$223),"")</f>
        <v>3668</v>
      </c>
      <c r="I223">
        <f ca="1">IFERROR(IF(0=LEN(ReferenceData!$I$223),"",ReferenceData!$I$223),"")</f>
        <v>3871</v>
      </c>
      <c r="J223" t="str">
        <f ca="1">IFERROR(IF(0=LEN(ReferenceData!$H$223),"",ReferenceData!$H$223),"")</f>
        <v/>
      </c>
      <c r="K223" t="str">
        <f ca="1">IFERROR(IF(0=LEN(ReferenceData!$G$223),"",ReferenceData!$G$223),"")</f>
        <v/>
      </c>
      <c r="L223" t="str">
        <f ca="1">IFERROR(IF(0=LEN(ReferenceData!$F$223),"",ReferenceData!$F$223),"")</f>
        <v/>
      </c>
    </row>
    <row r="224" spans="1:12" x14ac:dyDescent="0.25">
      <c r="A224" t="str">
        <f>IFERROR(IF(0=LEN(ReferenceData!$A$224),"",ReferenceData!$A$224),"")</f>
        <v xml:space="preserve">        Wipro Ltd</v>
      </c>
      <c r="B224" t="str">
        <f>IFERROR(IF(0=LEN(ReferenceData!$B$224),"",ReferenceData!$B$224),"")</f>
        <v>WIT US Equity</v>
      </c>
      <c r="C224" t="str">
        <f>IFERROR(IF(0=LEN(ReferenceData!$C$224),"",ReferenceData!$C$224),"")</f>
        <v>BI047</v>
      </c>
      <c r="D224" t="str">
        <f>IFERROR(IF(0=LEN(ReferenceData!$D$224),"",ReferenceData!$D$224),"")</f>
        <v>BICS_SEGMENT_DATA</v>
      </c>
      <c r="E224" t="str">
        <f>IFERROR(IF(0=LEN(ReferenceData!$E$224),"",ReferenceData!$E$224),"")</f>
        <v>Dynamic</v>
      </c>
      <c r="F224">
        <f ca="1">IFERROR(IF(0=LEN(ReferenceData!$L$224),"",ReferenceData!$L$224),"")</f>
        <v>1760.074464</v>
      </c>
      <c r="G224">
        <f ca="1">IFERROR(IF(0=LEN(ReferenceData!$K$224),"",ReferenceData!$K$224),"")</f>
        <v>1886.7610119999999</v>
      </c>
      <c r="H224">
        <f ca="1">IFERROR(IF(0=LEN(ReferenceData!$J$224),"",ReferenceData!$J$224),"")</f>
        <v>2060.6685419999999</v>
      </c>
      <c r="I224">
        <f ca="1">IFERROR(IF(0=LEN(ReferenceData!$I$224),"",ReferenceData!$I$224),"")</f>
        <v>2109.966375</v>
      </c>
      <c r="J224">
        <f ca="1">IFERROR(IF(0=LEN(ReferenceData!$H$224),"",ReferenceData!$H$224),"")</f>
        <v>2374.9351729999998</v>
      </c>
      <c r="K224">
        <f ca="1">IFERROR(IF(0=LEN(ReferenceData!$G$224),"",ReferenceData!$G$224),"")</f>
        <v>2589.8710740000001</v>
      </c>
      <c r="L224">
        <f ca="1">IFERROR(IF(0=LEN(ReferenceData!$F$224),"",ReferenceData!$F$224),"")</f>
        <v>2682.9794740000002</v>
      </c>
    </row>
    <row r="225" spans="1:12" x14ac:dyDescent="0.25">
      <c r="A225" t="str">
        <f>IFERROR(IF(0=LEN(ReferenceData!$A$225),"",ReferenceData!$A$225),"")</f>
        <v xml:space="preserve">        Tata Consultancy Services Ltd</v>
      </c>
      <c r="B225" t="str">
        <f>IFERROR(IF(0=LEN(ReferenceData!$B$225),"",ReferenceData!$B$225),"")</f>
        <v>TCS IN Equity</v>
      </c>
      <c r="C225" t="str">
        <f>IFERROR(IF(0=LEN(ReferenceData!$C$225),"",ReferenceData!$C$225),"")</f>
        <v>BI047</v>
      </c>
      <c r="D225" t="str">
        <f>IFERROR(IF(0=LEN(ReferenceData!$D$225),"",ReferenceData!$D$225),"")</f>
        <v>BICS_SEGMENT_DATA</v>
      </c>
      <c r="E225" t="str">
        <f>IFERROR(IF(0=LEN(ReferenceData!$E$225),"",ReferenceData!$E$225),"")</f>
        <v>Dynamic</v>
      </c>
      <c r="F225">
        <f ca="1">IFERROR(IF(0=LEN(ReferenceData!$L$225),"",ReferenceData!$L$225),"")</f>
        <v>785.87563929999999</v>
      </c>
      <c r="G225">
        <f ca="1">IFERROR(IF(0=LEN(ReferenceData!$K$225),"",ReferenceData!$K$225),"")</f>
        <v>991.0112292</v>
      </c>
      <c r="H225">
        <f ca="1">IFERROR(IF(0=LEN(ReferenceData!$J$225),"",ReferenceData!$J$225),"")</f>
        <v>1179.45751</v>
      </c>
      <c r="I225">
        <f ca="1">IFERROR(IF(0=LEN(ReferenceData!$I$225),"",ReferenceData!$I$225),"")</f>
        <v>1319.7161289999999</v>
      </c>
      <c r="J225">
        <f ca="1">IFERROR(IF(0=LEN(ReferenceData!$H$225),"",ReferenceData!$H$225),"")</f>
        <v>1374.853447</v>
      </c>
      <c r="K225">
        <f ca="1">IFERROR(IF(0=LEN(ReferenceData!$G$225),"",ReferenceData!$G$225),"")</f>
        <v>1571.5424869999999</v>
      </c>
      <c r="L225">
        <f ca="1">IFERROR(IF(0=LEN(ReferenceData!$F$225),"",ReferenceData!$F$225),"")</f>
        <v>1838.0097969999999</v>
      </c>
    </row>
    <row r="226" spans="1:12" x14ac:dyDescent="0.25">
      <c r="A226" t="str">
        <f>IFERROR(IF(0=LEN(ReferenceData!$A$226),"",ReferenceData!$A$226),"")</f>
        <v xml:space="preserve">        Infosys Ltd</v>
      </c>
      <c r="B226" t="str">
        <f>IFERROR(IF(0=LEN(ReferenceData!$B$226),"",ReferenceData!$B$226),"")</f>
        <v>INFY US Equity</v>
      </c>
      <c r="C226" t="str">
        <f>IFERROR(IF(0=LEN(ReferenceData!$C$226),"",ReferenceData!$C$226),"")</f>
        <v/>
      </c>
      <c r="D226" t="str">
        <f>IFERROR(IF(0=LEN(ReferenceData!$D$226),"",ReferenceData!$D$226),"")</f>
        <v/>
      </c>
      <c r="E226" t="str">
        <f>IFERROR(IF(0=LEN(ReferenceData!$E$226),"",ReferenceData!$E$226),"")</f>
        <v>Expression</v>
      </c>
      <c r="F226">
        <f ca="1">IFERROR(IF(0=LEN(ReferenceData!$L$226),"",ReferenceData!$L$226),"")</f>
        <v>564.61844699999995</v>
      </c>
      <c r="G226">
        <f ca="1">IFERROR(IF(0=LEN(ReferenceData!$K$226),"",ReferenceData!$K$226),"")</f>
        <v>593.16593899999998</v>
      </c>
      <c r="H226">
        <f ca="1">IFERROR(IF(0=LEN(ReferenceData!$J$226),"",ReferenceData!$J$226),"")</f>
        <v>735.13996899999995</v>
      </c>
      <c r="I226">
        <f ca="1">IFERROR(IF(0=LEN(ReferenceData!$I$226),"",ReferenceData!$I$226),"")</f>
        <v>684.42513299999996</v>
      </c>
      <c r="J226" t="str">
        <f ca="1">IFERROR(IF(0=LEN(ReferenceData!$H$226),"",ReferenceData!$H$226),"")</f>
        <v/>
      </c>
      <c r="K226" t="str">
        <f ca="1">IFERROR(IF(0=LEN(ReferenceData!$G$226),"",ReferenceData!$G$226),"")</f>
        <v/>
      </c>
      <c r="L226" t="str">
        <f ca="1">IFERROR(IF(0=LEN(ReferenceData!$F$226),"",ReferenceData!$F$226),"")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EECA-5C10-4017-A71E-032A490BB0A0}">
  <dimension ref="A2:L226"/>
  <sheetViews>
    <sheetView workbookViewId="0">
      <selection sqref="A1:XFD1048576"/>
    </sheetView>
  </sheetViews>
  <sheetFormatPr defaultRowHeight="15" x14ac:dyDescent="0.25"/>
  <sheetData>
    <row r="2" spans="1:12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</row>
    <row r="3" spans="1:12" x14ac:dyDescent="0.25">
      <c r="A3" t="s">
        <v>40</v>
      </c>
      <c r="B3" t="s">
        <v>41</v>
      </c>
      <c r="C3" t="s">
        <v>41</v>
      </c>
      <c r="D3" t="s">
        <v>41</v>
      </c>
      <c r="E3" t="s">
        <v>42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</row>
    <row r="4" spans="1:12" x14ac:dyDescent="0.25">
      <c r="A4" t="s">
        <v>43</v>
      </c>
      <c r="B4" t="s">
        <v>41</v>
      </c>
      <c r="C4" t="s">
        <v>41</v>
      </c>
      <c r="D4" t="s">
        <v>41</v>
      </c>
      <c r="E4" t="s">
        <v>44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</row>
    <row r="5" spans="1:12" x14ac:dyDescent="0.25">
      <c r="A5" t="s">
        <v>45</v>
      </c>
      <c r="B5" t="s">
        <v>46</v>
      </c>
      <c r="C5" t="s">
        <v>41</v>
      </c>
      <c r="D5" t="s">
        <v>41</v>
      </c>
      <c r="E5" t="s">
        <v>47</v>
      </c>
      <c r="F5">
        <v>60.664632079999997</v>
      </c>
      <c r="G5">
        <v>61.505279549999997</v>
      </c>
      <c r="H5">
        <v>62.681571400000003</v>
      </c>
      <c r="I5">
        <v>61.923953040000001</v>
      </c>
      <c r="J5">
        <v>60.37123167</v>
      </c>
      <c r="K5">
        <v>60.523737529999998</v>
      </c>
      <c r="L5">
        <v>61.467546349999999</v>
      </c>
    </row>
    <row r="6" spans="1:12" x14ac:dyDescent="0.25">
      <c r="A6" t="s">
        <v>48</v>
      </c>
      <c r="B6" t="s">
        <v>49</v>
      </c>
      <c r="C6" t="s">
        <v>41</v>
      </c>
      <c r="D6" t="s">
        <v>41</v>
      </c>
      <c r="E6" t="s">
        <v>47</v>
      </c>
      <c r="F6">
        <v>55.323046169999998</v>
      </c>
      <c r="G6">
        <v>54.000000630000002</v>
      </c>
      <c r="H6">
        <v>55.200106699999999</v>
      </c>
      <c r="I6">
        <v>56.1</v>
      </c>
      <c r="J6">
        <v>53.7</v>
      </c>
      <c r="K6">
        <v>53</v>
      </c>
      <c r="L6">
        <v>52.3</v>
      </c>
    </row>
    <row r="7" spans="1:12" x14ac:dyDescent="0.25">
      <c r="A7" t="s">
        <v>50</v>
      </c>
      <c r="B7" t="s">
        <v>51</v>
      </c>
      <c r="C7" t="s">
        <v>41</v>
      </c>
      <c r="D7" t="s">
        <v>41</v>
      </c>
      <c r="E7" t="s">
        <v>47</v>
      </c>
      <c r="F7">
        <v>55.932941640000003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</row>
    <row r="8" spans="1:12" x14ac:dyDescent="0.25">
      <c r="A8" t="s">
        <v>52</v>
      </c>
      <c r="B8" t="s">
        <v>53</v>
      </c>
      <c r="C8" t="s">
        <v>41</v>
      </c>
      <c r="D8" t="s">
        <v>41</v>
      </c>
      <c r="E8" t="s">
        <v>47</v>
      </c>
      <c r="F8">
        <v>46.133387380000002</v>
      </c>
      <c r="G8">
        <v>48.414528969999999</v>
      </c>
      <c r="H8">
        <v>50.467371790000001</v>
      </c>
      <c r="I8">
        <v>52.819393820000002</v>
      </c>
      <c r="J8">
        <v>47.463528070000002</v>
      </c>
      <c r="K8">
        <v>49.623876619999997</v>
      </c>
      <c r="L8">
        <v>57.735254789999999</v>
      </c>
    </row>
    <row r="9" spans="1:12" x14ac:dyDescent="0.25">
      <c r="A9" t="s">
        <v>54</v>
      </c>
      <c r="B9" t="s">
        <v>41</v>
      </c>
      <c r="C9" t="s">
        <v>41</v>
      </c>
      <c r="D9" t="s">
        <v>41</v>
      </c>
      <c r="E9" t="s">
        <v>44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</row>
    <row r="10" spans="1:12" x14ac:dyDescent="0.25">
      <c r="A10" t="s">
        <v>52</v>
      </c>
      <c r="B10" t="s">
        <v>53</v>
      </c>
      <c r="C10" t="s">
        <v>41</v>
      </c>
      <c r="D10" t="s">
        <v>41</v>
      </c>
      <c r="E10" t="s">
        <v>47</v>
      </c>
      <c r="F10">
        <v>27.83251856</v>
      </c>
      <c r="G10">
        <v>26.519928870000001</v>
      </c>
      <c r="H10">
        <v>24.669619860000001</v>
      </c>
      <c r="I10">
        <v>24.329308390000001</v>
      </c>
      <c r="J10">
        <v>23.20127149</v>
      </c>
      <c r="K10">
        <v>22.857411089999999</v>
      </c>
      <c r="L10">
        <v>23.741134519999999</v>
      </c>
    </row>
    <row r="11" spans="1:12" x14ac:dyDescent="0.25">
      <c r="A11" t="s">
        <v>50</v>
      </c>
      <c r="B11" t="s">
        <v>51</v>
      </c>
      <c r="C11" t="s">
        <v>41</v>
      </c>
      <c r="D11" t="s">
        <v>41</v>
      </c>
      <c r="E11" t="s">
        <v>47</v>
      </c>
      <c r="F11">
        <v>31.618620830000001</v>
      </c>
      <c r="G11" t="s">
        <v>41</v>
      </c>
      <c r="H11" t="s">
        <v>41</v>
      </c>
      <c r="I11">
        <v>26.717805200000001</v>
      </c>
      <c r="J11">
        <v>27.37447843</v>
      </c>
      <c r="K11">
        <v>26.742454590000001</v>
      </c>
      <c r="L11">
        <v>27.443055560000001</v>
      </c>
    </row>
    <row r="12" spans="1:12" x14ac:dyDescent="0.25">
      <c r="A12" t="s">
        <v>48</v>
      </c>
      <c r="B12" t="s">
        <v>49</v>
      </c>
      <c r="C12" t="s">
        <v>41</v>
      </c>
      <c r="D12" t="s">
        <v>41</v>
      </c>
      <c r="E12" t="s">
        <v>47</v>
      </c>
      <c r="F12">
        <v>28.643055019999998</v>
      </c>
      <c r="G12">
        <v>28.299999969999998</v>
      </c>
      <c r="H12">
        <v>26.800051799999999</v>
      </c>
      <c r="I12">
        <v>25.4</v>
      </c>
      <c r="J12">
        <v>27.7</v>
      </c>
      <c r="K12">
        <v>29.7</v>
      </c>
      <c r="L12">
        <v>30.6</v>
      </c>
    </row>
    <row r="13" spans="1:12" x14ac:dyDescent="0.25">
      <c r="A13" t="s">
        <v>45</v>
      </c>
      <c r="B13" t="s">
        <v>46</v>
      </c>
      <c r="C13" t="s">
        <v>41</v>
      </c>
      <c r="D13" t="s">
        <v>41</v>
      </c>
      <c r="E13" t="s">
        <v>47</v>
      </c>
      <c r="F13">
        <v>24.435002900000001</v>
      </c>
      <c r="G13">
        <v>24.06084135</v>
      </c>
      <c r="H13">
        <v>23.018529489999999</v>
      </c>
      <c r="I13">
        <v>22.4753227</v>
      </c>
      <c r="J13">
        <v>23.73443748</v>
      </c>
      <c r="K13">
        <v>24.120955550000001</v>
      </c>
      <c r="L13">
        <v>24.138956499999999</v>
      </c>
    </row>
    <row r="14" spans="1:12" x14ac:dyDescent="0.25">
      <c r="A14" t="s">
        <v>55</v>
      </c>
      <c r="B14" t="s">
        <v>41</v>
      </c>
      <c r="C14" t="s">
        <v>41</v>
      </c>
      <c r="D14" t="s">
        <v>41</v>
      </c>
      <c r="E14" t="s">
        <v>44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</row>
    <row r="15" spans="1:12" x14ac:dyDescent="0.25">
      <c r="A15" t="s">
        <v>52</v>
      </c>
      <c r="B15" t="s">
        <v>53</v>
      </c>
      <c r="C15" t="s">
        <v>41</v>
      </c>
      <c r="D15" t="s">
        <v>41</v>
      </c>
      <c r="E15" t="s">
        <v>47</v>
      </c>
      <c r="F15">
        <v>10.64662687</v>
      </c>
      <c r="G15">
        <v>9.7441139890000006</v>
      </c>
      <c r="H15">
        <v>10.02478339</v>
      </c>
      <c r="I15">
        <v>8.4583631560000008</v>
      </c>
      <c r="J15">
        <v>9.4281031710000001</v>
      </c>
      <c r="K15">
        <v>7.9466411819999996</v>
      </c>
      <c r="L15">
        <v>4.9420548259999997</v>
      </c>
    </row>
    <row r="16" spans="1:12" x14ac:dyDescent="0.25">
      <c r="A16" t="s">
        <v>48</v>
      </c>
      <c r="B16" t="s">
        <v>49</v>
      </c>
      <c r="C16" t="s">
        <v>41</v>
      </c>
      <c r="D16" t="s">
        <v>41</v>
      </c>
      <c r="E16" t="s">
        <v>47</v>
      </c>
      <c r="F16">
        <v>7.224258936</v>
      </c>
      <c r="G16">
        <v>9.2999998609999999</v>
      </c>
      <c r="H16">
        <v>9.5000183610000004</v>
      </c>
      <c r="I16">
        <v>9.7000000029999995</v>
      </c>
      <c r="J16">
        <v>9.6999999999999993</v>
      </c>
      <c r="K16">
        <v>9.5</v>
      </c>
      <c r="L16">
        <v>9.3000000000000007</v>
      </c>
    </row>
    <row r="17" spans="1:12" x14ac:dyDescent="0.25">
      <c r="A17" t="s">
        <v>56</v>
      </c>
      <c r="B17" t="s">
        <v>41</v>
      </c>
      <c r="C17" t="s">
        <v>41</v>
      </c>
      <c r="D17" t="s">
        <v>41</v>
      </c>
      <c r="E17" t="s">
        <v>44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</row>
    <row r="18" spans="1:12" x14ac:dyDescent="0.25">
      <c r="A18" t="s">
        <v>52</v>
      </c>
      <c r="B18" t="s">
        <v>53</v>
      </c>
      <c r="C18" t="s">
        <v>41</v>
      </c>
      <c r="D18" t="s">
        <v>41</v>
      </c>
      <c r="E18" t="s">
        <v>47</v>
      </c>
      <c r="F18">
        <v>27.83251856</v>
      </c>
      <c r="G18">
        <v>26.519928870000001</v>
      </c>
      <c r="H18">
        <v>24.669619860000001</v>
      </c>
      <c r="I18">
        <v>24.329308390000001</v>
      </c>
      <c r="J18">
        <v>23.20127149</v>
      </c>
      <c r="K18">
        <v>22.857411089999999</v>
      </c>
      <c r="L18">
        <v>23.741134519999999</v>
      </c>
    </row>
    <row r="19" spans="1:12" x14ac:dyDescent="0.25">
      <c r="A19" t="s">
        <v>48</v>
      </c>
      <c r="B19" t="s">
        <v>49</v>
      </c>
      <c r="C19" t="s">
        <v>41</v>
      </c>
      <c r="D19" t="s">
        <v>41</v>
      </c>
      <c r="E19" t="s">
        <v>47</v>
      </c>
      <c r="F19">
        <v>6.7080343879999997</v>
      </c>
      <c r="G19">
        <v>6.3999997449999997</v>
      </c>
      <c r="H19">
        <v>6.2000119810000003</v>
      </c>
      <c r="I19">
        <v>6.300000002</v>
      </c>
      <c r="J19">
        <v>6.4000000010000004</v>
      </c>
      <c r="K19">
        <v>5.699999998</v>
      </c>
      <c r="L19">
        <v>5.6999999990000001</v>
      </c>
    </row>
    <row r="20" spans="1:12" x14ac:dyDescent="0.25">
      <c r="A20" t="s">
        <v>50</v>
      </c>
      <c r="B20" t="s">
        <v>51</v>
      </c>
      <c r="C20" t="s">
        <v>41</v>
      </c>
      <c r="D20" t="s">
        <v>41</v>
      </c>
      <c r="E20" t="s">
        <v>47</v>
      </c>
      <c r="F20" t="s">
        <v>41</v>
      </c>
      <c r="G20" t="s">
        <v>41</v>
      </c>
      <c r="H20" t="s">
        <v>41</v>
      </c>
      <c r="I20">
        <v>4.1919351279999999</v>
      </c>
      <c r="J20">
        <v>3.9451047049999999</v>
      </c>
      <c r="K20">
        <v>3.5101957619999999</v>
      </c>
      <c r="L20">
        <v>3.3289955720000002</v>
      </c>
    </row>
    <row r="21" spans="1:12" x14ac:dyDescent="0.25">
      <c r="A21" t="s">
        <v>45</v>
      </c>
      <c r="B21" t="s">
        <v>46</v>
      </c>
      <c r="C21" t="s">
        <v>41</v>
      </c>
      <c r="D21" t="s">
        <v>41</v>
      </c>
      <c r="E21" t="s">
        <v>47</v>
      </c>
      <c r="F21">
        <v>2.5811341809999999</v>
      </c>
      <c r="G21">
        <v>2.4081471919999999</v>
      </c>
      <c r="H21">
        <v>2.5992536959999999</v>
      </c>
      <c r="I21">
        <v>3.1832252790000002</v>
      </c>
      <c r="J21">
        <v>3.1635517960000001</v>
      </c>
      <c r="K21">
        <v>2.4771696369999998</v>
      </c>
      <c r="L21">
        <v>2.6048837410000001</v>
      </c>
    </row>
    <row r="22" spans="1:12" x14ac:dyDescent="0.25">
      <c r="A22" t="s">
        <v>57</v>
      </c>
      <c r="B22" t="s">
        <v>41</v>
      </c>
      <c r="C22" t="s">
        <v>41</v>
      </c>
      <c r="D22" t="s">
        <v>41</v>
      </c>
      <c r="E22" t="s">
        <v>42</v>
      </c>
      <c r="F22" t="s">
        <v>41</v>
      </c>
      <c r="G22" t="s">
        <v>41</v>
      </c>
      <c r="H22" t="s">
        <v>41</v>
      </c>
      <c r="I22" t="s">
        <v>41</v>
      </c>
      <c r="J22" t="s">
        <v>41</v>
      </c>
      <c r="K22" t="s">
        <v>41</v>
      </c>
      <c r="L22" t="s">
        <v>41</v>
      </c>
    </row>
    <row r="23" spans="1:12" x14ac:dyDescent="0.25">
      <c r="A23" t="s">
        <v>58</v>
      </c>
      <c r="B23" t="s">
        <v>41</v>
      </c>
      <c r="C23" t="s">
        <v>41</v>
      </c>
      <c r="D23" t="s">
        <v>41</v>
      </c>
      <c r="E23" t="s">
        <v>44</v>
      </c>
      <c r="F23" t="s">
        <v>41</v>
      </c>
      <c r="G23" t="s">
        <v>41</v>
      </c>
      <c r="H23" t="s">
        <v>41</v>
      </c>
      <c r="I23" t="s">
        <v>41</v>
      </c>
      <c r="J23" t="s">
        <v>41</v>
      </c>
      <c r="K23" t="s">
        <v>41</v>
      </c>
      <c r="L23" t="s">
        <v>41</v>
      </c>
    </row>
    <row r="24" spans="1:12" x14ac:dyDescent="0.25">
      <c r="A24" t="s">
        <v>52</v>
      </c>
      <c r="B24" t="s">
        <v>53</v>
      </c>
      <c r="C24" t="s">
        <v>41</v>
      </c>
      <c r="D24" t="s">
        <v>41</v>
      </c>
      <c r="E24" t="s">
        <v>47</v>
      </c>
      <c r="F24">
        <v>24.470868060000001</v>
      </c>
      <c r="G24">
        <v>24.561471210000001</v>
      </c>
      <c r="H24">
        <v>26.3</v>
      </c>
      <c r="I24">
        <v>25.7</v>
      </c>
      <c r="J24">
        <v>28.1</v>
      </c>
      <c r="K24">
        <v>30.9</v>
      </c>
      <c r="L24">
        <v>31.160986309999998</v>
      </c>
    </row>
    <row r="25" spans="1:12" x14ac:dyDescent="0.25">
      <c r="A25" t="s">
        <v>59</v>
      </c>
      <c r="B25" t="s">
        <v>41</v>
      </c>
      <c r="C25" t="s">
        <v>41</v>
      </c>
      <c r="D25" t="s">
        <v>41</v>
      </c>
      <c r="E25" t="s">
        <v>44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41</v>
      </c>
      <c r="L25" t="s">
        <v>41</v>
      </c>
    </row>
    <row r="26" spans="1:12" x14ac:dyDescent="0.25">
      <c r="A26" t="s">
        <v>52</v>
      </c>
      <c r="B26" t="s">
        <v>53</v>
      </c>
      <c r="C26" t="s">
        <v>41</v>
      </c>
      <c r="D26" t="s">
        <v>41</v>
      </c>
      <c r="E26" t="s">
        <v>47</v>
      </c>
      <c r="F26">
        <v>24.470868060000001</v>
      </c>
      <c r="G26">
        <v>24.561471210000001</v>
      </c>
      <c r="H26">
        <v>26.3</v>
      </c>
      <c r="I26">
        <v>25.7</v>
      </c>
      <c r="J26">
        <v>28.1</v>
      </c>
      <c r="K26">
        <v>30.9</v>
      </c>
      <c r="L26">
        <v>31.160986309999998</v>
      </c>
    </row>
    <row r="27" spans="1:12" x14ac:dyDescent="0.25">
      <c r="A27" t="s">
        <v>45</v>
      </c>
      <c r="B27" t="s">
        <v>46</v>
      </c>
      <c r="C27" t="s">
        <v>41</v>
      </c>
      <c r="D27" t="s">
        <v>41</v>
      </c>
      <c r="E27" t="s">
        <v>47</v>
      </c>
      <c r="F27">
        <v>6.7999940280000004</v>
      </c>
      <c r="G27">
        <v>6.8000000070000004</v>
      </c>
      <c r="H27">
        <v>7.7000016059999998</v>
      </c>
      <c r="I27">
        <v>6.6999941390000002</v>
      </c>
      <c r="J27" t="s">
        <v>41</v>
      </c>
      <c r="K27" t="s">
        <v>41</v>
      </c>
      <c r="L27" t="s">
        <v>41</v>
      </c>
    </row>
    <row r="28" spans="1:12" x14ac:dyDescent="0.25">
      <c r="A28" t="s">
        <v>48</v>
      </c>
      <c r="B28" t="s">
        <v>49</v>
      </c>
      <c r="C28" t="s">
        <v>41</v>
      </c>
      <c r="D28" t="s">
        <v>41</v>
      </c>
      <c r="E28" t="s">
        <v>47</v>
      </c>
      <c r="F28">
        <v>5.7999999979999997</v>
      </c>
      <c r="G28">
        <v>6.3999997449999997</v>
      </c>
      <c r="H28">
        <v>7.1000137250000002</v>
      </c>
      <c r="I28">
        <v>7.4999999979999998</v>
      </c>
      <c r="J28">
        <v>7.2000000010000003</v>
      </c>
      <c r="K28">
        <v>7.4999999979999998</v>
      </c>
      <c r="L28">
        <v>8.2999999980000005</v>
      </c>
    </row>
    <row r="29" spans="1:12" x14ac:dyDescent="0.25">
      <c r="A29" t="s">
        <v>60</v>
      </c>
      <c r="B29" t="s">
        <v>41</v>
      </c>
      <c r="C29" t="s">
        <v>41</v>
      </c>
      <c r="D29" t="s">
        <v>41</v>
      </c>
      <c r="E29" t="s">
        <v>44</v>
      </c>
      <c r="F29" t="s">
        <v>41</v>
      </c>
      <c r="G29" t="s">
        <v>41</v>
      </c>
      <c r="H29" t="s">
        <v>41</v>
      </c>
      <c r="I29" t="s">
        <v>41</v>
      </c>
      <c r="J29" t="s">
        <v>41</v>
      </c>
      <c r="K29" t="s">
        <v>41</v>
      </c>
      <c r="L29" t="s">
        <v>41</v>
      </c>
    </row>
    <row r="30" spans="1:12" x14ac:dyDescent="0.25">
      <c r="A30" t="s">
        <v>61</v>
      </c>
      <c r="B30" t="s">
        <v>41</v>
      </c>
      <c r="C30" t="s">
        <v>41</v>
      </c>
      <c r="D30" t="s">
        <v>41</v>
      </c>
      <c r="E30" t="s">
        <v>62</v>
      </c>
      <c r="F30">
        <v>18.334436468636365</v>
      </c>
      <c r="G30">
        <v>2.1826367089999996</v>
      </c>
      <c r="H30">
        <v>6.9634987493000011</v>
      </c>
      <c r="I30">
        <v>7.6452287456363646</v>
      </c>
      <c r="J30">
        <v>2.7360314546</v>
      </c>
      <c r="K30">
        <v>7.4959636762000006</v>
      </c>
      <c r="L30">
        <v>6.3784260916999997</v>
      </c>
    </row>
    <row r="31" spans="1:12" x14ac:dyDescent="0.25">
      <c r="A31" t="s">
        <v>63</v>
      </c>
      <c r="B31" t="s">
        <v>64</v>
      </c>
      <c r="C31" t="s">
        <v>65</v>
      </c>
      <c r="D31" t="s">
        <v>66</v>
      </c>
      <c r="E31" t="s">
        <v>67</v>
      </c>
      <c r="F31">
        <v>2.069649777</v>
      </c>
      <c r="G31">
        <v>4.8706294620000001</v>
      </c>
      <c r="H31">
        <v>3.261981188</v>
      </c>
      <c r="I31">
        <v>5.7216161520000002</v>
      </c>
      <c r="J31">
        <v>5.6550266410000001</v>
      </c>
      <c r="K31">
        <v>11.497350859999999</v>
      </c>
      <c r="L31">
        <v>5.4216677600000001</v>
      </c>
    </row>
    <row r="32" spans="1:12" x14ac:dyDescent="0.25">
      <c r="A32" t="s">
        <v>68</v>
      </c>
      <c r="B32" t="s">
        <v>69</v>
      </c>
      <c r="C32" t="s">
        <v>65</v>
      </c>
      <c r="D32" t="s">
        <v>66</v>
      </c>
      <c r="E32" t="s">
        <v>67</v>
      </c>
      <c r="F32">
        <v>-2.5971529690000001</v>
      </c>
      <c r="G32">
        <v>5.0681401340000001</v>
      </c>
      <c r="H32">
        <v>18.056169350000001</v>
      </c>
      <c r="I32">
        <v>13.59037949</v>
      </c>
      <c r="J32">
        <v>-1.167436994</v>
      </c>
      <c r="K32">
        <v>-11.23707903</v>
      </c>
      <c r="L32">
        <v>8.827948911</v>
      </c>
    </row>
    <row r="33" spans="1:12" x14ac:dyDescent="0.25">
      <c r="A33" t="s">
        <v>70</v>
      </c>
      <c r="B33" t="s">
        <v>71</v>
      </c>
      <c r="C33" t="s">
        <v>65</v>
      </c>
      <c r="D33" t="s">
        <v>66</v>
      </c>
      <c r="E33" t="s">
        <v>67</v>
      </c>
      <c r="F33">
        <v>-1.6757599379999999</v>
      </c>
      <c r="G33">
        <v>4.7661514069999997</v>
      </c>
      <c r="H33">
        <v>12.692707840000001</v>
      </c>
      <c r="I33">
        <v>5.2370960970000002</v>
      </c>
      <c r="J33">
        <v>-0.11165164700000001</v>
      </c>
      <c r="K33">
        <v>5.3652694609999996</v>
      </c>
      <c r="L33">
        <v>7.0319011900000001</v>
      </c>
    </row>
    <row r="34" spans="1:12" x14ac:dyDescent="0.25">
      <c r="A34" t="s">
        <v>72</v>
      </c>
      <c r="B34" t="s">
        <v>73</v>
      </c>
      <c r="C34" t="s">
        <v>65</v>
      </c>
      <c r="D34" t="s">
        <v>66</v>
      </c>
      <c r="E34" t="s">
        <v>67</v>
      </c>
      <c r="F34">
        <v>111.3089828</v>
      </c>
      <c r="G34">
        <v>4.1158500309999999</v>
      </c>
      <c r="H34">
        <v>-2.0247832030000001</v>
      </c>
      <c r="I34">
        <v>3.8511160000000002</v>
      </c>
      <c r="J34">
        <v>1.5145371299999999</v>
      </c>
      <c r="K34">
        <v>6.1019361249999999</v>
      </c>
      <c r="L34">
        <v>5.2526305039999999</v>
      </c>
    </row>
    <row r="35" spans="1:12" x14ac:dyDescent="0.25">
      <c r="A35" t="s">
        <v>74</v>
      </c>
      <c r="B35" t="s">
        <v>75</v>
      </c>
      <c r="C35" t="s">
        <v>65</v>
      </c>
      <c r="D35" t="s">
        <v>66</v>
      </c>
      <c r="E35" t="s">
        <v>67</v>
      </c>
      <c r="F35">
        <v>20.373275769999999</v>
      </c>
      <c r="G35">
        <v>16.05202603</v>
      </c>
      <c r="H35">
        <v>20.981807910000001</v>
      </c>
      <c r="I35">
        <v>8.6259664950000001</v>
      </c>
      <c r="J35">
        <v>9.8094461329999998</v>
      </c>
      <c r="K35">
        <v>8.8791357190000006</v>
      </c>
      <c r="L35">
        <v>4.0806201550000001</v>
      </c>
    </row>
    <row r="36" spans="1:12" x14ac:dyDescent="0.25">
      <c r="A36" t="s">
        <v>76</v>
      </c>
      <c r="B36" t="s">
        <v>77</v>
      </c>
      <c r="C36" t="s">
        <v>65</v>
      </c>
      <c r="D36" t="s">
        <v>66</v>
      </c>
      <c r="E36" t="s">
        <v>67</v>
      </c>
      <c r="F36">
        <v>-8.4325466710000008</v>
      </c>
      <c r="G36">
        <v>-37.551931070000002</v>
      </c>
      <c r="H36">
        <v>-12.455340639999999</v>
      </c>
      <c r="I36">
        <v>7.050379961</v>
      </c>
      <c r="J36" t="s">
        <v>41</v>
      </c>
      <c r="K36" t="s">
        <v>41</v>
      </c>
      <c r="L36" t="s">
        <v>41</v>
      </c>
    </row>
    <row r="37" spans="1:12" x14ac:dyDescent="0.25">
      <c r="A37" t="s">
        <v>78</v>
      </c>
      <c r="B37" t="s">
        <v>51</v>
      </c>
      <c r="C37" t="s">
        <v>65</v>
      </c>
      <c r="D37" t="s">
        <v>66</v>
      </c>
      <c r="E37" t="s">
        <v>67</v>
      </c>
      <c r="F37">
        <v>14.86114967</v>
      </c>
      <c r="G37" t="s">
        <v>41</v>
      </c>
      <c r="H37" t="s">
        <v>41</v>
      </c>
      <c r="I37">
        <v>16.585612229999999</v>
      </c>
      <c r="J37">
        <v>6.309913506</v>
      </c>
      <c r="K37">
        <v>10.053998350000001</v>
      </c>
      <c r="L37">
        <v>15.10124647</v>
      </c>
    </row>
    <row r="38" spans="1:12" x14ac:dyDescent="0.25">
      <c r="A38" t="s">
        <v>79</v>
      </c>
      <c r="B38" t="s">
        <v>46</v>
      </c>
      <c r="C38" t="s">
        <v>65</v>
      </c>
      <c r="D38" t="s">
        <v>66</v>
      </c>
      <c r="E38" t="s">
        <v>67</v>
      </c>
      <c r="F38">
        <v>24.239195079999998</v>
      </c>
      <c r="G38">
        <v>6.355095446</v>
      </c>
      <c r="H38">
        <v>17.108347869999999</v>
      </c>
      <c r="I38">
        <v>9.6779359720000002</v>
      </c>
      <c r="J38">
        <v>2.9758775769999999</v>
      </c>
      <c r="K38">
        <v>17.23292022</v>
      </c>
      <c r="L38">
        <v>9.8167523439999993</v>
      </c>
    </row>
    <row r="39" spans="1:12" x14ac:dyDescent="0.25">
      <c r="A39" t="s">
        <v>80</v>
      </c>
      <c r="B39" t="s">
        <v>81</v>
      </c>
      <c r="C39" t="s">
        <v>65</v>
      </c>
      <c r="D39" t="s">
        <v>66</v>
      </c>
      <c r="E39" t="s">
        <v>67</v>
      </c>
      <c r="F39">
        <v>-4.3810875439999997</v>
      </c>
      <c r="G39">
        <v>-5.6665345089999999</v>
      </c>
      <c r="H39">
        <v>-11.910381170000001</v>
      </c>
      <c r="I39">
        <v>-2.2289915709999999</v>
      </c>
      <c r="J39">
        <v>-0.97598818799999998</v>
      </c>
      <c r="K39">
        <v>0.57114696899999995</v>
      </c>
      <c r="L39">
        <v>-3.070698948</v>
      </c>
    </row>
    <row r="40" spans="1:12" x14ac:dyDescent="0.25">
      <c r="A40" t="s">
        <v>82</v>
      </c>
      <c r="B40" t="s">
        <v>49</v>
      </c>
      <c r="C40" t="s">
        <v>65</v>
      </c>
      <c r="D40" t="s">
        <v>66</v>
      </c>
      <c r="E40" t="s">
        <v>67</v>
      </c>
      <c r="F40">
        <v>29.877814520000001</v>
      </c>
      <c r="G40">
        <v>15.69386437</v>
      </c>
      <c r="H40">
        <v>14.789038720000001</v>
      </c>
      <c r="I40">
        <v>8.5783185759999991</v>
      </c>
      <c r="J40">
        <v>4.3554922600000001</v>
      </c>
      <c r="K40">
        <v>18.975013000000001</v>
      </c>
      <c r="L40">
        <v>7.1594873789999998</v>
      </c>
    </row>
    <row r="41" spans="1:12" x14ac:dyDescent="0.25">
      <c r="A41" t="s">
        <v>83</v>
      </c>
      <c r="B41" t="s">
        <v>53</v>
      </c>
      <c r="C41" t="s">
        <v>65</v>
      </c>
      <c r="D41" t="s">
        <v>66</v>
      </c>
      <c r="E41" t="s">
        <v>67</v>
      </c>
      <c r="F41">
        <v>16.035280660000002</v>
      </c>
      <c r="G41">
        <v>8.1230757889999996</v>
      </c>
      <c r="H41">
        <v>9.1354396280000003</v>
      </c>
      <c r="I41">
        <v>7.4080868000000004</v>
      </c>
      <c r="J41">
        <v>-1.004901872</v>
      </c>
      <c r="K41">
        <v>7.5199450880000001</v>
      </c>
      <c r="L41">
        <v>4.162705152</v>
      </c>
    </row>
    <row r="42" spans="1:12" x14ac:dyDescent="0.25">
      <c r="A42" t="s">
        <v>84</v>
      </c>
      <c r="B42" t="s">
        <v>41</v>
      </c>
      <c r="C42" t="s">
        <v>41</v>
      </c>
      <c r="D42" t="s">
        <v>41</v>
      </c>
      <c r="E42" t="s">
        <v>62</v>
      </c>
      <c r="F42">
        <v>18.334436468636365</v>
      </c>
      <c r="G42">
        <v>2.1826367089999996</v>
      </c>
      <c r="H42">
        <v>6.9634987493000011</v>
      </c>
      <c r="I42">
        <v>7.6452287456363646</v>
      </c>
      <c r="J42">
        <v>2.7360314546</v>
      </c>
      <c r="K42">
        <v>7.4959636762000006</v>
      </c>
      <c r="L42">
        <v>6.3784260916999997</v>
      </c>
    </row>
    <row r="43" spans="1:12" x14ac:dyDescent="0.25">
      <c r="A43" t="s">
        <v>63</v>
      </c>
      <c r="B43" t="s">
        <v>64</v>
      </c>
      <c r="C43" t="s">
        <v>85</v>
      </c>
      <c r="D43" t="s">
        <v>86</v>
      </c>
      <c r="E43" t="s">
        <v>67</v>
      </c>
      <c r="F43">
        <v>2.069649777</v>
      </c>
      <c r="G43">
        <v>4.8706294620000001</v>
      </c>
      <c r="H43">
        <v>3.261981188</v>
      </c>
      <c r="I43">
        <v>5.7216161520000002</v>
      </c>
      <c r="J43">
        <v>5.6550266410000001</v>
      </c>
      <c r="K43">
        <v>11.497350859999999</v>
      </c>
      <c r="L43">
        <v>5.4216677600000001</v>
      </c>
    </row>
    <row r="44" spans="1:12" x14ac:dyDescent="0.25">
      <c r="A44" t="s">
        <v>68</v>
      </c>
      <c r="B44" t="s">
        <v>69</v>
      </c>
      <c r="C44" t="s">
        <v>85</v>
      </c>
      <c r="D44" t="s">
        <v>86</v>
      </c>
      <c r="E44" t="s">
        <v>67</v>
      </c>
      <c r="F44">
        <v>-2.5971529690000001</v>
      </c>
      <c r="G44">
        <v>5.0681401340000001</v>
      </c>
      <c r="H44">
        <v>18.056169350000001</v>
      </c>
      <c r="I44">
        <v>13.59037949</v>
      </c>
      <c r="J44">
        <v>-1.167436994</v>
      </c>
      <c r="K44">
        <v>-11.23707903</v>
      </c>
      <c r="L44">
        <v>8.827948911</v>
      </c>
    </row>
    <row r="45" spans="1:12" x14ac:dyDescent="0.25">
      <c r="A45" t="s">
        <v>70</v>
      </c>
      <c r="B45" t="s">
        <v>71</v>
      </c>
      <c r="C45" t="s">
        <v>85</v>
      </c>
      <c r="D45" t="s">
        <v>86</v>
      </c>
      <c r="E45" t="s">
        <v>67</v>
      </c>
      <c r="F45">
        <v>-1.6757599379999999</v>
      </c>
      <c r="G45">
        <v>4.7661514069999997</v>
      </c>
      <c r="H45">
        <v>12.692707840000001</v>
      </c>
      <c r="I45">
        <v>5.2370960970000002</v>
      </c>
      <c r="J45">
        <v>-0.11165164700000001</v>
      </c>
      <c r="K45">
        <v>5.3652694609999996</v>
      </c>
      <c r="L45">
        <v>7.0319011900000001</v>
      </c>
    </row>
    <row r="46" spans="1:12" x14ac:dyDescent="0.25">
      <c r="A46" t="s">
        <v>72</v>
      </c>
      <c r="B46" t="s">
        <v>73</v>
      </c>
      <c r="C46" t="s">
        <v>85</v>
      </c>
      <c r="D46" t="s">
        <v>86</v>
      </c>
      <c r="E46" t="s">
        <v>67</v>
      </c>
      <c r="F46">
        <v>111.3089828</v>
      </c>
      <c r="G46">
        <v>4.1158500309999999</v>
      </c>
      <c r="H46">
        <v>-2.0247832030000001</v>
      </c>
      <c r="I46">
        <v>3.8511160000000002</v>
      </c>
      <c r="J46">
        <v>1.5145371299999999</v>
      </c>
      <c r="K46">
        <v>6.1019361249999999</v>
      </c>
      <c r="L46">
        <v>5.2526305039999999</v>
      </c>
    </row>
    <row r="47" spans="1:12" x14ac:dyDescent="0.25">
      <c r="A47" t="s">
        <v>74</v>
      </c>
      <c r="B47" t="s">
        <v>75</v>
      </c>
      <c r="C47" t="s">
        <v>85</v>
      </c>
      <c r="D47" t="s">
        <v>86</v>
      </c>
      <c r="E47" t="s">
        <v>67</v>
      </c>
      <c r="F47">
        <v>20.373275769999999</v>
      </c>
      <c r="G47">
        <v>16.05202603</v>
      </c>
      <c r="H47">
        <v>20.981807910000001</v>
      </c>
      <c r="I47">
        <v>8.6259664950000001</v>
      </c>
      <c r="J47">
        <v>9.8094461329999998</v>
      </c>
      <c r="K47">
        <v>8.8791357190000006</v>
      </c>
      <c r="L47">
        <v>4.0806201550000001</v>
      </c>
    </row>
    <row r="48" spans="1:12" x14ac:dyDescent="0.25">
      <c r="A48" t="s">
        <v>76</v>
      </c>
      <c r="B48" t="s">
        <v>77</v>
      </c>
      <c r="C48" t="s">
        <v>85</v>
      </c>
      <c r="D48" t="s">
        <v>86</v>
      </c>
      <c r="E48" t="s">
        <v>67</v>
      </c>
      <c r="F48">
        <v>-8.4325466710000008</v>
      </c>
      <c r="G48">
        <v>-37.551931070000002</v>
      </c>
      <c r="H48">
        <v>-12.455340639999999</v>
      </c>
      <c r="I48">
        <v>7.050379961</v>
      </c>
      <c r="J48" t="s">
        <v>41</v>
      </c>
      <c r="K48" t="s">
        <v>41</v>
      </c>
      <c r="L48" t="s">
        <v>41</v>
      </c>
    </row>
    <row r="49" spans="1:12" x14ac:dyDescent="0.25">
      <c r="A49" t="s">
        <v>78</v>
      </c>
      <c r="B49" t="s">
        <v>51</v>
      </c>
      <c r="C49" t="s">
        <v>85</v>
      </c>
      <c r="D49" t="s">
        <v>86</v>
      </c>
      <c r="E49" t="s">
        <v>67</v>
      </c>
      <c r="F49">
        <v>14.86114967</v>
      </c>
      <c r="G49" t="s">
        <v>41</v>
      </c>
      <c r="H49" t="s">
        <v>41</v>
      </c>
      <c r="I49">
        <v>16.585612229999999</v>
      </c>
      <c r="J49">
        <v>6.309913506</v>
      </c>
      <c r="K49">
        <v>10.053998350000001</v>
      </c>
      <c r="L49">
        <v>15.10124647</v>
      </c>
    </row>
    <row r="50" spans="1:12" x14ac:dyDescent="0.25">
      <c r="A50" t="s">
        <v>79</v>
      </c>
      <c r="B50" t="s">
        <v>46</v>
      </c>
      <c r="C50" t="s">
        <v>85</v>
      </c>
      <c r="D50" t="s">
        <v>86</v>
      </c>
      <c r="E50" t="s">
        <v>67</v>
      </c>
      <c r="F50">
        <v>24.239195079999998</v>
      </c>
      <c r="G50">
        <v>6.355095446</v>
      </c>
      <c r="H50">
        <v>17.108347869999999</v>
      </c>
      <c r="I50">
        <v>9.6779359720000002</v>
      </c>
      <c r="J50">
        <v>2.9758775769999999</v>
      </c>
      <c r="K50">
        <v>17.23292022</v>
      </c>
      <c r="L50">
        <v>9.8167523439999993</v>
      </c>
    </row>
    <row r="51" spans="1:12" x14ac:dyDescent="0.25">
      <c r="A51" t="s">
        <v>80</v>
      </c>
      <c r="B51" t="s">
        <v>81</v>
      </c>
      <c r="C51" t="s">
        <v>85</v>
      </c>
      <c r="D51" t="s">
        <v>86</v>
      </c>
      <c r="E51" t="s">
        <v>67</v>
      </c>
      <c r="F51">
        <v>-4.3810875439999997</v>
      </c>
      <c r="G51">
        <v>-5.6665345089999999</v>
      </c>
      <c r="H51">
        <v>-11.910381170000001</v>
      </c>
      <c r="I51">
        <v>-2.2289915709999999</v>
      </c>
      <c r="J51">
        <v>-0.97598818799999998</v>
      </c>
      <c r="K51">
        <v>0.57114696899999995</v>
      </c>
      <c r="L51">
        <v>-3.070698948</v>
      </c>
    </row>
    <row r="52" spans="1:12" x14ac:dyDescent="0.25">
      <c r="A52" t="s">
        <v>82</v>
      </c>
      <c r="B52" t="s">
        <v>49</v>
      </c>
      <c r="C52" t="s">
        <v>85</v>
      </c>
      <c r="D52" t="s">
        <v>86</v>
      </c>
      <c r="E52" t="s">
        <v>67</v>
      </c>
      <c r="F52">
        <v>29.877814520000001</v>
      </c>
      <c r="G52">
        <v>15.69386437</v>
      </c>
      <c r="H52">
        <v>14.789038720000001</v>
      </c>
      <c r="I52">
        <v>8.5783185759999991</v>
      </c>
      <c r="J52">
        <v>4.3554922600000001</v>
      </c>
      <c r="K52">
        <v>18.975013000000001</v>
      </c>
      <c r="L52">
        <v>7.1594873789999998</v>
      </c>
    </row>
    <row r="53" spans="1:12" x14ac:dyDescent="0.25">
      <c r="A53" t="s">
        <v>83</v>
      </c>
      <c r="B53" t="s">
        <v>53</v>
      </c>
      <c r="C53" t="s">
        <v>85</v>
      </c>
      <c r="D53" t="s">
        <v>86</v>
      </c>
      <c r="E53" t="s">
        <v>67</v>
      </c>
      <c r="F53">
        <v>16.035280660000002</v>
      </c>
      <c r="G53">
        <v>8.1230757889999996</v>
      </c>
      <c r="H53">
        <v>9.1354396280000003</v>
      </c>
      <c r="I53">
        <v>7.4080868000000004</v>
      </c>
      <c r="J53">
        <v>-1.004901872</v>
      </c>
      <c r="K53">
        <v>7.5199450880000001</v>
      </c>
      <c r="L53">
        <v>4.162705152</v>
      </c>
    </row>
    <row r="54" spans="1:12" x14ac:dyDescent="0.25">
      <c r="A54" t="s">
        <v>87</v>
      </c>
      <c r="B54" t="s">
        <v>41</v>
      </c>
      <c r="C54" t="s">
        <v>41</v>
      </c>
      <c r="D54" t="s">
        <v>41</v>
      </c>
      <c r="E54" t="s">
        <v>62</v>
      </c>
      <c r="F54">
        <v>2.5499999999999998</v>
      </c>
      <c r="G54">
        <v>2.2999999999999998</v>
      </c>
      <c r="H54">
        <v>2.7</v>
      </c>
      <c r="I54">
        <v>4.3499999999999996</v>
      </c>
      <c r="J54">
        <v>2.0499999999999998</v>
      </c>
      <c r="K54">
        <v>6.7</v>
      </c>
      <c r="L54">
        <v>3.9333333333333331</v>
      </c>
    </row>
    <row r="55" spans="1:12" x14ac:dyDescent="0.25">
      <c r="A55" t="s">
        <v>78</v>
      </c>
      <c r="B55" t="s">
        <v>51</v>
      </c>
      <c r="C55" t="s">
        <v>88</v>
      </c>
      <c r="D55" t="s">
        <v>89</v>
      </c>
      <c r="E55" t="s">
        <v>67</v>
      </c>
      <c r="F55">
        <v>2.8</v>
      </c>
      <c r="G55" t="s">
        <v>41</v>
      </c>
      <c r="H55">
        <v>1.7</v>
      </c>
      <c r="I55">
        <v>3.8</v>
      </c>
      <c r="J55">
        <v>1.2</v>
      </c>
      <c r="K55">
        <v>3.3</v>
      </c>
      <c r="L55">
        <v>0.8</v>
      </c>
    </row>
    <row r="56" spans="1:12" x14ac:dyDescent="0.25">
      <c r="A56" t="s">
        <v>79</v>
      </c>
      <c r="B56" t="s">
        <v>46</v>
      </c>
      <c r="C56" t="s">
        <v>88</v>
      </c>
      <c r="D56" t="s">
        <v>89</v>
      </c>
      <c r="E56" t="s">
        <v>67</v>
      </c>
      <c r="F56" t="s">
        <v>41</v>
      </c>
      <c r="G56" t="s">
        <v>41</v>
      </c>
      <c r="H56" t="s">
        <v>41</v>
      </c>
      <c r="I56" t="s">
        <v>41</v>
      </c>
      <c r="J56" t="s">
        <v>41</v>
      </c>
      <c r="K56" t="s">
        <v>41</v>
      </c>
      <c r="L56" t="s">
        <v>41</v>
      </c>
    </row>
    <row r="57" spans="1:12" x14ac:dyDescent="0.25">
      <c r="A57" t="s">
        <v>80</v>
      </c>
      <c r="B57" t="s">
        <v>81</v>
      </c>
      <c r="C57" t="s">
        <v>88</v>
      </c>
      <c r="D57" t="s">
        <v>89</v>
      </c>
      <c r="E57" t="s">
        <v>67</v>
      </c>
      <c r="F57" t="s">
        <v>41</v>
      </c>
      <c r="G57" t="s">
        <v>41</v>
      </c>
      <c r="H57" t="s">
        <v>41</v>
      </c>
      <c r="I57" t="s">
        <v>41</v>
      </c>
      <c r="J57" t="s">
        <v>41</v>
      </c>
      <c r="K57" t="s">
        <v>41</v>
      </c>
      <c r="L57" t="s">
        <v>41</v>
      </c>
    </row>
    <row r="58" spans="1:12" x14ac:dyDescent="0.25">
      <c r="A58" t="s">
        <v>82</v>
      </c>
      <c r="B58" t="s">
        <v>49</v>
      </c>
      <c r="C58" t="s">
        <v>88</v>
      </c>
      <c r="D58" t="s">
        <v>89</v>
      </c>
      <c r="E58" t="s">
        <v>67</v>
      </c>
      <c r="F58" t="s">
        <v>41</v>
      </c>
      <c r="G58" t="s">
        <v>41</v>
      </c>
      <c r="H58" t="s">
        <v>41</v>
      </c>
      <c r="I58" t="s">
        <v>41</v>
      </c>
      <c r="J58" t="s">
        <v>41</v>
      </c>
      <c r="K58">
        <v>11.4</v>
      </c>
      <c r="L58">
        <v>7.1</v>
      </c>
    </row>
    <row r="59" spans="1:12" x14ac:dyDescent="0.25">
      <c r="A59" t="s">
        <v>83</v>
      </c>
      <c r="B59" t="s">
        <v>53</v>
      </c>
      <c r="C59" t="s">
        <v>88</v>
      </c>
      <c r="D59" t="s">
        <v>89</v>
      </c>
      <c r="E59" t="s">
        <v>67</v>
      </c>
      <c r="F59">
        <v>2.2999999999999998</v>
      </c>
      <c r="G59">
        <v>2.2999999999999998</v>
      </c>
      <c r="H59">
        <v>3.7</v>
      </c>
      <c r="I59">
        <v>4.9000000000000004</v>
      </c>
      <c r="J59">
        <v>2.9</v>
      </c>
      <c r="K59">
        <v>5.4</v>
      </c>
      <c r="L59">
        <v>3.9</v>
      </c>
    </row>
    <row r="60" spans="1:12" x14ac:dyDescent="0.25">
      <c r="A60" t="s">
        <v>90</v>
      </c>
      <c r="B60" t="s">
        <v>41</v>
      </c>
      <c r="C60" t="s">
        <v>41</v>
      </c>
      <c r="D60" t="s">
        <v>41</v>
      </c>
      <c r="E60" t="s">
        <v>62</v>
      </c>
      <c r="F60">
        <v>5.9750000000000005</v>
      </c>
      <c r="G60">
        <v>4.2666666666666666</v>
      </c>
      <c r="H60">
        <v>6.375</v>
      </c>
      <c r="I60">
        <v>7.0240000000000009</v>
      </c>
      <c r="J60">
        <v>5.0999999999999996</v>
      </c>
      <c r="K60">
        <v>8.4166666666666661</v>
      </c>
      <c r="L60">
        <v>8.2799999999999994</v>
      </c>
    </row>
    <row r="61" spans="1:12" x14ac:dyDescent="0.25">
      <c r="A61" t="s">
        <v>63</v>
      </c>
      <c r="B61" t="s">
        <v>64</v>
      </c>
      <c r="C61" t="s">
        <v>91</v>
      </c>
      <c r="D61" t="s">
        <v>92</v>
      </c>
      <c r="E61" t="s">
        <v>67</v>
      </c>
      <c r="F61">
        <v>4</v>
      </c>
      <c r="G61">
        <v>5</v>
      </c>
      <c r="H61">
        <v>11</v>
      </c>
      <c r="I61">
        <v>5.72</v>
      </c>
      <c r="J61">
        <v>7</v>
      </c>
      <c r="K61">
        <v>11</v>
      </c>
      <c r="L61">
        <v>8.5</v>
      </c>
    </row>
    <row r="62" spans="1:12" x14ac:dyDescent="0.25">
      <c r="A62" t="s">
        <v>78</v>
      </c>
      <c r="B62" t="s">
        <v>51</v>
      </c>
      <c r="C62" t="s">
        <v>91</v>
      </c>
      <c r="D62" t="s">
        <v>92</v>
      </c>
      <c r="E62" t="s">
        <v>67</v>
      </c>
      <c r="F62">
        <v>13.1</v>
      </c>
      <c r="G62" t="s">
        <v>41</v>
      </c>
      <c r="H62">
        <v>8.1</v>
      </c>
      <c r="I62">
        <v>16.100000000000001</v>
      </c>
      <c r="J62">
        <v>8.1999999999999993</v>
      </c>
      <c r="K62">
        <v>15.3</v>
      </c>
      <c r="L62">
        <v>13.5</v>
      </c>
    </row>
    <row r="63" spans="1:12" x14ac:dyDescent="0.25">
      <c r="A63" t="s">
        <v>79</v>
      </c>
      <c r="B63" t="s">
        <v>46</v>
      </c>
      <c r="C63" t="s">
        <v>91</v>
      </c>
      <c r="D63" t="s">
        <v>92</v>
      </c>
      <c r="E63" t="s">
        <v>67</v>
      </c>
      <c r="F63" t="s">
        <v>41</v>
      </c>
      <c r="G63" t="s">
        <v>41</v>
      </c>
      <c r="H63" t="s">
        <v>41</v>
      </c>
      <c r="I63" t="s">
        <v>41</v>
      </c>
      <c r="J63" t="s">
        <v>41</v>
      </c>
      <c r="K63">
        <v>9</v>
      </c>
      <c r="L63">
        <v>9.8000000000000007</v>
      </c>
    </row>
    <row r="64" spans="1:12" x14ac:dyDescent="0.25">
      <c r="A64" t="s">
        <v>80</v>
      </c>
      <c r="B64" t="s">
        <v>81</v>
      </c>
      <c r="C64" t="s">
        <v>91</v>
      </c>
      <c r="D64" t="s">
        <v>92</v>
      </c>
      <c r="E64" t="s">
        <v>67</v>
      </c>
      <c r="F64">
        <v>-2.5</v>
      </c>
      <c r="G64">
        <v>-1.5</v>
      </c>
      <c r="H64">
        <v>-1.2</v>
      </c>
      <c r="I64">
        <v>-2</v>
      </c>
      <c r="J64">
        <v>-1</v>
      </c>
      <c r="K64">
        <v>0</v>
      </c>
      <c r="L64" t="s">
        <v>41</v>
      </c>
    </row>
    <row r="65" spans="1:12" x14ac:dyDescent="0.25">
      <c r="A65" t="s">
        <v>82</v>
      </c>
      <c r="B65" t="s">
        <v>49</v>
      </c>
      <c r="C65" t="s">
        <v>91</v>
      </c>
      <c r="D65" t="s">
        <v>92</v>
      </c>
      <c r="E65" t="s">
        <v>67</v>
      </c>
      <c r="F65" t="s">
        <v>41</v>
      </c>
      <c r="G65" t="s">
        <v>41</v>
      </c>
      <c r="H65" t="s">
        <v>41</v>
      </c>
      <c r="I65">
        <v>8.3000000000000007</v>
      </c>
      <c r="J65">
        <v>6.7</v>
      </c>
      <c r="K65">
        <v>11.4</v>
      </c>
      <c r="L65">
        <v>7.1</v>
      </c>
    </row>
    <row r="66" spans="1:12" x14ac:dyDescent="0.25">
      <c r="A66" t="s">
        <v>83</v>
      </c>
      <c r="B66" t="s">
        <v>53</v>
      </c>
      <c r="C66" t="s">
        <v>91</v>
      </c>
      <c r="D66" t="s">
        <v>92</v>
      </c>
      <c r="E66" t="s">
        <v>67</v>
      </c>
      <c r="F66">
        <v>9.3000000000000007</v>
      </c>
      <c r="G66">
        <v>9.3000000000000007</v>
      </c>
      <c r="H66">
        <v>7.6</v>
      </c>
      <c r="I66">
        <v>7</v>
      </c>
      <c r="J66">
        <v>4.5999999999999996</v>
      </c>
      <c r="K66">
        <v>3.8</v>
      </c>
      <c r="L66">
        <v>2.5</v>
      </c>
    </row>
    <row r="67" spans="1:12" x14ac:dyDescent="0.25">
      <c r="A67" t="s">
        <v>93</v>
      </c>
      <c r="B67" t="s">
        <v>41</v>
      </c>
      <c r="C67" t="s">
        <v>41</v>
      </c>
      <c r="D67" t="s">
        <v>41</v>
      </c>
      <c r="E67" t="s">
        <v>42</v>
      </c>
      <c r="F67" t="s">
        <v>41</v>
      </c>
      <c r="G67" t="s">
        <v>41</v>
      </c>
      <c r="H67" t="s">
        <v>41</v>
      </c>
      <c r="I67" t="s">
        <v>41</v>
      </c>
      <c r="J67" t="s">
        <v>41</v>
      </c>
      <c r="K67" t="s">
        <v>41</v>
      </c>
      <c r="L67" t="s">
        <v>41</v>
      </c>
    </row>
    <row r="68" spans="1:12" x14ac:dyDescent="0.25">
      <c r="A68" t="s">
        <v>94</v>
      </c>
      <c r="B68" t="s">
        <v>41</v>
      </c>
      <c r="C68" t="s">
        <v>41</v>
      </c>
      <c r="D68" t="s">
        <v>41</v>
      </c>
      <c r="E68" t="s">
        <v>44</v>
      </c>
      <c r="F68" t="s">
        <v>41</v>
      </c>
      <c r="G68" t="s">
        <v>41</v>
      </c>
      <c r="H68" t="s">
        <v>41</v>
      </c>
      <c r="I68" t="s">
        <v>41</v>
      </c>
      <c r="J68" t="s">
        <v>41</v>
      </c>
      <c r="K68" t="s">
        <v>41</v>
      </c>
      <c r="L68" t="s">
        <v>41</v>
      </c>
    </row>
    <row r="69" spans="1:12" x14ac:dyDescent="0.25">
      <c r="A69" t="s">
        <v>95</v>
      </c>
      <c r="B69" t="s">
        <v>41</v>
      </c>
      <c r="C69" t="s">
        <v>41</v>
      </c>
      <c r="D69" t="s">
        <v>41</v>
      </c>
      <c r="E69" t="s">
        <v>44</v>
      </c>
      <c r="F69" t="s">
        <v>41</v>
      </c>
      <c r="G69" t="s">
        <v>41</v>
      </c>
      <c r="H69" t="s">
        <v>41</v>
      </c>
      <c r="I69" t="s">
        <v>41</v>
      </c>
      <c r="J69" t="s">
        <v>41</v>
      </c>
      <c r="K69" t="s">
        <v>41</v>
      </c>
      <c r="L69" t="s">
        <v>41</v>
      </c>
    </row>
    <row r="70" spans="1:12" x14ac:dyDescent="0.25">
      <c r="A70" t="s">
        <v>96</v>
      </c>
      <c r="B70" t="s">
        <v>41</v>
      </c>
      <c r="C70" t="s">
        <v>41</v>
      </c>
      <c r="D70" t="s">
        <v>41</v>
      </c>
      <c r="E70" t="s">
        <v>97</v>
      </c>
      <c r="F70">
        <v>1576225</v>
      </c>
      <c r="G70">
        <v>1550152</v>
      </c>
      <c r="H70">
        <v>1783650</v>
      </c>
      <c r="I70">
        <v>1909542</v>
      </c>
      <c r="J70">
        <v>1968613</v>
      </c>
      <c r="K70">
        <v>2052998</v>
      </c>
      <c r="L70">
        <v>2159244</v>
      </c>
    </row>
    <row r="71" spans="1:12" x14ac:dyDescent="0.25">
      <c r="A71" t="s">
        <v>80</v>
      </c>
      <c r="B71" t="s">
        <v>81</v>
      </c>
      <c r="C71" t="s">
        <v>98</v>
      </c>
      <c r="D71" t="s">
        <v>99</v>
      </c>
      <c r="E71" t="s">
        <v>67</v>
      </c>
      <c r="F71">
        <v>431212</v>
      </c>
      <c r="G71">
        <v>379592</v>
      </c>
      <c r="H71">
        <v>377757</v>
      </c>
      <c r="I71">
        <v>380300</v>
      </c>
      <c r="J71">
        <v>366600</v>
      </c>
      <c r="K71">
        <v>350600</v>
      </c>
      <c r="L71">
        <v>350600</v>
      </c>
    </row>
    <row r="72" spans="1:12" x14ac:dyDescent="0.25">
      <c r="A72" t="s">
        <v>63</v>
      </c>
      <c r="B72" t="s">
        <v>64</v>
      </c>
      <c r="C72" t="s">
        <v>98</v>
      </c>
      <c r="D72" t="s">
        <v>99</v>
      </c>
      <c r="E72" t="s">
        <v>67</v>
      </c>
      <c r="F72">
        <v>275000</v>
      </c>
      <c r="G72">
        <v>305000</v>
      </c>
      <c r="H72">
        <v>358498</v>
      </c>
      <c r="I72">
        <v>384000</v>
      </c>
      <c r="J72">
        <v>459000</v>
      </c>
      <c r="K72">
        <v>459000</v>
      </c>
      <c r="L72">
        <v>492000</v>
      </c>
    </row>
    <row r="73" spans="1:12" x14ac:dyDescent="0.25">
      <c r="A73" t="s">
        <v>82</v>
      </c>
      <c r="B73" t="s">
        <v>49</v>
      </c>
      <c r="C73" t="s">
        <v>98</v>
      </c>
      <c r="D73" t="s">
        <v>99</v>
      </c>
      <c r="E73" t="s">
        <v>67</v>
      </c>
      <c r="F73">
        <v>300464</v>
      </c>
      <c r="G73">
        <v>319656</v>
      </c>
      <c r="H73">
        <v>353843</v>
      </c>
      <c r="I73">
        <v>387223</v>
      </c>
      <c r="J73">
        <v>394998</v>
      </c>
      <c r="K73">
        <v>424285</v>
      </c>
      <c r="L73">
        <v>448464</v>
      </c>
    </row>
    <row r="74" spans="1:12" x14ac:dyDescent="0.25">
      <c r="A74" t="s">
        <v>79</v>
      </c>
      <c r="B74" t="s">
        <v>46</v>
      </c>
      <c r="C74" t="s">
        <v>98</v>
      </c>
      <c r="D74" t="s">
        <v>99</v>
      </c>
      <c r="E74" t="s">
        <v>67</v>
      </c>
      <c r="F74">
        <v>160405</v>
      </c>
      <c r="G74">
        <v>176187</v>
      </c>
      <c r="H74">
        <v>194044</v>
      </c>
      <c r="I74">
        <v>200364</v>
      </c>
      <c r="J74">
        <v>204107</v>
      </c>
      <c r="K74">
        <v>228123</v>
      </c>
      <c r="L74">
        <v>242371</v>
      </c>
    </row>
    <row r="75" spans="1:12" x14ac:dyDescent="0.25">
      <c r="A75" t="s">
        <v>74</v>
      </c>
      <c r="B75" t="s">
        <v>75</v>
      </c>
      <c r="C75" t="s">
        <v>98</v>
      </c>
      <c r="D75" t="s">
        <v>99</v>
      </c>
      <c r="E75" t="s">
        <v>67</v>
      </c>
      <c r="F75">
        <v>171400</v>
      </c>
      <c r="G75">
        <v>211500</v>
      </c>
      <c r="H75">
        <v>221700</v>
      </c>
      <c r="I75">
        <v>260200</v>
      </c>
      <c r="J75">
        <v>260000</v>
      </c>
      <c r="K75">
        <v>281600</v>
      </c>
      <c r="L75">
        <v>292500</v>
      </c>
    </row>
    <row r="76" spans="1:12" x14ac:dyDescent="0.25">
      <c r="A76" t="s">
        <v>83</v>
      </c>
      <c r="B76" t="s">
        <v>53</v>
      </c>
      <c r="C76" t="s">
        <v>98</v>
      </c>
      <c r="D76" t="s">
        <v>99</v>
      </c>
      <c r="E76" t="s">
        <v>67</v>
      </c>
      <c r="F76">
        <v>146053</v>
      </c>
      <c r="G76">
        <v>158217</v>
      </c>
      <c r="H76">
        <v>172912</v>
      </c>
      <c r="I76">
        <v>181482</v>
      </c>
      <c r="J76">
        <v>163827</v>
      </c>
      <c r="K76">
        <v>171425</v>
      </c>
      <c r="L76">
        <v>182886</v>
      </c>
    </row>
    <row r="77" spans="1:12" x14ac:dyDescent="0.25">
      <c r="A77" t="s">
        <v>78</v>
      </c>
      <c r="B77" t="s">
        <v>51</v>
      </c>
      <c r="C77" t="s">
        <v>98</v>
      </c>
      <c r="D77" t="s">
        <v>99</v>
      </c>
      <c r="E77" t="s">
        <v>67</v>
      </c>
      <c r="F77">
        <v>91691</v>
      </c>
      <c r="G77" t="s">
        <v>41</v>
      </c>
      <c r="H77">
        <v>104896</v>
      </c>
      <c r="I77">
        <v>115973</v>
      </c>
      <c r="J77">
        <v>120081</v>
      </c>
      <c r="K77">
        <v>137965</v>
      </c>
      <c r="L77">
        <v>150423</v>
      </c>
    </row>
    <row r="78" spans="1:12" x14ac:dyDescent="0.25">
      <c r="A78" t="s">
        <v>100</v>
      </c>
      <c r="B78" t="s">
        <v>101</v>
      </c>
      <c r="C78" t="s">
        <v>41</v>
      </c>
      <c r="D78" t="s">
        <v>41</v>
      </c>
      <c r="E78" t="s">
        <v>102</v>
      </c>
      <c r="F78">
        <v>16</v>
      </c>
      <c r="G78">
        <v>16.5</v>
      </c>
      <c r="H78">
        <v>16.700000000000003</v>
      </c>
      <c r="I78">
        <v>16.3</v>
      </c>
      <c r="J78">
        <v>16.05</v>
      </c>
      <c r="K78">
        <v>17.649999999999999</v>
      </c>
      <c r="L78">
        <v>14.7</v>
      </c>
    </row>
    <row r="79" spans="1:12" x14ac:dyDescent="0.25">
      <c r="A79" t="s">
        <v>63</v>
      </c>
      <c r="B79" t="s">
        <v>64</v>
      </c>
      <c r="C79" t="s">
        <v>103</v>
      </c>
      <c r="D79" t="s">
        <v>104</v>
      </c>
      <c r="E79" t="s">
        <v>67</v>
      </c>
      <c r="F79">
        <v>12</v>
      </c>
      <c r="G79">
        <v>13</v>
      </c>
      <c r="H79">
        <v>14</v>
      </c>
      <c r="I79">
        <v>14</v>
      </c>
      <c r="J79" t="s">
        <v>41</v>
      </c>
      <c r="K79" t="s">
        <v>41</v>
      </c>
      <c r="L79" t="s">
        <v>41</v>
      </c>
    </row>
    <row r="80" spans="1:12" x14ac:dyDescent="0.25">
      <c r="A80" t="s">
        <v>82</v>
      </c>
      <c r="B80" t="s">
        <v>49</v>
      </c>
      <c r="C80" t="s">
        <v>103</v>
      </c>
      <c r="D80" t="s">
        <v>104</v>
      </c>
      <c r="E80" t="s">
        <v>67</v>
      </c>
      <c r="F80" t="s">
        <v>41</v>
      </c>
      <c r="G80" t="s">
        <v>41</v>
      </c>
      <c r="H80" t="s">
        <v>41</v>
      </c>
      <c r="I80">
        <v>11.5</v>
      </c>
      <c r="J80">
        <v>11</v>
      </c>
      <c r="K80" t="s">
        <v>41</v>
      </c>
      <c r="L80">
        <v>12.1</v>
      </c>
    </row>
    <row r="81" spans="1:12" x14ac:dyDescent="0.25">
      <c r="A81" t="s">
        <v>79</v>
      </c>
      <c r="B81" t="s">
        <v>46</v>
      </c>
      <c r="C81" t="s">
        <v>103</v>
      </c>
      <c r="D81" t="s">
        <v>104</v>
      </c>
      <c r="E81" t="s">
        <v>67</v>
      </c>
      <c r="F81">
        <v>18.7</v>
      </c>
      <c r="G81">
        <v>18.899999999999999</v>
      </c>
      <c r="H81">
        <v>18.7</v>
      </c>
      <c r="I81">
        <v>19.2</v>
      </c>
      <c r="J81">
        <v>20</v>
      </c>
      <c r="K81" t="s">
        <v>41</v>
      </c>
      <c r="L81" t="s">
        <v>41</v>
      </c>
    </row>
    <row r="82" spans="1:12" x14ac:dyDescent="0.25">
      <c r="A82" t="s">
        <v>83</v>
      </c>
      <c r="B82" t="s">
        <v>53</v>
      </c>
      <c r="C82" t="s">
        <v>103</v>
      </c>
      <c r="D82" t="s">
        <v>104</v>
      </c>
      <c r="E82" t="s">
        <v>67</v>
      </c>
      <c r="F82">
        <v>15.1</v>
      </c>
      <c r="G82">
        <v>16.5</v>
      </c>
      <c r="H82">
        <v>16.100000000000001</v>
      </c>
      <c r="I82">
        <v>16.3</v>
      </c>
      <c r="J82">
        <v>16.600000000000001</v>
      </c>
      <c r="K82">
        <v>17.600000000000001</v>
      </c>
      <c r="L82">
        <v>14.7</v>
      </c>
    </row>
    <row r="83" spans="1:12" x14ac:dyDescent="0.25">
      <c r="A83" t="s">
        <v>74</v>
      </c>
      <c r="B83" t="s">
        <v>75</v>
      </c>
      <c r="C83" t="s">
        <v>103</v>
      </c>
      <c r="D83" t="s">
        <v>104</v>
      </c>
      <c r="E83" t="s">
        <v>67</v>
      </c>
      <c r="F83">
        <v>16</v>
      </c>
      <c r="G83" t="s">
        <v>41</v>
      </c>
      <c r="H83" t="s">
        <v>41</v>
      </c>
      <c r="I83" t="s">
        <v>41</v>
      </c>
      <c r="J83" t="s">
        <v>41</v>
      </c>
      <c r="K83" t="s">
        <v>41</v>
      </c>
      <c r="L83" t="s">
        <v>41</v>
      </c>
    </row>
    <row r="84" spans="1:12" x14ac:dyDescent="0.25">
      <c r="A84" t="s">
        <v>78</v>
      </c>
      <c r="B84" t="s">
        <v>51</v>
      </c>
      <c r="C84" t="s">
        <v>103</v>
      </c>
      <c r="D84" t="s">
        <v>104</v>
      </c>
      <c r="E84" t="s">
        <v>67</v>
      </c>
      <c r="F84">
        <v>16.899999999999999</v>
      </c>
      <c r="G84" t="s">
        <v>41</v>
      </c>
      <c r="H84">
        <v>17.3</v>
      </c>
      <c r="I84">
        <v>16.899999999999999</v>
      </c>
      <c r="J84">
        <v>15.5</v>
      </c>
      <c r="K84">
        <v>17.7</v>
      </c>
      <c r="L84">
        <v>16.3</v>
      </c>
    </row>
    <row r="85" spans="1:12" x14ac:dyDescent="0.25">
      <c r="A85" t="s">
        <v>105</v>
      </c>
      <c r="B85" t="s">
        <v>41</v>
      </c>
      <c r="C85" t="s">
        <v>41</v>
      </c>
      <c r="D85" t="s">
        <v>41</v>
      </c>
      <c r="E85" t="s">
        <v>62</v>
      </c>
      <c r="F85">
        <v>81.125</v>
      </c>
      <c r="G85">
        <v>82.666666666666671</v>
      </c>
      <c r="H85">
        <v>84.025000000000006</v>
      </c>
      <c r="I85">
        <v>85.424999999999997</v>
      </c>
      <c r="J85">
        <v>83.86666666666666</v>
      </c>
      <c r="K85">
        <v>84.333333333333329</v>
      </c>
      <c r="L85">
        <v>82.45</v>
      </c>
    </row>
    <row r="86" spans="1:12" x14ac:dyDescent="0.25">
      <c r="A86" t="s">
        <v>63</v>
      </c>
      <c r="B86" t="s">
        <v>64</v>
      </c>
      <c r="C86" t="s">
        <v>106</v>
      </c>
      <c r="D86" t="s">
        <v>107</v>
      </c>
      <c r="E86" t="s">
        <v>67</v>
      </c>
      <c r="F86">
        <v>88</v>
      </c>
      <c r="G86">
        <v>88</v>
      </c>
      <c r="H86">
        <v>90</v>
      </c>
      <c r="I86">
        <v>92</v>
      </c>
      <c r="J86" t="s">
        <v>41</v>
      </c>
      <c r="K86" t="s">
        <v>41</v>
      </c>
      <c r="L86" t="s">
        <v>41</v>
      </c>
    </row>
    <row r="87" spans="1:12" x14ac:dyDescent="0.25">
      <c r="A87" t="s">
        <v>82</v>
      </c>
      <c r="B87" t="s">
        <v>49</v>
      </c>
      <c r="C87" t="s">
        <v>106</v>
      </c>
      <c r="D87" t="s">
        <v>107</v>
      </c>
      <c r="E87" t="s">
        <v>67</v>
      </c>
      <c r="F87" t="s">
        <v>41</v>
      </c>
      <c r="G87" t="s">
        <v>41</v>
      </c>
      <c r="H87" t="s">
        <v>41</v>
      </c>
      <c r="I87" t="s">
        <v>41</v>
      </c>
      <c r="J87" t="s">
        <v>41</v>
      </c>
      <c r="K87" t="s">
        <v>41</v>
      </c>
      <c r="L87" t="s">
        <v>41</v>
      </c>
    </row>
    <row r="88" spans="1:12" x14ac:dyDescent="0.25">
      <c r="A88" t="s">
        <v>79</v>
      </c>
      <c r="B88" t="s">
        <v>46</v>
      </c>
      <c r="C88" t="s">
        <v>106</v>
      </c>
      <c r="D88" t="s">
        <v>107</v>
      </c>
      <c r="E88" t="s">
        <v>67</v>
      </c>
      <c r="F88">
        <v>77.400000000000006</v>
      </c>
      <c r="G88">
        <v>80.900000000000006</v>
      </c>
      <c r="H88">
        <v>80.599999999999994</v>
      </c>
      <c r="I88">
        <v>81.7</v>
      </c>
      <c r="J88">
        <v>84.6</v>
      </c>
      <c r="K88">
        <v>84.3</v>
      </c>
      <c r="L88">
        <v>84</v>
      </c>
    </row>
    <row r="89" spans="1:12" x14ac:dyDescent="0.25">
      <c r="A89" t="s">
        <v>74</v>
      </c>
      <c r="B89" t="s">
        <v>75</v>
      </c>
      <c r="C89" t="s">
        <v>106</v>
      </c>
      <c r="D89" t="s">
        <v>107</v>
      </c>
      <c r="E89" t="s">
        <v>67</v>
      </c>
      <c r="F89" t="s">
        <v>41</v>
      </c>
      <c r="G89" t="s">
        <v>41</v>
      </c>
      <c r="H89" t="s">
        <v>41</v>
      </c>
      <c r="I89" t="s">
        <v>41</v>
      </c>
      <c r="J89" t="s">
        <v>41</v>
      </c>
      <c r="K89" t="s">
        <v>41</v>
      </c>
      <c r="L89" t="s">
        <v>41</v>
      </c>
    </row>
    <row r="90" spans="1:12" x14ac:dyDescent="0.25">
      <c r="A90" t="s">
        <v>83</v>
      </c>
      <c r="B90" t="s">
        <v>53</v>
      </c>
      <c r="C90" t="s">
        <v>106</v>
      </c>
      <c r="D90" t="s">
        <v>107</v>
      </c>
      <c r="E90" t="s">
        <v>67</v>
      </c>
      <c r="F90">
        <v>74.599999999999994</v>
      </c>
      <c r="G90">
        <v>79.099999999999994</v>
      </c>
      <c r="H90">
        <v>79.900000000000006</v>
      </c>
      <c r="I90">
        <v>82.3</v>
      </c>
      <c r="J90">
        <v>81.099999999999994</v>
      </c>
      <c r="K90">
        <v>83.3</v>
      </c>
      <c r="L90">
        <v>80.900000000000006</v>
      </c>
    </row>
    <row r="91" spans="1:12" x14ac:dyDescent="0.25">
      <c r="A91" t="s">
        <v>78</v>
      </c>
      <c r="B91" t="s">
        <v>51</v>
      </c>
      <c r="C91" t="s">
        <v>106</v>
      </c>
      <c r="D91" t="s">
        <v>107</v>
      </c>
      <c r="E91" t="s">
        <v>67</v>
      </c>
      <c r="F91">
        <v>84.5</v>
      </c>
      <c r="G91" t="s">
        <v>41</v>
      </c>
      <c r="H91">
        <v>85.6</v>
      </c>
      <c r="I91">
        <v>85.7</v>
      </c>
      <c r="J91">
        <v>85.9</v>
      </c>
      <c r="K91">
        <v>85.4</v>
      </c>
      <c r="L91" t="s">
        <v>41</v>
      </c>
    </row>
    <row r="92" spans="1:12" x14ac:dyDescent="0.25">
      <c r="A92" t="s">
        <v>108</v>
      </c>
      <c r="B92" t="s">
        <v>41</v>
      </c>
      <c r="C92" t="s">
        <v>41</v>
      </c>
      <c r="D92" t="s">
        <v>41</v>
      </c>
      <c r="E92" t="s">
        <v>44</v>
      </c>
      <c r="F92" t="s">
        <v>41</v>
      </c>
      <c r="G92" t="s">
        <v>41</v>
      </c>
      <c r="H92" t="s">
        <v>41</v>
      </c>
      <c r="I92" t="s">
        <v>41</v>
      </c>
      <c r="J92" t="s">
        <v>41</v>
      </c>
      <c r="K92" t="s">
        <v>41</v>
      </c>
      <c r="L92" t="s">
        <v>41</v>
      </c>
    </row>
    <row r="93" spans="1:12" x14ac:dyDescent="0.25">
      <c r="A93" t="s">
        <v>109</v>
      </c>
      <c r="B93" t="s">
        <v>41</v>
      </c>
      <c r="C93" t="s">
        <v>41</v>
      </c>
      <c r="D93" t="s">
        <v>41</v>
      </c>
      <c r="E93" t="s">
        <v>97</v>
      </c>
      <c r="F93">
        <v>3073</v>
      </c>
      <c r="G93">
        <v>2275</v>
      </c>
      <c r="H93">
        <v>2615</v>
      </c>
      <c r="I93">
        <v>2814</v>
      </c>
      <c r="J93">
        <v>2809</v>
      </c>
      <c r="K93">
        <v>2772</v>
      </c>
      <c r="L93">
        <v>2485</v>
      </c>
    </row>
    <row r="94" spans="1:12" x14ac:dyDescent="0.25">
      <c r="A94" t="s">
        <v>110</v>
      </c>
      <c r="B94" t="s">
        <v>75</v>
      </c>
      <c r="C94" t="s">
        <v>111</v>
      </c>
      <c r="D94" t="s">
        <v>112</v>
      </c>
      <c r="E94" t="s">
        <v>67</v>
      </c>
      <c r="F94">
        <v>1197</v>
      </c>
      <c r="G94">
        <v>271</v>
      </c>
      <c r="H94">
        <v>300</v>
      </c>
      <c r="I94">
        <v>329</v>
      </c>
      <c r="J94">
        <v>357</v>
      </c>
      <c r="K94">
        <v>378</v>
      </c>
      <c r="L94" t="s">
        <v>41</v>
      </c>
    </row>
    <row r="95" spans="1:12" x14ac:dyDescent="0.25">
      <c r="A95" t="s">
        <v>78</v>
      </c>
      <c r="B95" t="s">
        <v>51</v>
      </c>
      <c r="C95" t="s">
        <v>111</v>
      </c>
      <c r="D95" t="s">
        <v>112</v>
      </c>
      <c r="E95" t="s">
        <v>67</v>
      </c>
      <c r="F95" t="s">
        <v>41</v>
      </c>
      <c r="G95" t="s">
        <v>41</v>
      </c>
      <c r="H95" t="s">
        <v>41</v>
      </c>
      <c r="I95" t="s">
        <v>41</v>
      </c>
      <c r="J95" t="s">
        <v>41</v>
      </c>
      <c r="K95" t="s">
        <v>41</v>
      </c>
      <c r="L95" t="s">
        <v>41</v>
      </c>
    </row>
    <row r="96" spans="1:12" x14ac:dyDescent="0.25">
      <c r="A96" t="s">
        <v>79</v>
      </c>
      <c r="B96" t="s">
        <v>46</v>
      </c>
      <c r="C96" t="s">
        <v>111</v>
      </c>
      <c r="D96" t="s">
        <v>112</v>
      </c>
      <c r="E96" t="s">
        <v>67</v>
      </c>
      <c r="F96">
        <v>890</v>
      </c>
      <c r="G96">
        <v>950</v>
      </c>
      <c r="H96">
        <v>1092</v>
      </c>
      <c r="I96">
        <v>1162</v>
      </c>
      <c r="J96">
        <v>1204</v>
      </c>
      <c r="K96">
        <v>1279</v>
      </c>
      <c r="L96">
        <v>1411</v>
      </c>
    </row>
    <row r="97" spans="1:12" x14ac:dyDescent="0.25">
      <c r="A97" t="s">
        <v>82</v>
      </c>
      <c r="B97" t="s">
        <v>49</v>
      </c>
      <c r="C97" t="s">
        <v>111</v>
      </c>
      <c r="D97" t="s">
        <v>112</v>
      </c>
      <c r="E97" t="s">
        <v>67</v>
      </c>
      <c r="F97" t="s">
        <v>41</v>
      </c>
      <c r="G97" t="s">
        <v>41</v>
      </c>
      <c r="H97" t="s">
        <v>41</v>
      </c>
      <c r="I97" t="s">
        <v>41</v>
      </c>
      <c r="J97" t="s">
        <v>41</v>
      </c>
      <c r="K97" t="s">
        <v>41</v>
      </c>
      <c r="L97" t="s">
        <v>41</v>
      </c>
    </row>
    <row r="98" spans="1:12" x14ac:dyDescent="0.25">
      <c r="A98" t="s">
        <v>83</v>
      </c>
      <c r="B98" t="s">
        <v>53</v>
      </c>
      <c r="C98" t="s">
        <v>111</v>
      </c>
      <c r="D98" t="s">
        <v>112</v>
      </c>
      <c r="E98" t="s">
        <v>67</v>
      </c>
      <c r="F98">
        <v>986</v>
      </c>
      <c r="G98">
        <v>1054</v>
      </c>
      <c r="H98">
        <v>1223</v>
      </c>
      <c r="I98">
        <v>1323</v>
      </c>
      <c r="J98">
        <v>1248</v>
      </c>
      <c r="K98">
        <v>1115</v>
      </c>
      <c r="L98">
        <v>1074</v>
      </c>
    </row>
    <row r="99" spans="1:12" x14ac:dyDescent="0.25">
      <c r="A99" t="s">
        <v>113</v>
      </c>
      <c r="B99" t="s">
        <v>41</v>
      </c>
      <c r="C99" t="s">
        <v>41</v>
      </c>
      <c r="D99" t="s">
        <v>41</v>
      </c>
      <c r="E99" t="s">
        <v>42</v>
      </c>
      <c r="F99" t="s">
        <v>41</v>
      </c>
      <c r="G99" t="s">
        <v>41</v>
      </c>
      <c r="H99" t="s">
        <v>41</v>
      </c>
      <c r="I99" t="s">
        <v>41</v>
      </c>
      <c r="J99" t="s">
        <v>41</v>
      </c>
      <c r="K99" t="s">
        <v>41</v>
      </c>
      <c r="L99" t="s">
        <v>41</v>
      </c>
    </row>
    <row r="100" spans="1:12" x14ac:dyDescent="0.25">
      <c r="A100" t="s">
        <v>114</v>
      </c>
      <c r="B100" t="s">
        <v>41</v>
      </c>
      <c r="C100" t="s">
        <v>41</v>
      </c>
      <c r="D100" t="s">
        <v>41</v>
      </c>
      <c r="E100" t="s">
        <v>62</v>
      </c>
      <c r="F100">
        <v>3.75</v>
      </c>
      <c r="G100">
        <v>3.5</v>
      </c>
      <c r="H100">
        <v>3.35</v>
      </c>
      <c r="I100">
        <v>3.05</v>
      </c>
      <c r="J100">
        <v>3.25</v>
      </c>
      <c r="K100">
        <v>3.7</v>
      </c>
      <c r="L100">
        <v>3.1500000000000004</v>
      </c>
    </row>
    <row r="101" spans="1:12" x14ac:dyDescent="0.25">
      <c r="A101" t="s">
        <v>115</v>
      </c>
      <c r="B101" t="s">
        <v>75</v>
      </c>
      <c r="C101" t="s">
        <v>116</v>
      </c>
      <c r="D101" t="s">
        <v>117</v>
      </c>
      <c r="E101" t="s">
        <v>67</v>
      </c>
      <c r="F101" t="s">
        <v>41</v>
      </c>
      <c r="G101" t="s">
        <v>41</v>
      </c>
      <c r="H101" t="s">
        <v>41</v>
      </c>
      <c r="I101" t="s">
        <v>41</v>
      </c>
      <c r="J101" t="s">
        <v>41</v>
      </c>
      <c r="K101" t="s">
        <v>41</v>
      </c>
      <c r="L101" t="s">
        <v>41</v>
      </c>
    </row>
    <row r="102" spans="1:12" x14ac:dyDescent="0.25">
      <c r="A102" t="s">
        <v>50</v>
      </c>
      <c r="B102" t="s">
        <v>51</v>
      </c>
      <c r="C102" t="s">
        <v>116</v>
      </c>
      <c r="D102" t="s">
        <v>117</v>
      </c>
      <c r="E102" t="s">
        <v>67</v>
      </c>
      <c r="F102" t="s">
        <v>41</v>
      </c>
      <c r="G102" t="s">
        <v>41</v>
      </c>
      <c r="H102" t="s">
        <v>41</v>
      </c>
      <c r="I102" t="s">
        <v>41</v>
      </c>
      <c r="J102" t="s">
        <v>41</v>
      </c>
      <c r="K102" t="s">
        <v>41</v>
      </c>
      <c r="L102" t="s">
        <v>41</v>
      </c>
    </row>
    <row r="103" spans="1:12" x14ac:dyDescent="0.25">
      <c r="A103" t="s">
        <v>45</v>
      </c>
      <c r="B103" t="s">
        <v>46</v>
      </c>
      <c r="C103" t="s">
        <v>116</v>
      </c>
      <c r="D103" t="s">
        <v>117</v>
      </c>
      <c r="E103" t="s">
        <v>67</v>
      </c>
      <c r="F103">
        <v>3.8</v>
      </c>
      <c r="G103">
        <v>3.3</v>
      </c>
      <c r="H103">
        <v>3.6</v>
      </c>
      <c r="I103">
        <v>3.4</v>
      </c>
      <c r="J103">
        <v>3.4</v>
      </c>
      <c r="K103" t="s">
        <v>41</v>
      </c>
      <c r="L103">
        <v>3.1</v>
      </c>
    </row>
    <row r="104" spans="1:12" x14ac:dyDescent="0.25">
      <c r="A104" t="s">
        <v>48</v>
      </c>
      <c r="B104" t="s">
        <v>49</v>
      </c>
      <c r="C104" t="s">
        <v>116</v>
      </c>
      <c r="D104" t="s">
        <v>117</v>
      </c>
      <c r="E104" t="s">
        <v>67</v>
      </c>
      <c r="F104" t="s">
        <v>41</v>
      </c>
      <c r="G104" t="s">
        <v>41</v>
      </c>
      <c r="H104" t="s">
        <v>41</v>
      </c>
      <c r="I104" t="s">
        <v>41</v>
      </c>
      <c r="J104" t="s">
        <v>41</v>
      </c>
      <c r="K104" t="s">
        <v>41</v>
      </c>
      <c r="L104" t="s">
        <v>41</v>
      </c>
    </row>
    <row r="105" spans="1:12" x14ac:dyDescent="0.25">
      <c r="A105" t="s">
        <v>52</v>
      </c>
      <c r="B105" t="s">
        <v>53</v>
      </c>
      <c r="C105" t="s">
        <v>116</v>
      </c>
      <c r="D105" t="s">
        <v>117</v>
      </c>
      <c r="E105" t="s">
        <v>67</v>
      </c>
      <c r="F105">
        <v>3.7</v>
      </c>
      <c r="G105">
        <v>3.7</v>
      </c>
      <c r="H105">
        <v>3.1</v>
      </c>
      <c r="I105">
        <v>2.7</v>
      </c>
      <c r="J105">
        <v>3.1</v>
      </c>
      <c r="K105">
        <v>3.7</v>
      </c>
      <c r="L105">
        <v>3.2</v>
      </c>
    </row>
    <row r="106" spans="1:12" x14ac:dyDescent="0.25">
      <c r="A106" t="s">
        <v>118</v>
      </c>
      <c r="B106" t="s">
        <v>41</v>
      </c>
      <c r="C106" t="s">
        <v>41</v>
      </c>
      <c r="D106" t="s">
        <v>41</v>
      </c>
      <c r="E106" t="s">
        <v>62</v>
      </c>
      <c r="F106">
        <v>14.049999999999999</v>
      </c>
      <c r="G106">
        <v>13.200000000000001</v>
      </c>
      <c r="H106">
        <v>13</v>
      </c>
      <c r="I106">
        <v>12.433333333333332</v>
      </c>
      <c r="J106">
        <v>9.1333333333333329</v>
      </c>
      <c r="K106">
        <v>14.85</v>
      </c>
      <c r="L106">
        <v>13.95</v>
      </c>
    </row>
    <row r="107" spans="1:12" x14ac:dyDescent="0.25">
      <c r="A107" t="s">
        <v>115</v>
      </c>
      <c r="B107" t="s">
        <v>75</v>
      </c>
      <c r="C107" t="s">
        <v>119</v>
      </c>
      <c r="D107" t="s">
        <v>120</v>
      </c>
      <c r="E107" t="s">
        <v>67</v>
      </c>
      <c r="F107">
        <v>13.2</v>
      </c>
      <c r="G107">
        <v>12.2</v>
      </c>
      <c r="H107" t="s">
        <v>41</v>
      </c>
      <c r="I107" t="s">
        <v>41</v>
      </c>
      <c r="J107" t="s">
        <v>41</v>
      </c>
      <c r="K107" t="s">
        <v>41</v>
      </c>
      <c r="L107" t="s">
        <v>41</v>
      </c>
    </row>
    <row r="108" spans="1:12" x14ac:dyDescent="0.25">
      <c r="A108" t="s">
        <v>50</v>
      </c>
      <c r="B108" t="s">
        <v>51</v>
      </c>
      <c r="C108" t="s">
        <v>119</v>
      </c>
      <c r="D108" t="s">
        <v>120</v>
      </c>
      <c r="E108" t="s">
        <v>67</v>
      </c>
      <c r="F108">
        <v>14.7</v>
      </c>
      <c r="G108" t="s">
        <v>41</v>
      </c>
      <c r="H108">
        <v>13.6</v>
      </c>
      <c r="I108">
        <v>14.7</v>
      </c>
      <c r="J108">
        <v>16.3</v>
      </c>
      <c r="K108">
        <v>17</v>
      </c>
      <c r="L108">
        <v>15.1</v>
      </c>
    </row>
    <row r="109" spans="1:12" x14ac:dyDescent="0.25">
      <c r="A109" t="s">
        <v>45</v>
      </c>
      <c r="B109" t="s">
        <v>46</v>
      </c>
      <c r="C109" t="s">
        <v>119</v>
      </c>
      <c r="D109" t="s">
        <v>120</v>
      </c>
      <c r="E109" t="s">
        <v>67</v>
      </c>
      <c r="F109">
        <v>14.4</v>
      </c>
      <c r="G109">
        <v>13.5</v>
      </c>
      <c r="H109">
        <v>13.8</v>
      </c>
      <c r="I109">
        <v>12.6</v>
      </c>
      <c r="J109">
        <v>0</v>
      </c>
      <c r="K109" t="s">
        <v>41</v>
      </c>
      <c r="L109" t="s">
        <v>41</v>
      </c>
    </row>
    <row r="110" spans="1:12" x14ac:dyDescent="0.25">
      <c r="A110" t="s">
        <v>48</v>
      </c>
      <c r="B110" t="s">
        <v>49</v>
      </c>
      <c r="C110" t="s">
        <v>119</v>
      </c>
      <c r="D110" t="s">
        <v>120</v>
      </c>
      <c r="E110" t="s">
        <v>67</v>
      </c>
      <c r="F110" t="s">
        <v>41</v>
      </c>
      <c r="G110" t="s">
        <v>41</v>
      </c>
      <c r="H110" t="s">
        <v>41</v>
      </c>
      <c r="I110" t="s">
        <v>41</v>
      </c>
      <c r="J110" t="s">
        <v>41</v>
      </c>
      <c r="K110" t="s">
        <v>41</v>
      </c>
      <c r="L110" t="s">
        <v>41</v>
      </c>
    </row>
    <row r="111" spans="1:12" x14ac:dyDescent="0.25">
      <c r="A111" t="s">
        <v>52</v>
      </c>
      <c r="B111" t="s">
        <v>53</v>
      </c>
      <c r="C111" t="s">
        <v>119</v>
      </c>
      <c r="D111" t="s">
        <v>120</v>
      </c>
      <c r="E111" t="s">
        <v>67</v>
      </c>
      <c r="F111">
        <v>13.9</v>
      </c>
      <c r="G111">
        <v>13.9</v>
      </c>
      <c r="H111">
        <v>11.6</v>
      </c>
      <c r="I111">
        <v>10</v>
      </c>
      <c r="J111">
        <v>11.1</v>
      </c>
      <c r="K111">
        <v>12.7</v>
      </c>
      <c r="L111">
        <v>12.8</v>
      </c>
    </row>
    <row r="112" spans="1:12" x14ac:dyDescent="0.25">
      <c r="A112" t="s">
        <v>121</v>
      </c>
      <c r="B112" t="s">
        <v>41</v>
      </c>
      <c r="C112" t="s">
        <v>41</v>
      </c>
      <c r="D112" t="s">
        <v>41</v>
      </c>
      <c r="E112" t="s">
        <v>62</v>
      </c>
      <c r="F112">
        <v>23.2</v>
      </c>
      <c r="G112">
        <v>22.233333333333334</v>
      </c>
      <c r="H112">
        <v>21.2</v>
      </c>
      <c r="I112">
        <v>20.066666666666666</v>
      </c>
      <c r="J112">
        <v>20.3</v>
      </c>
      <c r="K112">
        <v>21.8</v>
      </c>
      <c r="L112">
        <v>20.85</v>
      </c>
    </row>
    <row r="113" spans="1:12" x14ac:dyDescent="0.25">
      <c r="A113" t="s">
        <v>115</v>
      </c>
      <c r="B113" t="s">
        <v>75</v>
      </c>
      <c r="C113" t="s">
        <v>122</v>
      </c>
      <c r="D113" t="s">
        <v>123</v>
      </c>
      <c r="E113" t="s">
        <v>67</v>
      </c>
      <c r="F113">
        <v>22.6</v>
      </c>
      <c r="G113">
        <v>21.3</v>
      </c>
      <c r="H113" t="s">
        <v>41</v>
      </c>
      <c r="I113" t="s">
        <v>41</v>
      </c>
      <c r="J113" t="s">
        <v>41</v>
      </c>
      <c r="K113" t="s">
        <v>41</v>
      </c>
      <c r="L113" t="s">
        <v>41</v>
      </c>
    </row>
    <row r="114" spans="1:12" x14ac:dyDescent="0.25">
      <c r="A114" t="s">
        <v>50</v>
      </c>
      <c r="B114" t="s">
        <v>51</v>
      </c>
      <c r="C114" t="s">
        <v>122</v>
      </c>
      <c r="D114" t="s">
        <v>123</v>
      </c>
      <c r="E114" t="s">
        <v>67</v>
      </c>
      <c r="F114">
        <v>23.7</v>
      </c>
      <c r="G114" t="s">
        <v>41</v>
      </c>
      <c r="H114">
        <v>21.8</v>
      </c>
      <c r="I114">
        <v>22.1</v>
      </c>
      <c r="J114">
        <v>23.8</v>
      </c>
      <c r="K114">
        <v>24.1</v>
      </c>
      <c r="L114">
        <v>22</v>
      </c>
    </row>
    <row r="115" spans="1:12" x14ac:dyDescent="0.25">
      <c r="A115" t="s">
        <v>45</v>
      </c>
      <c r="B115" t="s">
        <v>46</v>
      </c>
      <c r="C115" t="s">
        <v>122</v>
      </c>
      <c r="D115" t="s">
        <v>123</v>
      </c>
      <c r="E115" t="s">
        <v>67</v>
      </c>
      <c r="F115">
        <v>23.8</v>
      </c>
      <c r="G115">
        <v>22.7</v>
      </c>
      <c r="H115">
        <v>22.5</v>
      </c>
      <c r="I115">
        <v>21</v>
      </c>
      <c r="J115">
        <v>19.3</v>
      </c>
      <c r="K115" t="s">
        <v>41</v>
      </c>
      <c r="L115" t="s">
        <v>41</v>
      </c>
    </row>
    <row r="116" spans="1:12" x14ac:dyDescent="0.25">
      <c r="A116" t="s">
        <v>48</v>
      </c>
      <c r="B116" t="s">
        <v>49</v>
      </c>
      <c r="C116" t="s">
        <v>122</v>
      </c>
      <c r="D116" t="s">
        <v>123</v>
      </c>
      <c r="E116" t="s">
        <v>67</v>
      </c>
      <c r="F116" t="s">
        <v>41</v>
      </c>
      <c r="G116" t="s">
        <v>41</v>
      </c>
      <c r="H116" t="s">
        <v>41</v>
      </c>
      <c r="I116" t="s">
        <v>41</v>
      </c>
      <c r="J116" t="s">
        <v>41</v>
      </c>
      <c r="K116" t="s">
        <v>41</v>
      </c>
      <c r="L116" t="s">
        <v>41</v>
      </c>
    </row>
    <row r="117" spans="1:12" x14ac:dyDescent="0.25">
      <c r="A117" t="s">
        <v>52</v>
      </c>
      <c r="B117" t="s">
        <v>53</v>
      </c>
      <c r="C117" t="s">
        <v>122</v>
      </c>
      <c r="D117" t="s">
        <v>123</v>
      </c>
      <c r="E117" t="s">
        <v>67</v>
      </c>
      <c r="F117">
        <v>22.7</v>
      </c>
      <c r="G117">
        <v>22.7</v>
      </c>
      <c r="H117">
        <v>19.3</v>
      </c>
      <c r="I117">
        <v>17.100000000000001</v>
      </c>
      <c r="J117">
        <v>17.8</v>
      </c>
      <c r="K117">
        <v>19.5</v>
      </c>
      <c r="L117">
        <v>19.7</v>
      </c>
    </row>
    <row r="118" spans="1:12" x14ac:dyDescent="0.25">
      <c r="A118" t="s">
        <v>124</v>
      </c>
      <c r="B118" t="s">
        <v>41</v>
      </c>
      <c r="C118" t="s">
        <v>41</v>
      </c>
      <c r="D118" t="s">
        <v>41</v>
      </c>
      <c r="E118" t="s">
        <v>42</v>
      </c>
      <c r="F118" t="s">
        <v>41</v>
      </c>
      <c r="G118" t="s">
        <v>41</v>
      </c>
      <c r="H118" t="s">
        <v>41</v>
      </c>
      <c r="I118" t="s">
        <v>41</v>
      </c>
      <c r="J118" t="s">
        <v>41</v>
      </c>
      <c r="K118" t="s">
        <v>41</v>
      </c>
      <c r="L118" t="s">
        <v>41</v>
      </c>
    </row>
    <row r="119" spans="1:12" x14ac:dyDescent="0.25">
      <c r="A119" t="s">
        <v>125</v>
      </c>
      <c r="B119" t="s">
        <v>41</v>
      </c>
      <c r="C119" t="s">
        <v>41</v>
      </c>
      <c r="D119" t="s">
        <v>41</v>
      </c>
      <c r="E119" t="s">
        <v>97</v>
      </c>
      <c r="F119">
        <v>1709</v>
      </c>
      <c r="G119">
        <v>1382</v>
      </c>
      <c r="H119">
        <v>1921</v>
      </c>
      <c r="I119">
        <v>2957</v>
      </c>
      <c r="J119">
        <v>3158</v>
      </c>
      <c r="K119">
        <v>2195</v>
      </c>
      <c r="L119">
        <v>3496</v>
      </c>
    </row>
    <row r="120" spans="1:12" x14ac:dyDescent="0.25">
      <c r="A120" t="s">
        <v>115</v>
      </c>
      <c r="B120" t="s">
        <v>75</v>
      </c>
      <c r="C120" t="s">
        <v>126</v>
      </c>
      <c r="D120" t="s">
        <v>127</v>
      </c>
      <c r="E120" t="s">
        <v>67</v>
      </c>
      <c r="F120" t="s">
        <v>41</v>
      </c>
      <c r="G120" t="s">
        <v>41</v>
      </c>
      <c r="H120" t="s">
        <v>41</v>
      </c>
      <c r="I120" t="s">
        <v>41</v>
      </c>
      <c r="J120" t="s">
        <v>41</v>
      </c>
      <c r="K120" t="s">
        <v>41</v>
      </c>
      <c r="L120" t="s">
        <v>41</v>
      </c>
    </row>
    <row r="121" spans="1:12" x14ac:dyDescent="0.25">
      <c r="A121" t="s">
        <v>50</v>
      </c>
      <c r="B121" t="s">
        <v>51</v>
      </c>
      <c r="C121" t="s">
        <v>126</v>
      </c>
      <c r="D121" t="s">
        <v>127</v>
      </c>
      <c r="E121" t="s">
        <v>67</v>
      </c>
      <c r="F121">
        <v>429</v>
      </c>
      <c r="G121" t="s">
        <v>41</v>
      </c>
      <c r="H121">
        <v>482</v>
      </c>
      <c r="I121">
        <v>506</v>
      </c>
      <c r="J121">
        <v>561</v>
      </c>
      <c r="K121">
        <v>623</v>
      </c>
      <c r="L121">
        <v>791</v>
      </c>
    </row>
    <row r="122" spans="1:12" x14ac:dyDescent="0.25">
      <c r="A122" t="s">
        <v>45</v>
      </c>
      <c r="B122" t="s">
        <v>46</v>
      </c>
      <c r="C122" t="s">
        <v>126</v>
      </c>
      <c r="D122" t="s">
        <v>127</v>
      </c>
      <c r="E122" t="s">
        <v>67</v>
      </c>
      <c r="F122">
        <v>501</v>
      </c>
      <c r="G122">
        <v>529</v>
      </c>
      <c r="H122">
        <v>558</v>
      </c>
      <c r="I122">
        <v>598</v>
      </c>
      <c r="J122">
        <v>634</v>
      </c>
      <c r="K122">
        <v>662</v>
      </c>
      <c r="L122">
        <v>718</v>
      </c>
    </row>
    <row r="123" spans="1:12" x14ac:dyDescent="0.25">
      <c r="A123" t="s">
        <v>48</v>
      </c>
      <c r="B123" t="s">
        <v>49</v>
      </c>
      <c r="C123" t="s">
        <v>126</v>
      </c>
      <c r="D123" t="s">
        <v>127</v>
      </c>
      <c r="E123" t="s">
        <v>67</v>
      </c>
      <c r="F123" t="s">
        <v>41</v>
      </c>
      <c r="G123" t="s">
        <v>41</v>
      </c>
      <c r="H123" t="s">
        <v>41</v>
      </c>
      <c r="I123">
        <v>897</v>
      </c>
      <c r="J123">
        <v>963</v>
      </c>
      <c r="K123" t="s">
        <v>41</v>
      </c>
      <c r="L123">
        <v>1072</v>
      </c>
    </row>
    <row r="124" spans="1:12" x14ac:dyDescent="0.25">
      <c r="A124" t="s">
        <v>52</v>
      </c>
      <c r="B124" t="s">
        <v>53</v>
      </c>
      <c r="C124" t="s">
        <v>126</v>
      </c>
      <c r="D124" t="s">
        <v>127</v>
      </c>
      <c r="E124" t="s">
        <v>67</v>
      </c>
      <c r="F124">
        <v>779</v>
      </c>
      <c r="G124">
        <v>853</v>
      </c>
      <c r="H124">
        <v>881</v>
      </c>
      <c r="I124">
        <v>956</v>
      </c>
      <c r="J124">
        <v>1000</v>
      </c>
      <c r="K124">
        <v>910</v>
      </c>
      <c r="L124">
        <v>915</v>
      </c>
    </row>
    <row r="125" spans="1:12" x14ac:dyDescent="0.25">
      <c r="A125" t="s">
        <v>128</v>
      </c>
      <c r="B125" t="s">
        <v>41</v>
      </c>
      <c r="C125" t="s">
        <v>41</v>
      </c>
      <c r="D125" t="s">
        <v>41</v>
      </c>
      <c r="E125" t="s">
        <v>97</v>
      </c>
      <c r="F125">
        <v>639</v>
      </c>
      <c r="G125">
        <v>475</v>
      </c>
      <c r="H125">
        <v>749</v>
      </c>
      <c r="I125">
        <v>1255</v>
      </c>
      <c r="J125">
        <v>1331</v>
      </c>
      <c r="K125">
        <v>545</v>
      </c>
      <c r="L125">
        <v>1133</v>
      </c>
    </row>
    <row r="126" spans="1:12" x14ac:dyDescent="0.25">
      <c r="A126" t="s">
        <v>115</v>
      </c>
      <c r="B126" t="s">
        <v>75</v>
      </c>
      <c r="C126" t="s">
        <v>129</v>
      </c>
      <c r="D126" t="s">
        <v>130</v>
      </c>
      <c r="E126" t="s">
        <v>67</v>
      </c>
      <c r="F126" t="s">
        <v>41</v>
      </c>
      <c r="G126" t="s">
        <v>41</v>
      </c>
      <c r="H126" t="s">
        <v>41</v>
      </c>
      <c r="I126" t="s">
        <v>41</v>
      </c>
      <c r="J126" t="s">
        <v>41</v>
      </c>
      <c r="K126" t="s">
        <v>41</v>
      </c>
      <c r="L126" t="s">
        <v>41</v>
      </c>
    </row>
    <row r="127" spans="1:12" x14ac:dyDescent="0.25">
      <c r="A127" t="s">
        <v>50</v>
      </c>
      <c r="B127" t="s">
        <v>51</v>
      </c>
      <c r="C127" t="s">
        <v>129</v>
      </c>
      <c r="D127" t="s">
        <v>130</v>
      </c>
      <c r="E127" t="s">
        <v>67</v>
      </c>
      <c r="F127">
        <v>187</v>
      </c>
      <c r="G127" t="s">
        <v>41</v>
      </c>
      <c r="H127">
        <v>233</v>
      </c>
      <c r="I127">
        <v>246</v>
      </c>
      <c r="J127">
        <v>264</v>
      </c>
      <c r="K127">
        <v>283</v>
      </c>
      <c r="L127">
        <v>308</v>
      </c>
    </row>
    <row r="128" spans="1:12" x14ac:dyDescent="0.25">
      <c r="A128" t="s">
        <v>45</v>
      </c>
      <c r="B128" t="s">
        <v>46</v>
      </c>
      <c r="C128" t="s">
        <v>129</v>
      </c>
      <c r="D128" t="s">
        <v>130</v>
      </c>
      <c r="E128" t="s">
        <v>67</v>
      </c>
      <c r="F128">
        <v>232</v>
      </c>
      <c r="G128">
        <v>244</v>
      </c>
      <c r="H128">
        <v>268</v>
      </c>
      <c r="I128">
        <v>282</v>
      </c>
      <c r="J128">
        <v>295</v>
      </c>
      <c r="K128" t="s">
        <v>41</v>
      </c>
      <c r="L128" t="s">
        <v>41</v>
      </c>
    </row>
    <row r="129" spans="1:12" x14ac:dyDescent="0.25">
      <c r="A129" t="s">
        <v>48</v>
      </c>
      <c r="B129" t="s">
        <v>49</v>
      </c>
      <c r="C129" t="s">
        <v>129</v>
      </c>
      <c r="D129" t="s">
        <v>130</v>
      </c>
      <c r="E129" t="s">
        <v>67</v>
      </c>
      <c r="F129" t="s">
        <v>41</v>
      </c>
      <c r="G129" t="s">
        <v>41</v>
      </c>
      <c r="H129" t="s">
        <v>41</v>
      </c>
      <c r="I129">
        <v>459</v>
      </c>
      <c r="J129">
        <v>495</v>
      </c>
      <c r="K129" t="s">
        <v>41</v>
      </c>
      <c r="L129">
        <v>565</v>
      </c>
    </row>
    <row r="130" spans="1:12" x14ac:dyDescent="0.25">
      <c r="A130" t="s">
        <v>52</v>
      </c>
      <c r="B130" t="s">
        <v>53</v>
      </c>
      <c r="C130" t="s">
        <v>129</v>
      </c>
      <c r="D130" t="s">
        <v>130</v>
      </c>
      <c r="E130" t="s">
        <v>67</v>
      </c>
      <c r="F130">
        <v>220</v>
      </c>
      <c r="G130">
        <v>231</v>
      </c>
      <c r="H130">
        <v>248</v>
      </c>
      <c r="I130">
        <v>268</v>
      </c>
      <c r="J130">
        <v>277</v>
      </c>
      <c r="K130">
        <v>262</v>
      </c>
      <c r="L130">
        <v>260</v>
      </c>
    </row>
    <row r="131" spans="1:12" x14ac:dyDescent="0.25">
      <c r="A131" t="s">
        <v>131</v>
      </c>
      <c r="B131" t="s">
        <v>41</v>
      </c>
      <c r="C131" t="s">
        <v>41</v>
      </c>
      <c r="D131" t="s">
        <v>41</v>
      </c>
      <c r="E131" t="s">
        <v>97</v>
      </c>
      <c r="F131">
        <v>405</v>
      </c>
      <c r="G131">
        <v>309</v>
      </c>
      <c r="H131">
        <v>481</v>
      </c>
      <c r="I131">
        <v>815</v>
      </c>
      <c r="J131">
        <v>879</v>
      </c>
      <c r="K131">
        <v>560</v>
      </c>
      <c r="L131">
        <v>962</v>
      </c>
    </row>
    <row r="132" spans="1:12" x14ac:dyDescent="0.25">
      <c r="A132" t="s">
        <v>115</v>
      </c>
      <c r="B132" t="s">
        <v>75</v>
      </c>
      <c r="C132" t="s">
        <v>132</v>
      </c>
      <c r="D132" t="s">
        <v>133</v>
      </c>
      <c r="E132" t="s">
        <v>67</v>
      </c>
      <c r="F132" t="s">
        <v>41</v>
      </c>
      <c r="G132" t="s">
        <v>41</v>
      </c>
      <c r="H132" t="s">
        <v>41</v>
      </c>
      <c r="I132" t="s">
        <v>41</v>
      </c>
      <c r="J132" t="s">
        <v>41</v>
      </c>
      <c r="K132" t="s">
        <v>41</v>
      </c>
      <c r="L132" t="s">
        <v>41</v>
      </c>
    </row>
    <row r="133" spans="1:12" x14ac:dyDescent="0.25">
      <c r="A133" t="s">
        <v>50</v>
      </c>
      <c r="B133" t="s">
        <v>51</v>
      </c>
      <c r="C133" t="s">
        <v>132</v>
      </c>
      <c r="D133" t="s">
        <v>133</v>
      </c>
      <c r="E133" t="s">
        <v>67</v>
      </c>
      <c r="F133">
        <v>114</v>
      </c>
      <c r="G133" t="s">
        <v>41</v>
      </c>
      <c r="H133">
        <v>144</v>
      </c>
      <c r="I133">
        <v>153</v>
      </c>
      <c r="J133">
        <v>160</v>
      </c>
      <c r="K133">
        <v>166</v>
      </c>
      <c r="L133">
        <v>171</v>
      </c>
    </row>
    <row r="134" spans="1:12" x14ac:dyDescent="0.25">
      <c r="A134" t="s">
        <v>45</v>
      </c>
      <c r="B134" t="s">
        <v>46</v>
      </c>
      <c r="C134" t="s">
        <v>132</v>
      </c>
      <c r="D134" t="s">
        <v>133</v>
      </c>
      <c r="E134" t="s">
        <v>67</v>
      </c>
      <c r="F134">
        <v>148</v>
      </c>
      <c r="G134">
        <v>159</v>
      </c>
      <c r="H134">
        <v>177</v>
      </c>
      <c r="I134">
        <v>189</v>
      </c>
      <c r="J134">
        <v>198</v>
      </c>
      <c r="K134">
        <v>222</v>
      </c>
      <c r="L134">
        <v>234</v>
      </c>
    </row>
    <row r="135" spans="1:12" x14ac:dyDescent="0.25">
      <c r="A135" t="s">
        <v>48</v>
      </c>
      <c r="B135" t="s">
        <v>49</v>
      </c>
      <c r="C135" t="s">
        <v>132</v>
      </c>
      <c r="D135" t="s">
        <v>133</v>
      </c>
      <c r="E135" t="s">
        <v>67</v>
      </c>
      <c r="F135" t="s">
        <v>41</v>
      </c>
      <c r="G135" t="s">
        <v>41</v>
      </c>
      <c r="H135" t="s">
        <v>41</v>
      </c>
      <c r="I135">
        <v>310</v>
      </c>
      <c r="J135">
        <v>350</v>
      </c>
      <c r="K135" t="s">
        <v>41</v>
      </c>
      <c r="L135">
        <v>391</v>
      </c>
    </row>
    <row r="136" spans="1:12" x14ac:dyDescent="0.25">
      <c r="A136" t="s">
        <v>52</v>
      </c>
      <c r="B136" t="s">
        <v>53</v>
      </c>
      <c r="C136" t="s">
        <v>132</v>
      </c>
      <c r="D136" t="s">
        <v>133</v>
      </c>
      <c r="E136" t="s">
        <v>67</v>
      </c>
      <c r="F136">
        <v>143</v>
      </c>
      <c r="G136">
        <v>150</v>
      </c>
      <c r="H136">
        <v>160</v>
      </c>
      <c r="I136">
        <v>163</v>
      </c>
      <c r="J136">
        <v>171</v>
      </c>
      <c r="K136">
        <v>172</v>
      </c>
      <c r="L136">
        <v>166</v>
      </c>
    </row>
    <row r="137" spans="1:12" x14ac:dyDescent="0.25">
      <c r="A137" t="s">
        <v>134</v>
      </c>
      <c r="B137" t="s">
        <v>41</v>
      </c>
      <c r="C137" t="s">
        <v>41</v>
      </c>
      <c r="D137" t="s">
        <v>41</v>
      </c>
      <c r="E137" t="s">
        <v>97</v>
      </c>
      <c r="F137">
        <v>240</v>
      </c>
      <c r="G137">
        <v>169</v>
      </c>
      <c r="H137">
        <v>252</v>
      </c>
      <c r="I137">
        <v>457</v>
      </c>
      <c r="J137">
        <v>494</v>
      </c>
      <c r="K137">
        <v>191</v>
      </c>
      <c r="L137">
        <v>432</v>
      </c>
    </row>
    <row r="138" spans="1:12" x14ac:dyDescent="0.25">
      <c r="A138" t="s">
        <v>115</v>
      </c>
      <c r="B138" t="s">
        <v>75</v>
      </c>
      <c r="C138" t="s">
        <v>135</v>
      </c>
      <c r="D138" t="s">
        <v>136</v>
      </c>
      <c r="E138" t="s">
        <v>67</v>
      </c>
      <c r="F138" t="s">
        <v>41</v>
      </c>
      <c r="G138" t="s">
        <v>41</v>
      </c>
      <c r="H138" t="s">
        <v>41</v>
      </c>
      <c r="I138" t="s">
        <v>41</v>
      </c>
      <c r="J138" t="s">
        <v>41</v>
      </c>
      <c r="K138" t="s">
        <v>41</v>
      </c>
      <c r="L138" t="s">
        <v>41</v>
      </c>
    </row>
    <row r="139" spans="1:12" x14ac:dyDescent="0.25">
      <c r="A139" t="s">
        <v>50</v>
      </c>
      <c r="B139" t="s">
        <v>51</v>
      </c>
      <c r="C139" t="s">
        <v>135</v>
      </c>
      <c r="D139" t="s">
        <v>136</v>
      </c>
      <c r="E139" t="s">
        <v>67</v>
      </c>
      <c r="F139">
        <v>67</v>
      </c>
      <c r="G139" t="s">
        <v>41</v>
      </c>
      <c r="H139">
        <v>75</v>
      </c>
      <c r="I139">
        <v>85</v>
      </c>
      <c r="J139">
        <v>87</v>
      </c>
      <c r="K139">
        <v>95</v>
      </c>
      <c r="L139">
        <v>96</v>
      </c>
    </row>
    <row r="140" spans="1:12" x14ac:dyDescent="0.25">
      <c r="A140" t="s">
        <v>45</v>
      </c>
      <c r="B140" t="s">
        <v>46</v>
      </c>
      <c r="C140" t="s">
        <v>135</v>
      </c>
      <c r="D140" t="s">
        <v>136</v>
      </c>
      <c r="E140" t="s">
        <v>67</v>
      </c>
      <c r="F140">
        <v>91</v>
      </c>
      <c r="G140">
        <v>83</v>
      </c>
      <c r="H140">
        <v>88</v>
      </c>
      <c r="I140">
        <v>91</v>
      </c>
      <c r="J140">
        <v>105</v>
      </c>
      <c r="K140" t="s">
        <v>41</v>
      </c>
      <c r="L140" t="s">
        <v>41</v>
      </c>
    </row>
    <row r="141" spans="1:12" x14ac:dyDescent="0.25">
      <c r="A141" t="s">
        <v>48</v>
      </c>
      <c r="B141" t="s">
        <v>49</v>
      </c>
      <c r="C141" t="s">
        <v>135</v>
      </c>
      <c r="D141" t="s">
        <v>136</v>
      </c>
      <c r="E141" t="s">
        <v>67</v>
      </c>
      <c r="F141" t="s">
        <v>41</v>
      </c>
      <c r="G141" t="s">
        <v>41</v>
      </c>
      <c r="H141" t="s">
        <v>41</v>
      </c>
      <c r="I141">
        <v>190</v>
      </c>
      <c r="J141">
        <v>207</v>
      </c>
      <c r="K141" t="s">
        <v>41</v>
      </c>
      <c r="L141">
        <v>240</v>
      </c>
    </row>
    <row r="142" spans="1:12" x14ac:dyDescent="0.25">
      <c r="A142" t="s">
        <v>52</v>
      </c>
      <c r="B142" t="s">
        <v>53</v>
      </c>
      <c r="C142" t="s">
        <v>135</v>
      </c>
      <c r="D142" t="s">
        <v>136</v>
      </c>
      <c r="E142" t="s">
        <v>67</v>
      </c>
      <c r="F142">
        <v>82</v>
      </c>
      <c r="G142">
        <v>86</v>
      </c>
      <c r="H142">
        <v>89</v>
      </c>
      <c r="I142">
        <v>91</v>
      </c>
      <c r="J142">
        <v>95</v>
      </c>
      <c r="K142">
        <v>96</v>
      </c>
      <c r="L142">
        <v>96</v>
      </c>
    </row>
    <row r="143" spans="1:12" x14ac:dyDescent="0.25">
      <c r="A143" t="s">
        <v>137</v>
      </c>
      <c r="B143" t="s">
        <v>41</v>
      </c>
      <c r="C143" t="s">
        <v>41</v>
      </c>
      <c r="D143" t="s">
        <v>41</v>
      </c>
      <c r="E143" t="s">
        <v>97</v>
      </c>
      <c r="F143">
        <v>107</v>
      </c>
      <c r="G143" t="s">
        <v>41</v>
      </c>
      <c r="H143">
        <v>43</v>
      </c>
      <c r="I143">
        <v>49</v>
      </c>
      <c r="J143">
        <v>58</v>
      </c>
      <c r="K143" t="s">
        <v>41</v>
      </c>
      <c r="L143" t="s">
        <v>41</v>
      </c>
    </row>
    <row r="144" spans="1:12" x14ac:dyDescent="0.25">
      <c r="A144" t="s">
        <v>115</v>
      </c>
      <c r="B144" t="s">
        <v>75</v>
      </c>
      <c r="C144" t="s">
        <v>138</v>
      </c>
      <c r="D144" t="s">
        <v>139</v>
      </c>
      <c r="E144" t="s">
        <v>67</v>
      </c>
      <c r="F144" t="s">
        <v>41</v>
      </c>
      <c r="G144" t="s">
        <v>41</v>
      </c>
      <c r="H144" t="s">
        <v>41</v>
      </c>
      <c r="I144" t="s">
        <v>41</v>
      </c>
      <c r="J144" t="s">
        <v>41</v>
      </c>
      <c r="K144" t="s">
        <v>41</v>
      </c>
      <c r="L144" t="s">
        <v>41</v>
      </c>
    </row>
    <row r="145" spans="1:12" x14ac:dyDescent="0.25">
      <c r="A145" t="s">
        <v>50</v>
      </c>
      <c r="B145" t="s">
        <v>51</v>
      </c>
      <c r="C145" t="s">
        <v>138</v>
      </c>
      <c r="D145" t="s">
        <v>139</v>
      </c>
      <c r="E145" t="s">
        <v>67</v>
      </c>
      <c r="F145">
        <v>37</v>
      </c>
      <c r="G145" t="s">
        <v>41</v>
      </c>
      <c r="H145">
        <v>43</v>
      </c>
      <c r="I145">
        <v>49</v>
      </c>
      <c r="J145">
        <v>58</v>
      </c>
      <c r="K145" t="s">
        <v>41</v>
      </c>
      <c r="L145" t="s">
        <v>41</v>
      </c>
    </row>
    <row r="146" spans="1:12" x14ac:dyDescent="0.25">
      <c r="A146" t="s">
        <v>45</v>
      </c>
      <c r="B146" t="s">
        <v>46</v>
      </c>
      <c r="C146" t="s">
        <v>138</v>
      </c>
      <c r="D146" t="s">
        <v>139</v>
      </c>
      <c r="E146" t="s">
        <v>67</v>
      </c>
      <c r="F146">
        <v>70</v>
      </c>
      <c r="G146" t="s">
        <v>41</v>
      </c>
      <c r="H146" t="s">
        <v>41</v>
      </c>
      <c r="I146" t="s">
        <v>41</v>
      </c>
      <c r="J146" t="s">
        <v>41</v>
      </c>
      <c r="K146" t="s">
        <v>41</v>
      </c>
      <c r="L146" t="s">
        <v>41</v>
      </c>
    </row>
    <row r="147" spans="1:12" x14ac:dyDescent="0.25">
      <c r="A147" t="s">
        <v>48</v>
      </c>
      <c r="B147" t="s">
        <v>49</v>
      </c>
      <c r="C147" t="s">
        <v>138</v>
      </c>
      <c r="D147" t="s">
        <v>139</v>
      </c>
      <c r="E147" t="s">
        <v>67</v>
      </c>
      <c r="F147" t="s">
        <v>41</v>
      </c>
      <c r="G147" t="s">
        <v>41</v>
      </c>
      <c r="H147" t="s">
        <v>41</v>
      </c>
      <c r="I147" t="s">
        <v>41</v>
      </c>
      <c r="J147" t="s">
        <v>41</v>
      </c>
      <c r="K147" t="s">
        <v>41</v>
      </c>
      <c r="L147" t="s">
        <v>41</v>
      </c>
    </row>
    <row r="148" spans="1:12" x14ac:dyDescent="0.25">
      <c r="A148" t="s">
        <v>52</v>
      </c>
      <c r="B148" t="s">
        <v>53</v>
      </c>
      <c r="C148" t="s">
        <v>138</v>
      </c>
      <c r="D148" t="s">
        <v>139</v>
      </c>
      <c r="E148" t="s">
        <v>67</v>
      </c>
      <c r="F148" t="s">
        <v>41</v>
      </c>
      <c r="G148" t="s">
        <v>41</v>
      </c>
      <c r="H148" t="s">
        <v>41</v>
      </c>
      <c r="I148" t="s">
        <v>41</v>
      </c>
      <c r="J148" t="s">
        <v>41</v>
      </c>
      <c r="K148" t="s">
        <v>41</v>
      </c>
      <c r="L148" t="s">
        <v>41</v>
      </c>
    </row>
    <row r="149" spans="1:12" x14ac:dyDescent="0.25">
      <c r="A149" t="s">
        <v>140</v>
      </c>
      <c r="B149" t="s">
        <v>41</v>
      </c>
      <c r="C149" t="s">
        <v>41</v>
      </c>
      <c r="D149" t="s">
        <v>41</v>
      </c>
      <c r="E149" t="s">
        <v>97</v>
      </c>
      <c r="F149">
        <v>75</v>
      </c>
      <c r="G149" t="s">
        <v>41</v>
      </c>
      <c r="H149">
        <v>29</v>
      </c>
      <c r="I149">
        <v>34</v>
      </c>
      <c r="J149">
        <v>40</v>
      </c>
      <c r="K149" t="s">
        <v>41</v>
      </c>
      <c r="L149" t="s">
        <v>41</v>
      </c>
    </row>
    <row r="150" spans="1:12" x14ac:dyDescent="0.25">
      <c r="A150" t="s">
        <v>115</v>
      </c>
      <c r="B150" t="s">
        <v>75</v>
      </c>
      <c r="C150" t="s">
        <v>141</v>
      </c>
      <c r="D150" t="s">
        <v>142</v>
      </c>
      <c r="E150" t="s">
        <v>67</v>
      </c>
      <c r="F150" t="s">
        <v>41</v>
      </c>
      <c r="G150" t="s">
        <v>41</v>
      </c>
      <c r="H150" t="s">
        <v>41</v>
      </c>
      <c r="I150" t="s">
        <v>41</v>
      </c>
      <c r="J150" t="s">
        <v>41</v>
      </c>
      <c r="K150" t="s">
        <v>41</v>
      </c>
      <c r="L150" t="s">
        <v>41</v>
      </c>
    </row>
    <row r="151" spans="1:12" x14ac:dyDescent="0.25">
      <c r="A151" t="s">
        <v>50</v>
      </c>
      <c r="B151" t="s">
        <v>51</v>
      </c>
      <c r="C151" t="s">
        <v>141</v>
      </c>
      <c r="D151" t="s">
        <v>142</v>
      </c>
      <c r="E151" t="s">
        <v>67</v>
      </c>
      <c r="F151">
        <v>18</v>
      </c>
      <c r="G151" t="s">
        <v>41</v>
      </c>
      <c r="H151">
        <v>29</v>
      </c>
      <c r="I151">
        <v>34</v>
      </c>
      <c r="J151">
        <v>40</v>
      </c>
      <c r="K151" t="s">
        <v>41</v>
      </c>
      <c r="L151" t="s">
        <v>41</v>
      </c>
    </row>
    <row r="152" spans="1:12" x14ac:dyDescent="0.25">
      <c r="A152" t="s">
        <v>45</v>
      </c>
      <c r="B152" t="s">
        <v>46</v>
      </c>
      <c r="C152" t="s">
        <v>141</v>
      </c>
      <c r="D152" t="s">
        <v>142</v>
      </c>
      <c r="E152" t="s">
        <v>67</v>
      </c>
      <c r="F152">
        <v>57</v>
      </c>
      <c r="G152" t="s">
        <v>41</v>
      </c>
      <c r="H152" t="s">
        <v>41</v>
      </c>
      <c r="I152" t="s">
        <v>41</v>
      </c>
      <c r="J152" t="s">
        <v>41</v>
      </c>
      <c r="K152" t="s">
        <v>41</v>
      </c>
      <c r="L152" t="s">
        <v>41</v>
      </c>
    </row>
    <row r="153" spans="1:12" x14ac:dyDescent="0.25">
      <c r="A153" t="s">
        <v>48</v>
      </c>
      <c r="B153" t="s">
        <v>49</v>
      </c>
      <c r="C153" t="s">
        <v>141</v>
      </c>
      <c r="D153" t="s">
        <v>142</v>
      </c>
      <c r="E153" t="s">
        <v>67</v>
      </c>
      <c r="F153" t="s">
        <v>41</v>
      </c>
      <c r="G153" t="s">
        <v>41</v>
      </c>
      <c r="H153" t="s">
        <v>41</v>
      </c>
      <c r="I153" t="s">
        <v>41</v>
      </c>
      <c r="J153" t="s">
        <v>41</v>
      </c>
      <c r="K153" t="s">
        <v>41</v>
      </c>
      <c r="L153" t="s">
        <v>41</v>
      </c>
    </row>
    <row r="154" spans="1:12" x14ac:dyDescent="0.25">
      <c r="A154" t="s">
        <v>52</v>
      </c>
      <c r="B154" t="s">
        <v>53</v>
      </c>
      <c r="C154" t="s">
        <v>141</v>
      </c>
      <c r="D154" t="s">
        <v>142</v>
      </c>
      <c r="E154" t="s">
        <v>67</v>
      </c>
      <c r="F154" t="s">
        <v>41</v>
      </c>
      <c r="G154" t="s">
        <v>41</v>
      </c>
      <c r="H154" t="s">
        <v>41</v>
      </c>
      <c r="I154" t="s">
        <v>41</v>
      </c>
      <c r="J154" t="s">
        <v>41</v>
      </c>
      <c r="K154" t="s">
        <v>41</v>
      </c>
      <c r="L154" t="s">
        <v>41</v>
      </c>
    </row>
    <row r="155" spans="1:12" x14ac:dyDescent="0.25">
      <c r="A155" t="s">
        <v>143</v>
      </c>
      <c r="B155" t="s">
        <v>41</v>
      </c>
      <c r="C155" t="s">
        <v>41</v>
      </c>
      <c r="D155" t="s">
        <v>41</v>
      </c>
      <c r="E155" t="s">
        <v>97</v>
      </c>
      <c r="F155">
        <v>205</v>
      </c>
      <c r="G155">
        <v>122</v>
      </c>
      <c r="H155">
        <v>153</v>
      </c>
      <c r="I155">
        <v>248</v>
      </c>
      <c r="J155">
        <v>276</v>
      </c>
      <c r="K155">
        <v>152</v>
      </c>
      <c r="L155">
        <v>258</v>
      </c>
    </row>
    <row r="156" spans="1:12" x14ac:dyDescent="0.25">
      <c r="A156" t="s">
        <v>115</v>
      </c>
      <c r="B156" t="s">
        <v>75</v>
      </c>
      <c r="C156" t="s">
        <v>144</v>
      </c>
      <c r="D156" t="s">
        <v>145</v>
      </c>
      <c r="E156" t="s">
        <v>67</v>
      </c>
      <c r="F156" t="s">
        <v>41</v>
      </c>
      <c r="G156" t="s">
        <v>41</v>
      </c>
      <c r="H156" t="s">
        <v>41</v>
      </c>
      <c r="I156" t="s">
        <v>41</v>
      </c>
      <c r="J156" t="s">
        <v>41</v>
      </c>
      <c r="K156" t="s">
        <v>41</v>
      </c>
      <c r="L156" t="s">
        <v>41</v>
      </c>
    </row>
    <row r="157" spans="1:12" x14ac:dyDescent="0.25">
      <c r="A157" t="s">
        <v>50</v>
      </c>
      <c r="B157" t="s">
        <v>51</v>
      </c>
      <c r="C157" t="s">
        <v>144</v>
      </c>
      <c r="D157" t="s">
        <v>145</v>
      </c>
      <c r="E157" t="s">
        <v>67</v>
      </c>
      <c r="F157">
        <v>15</v>
      </c>
      <c r="G157" t="s">
        <v>41</v>
      </c>
      <c r="H157">
        <v>19</v>
      </c>
      <c r="I157">
        <v>25</v>
      </c>
      <c r="J157">
        <v>28</v>
      </c>
      <c r="K157">
        <v>29</v>
      </c>
      <c r="L157">
        <v>30</v>
      </c>
    </row>
    <row r="158" spans="1:12" x14ac:dyDescent="0.25">
      <c r="A158" t="s">
        <v>45</v>
      </c>
      <c r="B158" t="s">
        <v>46</v>
      </c>
      <c r="C158" t="s">
        <v>144</v>
      </c>
      <c r="D158" t="s">
        <v>145</v>
      </c>
      <c r="E158" t="s">
        <v>67</v>
      </c>
      <c r="F158">
        <v>147</v>
      </c>
      <c r="G158">
        <v>76</v>
      </c>
      <c r="H158">
        <v>83</v>
      </c>
      <c r="I158">
        <v>87</v>
      </c>
      <c r="J158">
        <v>92</v>
      </c>
      <c r="K158">
        <v>60</v>
      </c>
      <c r="L158">
        <v>61</v>
      </c>
    </row>
    <row r="159" spans="1:12" x14ac:dyDescent="0.25">
      <c r="A159" t="s">
        <v>48</v>
      </c>
      <c r="B159" t="s">
        <v>49</v>
      </c>
      <c r="C159" t="s">
        <v>144</v>
      </c>
      <c r="D159" t="s">
        <v>145</v>
      </c>
      <c r="E159" t="s">
        <v>67</v>
      </c>
      <c r="F159" t="s">
        <v>41</v>
      </c>
      <c r="G159" t="s">
        <v>41</v>
      </c>
      <c r="H159" t="s">
        <v>41</v>
      </c>
      <c r="I159">
        <v>84</v>
      </c>
      <c r="J159">
        <v>97</v>
      </c>
      <c r="K159" t="s">
        <v>41</v>
      </c>
      <c r="L159">
        <v>105</v>
      </c>
    </row>
    <row r="160" spans="1:12" x14ac:dyDescent="0.25">
      <c r="A160" t="s">
        <v>52</v>
      </c>
      <c r="B160" t="s">
        <v>53</v>
      </c>
      <c r="C160" t="s">
        <v>144</v>
      </c>
      <c r="D160" t="s">
        <v>145</v>
      </c>
      <c r="E160" t="s">
        <v>67</v>
      </c>
      <c r="F160">
        <v>43</v>
      </c>
      <c r="G160">
        <v>46</v>
      </c>
      <c r="H160">
        <v>51</v>
      </c>
      <c r="I160">
        <v>52</v>
      </c>
      <c r="J160">
        <v>59</v>
      </c>
      <c r="K160">
        <v>63</v>
      </c>
      <c r="L160">
        <v>62</v>
      </c>
    </row>
    <row r="161" spans="1:12" x14ac:dyDescent="0.25">
      <c r="A161" t="s">
        <v>146</v>
      </c>
      <c r="B161" t="s">
        <v>41</v>
      </c>
      <c r="C161" t="s">
        <v>41</v>
      </c>
      <c r="D161" t="s">
        <v>41</v>
      </c>
      <c r="E161" t="s">
        <v>97</v>
      </c>
      <c r="F161">
        <v>33</v>
      </c>
      <c r="G161">
        <v>30</v>
      </c>
      <c r="H161">
        <v>38</v>
      </c>
      <c r="I161">
        <v>78</v>
      </c>
      <c r="J161">
        <v>74</v>
      </c>
      <c r="K161">
        <v>45</v>
      </c>
      <c r="L161">
        <v>107</v>
      </c>
    </row>
    <row r="162" spans="1:12" x14ac:dyDescent="0.25">
      <c r="A162" t="s">
        <v>115</v>
      </c>
      <c r="B162" t="s">
        <v>75</v>
      </c>
      <c r="C162" t="s">
        <v>147</v>
      </c>
      <c r="D162" t="s">
        <v>148</v>
      </c>
      <c r="E162" t="s">
        <v>67</v>
      </c>
      <c r="F162" t="s">
        <v>41</v>
      </c>
      <c r="G162" t="s">
        <v>41</v>
      </c>
      <c r="H162" t="s">
        <v>41</v>
      </c>
      <c r="I162" t="s">
        <v>41</v>
      </c>
      <c r="J162" t="s">
        <v>41</v>
      </c>
      <c r="K162" t="s">
        <v>41</v>
      </c>
      <c r="L162" t="s">
        <v>41</v>
      </c>
    </row>
    <row r="163" spans="1:12" x14ac:dyDescent="0.25">
      <c r="A163" t="s">
        <v>50</v>
      </c>
      <c r="B163" t="s">
        <v>51</v>
      </c>
      <c r="C163" t="s">
        <v>147</v>
      </c>
      <c r="D163" t="s">
        <v>148</v>
      </c>
      <c r="E163" t="s">
        <v>67</v>
      </c>
      <c r="F163">
        <v>6</v>
      </c>
      <c r="G163" t="s">
        <v>41</v>
      </c>
      <c r="H163">
        <v>8</v>
      </c>
      <c r="I163">
        <v>8</v>
      </c>
      <c r="J163">
        <v>8</v>
      </c>
      <c r="K163">
        <v>10</v>
      </c>
      <c r="L163">
        <v>15</v>
      </c>
    </row>
    <row r="164" spans="1:12" x14ac:dyDescent="0.25">
      <c r="A164" t="s">
        <v>45</v>
      </c>
      <c r="B164" t="s">
        <v>46</v>
      </c>
      <c r="C164" t="s">
        <v>147</v>
      </c>
      <c r="D164" t="s">
        <v>148</v>
      </c>
      <c r="E164" t="s">
        <v>67</v>
      </c>
      <c r="F164">
        <v>17</v>
      </c>
      <c r="G164">
        <v>19</v>
      </c>
      <c r="H164">
        <v>21</v>
      </c>
      <c r="I164">
        <v>26</v>
      </c>
      <c r="J164">
        <v>20</v>
      </c>
      <c r="K164">
        <v>25</v>
      </c>
      <c r="L164">
        <v>28</v>
      </c>
    </row>
    <row r="165" spans="1:12" x14ac:dyDescent="0.25">
      <c r="A165" t="s">
        <v>48</v>
      </c>
      <c r="B165" t="s">
        <v>49</v>
      </c>
      <c r="C165" t="s">
        <v>147</v>
      </c>
      <c r="D165" t="s">
        <v>148</v>
      </c>
      <c r="E165" t="s">
        <v>67</v>
      </c>
      <c r="F165" t="s">
        <v>41</v>
      </c>
      <c r="G165" t="s">
        <v>41</v>
      </c>
      <c r="H165" t="s">
        <v>41</v>
      </c>
      <c r="I165">
        <v>35</v>
      </c>
      <c r="J165">
        <v>38</v>
      </c>
      <c r="K165" t="s">
        <v>41</v>
      </c>
      <c r="L165">
        <v>49</v>
      </c>
    </row>
    <row r="166" spans="1:12" x14ac:dyDescent="0.25">
      <c r="A166" t="s">
        <v>52</v>
      </c>
      <c r="B166" t="s">
        <v>53</v>
      </c>
      <c r="C166" t="s">
        <v>147</v>
      </c>
      <c r="D166" t="s">
        <v>148</v>
      </c>
      <c r="E166" t="s">
        <v>67</v>
      </c>
      <c r="F166">
        <v>10</v>
      </c>
      <c r="G166">
        <v>11</v>
      </c>
      <c r="H166">
        <v>9</v>
      </c>
      <c r="I166">
        <v>9</v>
      </c>
      <c r="J166">
        <v>8</v>
      </c>
      <c r="K166">
        <v>10</v>
      </c>
      <c r="L166">
        <v>15</v>
      </c>
    </row>
    <row r="167" spans="1:12" x14ac:dyDescent="0.25">
      <c r="A167" t="s">
        <v>149</v>
      </c>
      <c r="B167" t="s">
        <v>41</v>
      </c>
      <c r="C167" t="s">
        <v>41</v>
      </c>
      <c r="D167" t="s">
        <v>41</v>
      </c>
      <c r="E167" t="s">
        <v>44</v>
      </c>
      <c r="F167" t="s">
        <v>41</v>
      </c>
      <c r="G167" t="s">
        <v>41</v>
      </c>
      <c r="H167" t="s">
        <v>41</v>
      </c>
      <c r="I167" t="s">
        <v>41</v>
      </c>
      <c r="J167" t="s">
        <v>41</v>
      </c>
      <c r="K167" t="s">
        <v>41</v>
      </c>
      <c r="L167" t="s">
        <v>41</v>
      </c>
    </row>
    <row r="168" spans="1:12" x14ac:dyDescent="0.25">
      <c r="A168" t="s">
        <v>150</v>
      </c>
      <c r="B168" t="s">
        <v>41</v>
      </c>
      <c r="C168" t="s">
        <v>41</v>
      </c>
      <c r="D168" t="s">
        <v>41</v>
      </c>
      <c r="E168" t="s">
        <v>62</v>
      </c>
      <c r="F168">
        <v>45.650000000000006</v>
      </c>
      <c r="G168">
        <v>43.866666666666667</v>
      </c>
      <c r="H168">
        <v>48.125</v>
      </c>
      <c r="I168">
        <v>51.199999999999996</v>
      </c>
      <c r="J168">
        <v>56.433333333333337</v>
      </c>
      <c r="K168">
        <v>61.05</v>
      </c>
      <c r="L168">
        <v>65.349999999999994</v>
      </c>
    </row>
    <row r="169" spans="1:12" x14ac:dyDescent="0.25">
      <c r="A169" t="s">
        <v>110</v>
      </c>
      <c r="B169" t="s">
        <v>75</v>
      </c>
      <c r="C169" t="s">
        <v>151</v>
      </c>
      <c r="D169" t="s">
        <v>152</v>
      </c>
      <c r="E169" t="s">
        <v>67</v>
      </c>
      <c r="F169">
        <v>34</v>
      </c>
      <c r="G169">
        <v>35.5</v>
      </c>
      <c r="H169">
        <v>36.5</v>
      </c>
      <c r="I169">
        <v>37.9</v>
      </c>
      <c r="J169" t="s">
        <v>41</v>
      </c>
      <c r="K169" t="s">
        <v>41</v>
      </c>
      <c r="L169" t="s">
        <v>41</v>
      </c>
    </row>
    <row r="170" spans="1:12" x14ac:dyDescent="0.25">
      <c r="A170" t="s">
        <v>78</v>
      </c>
      <c r="B170" t="s">
        <v>51</v>
      </c>
      <c r="C170" t="s">
        <v>151</v>
      </c>
      <c r="D170" t="s">
        <v>152</v>
      </c>
      <c r="E170" t="s">
        <v>67</v>
      </c>
      <c r="F170">
        <v>56.5</v>
      </c>
      <c r="G170" t="s">
        <v>41</v>
      </c>
      <c r="H170">
        <v>56.8</v>
      </c>
      <c r="I170">
        <v>61.8</v>
      </c>
      <c r="J170">
        <v>60.7</v>
      </c>
      <c r="K170">
        <v>62.7</v>
      </c>
      <c r="L170">
        <v>68.3</v>
      </c>
    </row>
    <row r="171" spans="1:12" x14ac:dyDescent="0.25">
      <c r="A171" t="s">
        <v>79</v>
      </c>
      <c r="B171" t="s">
        <v>46</v>
      </c>
      <c r="C171" t="s">
        <v>151</v>
      </c>
      <c r="D171" t="s">
        <v>152</v>
      </c>
      <c r="E171" t="s">
        <v>67</v>
      </c>
      <c r="F171">
        <v>40.799999999999997</v>
      </c>
      <c r="G171">
        <v>42.1</v>
      </c>
      <c r="H171">
        <v>44</v>
      </c>
      <c r="I171">
        <v>48</v>
      </c>
      <c r="J171">
        <v>50.5</v>
      </c>
      <c r="K171" t="s">
        <v>41</v>
      </c>
      <c r="L171" t="s">
        <v>41</v>
      </c>
    </row>
    <row r="172" spans="1:12" x14ac:dyDescent="0.25">
      <c r="A172" t="s">
        <v>82</v>
      </c>
      <c r="B172" t="s">
        <v>49</v>
      </c>
      <c r="C172" t="s">
        <v>151</v>
      </c>
      <c r="D172" t="s">
        <v>152</v>
      </c>
      <c r="E172" t="s">
        <v>67</v>
      </c>
      <c r="F172" t="s">
        <v>41</v>
      </c>
      <c r="G172" t="s">
        <v>41</v>
      </c>
      <c r="H172" t="s">
        <v>41</v>
      </c>
      <c r="I172" t="s">
        <v>41</v>
      </c>
      <c r="J172" t="s">
        <v>41</v>
      </c>
      <c r="K172" t="s">
        <v>41</v>
      </c>
      <c r="L172" t="s">
        <v>41</v>
      </c>
    </row>
    <row r="173" spans="1:12" x14ac:dyDescent="0.25">
      <c r="A173" t="s">
        <v>83</v>
      </c>
      <c r="B173" t="s">
        <v>53</v>
      </c>
      <c r="C173" t="s">
        <v>151</v>
      </c>
      <c r="D173" t="s">
        <v>152</v>
      </c>
      <c r="E173" t="s">
        <v>67</v>
      </c>
      <c r="F173">
        <v>51.3</v>
      </c>
      <c r="G173">
        <v>54</v>
      </c>
      <c r="H173">
        <v>55.2</v>
      </c>
      <c r="I173">
        <v>57.1</v>
      </c>
      <c r="J173">
        <v>58.1</v>
      </c>
      <c r="K173">
        <v>59.4</v>
      </c>
      <c r="L173">
        <v>62.4</v>
      </c>
    </row>
    <row r="174" spans="1:12" x14ac:dyDescent="0.25">
      <c r="A174" t="s">
        <v>153</v>
      </c>
      <c r="B174" t="s">
        <v>41</v>
      </c>
      <c r="C174" t="s">
        <v>41</v>
      </c>
      <c r="D174" t="s">
        <v>41</v>
      </c>
      <c r="E174" t="s">
        <v>62</v>
      </c>
      <c r="F174">
        <v>45.566666666666663</v>
      </c>
      <c r="G174">
        <v>46.7</v>
      </c>
      <c r="H174">
        <v>45.233333333333327</v>
      </c>
      <c r="I174">
        <v>42.699999999999996</v>
      </c>
      <c r="J174">
        <v>44.4</v>
      </c>
      <c r="K174">
        <v>36.299999999999997</v>
      </c>
      <c r="L174">
        <v>31.7</v>
      </c>
    </row>
    <row r="175" spans="1:12" x14ac:dyDescent="0.25">
      <c r="A175" t="s">
        <v>110</v>
      </c>
      <c r="B175" t="s">
        <v>75</v>
      </c>
      <c r="C175" t="s">
        <v>154</v>
      </c>
      <c r="D175" t="s">
        <v>155</v>
      </c>
      <c r="E175" t="s">
        <v>67</v>
      </c>
      <c r="F175">
        <v>34</v>
      </c>
      <c r="G175">
        <v>35.5</v>
      </c>
      <c r="H175">
        <v>36.5</v>
      </c>
      <c r="I175">
        <v>37.9</v>
      </c>
      <c r="J175" t="s">
        <v>41</v>
      </c>
      <c r="K175" t="s">
        <v>41</v>
      </c>
      <c r="L175" t="s">
        <v>41</v>
      </c>
    </row>
    <row r="176" spans="1:12" x14ac:dyDescent="0.25">
      <c r="A176" t="s">
        <v>78</v>
      </c>
      <c r="B176" t="s">
        <v>51</v>
      </c>
      <c r="C176" t="s">
        <v>154</v>
      </c>
      <c r="D176" t="s">
        <v>155</v>
      </c>
      <c r="E176" t="s">
        <v>67</v>
      </c>
      <c r="F176">
        <v>43.5</v>
      </c>
      <c r="G176" t="s">
        <v>41</v>
      </c>
      <c r="H176">
        <v>43.2</v>
      </c>
      <c r="I176">
        <v>38.200000000000003</v>
      </c>
      <c r="J176">
        <v>39.299999999999997</v>
      </c>
      <c r="K176">
        <v>36.299999999999997</v>
      </c>
      <c r="L176">
        <v>31.7</v>
      </c>
    </row>
    <row r="177" spans="1:12" x14ac:dyDescent="0.25">
      <c r="A177" t="s">
        <v>79</v>
      </c>
      <c r="B177" t="s">
        <v>46</v>
      </c>
      <c r="C177" t="s">
        <v>154</v>
      </c>
      <c r="D177" t="s">
        <v>155</v>
      </c>
      <c r="E177" t="s">
        <v>67</v>
      </c>
      <c r="F177">
        <v>59.2</v>
      </c>
      <c r="G177">
        <v>57.9</v>
      </c>
      <c r="H177">
        <v>56</v>
      </c>
      <c r="I177">
        <v>52</v>
      </c>
      <c r="J177">
        <v>49.5</v>
      </c>
      <c r="K177" t="s">
        <v>41</v>
      </c>
      <c r="L177" t="s">
        <v>41</v>
      </c>
    </row>
    <row r="178" spans="1:12" x14ac:dyDescent="0.25">
      <c r="A178" t="s">
        <v>82</v>
      </c>
      <c r="B178" t="s">
        <v>49</v>
      </c>
      <c r="C178" t="s">
        <v>154</v>
      </c>
      <c r="D178" t="s">
        <v>155</v>
      </c>
      <c r="E178" t="s">
        <v>67</v>
      </c>
      <c r="F178" t="s">
        <v>41</v>
      </c>
      <c r="G178" t="s">
        <v>41</v>
      </c>
      <c r="H178" t="s">
        <v>41</v>
      </c>
      <c r="I178" t="s">
        <v>41</v>
      </c>
      <c r="J178" t="s">
        <v>41</v>
      </c>
      <c r="K178" t="s">
        <v>41</v>
      </c>
      <c r="L178" t="s">
        <v>41</v>
      </c>
    </row>
    <row r="179" spans="1:12" x14ac:dyDescent="0.25">
      <c r="A179" t="s">
        <v>83</v>
      </c>
      <c r="B179" t="s">
        <v>53</v>
      </c>
      <c r="C179" t="s">
        <v>154</v>
      </c>
      <c r="D179" t="s">
        <v>155</v>
      </c>
      <c r="E179" t="s">
        <v>67</v>
      </c>
      <c r="F179" t="s">
        <v>41</v>
      </c>
      <c r="G179" t="s">
        <v>41</v>
      </c>
      <c r="H179" t="s">
        <v>41</v>
      </c>
      <c r="I179" t="s">
        <v>41</v>
      </c>
      <c r="J179" t="s">
        <v>41</v>
      </c>
      <c r="K179" t="s">
        <v>41</v>
      </c>
      <c r="L179" t="s">
        <v>41</v>
      </c>
    </row>
    <row r="180" spans="1:12" x14ac:dyDescent="0.25">
      <c r="A180" t="s">
        <v>156</v>
      </c>
      <c r="B180" t="s">
        <v>41</v>
      </c>
      <c r="C180" t="s">
        <v>41</v>
      </c>
      <c r="D180" t="s">
        <v>41</v>
      </c>
      <c r="E180" t="s">
        <v>42</v>
      </c>
      <c r="F180" t="s">
        <v>41</v>
      </c>
      <c r="G180" t="s">
        <v>41</v>
      </c>
      <c r="H180" t="s">
        <v>41</v>
      </c>
      <c r="I180" t="s">
        <v>41</v>
      </c>
      <c r="J180" t="s">
        <v>41</v>
      </c>
      <c r="K180" t="s">
        <v>41</v>
      </c>
      <c r="L180" t="s">
        <v>41</v>
      </c>
    </row>
    <row r="181" spans="1:12" x14ac:dyDescent="0.25">
      <c r="A181" t="s">
        <v>43</v>
      </c>
      <c r="B181" t="s">
        <v>41</v>
      </c>
      <c r="C181" t="s">
        <v>41</v>
      </c>
      <c r="D181" t="s">
        <v>41</v>
      </c>
      <c r="E181" t="s">
        <v>97</v>
      </c>
      <c r="F181">
        <v>82476.899517999991</v>
      </c>
      <c r="G181">
        <v>79532.529924000002</v>
      </c>
      <c r="H181">
        <v>81562.873418999996</v>
      </c>
      <c r="I181">
        <v>84245.954841999992</v>
      </c>
      <c r="J181">
        <v>86089.592843999999</v>
      </c>
      <c r="K181">
        <v>89559.516973999984</v>
      </c>
      <c r="L181">
        <v>93412.932560000001</v>
      </c>
    </row>
    <row r="182" spans="1:12" x14ac:dyDescent="0.25">
      <c r="A182" t="s">
        <v>157</v>
      </c>
      <c r="B182" t="s">
        <v>81</v>
      </c>
      <c r="C182" t="s">
        <v>158</v>
      </c>
      <c r="D182" t="s">
        <v>159</v>
      </c>
      <c r="E182" t="s">
        <v>67</v>
      </c>
      <c r="F182">
        <v>43249</v>
      </c>
      <c r="G182">
        <v>41410</v>
      </c>
      <c r="H182">
        <v>38486</v>
      </c>
      <c r="I182">
        <v>37513</v>
      </c>
      <c r="J182">
        <v>37479</v>
      </c>
      <c r="K182">
        <v>36994</v>
      </c>
      <c r="L182">
        <v>36274</v>
      </c>
    </row>
    <row r="183" spans="1:12" x14ac:dyDescent="0.25">
      <c r="A183" t="s">
        <v>160</v>
      </c>
      <c r="B183" t="s">
        <v>64</v>
      </c>
      <c r="C183" t="s">
        <v>158</v>
      </c>
      <c r="D183" t="s">
        <v>159</v>
      </c>
      <c r="E183" t="s">
        <v>67</v>
      </c>
      <c r="F183">
        <v>13518.623</v>
      </c>
      <c r="G183">
        <v>12796.846</v>
      </c>
      <c r="H183">
        <v>14209.387000000001</v>
      </c>
      <c r="I183">
        <v>15653.29</v>
      </c>
      <c r="J183">
        <v>16291</v>
      </c>
      <c r="K183">
        <v>17849</v>
      </c>
      <c r="L183">
        <v>19986.135999999999</v>
      </c>
    </row>
    <row r="184" spans="1:12" x14ac:dyDescent="0.25">
      <c r="A184" t="s">
        <v>48</v>
      </c>
      <c r="B184" t="s">
        <v>49</v>
      </c>
      <c r="C184" t="s">
        <v>158</v>
      </c>
      <c r="D184" t="s">
        <v>159</v>
      </c>
      <c r="E184" t="s">
        <v>67</v>
      </c>
      <c r="F184">
        <v>7496.0403919999999</v>
      </c>
      <c r="G184">
        <v>8361.6576760000007</v>
      </c>
      <c r="H184">
        <v>9169.8668369999996</v>
      </c>
      <c r="I184">
        <v>9871.4766469999995</v>
      </c>
      <c r="J184">
        <v>10254.11529</v>
      </c>
      <c r="K184">
        <v>11105.56691</v>
      </c>
      <c r="L184">
        <v>11581.67619</v>
      </c>
    </row>
    <row r="185" spans="1:12" x14ac:dyDescent="0.25">
      <c r="A185" t="s">
        <v>161</v>
      </c>
      <c r="B185" t="s">
        <v>75</v>
      </c>
      <c r="C185" t="s">
        <v>158</v>
      </c>
      <c r="D185" t="s">
        <v>159</v>
      </c>
      <c r="E185" t="s">
        <v>67</v>
      </c>
      <c r="F185">
        <v>6860.067</v>
      </c>
      <c r="G185">
        <v>7879.8</v>
      </c>
      <c r="H185">
        <v>9759</v>
      </c>
      <c r="I185">
        <v>10546</v>
      </c>
      <c r="J185">
        <v>11450</v>
      </c>
      <c r="K185">
        <v>12293</v>
      </c>
      <c r="L185">
        <v>12726</v>
      </c>
    </row>
    <row r="186" spans="1:12" x14ac:dyDescent="0.25">
      <c r="A186" t="s">
        <v>45</v>
      </c>
      <c r="B186" t="s">
        <v>46</v>
      </c>
      <c r="C186" t="s">
        <v>158</v>
      </c>
      <c r="D186" t="s">
        <v>159</v>
      </c>
      <c r="E186" t="s">
        <v>67</v>
      </c>
      <c r="F186">
        <v>5037.1177109999999</v>
      </c>
      <c r="G186">
        <v>5365.1230679999999</v>
      </c>
      <c r="H186">
        <v>5984.3790710000003</v>
      </c>
      <c r="I186">
        <v>6325.7234129999997</v>
      </c>
      <c r="J186">
        <v>6603.9899299999997</v>
      </c>
      <c r="K186">
        <v>7158.7448009999998</v>
      </c>
      <c r="L186">
        <v>7874.0805579999997</v>
      </c>
    </row>
    <row r="187" spans="1:12" x14ac:dyDescent="0.25">
      <c r="A187" t="s">
        <v>52</v>
      </c>
      <c r="B187" t="s">
        <v>53</v>
      </c>
      <c r="C187" t="s">
        <v>158</v>
      </c>
      <c r="D187" t="s">
        <v>159</v>
      </c>
      <c r="E187" t="s">
        <v>67</v>
      </c>
      <c r="F187">
        <v>3318.1576089999999</v>
      </c>
      <c r="G187">
        <v>3719.1031800000001</v>
      </c>
      <c r="H187">
        <v>3954.240511</v>
      </c>
      <c r="I187">
        <v>4336.464782</v>
      </c>
      <c r="J187">
        <v>4011.4876239999999</v>
      </c>
      <c r="K187">
        <v>4159.2052629999998</v>
      </c>
      <c r="L187">
        <v>4971.039812</v>
      </c>
    </row>
    <row r="188" spans="1:12" x14ac:dyDescent="0.25">
      <c r="A188" t="s">
        <v>50</v>
      </c>
      <c r="B188" t="s">
        <v>51</v>
      </c>
      <c r="C188" t="s">
        <v>158</v>
      </c>
      <c r="D188" t="s">
        <v>159</v>
      </c>
      <c r="E188" t="s">
        <v>67</v>
      </c>
      <c r="F188">
        <v>2997.893806</v>
      </c>
      <c r="G188" t="s">
        <v>41</v>
      </c>
      <c r="H188" t="s">
        <v>41</v>
      </c>
      <c r="I188" t="s">
        <v>41</v>
      </c>
      <c r="J188" t="s">
        <v>41</v>
      </c>
      <c r="K188" t="s">
        <v>41</v>
      </c>
      <c r="L188" t="s">
        <v>41</v>
      </c>
    </row>
    <row r="189" spans="1:12" x14ac:dyDescent="0.25">
      <c r="A189" t="s">
        <v>162</v>
      </c>
      <c r="B189" t="s">
        <v>41</v>
      </c>
      <c r="C189" t="s">
        <v>41</v>
      </c>
      <c r="D189" t="s">
        <v>41</v>
      </c>
      <c r="E189" t="s">
        <v>42</v>
      </c>
      <c r="F189" t="s">
        <v>41</v>
      </c>
      <c r="G189" t="s">
        <v>41</v>
      </c>
      <c r="H189" t="s">
        <v>41</v>
      </c>
      <c r="I189" t="s">
        <v>41</v>
      </c>
      <c r="J189" t="s">
        <v>41</v>
      </c>
      <c r="K189" t="s">
        <v>41</v>
      </c>
      <c r="L189" t="s">
        <v>41</v>
      </c>
    </row>
    <row r="190" spans="1:12" x14ac:dyDescent="0.25">
      <c r="A190" t="s">
        <v>54</v>
      </c>
      <c r="B190" t="s">
        <v>41</v>
      </c>
      <c r="C190" t="s">
        <v>41</v>
      </c>
      <c r="D190" t="s">
        <v>41</v>
      </c>
      <c r="E190" t="s">
        <v>97</v>
      </c>
      <c r="F190">
        <v>75210.062690000006</v>
      </c>
      <c r="G190">
        <v>64933.132611000001</v>
      </c>
      <c r="H190">
        <v>52266.253587999992</v>
      </c>
      <c r="I190">
        <v>55288.363975</v>
      </c>
      <c r="J190">
        <v>57748.904397999999</v>
      </c>
      <c r="K190">
        <v>63984.768227000008</v>
      </c>
      <c r="L190">
        <v>65613.823447000002</v>
      </c>
    </row>
    <row r="191" spans="1:12" x14ac:dyDescent="0.25">
      <c r="A191" t="s">
        <v>157</v>
      </c>
      <c r="B191" t="s">
        <v>81</v>
      </c>
      <c r="C191" t="s">
        <v>158</v>
      </c>
      <c r="D191" t="s">
        <v>159</v>
      </c>
      <c r="E191" t="s">
        <v>67</v>
      </c>
      <c r="F191">
        <v>31628</v>
      </c>
      <c r="G191">
        <v>30700</v>
      </c>
      <c r="H191">
        <v>26073</v>
      </c>
      <c r="I191">
        <v>24769</v>
      </c>
      <c r="J191">
        <v>24345</v>
      </c>
      <c r="K191">
        <v>25491</v>
      </c>
      <c r="L191">
        <v>24443</v>
      </c>
    </row>
    <row r="192" spans="1:12" x14ac:dyDescent="0.25">
      <c r="A192" t="s">
        <v>160</v>
      </c>
      <c r="B192" t="s">
        <v>64</v>
      </c>
      <c r="C192" t="s">
        <v>158</v>
      </c>
      <c r="D192" t="s">
        <v>159</v>
      </c>
      <c r="E192" t="s">
        <v>67</v>
      </c>
      <c r="F192">
        <v>11047.416999999999</v>
      </c>
      <c r="G192">
        <v>11254.953</v>
      </c>
      <c r="H192">
        <v>10929.572</v>
      </c>
      <c r="I192">
        <v>11448.361000000001</v>
      </c>
      <c r="J192">
        <v>12002</v>
      </c>
      <c r="K192">
        <v>14112</v>
      </c>
      <c r="L192">
        <v>14680.739</v>
      </c>
    </row>
    <row r="193" spans="1:12" x14ac:dyDescent="0.25">
      <c r="A193" t="s">
        <v>163</v>
      </c>
      <c r="B193" t="s">
        <v>69</v>
      </c>
      <c r="C193" t="s">
        <v>41</v>
      </c>
      <c r="D193" t="s">
        <v>41</v>
      </c>
      <c r="E193" t="s">
        <v>47</v>
      </c>
      <c r="F193">
        <v>9536.3462980000004</v>
      </c>
      <c r="G193" t="s">
        <v>41</v>
      </c>
      <c r="H193" t="s">
        <v>41</v>
      </c>
      <c r="I193" t="s">
        <v>41</v>
      </c>
      <c r="J193" t="s">
        <v>41</v>
      </c>
      <c r="K193" t="s">
        <v>41</v>
      </c>
      <c r="L193" t="s">
        <v>41</v>
      </c>
    </row>
    <row r="194" spans="1:12" x14ac:dyDescent="0.25">
      <c r="A194" t="s">
        <v>164</v>
      </c>
      <c r="B194" t="s">
        <v>71</v>
      </c>
      <c r="C194" t="s">
        <v>41</v>
      </c>
      <c r="D194" t="s">
        <v>41</v>
      </c>
      <c r="E194" t="s">
        <v>47</v>
      </c>
      <c r="F194">
        <v>7005.514518</v>
      </c>
      <c r="G194">
        <v>7456.7908209999996</v>
      </c>
      <c r="H194" t="s">
        <v>41</v>
      </c>
      <c r="I194" t="s">
        <v>41</v>
      </c>
      <c r="J194" t="s">
        <v>41</v>
      </c>
      <c r="K194" t="s">
        <v>41</v>
      </c>
      <c r="L194" t="s">
        <v>41</v>
      </c>
    </row>
    <row r="195" spans="1:12" x14ac:dyDescent="0.25">
      <c r="A195" t="s">
        <v>165</v>
      </c>
      <c r="B195" t="s">
        <v>166</v>
      </c>
      <c r="C195" t="s">
        <v>167</v>
      </c>
      <c r="D195" t="s">
        <v>168</v>
      </c>
      <c r="E195" t="s">
        <v>67</v>
      </c>
      <c r="F195">
        <v>4807.1172219999999</v>
      </c>
      <c r="G195">
        <v>5119.6211450000001</v>
      </c>
      <c r="H195">
        <v>4673.0792339999998</v>
      </c>
      <c r="I195">
        <v>4398.7554499999997</v>
      </c>
      <c r="J195">
        <v>4888.1111709999996</v>
      </c>
      <c r="K195">
        <v>5811.0322409999999</v>
      </c>
      <c r="L195">
        <v>6451.0690889999996</v>
      </c>
    </row>
    <row r="196" spans="1:12" x14ac:dyDescent="0.25">
      <c r="A196" t="s">
        <v>169</v>
      </c>
      <c r="B196" t="s">
        <v>170</v>
      </c>
      <c r="C196" t="s">
        <v>41</v>
      </c>
      <c r="D196" t="s">
        <v>41</v>
      </c>
      <c r="E196" t="s">
        <v>47</v>
      </c>
      <c r="F196" t="s">
        <v>41</v>
      </c>
      <c r="G196" t="s">
        <v>41</v>
      </c>
      <c r="H196" t="s">
        <v>41</v>
      </c>
      <c r="I196">
        <v>1868.734121</v>
      </c>
      <c r="J196">
        <v>2121.9690529999998</v>
      </c>
      <c r="K196">
        <v>2433.1018899999999</v>
      </c>
      <c r="L196">
        <v>2395.6356209999999</v>
      </c>
    </row>
    <row r="197" spans="1:12" x14ac:dyDescent="0.25">
      <c r="A197" t="s">
        <v>48</v>
      </c>
      <c r="B197" t="s">
        <v>49</v>
      </c>
      <c r="C197" t="s">
        <v>158</v>
      </c>
      <c r="D197" t="s">
        <v>159</v>
      </c>
      <c r="E197" t="s">
        <v>67</v>
      </c>
      <c r="F197">
        <v>3881.0136510000002</v>
      </c>
      <c r="G197">
        <v>4382.1279480000003</v>
      </c>
      <c r="H197">
        <v>4452.0367980000001</v>
      </c>
      <c r="I197">
        <v>4469.4386240000003</v>
      </c>
      <c r="J197">
        <v>5289.3667329999998</v>
      </c>
      <c r="K197">
        <v>6223.30825</v>
      </c>
      <c r="L197">
        <v>6776.2770840000003</v>
      </c>
    </row>
    <row r="198" spans="1:12" x14ac:dyDescent="0.25">
      <c r="A198" t="s">
        <v>52</v>
      </c>
      <c r="B198" t="s">
        <v>53</v>
      </c>
      <c r="C198" t="s">
        <v>158</v>
      </c>
      <c r="D198" t="s">
        <v>159</v>
      </c>
      <c r="E198" t="s">
        <v>67</v>
      </c>
      <c r="F198">
        <v>2001.8621760000001</v>
      </c>
      <c r="G198">
        <v>2037.205647</v>
      </c>
      <c r="H198">
        <v>1932.924319</v>
      </c>
      <c r="I198">
        <v>1997.432787</v>
      </c>
      <c r="J198">
        <v>1960.9080329999999</v>
      </c>
      <c r="K198">
        <v>1915.784719</v>
      </c>
      <c r="L198">
        <v>2044.1258170000001</v>
      </c>
    </row>
    <row r="199" spans="1:12" x14ac:dyDescent="0.25">
      <c r="A199" t="s">
        <v>161</v>
      </c>
      <c r="B199" t="s">
        <v>75</v>
      </c>
      <c r="C199" t="s">
        <v>158</v>
      </c>
      <c r="D199" t="s">
        <v>159</v>
      </c>
      <c r="E199" t="s">
        <v>67</v>
      </c>
      <c r="F199">
        <v>1579.2049999999999</v>
      </c>
      <c r="G199">
        <v>1883.6</v>
      </c>
      <c r="H199">
        <v>2008</v>
      </c>
      <c r="I199">
        <v>2145</v>
      </c>
      <c r="J199">
        <v>2398</v>
      </c>
      <c r="K199">
        <v>2837</v>
      </c>
      <c r="L199">
        <v>3004</v>
      </c>
    </row>
    <row r="200" spans="1:12" x14ac:dyDescent="0.25">
      <c r="A200" t="s">
        <v>45</v>
      </c>
      <c r="B200" t="s">
        <v>46</v>
      </c>
      <c r="C200" t="s">
        <v>158</v>
      </c>
      <c r="D200" t="s">
        <v>159</v>
      </c>
      <c r="E200" t="s">
        <v>67</v>
      </c>
      <c r="F200">
        <v>2028.8919860000001</v>
      </c>
      <c r="G200">
        <v>2098.8340499999999</v>
      </c>
      <c r="H200">
        <v>2197.6412369999998</v>
      </c>
      <c r="I200">
        <v>2295.9237589999998</v>
      </c>
      <c r="J200">
        <v>2596.3026060000002</v>
      </c>
      <c r="K200">
        <v>2853.0254770000001</v>
      </c>
      <c r="L200">
        <v>3092.2348360000001</v>
      </c>
    </row>
    <row r="201" spans="1:12" x14ac:dyDescent="0.25">
      <c r="A201" t="s">
        <v>50</v>
      </c>
      <c r="B201" t="s">
        <v>51</v>
      </c>
      <c r="C201" t="s">
        <v>158</v>
      </c>
      <c r="D201" t="s">
        <v>159</v>
      </c>
      <c r="E201" t="s">
        <v>67</v>
      </c>
      <c r="F201">
        <v>1694.694839</v>
      </c>
      <c r="G201" t="s">
        <v>41</v>
      </c>
      <c r="H201" t="s">
        <v>41</v>
      </c>
      <c r="I201">
        <v>1895.7182339999999</v>
      </c>
      <c r="J201">
        <v>2147.2468020000001</v>
      </c>
      <c r="K201">
        <v>2308.5156499999998</v>
      </c>
      <c r="L201">
        <v>2726.7420000000002</v>
      </c>
    </row>
    <row r="202" spans="1:12" x14ac:dyDescent="0.25">
      <c r="A202" t="s">
        <v>162</v>
      </c>
      <c r="B202" t="s">
        <v>41</v>
      </c>
      <c r="C202" t="s">
        <v>41</v>
      </c>
      <c r="D202" t="s">
        <v>41</v>
      </c>
      <c r="E202" t="s">
        <v>42</v>
      </c>
      <c r="F202" t="s">
        <v>41</v>
      </c>
      <c r="G202" t="s">
        <v>41</v>
      </c>
      <c r="H202" t="s">
        <v>41</v>
      </c>
      <c r="I202" t="s">
        <v>41</v>
      </c>
      <c r="J202" t="s">
        <v>41</v>
      </c>
      <c r="K202" t="s">
        <v>41</v>
      </c>
      <c r="L202" t="s">
        <v>41</v>
      </c>
    </row>
    <row r="203" spans="1:12" x14ac:dyDescent="0.25">
      <c r="A203" t="s">
        <v>171</v>
      </c>
      <c r="B203" t="s">
        <v>41</v>
      </c>
      <c r="C203" t="s">
        <v>41</v>
      </c>
      <c r="D203" t="s">
        <v>41</v>
      </c>
      <c r="E203" t="s">
        <v>97</v>
      </c>
      <c r="F203">
        <v>29061.007946000002</v>
      </c>
      <c r="G203">
        <v>28842.122028000002</v>
      </c>
      <c r="H203">
        <v>25579.856834000002</v>
      </c>
      <c r="I203">
        <v>26038.901795999998</v>
      </c>
      <c r="J203">
        <v>26618.658156999998</v>
      </c>
      <c r="K203">
        <v>27897.012433</v>
      </c>
      <c r="L203">
        <v>28251.687766999999</v>
      </c>
    </row>
    <row r="204" spans="1:12" x14ac:dyDescent="0.25">
      <c r="A204" t="s">
        <v>157</v>
      </c>
      <c r="B204" t="s">
        <v>81</v>
      </c>
      <c r="C204" t="s">
        <v>158</v>
      </c>
      <c r="D204" t="s">
        <v>159</v>
      </c>
      <c r="E204" t="s">
        <v>67</v>
      </c>
      <c r="F204">
        <v>22923</v>
      </c>
      <c r="G204">
        <v>20216</v>
      </c>
      <c r="H204">
        <v>16871</v>
      </c>
      <c r="I204">
        <v>17313</v>
      </c>
      <c r="J204">
        <v>16970</v>
      </c>
      <c r="K204">
        <v>17106</v>
      </c>
      <c r="L204">
        <v>16430</v>
      </c>
    </row>
    <row r="205" spans="1:12" x14ac:dyDescent="0.25">
      <c r="A205" t="s">
        <v>160</v>
      </c>
      <c r="B205" t="s">
        <v>64</v>
      </c>
      <c r="C205" t="s">
        <v>158</v>
      </c>
      <c r="D205" t="s">
        <v>159</v>
      </c>
      <c r="E205" t="s">
        <v>67</v>
      </c>
      <c r="F205">
        <v>3996.77</v>
      </c>
      <c r="G205">
        <v>5950.5950000000003</v>
      </c>
      <c r="H205">
        <v>5908.9719999999998</v>
      </c>
      <c r="I205">
        <v>5781.0720000000001</v>
      </c>
      <c r="J205">
        <v>6557</v>
      </c>
      <c r="K205">
        <v>7613</v>
      </c>
      <c r="L205">
        <v>8548.1380000000008</v>
      </c>
    </row>
    <row r="206" spans="1:12" x14ac:dyDescent="0.25">
      <c r="A206" t="s">
        <v>48</v>
      </c>
      <c r="B206" t="s">
        <v>49</v>
      </c>
      <c r="C206" t="s">
        <v>158</v>
      </c>
      <c r="D206" t="s">
        <v>159</v>
      </c>
      <c r="E206" t="s">
        <v>67</v>
      </c>
      <c r="F206">
        <v>978.85674300000005</v>
      </c>
      <c r="G206">
        <v>1440.063228</v>
      </c>
      <c r="H206">
        <v>1578.1473719999999</v>
      </c>
      <c r="I206">
        <v>1706.8328610000001</v>
      </c>
      <c r="J206">
        <v>1852.2331160000001</v>
      </c>
      <c r="K206">
        <v>1990.620484</v>
      </c>
      <c r="L206">
        <v>2059.4567609999999</v>
      </c>
    </row>
    <row r="207" spans="1:12" x14ac:dyDescent="0.25">
      <c r="A207" t="s">
        <v>52</v>
      </c>
      <c r="B207" t="s">
        <v>53</v>
      </c>
      <c r="C207" t="s">
        <v>158</v>
      </c>
      <c r="D207" t="s">
        <v>159</v>
      </c>
      <c r="E207" t="s">
        <v>67</v>
      </c>
      <c r="F207">
        <v>1162.3812029999999</v>
      </c>
      <c r="G207">
        <v>1235.4638</v>
      </c>
      <c r="H207">
        <v>1221.7374620000001</v>
      </c>
      <c r="I207">
        <v>1237.9969349999999</v>
      </c>
      <c r="J207">
        <v>1239.425041</v>
      </c>
      <c r="K207">
        <v>1187.3919490000001</v>
      </c>
      <c r="L207">
        <v>1214.0930060000001</v>
      </c>
    </row>
    <row r="208" spans="1:12" x14ac:dyDescent="0.25">
      <c r="A208" t="s">
        <v>162</v>
      </c>
      <c r="B208" t="s">
        <v>41</v>
      </c>
      <c r="C208" t="s">
        <v>41</v>
      </c>
      <c r="D208" t="s">
        <v>41</v>
      </c>
      <c r="E208" t="s">
        <v>42</v>
      </c>
      <c r="F208" t="s">
        <v>41</v>
      </c>
      <c r="G208" t="s">
        <v>41</v>
      </c>
      <c r="H208" t="s">
        <v>41</v>
      </c>
      <c r="I208" t="s">
        <v>41</v>
      </c>
      <c r="J208" t="s">
        <v>41</v>
      </c>
      <c r="K208" t="s">
        <v>41</v>
      </c>
      <c r="L208" t="s">
        <v>41</v>
      </c>
    </row>
    <row r="209" spans="1:12" x14ac:dyDescent="0.25">
      <c r="A209" t="s">
        <v>56</v>
      </c>
      <c r="B209" t="s">
        <v>41</v>
      </c>
      <c r="C209" t="s">
        <v>41</v>
      </c>
      <c r="D209" t="s">
        <v>41</v>
      </c>
      <c r="E209" t="s">
        <v>97</v>
      </c>
      <c r="F209">
        <v>1888.9895317</v>
      </c>
      <c r="G209">
        <v>1949.5971164999999</v>
      </c>
      <c r="H209">
        <v>2063.5725868</v>
      </c>
      <c r="I209">
        <v>2425.6001944</v>
      </c>
      <c r="J209">
        <v>2674.4423491000002</v>
      </c>
      <c r="K209">
        <v>2456.4304709999997</v>
      </c>
      <c r="L209">
        <v>2352.2198862999999</v>
      </c>
    </row>
    <row r="210" spans="1:12" x14ac:dyDescent="0.25">
      <c r="A210" t="s">
        <v>52</v>
      </c>
      <c r="B210" t="s">
        <v>53</v>
      </c>
      <c r="C210" t="s">
        <v>158</v>
      </c>
      <c r="D210" t="s">
        <v>159</v>
      </c>
      <c r="E210" t="s">
        <v>67</v>
      </c>
      <c r="F210">
        <v>765.76180369999997</v>
      </c>
      <c r="G210">
        <v>748.52252150000004</v>
      </c>
      <c r="H210">
        <v>785.46599879999997</v>
      </c>
      <c r="I210">
        <v>694.43042230000003</v>
      </c>
      <c r="J210">
        <v>796.83750250000003</v>
      </c>
      <c r="K210">
        <v>666.04453460000002</v>
      </c>
      <c r="L210">
        <v>425.51386289999999</v>
      </c>
    </row>
    <row r="211" spans="1:12" x14ac:dyDescent="0.25">
      <c r="A211" t="s">
        <v>48</v>
      </c>
      <c r="B211" t="s">
        <v>49</v>
      </c>
      <c r="C211" t="s">
        <v>158</v>
      </c>
      <c r="D211" t="s">
        <v>159</v>
      </c>
      <c r="E211" t="s">
        <v>67</v>
      </c>
      <c r="F211">
        <v>908.91048479999995</v>
      </c>
      <c r="G211">
        <v>991.0112292</v>
      </c>
      <c r="H211">
        <v>1029.948811</v>
      </c>
      <c r="I211">
        <v>1108.561549</v>
      </c>
      <c r="J211">
        <v>1222.0919530000001</v>
      </c>
      <c r="K211">
        <v>1194.37229</v>
      </c>
      <c r="L211">
        <v>1262.2476919999999</v>
      </c>
    </row>
    <row r="212" spans="1:12" x14ac:dyDescent="0.25">
      <c r="A212" t="s">
        <v>50</v>
      </c>
      <c r="B212" t="s">
        <v>51</v>
      </c>
      <c r="C212" t="s">
        <v>158</v>
      </c>
      <c r="D212" t="s">
        <v>159</v>
      </c>
      <c r="E212" t="s">
        <v>67</v>
      </c>
      <c r="F212" t="s">
        <v>41</v>
      </c>
      <c r="G212" t="s">
        <v>41</v>
      </c>
      <c r="H212" t="s">
        <v>41</v>
      </c>
      <c r="I212">
        <v>297.43191109999998</v>
      </c>
      <c r="J212">
        <v>309.45296330000002</v>
      </c>
      <c r="K212">
        <v>303.014139</v>
      </c>
      <c r="L212">
        <v>330.76900000000001</v>
      </c>
    </row>
    <row r="213" spans="1:12" x14ac:dyDescent="0.25">
      <c r="A213" t="s">
        <v>45</v>
      </c>
      <c r="B213" t="s">
        <v>46</v>
      </c>
      <c r="C213" t="s">
        <v>158</v>
      </c>
      <c r="D213" t="s">
        <v>159</v>
      </c>
      <c r="E213" t="s">
        <v>67</v>
      </c>
      <c r="F213">
        <v>214.31724320000001</v>
      </c>
      <c r="G213">
        <v>210.06336580000001</v>
      </c>
      <c r="H213">
        <v>248.15777700000001</v>
      </c>
      <c r="I213">
        <v>325.176312</v>
      </c>
      <c r="J213">
        <v>346.05993030000002</v>
      </c>
      <c r="K213">
        <v>292.99950740000003</v>
      </c>
      <c r="L213">
        <v>333.68933140000001</v>
      </c>
    </row>
    <row r="214" spans="1:12" x14ac:dyDescent="0.25">
      <c r="A214" t="s">
        <v>172</v>
      </c>
      <c r="B214" t="s">
        <v>41</v>
      </c>
      <c r="C214" t="s">
        <v>41</v>
      </c>
      <c r="D214" t="s">
        <v>41</v>
      </c>
      <c r="E214" t="s">
        <v>42</v>
      </c>
      <c r="F214" t="s">
        <v>41</v>
      </c>
      <c r="G214" t="s">
        <v>41</v>
      </c>
      <c r="H214" t="s">
        <v>41</v>
      </c>
      <c r="I214" t="s">
        <v>41</v>
      </c>
      <c r="J214" t="s">
        <v>41</v>
      </c>
      <c r="K214" t="s">
        <v>41</v>
      </c>
      <c r="L214" t="s">
        <v>41</v>
      </c>
    </row>
    <row r="215" spans="1:12" x14ac:dyDescent="0.25">
      <c r="A215" t="s">
        <v>58</v>
      </c>
      <c r="B215" t="s">
        <v>41</v>
      </c>
      <c r="C215" t="s">
        <v>41</v>
      </c>
      <c r="D215" t="s">
        <v>41</v>
      </c>
      <c r="E215" t="s">
        <v>97</v>
      </c>
      <c r="F215">
        <v>7925.7374639999998</v>
      </c>
      <c r="G215">
        <v>8397.989012</v>
      </c>
      <c r="H215">
        <v>8695.4395420000001</v>
      </c>
      <c r="I215">
        <v>9141.0193749999999</v>
      </c>
      <c r="J215">
        <v>9768.8801729999996</v>
      </c>
      <c r="K215">
        <v>10827.853074000001</v>
      </c>
      <c r="L215">
        <v>11176.798473999999</v>
      </c>
    </row>
    <row r="216" spans="1:12" x14ac:dyDescent="0.25">
      <c r="A216" t="s">
        <v>160</v>
      </c>
      <c r="B216" t="s">
        <v>64</v>
      </c>
      <c r="C216" t="s">
        <v>158</v>
      </c>
      <c r="D216" t="s">
        <v>159</v>
      </c>
      <c r="E216" t="s">
        <v>67</v>
      </c>
      <c r="F216">
        <v>6165.6629999999996</v>
      </c>
      <c r="G216">
        <v>6511.2280000000001</v>
      </c>
      <c r="H216">
        <v>6634.7709999999997</v>
      </c>
      <c r="I216">
        <v>7031.0529999999999</v>
      </c>
      <c r="J216">
        <v>7393.9449999999997</v>
      </c>
      <c r="K216">
        <v>8237.982</v>
      </c>
      <c r="L216">
        <v>8493.8189999999995</v>
      </c>
    </row>
    <row r="217" spans="1:12" x14ac:dyDescent="0.25">
      <c r="A217" t="s">
        <v>48</v>
      </c>
      <c r="B217" t="s">
        <v>49</v>
      </c>
      <c r="C217" t="s">
        <v>158</v>
      </c>
      <c r="D217" t="s">
        <v>159</v>
      </c>
      <c r="E217" t="s">
        <v>67</v>
      </c>
      <c r="F217" t="s">
        <v>41</v>
      </c>
      <c r="G217" t="s">
        <v>41</v>
      </c>
      <c r="H217" t="s">
        <v>41</v>
      </c>
      <c r="I217" t="s">
        <v>41</v>
      </c>
      <c r="J217" t="s">
        <v>41</v>
      </c>
      <c r="K217" t="s">
        <v>41</v>
      </c>
      <c r="L217" t="s">
        <v>41</v>
      </c>
    </row>
    <row r="218" spans="1:12" x14ac:dyDescent="0.25">
      <c r="A218" t="s">
        <v>161</v>
      </c>
      <c r="B218" t="s">
        <v>75</v>
      </c>
      <c r="C218" t="s">
        <v>158</v>
      </c>
      <c r="D218" t="s">
        <v>159</v>
      </c>
      <c r="E218" t="s">
        <v>67</v>
      </c>
      <c r="F218" t="s">
        <v>41</v>
      </c>
      <c r="G218" t="s">
        <v>41</v>
      </c>
      <c r="H218" t="s">
        <v>41</v>
      </c>
      <c r="I218" t="s">
        <v>41</v>
      </c>
      <c r="J218" t="s">
        <v>41</v>
      </c>
      <c r="K218" t="s">
        <v>41</v>
      </c>
      <c r="L218" t="s">
        <v>41</v>
      </c>
    </row>
    <row r="219" spans="1:12" x14ac:dyDescent="0.25">
      <c r="A219" t="s">
        <v>45</v>
      </c>
      <c r="B219" t="s">
        <v>46</v>
      </c>
      <c r="C219" t="s">
        <v>158</v>
      </c>
      <c r="D219" t="s">
        <v>159</v>
      </c>
      <c r="E219" t="s">
        <v>67</v>
      </c>
      <c r="F219" t="s">
        <v>41</v>
      </c>
      <c r="G219" t="s">
        <v>41</v>
      </c>
      <c r="H219" t="s">
        <v>41</v>
      </c>
      <c r="I219" t="s">
        <v>41</v>
      </c>
      <c r="J219" t="s">
        <v>41</v>
      </c>
      <c r="K219" t="s">
        <v>41</v>
      </c>
      <c r="L219" t="s">
        <v>41</v>
      </c>
    </row>
    <row r="220" spans="1:12" x14ac:dyDescent="0.25">
      <c r="A220" t="s">
        <v>52</v>
      </c>
      <c r="B220" t="s">
        <v>53</v>
      </c>
      <c r="C220" t="s">
        <v>158</v>
      </c>
      <c r="D220" t="s">
        <v>159</v>
      </c>
      <c r="E220" t="s">
        <v>67</v>
      </c>
      <c r="F220">
        <v>1760.074464</v>
      </c>
      <c r="G220">
        <v>1886.7610119999999</v>
      </c>
      <c r="H220">
        <v>2060.6685419999999</v>
      </c>
      <c r="I220">
        <v>2109.966375</v>
      </c>
      <c r="J220">
        <v>2374.9351729999998</v>
      </c>
      <c r="K220">
        <v>2589.8710740000001</v>
      </c>
      <c r="L220">
        <v>2682.9794740000002</v>
      </c>
    </row>
    <row r="221" spans="1:12" x14ac:dyDescent="0.25">
      <c r="A221" t="s">
        <v>59</v>
      </c>
      <c r="B221" t="s">
        <v>41</v>
      </c>
      <c r="C221" t="s">
        <v>41</v>
      </c>
      <c r="D221" t="s">
        <v>41</v>
      </c>
      <c r="E221" t="s">
        <v>97</v>
      </c>
      <c r="F221">
        <v>10114.877550300002</v>
      </c>
      <c r="G221">
        <v>11182.030180199999</v>
      </c>
      <c r="H221">
        <v>13105.816020999999</v>
      </c>
      <c r="I221">
        <v>13971.985637000002</v>
      </c>
      <c r="J221">
        <v>9927.6346199999989</v>
      </c>
      <c r="K221">
        <v>10849.880561</v>
      </c>
      <c r="L221">
        <v>4520.9892710000004</v>
      </c>
    </row>
    <row r="222" spans="1:12" x14ac:dyDescent="0.25">
      <c r="A222" t="s">
        <v>160</v>
      </c>
      <c r="B222" t="s">
        <v>64</v>
      </c>
      <c r="C222" t="s">
        <v>158</v>
      </c>
      <c r="D222" t="s">
        <v>159</v>
      </c>
      <c r="E222" t="s">
        <v>67</v>
      </c>
      <c r="F222">
        <v>4739.4830000000002</v>
      </c>
      <c r="G222">
        <v>5021.692</v>
      </c>
      <c r="H222">
        <v>5462.55</v>
      </c>
      <c r="I222">
        <v>5986.8779999999997</v>
      </c>
      <c r="J222">
        <v>6177.8459999999995</v>
      </c>
      <c r="K222">
        <v>6688.4669999999996</v>
      </c>
      <c r="L222" t="s">
        <v>41</v>
      </c>
    </row>
    <row r="223" spans="1:12" x14ac:dyDescent="0.25">
      <c r="A223" t="s">
        <v>161</v>
      </c>
      <c r="B223" t="s">
        <v>75</v>
      </c>
      <c r="C223" t="s">
        <v>158</v>
      </c>
      <c r="D223" t="s">
        <v>159</v>
      </c>
      <c r="E223" t="s">
        <v>67</v>
      </c>
      <c r="F223">
        <v>2264.826</v>
      </c>
      <c r="G223">
        <v>2689.4</v>
      </c>
      <c r="H223">
        <v>3668</v>
      </c>
      <c r="I223">
        <v>3871</v>
      </c>
      <c r="J223" t="s">
        <v>41</v>
      </c>
      <c r="K223" t="s">
        <v>41</v>
      </c>
      <c r="L223" t="s">
        <v>41</v>
      </c>
    </row>
    <row r="224" spans="1:12" x14ac:dyDescent="0.25">
      <c r="A224" t="s">
        <v>52</v>
      </c>
      <c r="B224" t="s">
        <v>53</v>
      </c>
      <c r="C224" t="s">
        <v>158</v>
      </c>
      <c r="D224" t="s">
        <v>159</v>
      </c>
      <c r="E224" t="s">
        <v>67</v>
      </c>
      <c r="F224">
        <v>1760.074464</v>
      </c>
      <c r="G224">
        <v>1886.7610119999999</v>
      </c>
      <c r="H224">
        <v>2060.6685419999999</v>
      </c>
      <c r="I224">
        <v>2109.966375</v>
      </c>
      <c r="J224">
        <v>2374.9351729999998</v>
      </c>
      <c r="K224">
        <v>2589.8710740000001</v>
      </c>
      <c r="L224">
        <v>2682.9794740000002</v>
      </c>
    </row>
    <row r="225" spans="1:12" x14ac:dyDescent="0.25">
      <c r="A225" t="s">
        <v>48</v>
      </c>
      <c r="B225" t="s">
        <v>49</v>
      </c>
      <c r="C225" t="s">
        <v>158</v>
      </c>
      <c r="D225" t="s">
        <v>159</v>
      </c>
      <c r="E225" t="s">
        <v>67</v>
      </c>
      <c r="F225">
        <v>785.87563929999999</v>
      </c>
      <c r="G225">
        <v>991.0112292</v>
      </c>
      <c r="H225">
        <v>1179.45751</v>
      </c>
      <c r="I225">
        <v>1319.7161289999999</v>
      </c>
      <c r="J225">
        <v>1374.853447</v>
      </c>
      <c r="K225">
        <v>1571.5424869999999</v>
      </c>
      <c r="L225">
        <v>1838.0097969999999</v>
      </c>
    </row>
    <row r="226" spans="1:12" x14ac:dyDescent="0.25">
      <c r="A226" t="s">
        <v>45</v>
      </c>
      <c r="B226" t="s">
        <v>46</v>
      </c>
      <c r="C226" t="s">
        <v>41</v>
      </c>
      <c r="D226" t="s">
        <v>41</v>
      </c>
      <c r="E226" t="s">
        <v>47</v>
      </c>
      <c r="F226">
        <v>564.61844699999995</v>
      </c>
      <c r="G226">
        <v>593.16593899999998</v>
      </c>
      <c r="H226">
        <v>735.13996899999995</v>
      </c>
      <c r="I226">
        <v>684.42513299999996</v>
      </c>
      <c r="J226" t="s">
        <v>41</v>
      </c>
      <c r="K226" t="s">
        <v>41</v>
      </c>
      <c r="L226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77"/>
  <sheetViews>
    <sheetView topLeftCell="A94" workbookViewId="0">
      <selection activeCell="E21" sqref="E21"/>
    </sheetView>
  </sheetViews>
  <sheetFormatPr defaultRowHeight="15" x14ac:dyDescent="0.25"/>
  <cols>
    <col min="1" max="1" width="56.28515625" customWidth="1"/>
    <col min="2" max="2" width="15.85546875" customWidth="1"/>
    <col min="3" max="5" width="9.140625" bestFit="1" customWidth="1"/>
    <col min="6" max="6" width="9.140625" customWidth="1"/>
    <col min="7" max="19" width="9.140625" bestFit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 ca="1">ReferenceData!$C$468</f>
        <v>2019</v>
      </c>
      <c r="G2" s="1" t="str">
        <f ca="1">ReferenceData!$D$468</f>
        <v>2018</v>
      </c>
      <c r="H2" s="1" t="str">
        <f ca="1">ReferenceData!$E$468</f>
        <v>2017</v>
      </c>
      <c r="I2" s="1" t="str">
        <f ca="1">ReferenceData!$F$468</f>
        <v>2016</v>
      </c>
      <c r="J2" s="1" t="str">
        <f ca="1">ReferenceData!$G$468</f>
        <v>2015</v>
      </c>
      <c r="K2" s="1" t="str">
        <f ca="1">ReferenceData!$H$468</f>
        <v>2014</v>
      </c>
      <c r="L2" s="1" t="str">
        <f ca="1">ReferenceData!$I$468</f>
        <v>2013</v>
      </c>
      <c r="M2" t="str">
        <f ca="1">$C$468</f>
        <v>2019</v>
      </c>
      <c r="N2" t="str">
        <f ca="1">$D$468</f>
        <v>2018</v>
      </c>
      <c r="O2" t="str">
        <f ca="1">$E$468</f>
        <v>2017</v>
      </c>
      <c r="P2" t="str">
        <f ca="1">$F$468</f>
        <v>2016</v>
      </c>
      <c r="Q2" t="str">
        <f ca="1">$G$468</f>
        <v>2015</v>
      </c>
      <c r="R2" t="str">
        <f ca="1">$H$468</f>
        <v>2014</v>
      </c>
      <c r="S2" t="str">
        <f ca="1">$I$468</f>
        <v>2013</v>
      </c>
    </row>
    <row r="3" spans="1:19" x14ac:dyDescent="0.25">
      <c r="A3" t="str">
        <f>"Revenue by Geography (% of Total Revenue)"</f>
        <v>Revenue by Geography (% of Total Revenue)</v>
      </c>
      <c r="B3" t="str">
        <f>""</f>
        <v/>
      </c>
      <c r="E3" t="str">
        <f>"Static"</f>
        <v>Static</v>
      </c>
      <c r="F3" t="str">
        <f t="shared" ref="F3:L3" ca="1" si="0">HLOOKUP(INDIRECT(ADDRESS(2,COLUMN())),OFFSET($M$2,0,0,ROW()-1,7),ROW()-1,FALSE)</f>
        <v/>
      </c>
      <c r="G3" t="str">
        <f t="shared" ca="1" si="0"/>
        <v/>
      </c>
      <c r="H3" t="str">
        <f t="shared" ca="1" si="0"/>
        <v/>
      </c>
      <c r="I3" t="str">
        <f t="shared" ca="1" si="0"/>
        <v/>
      </c>
      <c r="J3" t="str">
        <f t="shared" ca="1" si="0"/>
        <v/>
      </c>
      <c r="K3" t="str">
        <f t="shared" ca="1" si="0"/>
        <v/>
      </c>
      <c r="L3" t="str">
        <f t="shared" ca="1" si="0"/>
        <v/>
      </c>
      <c r="M3" t="str">
        <f>""</f>
        <v/>
      </c>
      <c r="N3" t="str">
        <f>""</f>
        <v/>
      </c>
      <c r="O3" t="str">
        <f>""</f>
        <v/>
      </c>
      <c r="P3" t="str">
        <f>""</f>
        <v/>
      </c>
      <c r="Q3" t="str">
        <f>""</f>
        <v/>
      </c>
      <c r="R3" t="str">
        <f>""</f>
        <v/>
      </c>
      <c r="S3" t="str">
        <f>""</f>
        <v/>
      </c>
    </row>
    <row r="4" spans="1:19" x14ac:dyDescent="0.25">
      <c r="A4" t="str">
        <f>"    North America"</f>
        <v xml:space="preserve">    North America</v>
      </c>
      <c r="B4" t="str">
        <f>""</f>
        <v/>
      </c>
      <c r="E4" t="str">
        <f>"Heading"</f>
        <v>Heading</v>
      </c>
      <c r="M4" t="str">
        <f>""</f>
        <v/>
      </c>
      <c r="N4" t="str">
        <f>""</f>
        <v/>
      </c>
      <c r="O4" t="str">
        <f>""</f>
        <v/>
      </c>
      <c r="P4" t="str">
        <f>""</f>
        <v/>
      </c>
      <c r="Q4" t="str">
        <f>""</f>
        <v/>
      </c>
      <c r="R4" t="str">
        <f>""</f>
        <v/>
      </c>
      <c r="S4" t="str">
        <f>""</f>
        <v/>
      </c>
    </row>
    <row r="5" spans="1:19" x14ac:dyDescent="0.25">
      <c r="A5" t="str">
        <f>"        Infosys Ltd"</f>
        <v xml:space="preserve">        Infosys Ltd</v>
      </c>
      <c r="B5" t="str">
        <f>"INFY US Equity"</f>
        <v>INFY US Equity</v>
      </c>
      <c r="E5" t="str">
        <f>"Expression"</f>
        <v>Expression</v>
      </c>
      <c r="F5" t="e">
        <f ca="1">IF(AND($B$242=1,LEN($F$244) * LEN($F$278)&gt;0),$F$244/$F$278*100,HLOOKUP(INDIRECT(ADDRESS(2,COLUMN())),OFFSET($M$2,0,0,ROW()-1,7),ROW()-1,FALSE))</f>
        <v>#NAME?</v>
      </c>
      <c r="G5">
        <f ca="1">IF(AND($B$242=1,LEN($G$244) * LEN($G$278)&gt;0),$G$244/$G$278*100,HLOOKUP(INDIRECT(ADDRESS(2,COLUMN())),OFFSET($M$2,0,0,ROW()-1,7),ROW()-1,FALSE))</f>
        <v>60.523737529999998</v>
      </c>
      <c r="H5">
        <f ca="1">IF(AND($B$242=1,LEN($H$244) * LEN($H$278)&gt;0),$H$244/$H$278*100,HLOOKUP(INDIRECT(ADDRESS(2,COLUMN())),OFFSET($M$2,0,0,ROW()-1,7),ROW()-1,FALSE))</f>
        <v>60.37123167</v>
      </c>
      <c r="I5">
        <f ca="1">IF(AND($B$242=1,LEN($I$244) * LEN($I$278)&gt;0),$I$244/$I$278*100,HLOOKUP(INDIRECT(ADDRESS(2,COLUMN())),OFFSET($M$2,0,0,ROW()-1,7),ROW()-1,FALSE))</f>
        <v>61.923953040000001</v>
      </c>
      <c r="J5">
        <f ca="1">IF(AND($B$242=1,LEN($J$244) * LEN($J$278)&gt;0),$J$244/$J$278*100,HLOOKUP(INDIRECT(ADDRESS(2,COLUMN())),OFFSET($M$2,0,0,ROW()-1,7),ROW()-1,FALSE))</f>
        <v>62.681571400000003</v>
      </c>
      <c r="K5">
        <f ca="1">IF(AND($B$242=1,LEN($K$244) * LEN($K$278)&gt;0),$K$244/$K$278*100,HLOOKUP(INDIRECT(ADDRESS(2,COLUMN())),OFFSET($M$2,0,0,ROW()-1,7),ROW()-1,FALSE))</f>
        <v>61.505279549999997</v>
      </c>
      <c r="L5">
        <f ca="1">IF(AND($B$242=1,LEN($L$244) * LEN($L$278)&gt;0),$L$244/$L$278*100,HLOOKUP(INDIRECT(ADDRESS(2,COLUMN())),OFFSET($M$2,0,0,ROW()-1,7),ROW()-1,FALSE))</f>
        <v>60.664632079999997</v>
      </c>
      <c r="M5">
        <f>61.46754635</f>
        <v>61.467546349999999</v>
      </c>
      <c r="N5">
        <f>60.52373753</f>
        <v>60.523737529999998</v>
      </c>
      <c r="O5">
        <f>60.37123167</f>
        <v>60.37123167</v>
      </c>
      <c r="P5">
        <f>61.92395304</f>
        <v>61.923953040000001</v>
      </c>
      <c r="Q5">
        <f>62.6815714</f>
        <v>62.681571400000003</v>
      </c>
      <c r="R5">
        <f>61.50527955</f>
        <v>61.505279549999997</v>
      </c>
      <c r="S5">
        <f>60.66463208</f>
        <v>60.664632079999997</v>
      </c>
    </row>
    <row r="6" spans="1:19" x14ac:dyDescent="0.25">
      <c r="A6" t="str">
        <f>"        Tata Consultancy Services Ltd"</f>
        <v xml:space="preserve">        Tata Consultancy Services Ltd</v>
      </c>
      <c r="B6" t="str">
        <f>"TCS IN Equity"</f>
        <v>TCS IN Equity</v>
      </c>
      <c r="E6" t="str">
        <f>"Expression"</f>
        <v>Expression</v>
      </c>
      <c r="F6" t="e">
        <f ca="1">IF(AND($B$242=1,LEN($F$246) * LEN($F$280)&gt;0),$F$246/$F$280*100,HLOOKUP(INDIRECT(ADDRESS(2,COLUMN())),OFFSET($M$2,0,0,ROW()-1,7),ROW()-1,FALSE))</f>
        <v>#NAME?</v>
      </c>
      <c r="G6">
        <f ca="1">IF(AND($B$242=1,LEN($G$246) * LEN($G$280)&gt;0),$G$246/$G$280*100,HLOOKUP(INDIRECT(ADDRESS(2,COLUMN())),OFFSET($M$2,0,0,ROW()-1,7),ROW()-1,FALSE))</f>
        <v>53</v>
      </c>
      <c r="H6">
        <f ca="1">IF(AND($B$242=1,LEN($H$246) * LEN($H$280)&gt;0),$H$246/$H$280*100,HLOOKUP(INDIRECT(ADDRESS(2,COLUMN())),OFFSET($M$2,0,0,ROW()-1,7),ROW()-1,FALSE))</f>
        <v>53.7</v>
      </c>
      <c r="I6">
        <f ca="1">IF(AND($B$242=1,LEN($I$246) * LEN($I$280)&gt;0),$I$246/$I$280*100,HLOOKUP(INDIRECT(ADDRESS(2,COLUMN())),OFFSET($M$2,0,0,ROW()-1,7),ROW()-1,FALSE))</f>
        <v>56.1</v>
      </c>
      <c r="J6">
        <f ca="1">IF(AND($B$242=1,LEN($J$246) * LEN($J$280)&gt;0),$J$246/$J$280*100,HLOOKUP(INDIRECT(ADDRESS(2,COLUMN())),OFFSET($M$2,0,0,ROW()-1,7),ROW()-1,FALSE))</f>
        <v>55.200106699999999</v>
      </c>
      <c r="K6">
        <f ca="1">IF(AND($B$242=1,LEN($K$246) * LEN($K$280)&gt;0),$K$246/$K$280*100,HLOOKUP(INDIRECT(ADDRESS(2,COLUMN())),OFFSET($M$2,0,0,ROW()-1,7),ROW()-1,FALSE))</f>
        <v>54.000000630000002</v>
      </c>
      <c r="L6">
        <f ca="1">IF(AND($B$242=1,LEN($L$246) * LEN($L$280)&gt;0),$L$246/$L$280*100,HLOOKUP(INDIRECT(ADDRESS(2,COLUMN())),OFFSET($M$2,0,0,ROW()-1,7),ROW()-1,FALSE))</f>
        <v>55.323046169999998</v>
      </c>
      <c r="M6">
        <f>52.3</f>
        <v>52.3</v>
      </c>
      <c r="N6">
        <f>53</f>
        <v>53</v>
      </c>
      <c r="O6">
        <f>53.7</f>
        <v>53.7</v>
      </c>
      <c r="P6">
        <f>56.1</f>
        <v>56.1</v>
      </c>
      <c r="Q6">
        <f>55.2001067</f>
        <v>55.200106699999999</v>
      </c>
      <c r="R6">
        <f>54.00000063</f>
        <v>54.000000630000002</v>
      </c>
      <c r="S6">
        <f>55.32304617</f>
        <v>55.323046169999998</v>
      </c>
    </row>
    <row r="7" spans="1:19" x14ac:dyDescent="0.25">
      <c r="A7" t="str">
        <f>"        HCL Technologies Ltd"</f>
        <v xml:space="preserve">        HCL Technologies Ltd</v>
      </c>
      <c r="B7" t="str">
        <f>"HCLT IN Equity"</f>
        <v>HCLT IN Equity</v>
      </c>
      <c r="E7" t="str">
        <f>"Expression"</f>
        <v>Expression</v>
      </c>
      <c r="F7" t="e">
        <f ca="1">IF(AND($B$242=1,LEN($F$248) * LEN($F$269)&gt;0),$F$248/$F$269*100,HLOOKUP(INDIRECT(ADDRESS(2,COLUMN())),OFFSET($M$2,0,0,ROW()-1,7),ROW()-1,FALSE))</f>
        <v>#NAME?</v>
      </c>
      <c r="G7" t="str">
        <f ca="1">IF(AND($B$242=1,LEN($G$248) * LEN($G$269)&gt;0),$G$248/$G$269*100,HLOOKUP(INDIRECT(ADDRESS(2,COLUMN())),OFFSET($M$2,0,0,ROW()-1,7),ROW()-1,FALSE))</f>
        <v/>
      </c>
      <c r="H7" t="str">
        <f ca="1">IF(AND($B$242=1,LEN($H$248) * LEN($H$269)&gt;0),$H$248/$H$269*100,HLOOKUP(INDIRECT(ADDRESS(2,COLUMN())),OFFSET($M$2,0,0,ROW()-1,7),ROW()-1,FALSE))</f>
        <v/>
      </c>
      <c r="I7" t="str">
        <f ca="1">IF(AND($B$242=1,LEN($I$248) * LEN($I$269)&gt;0),$I$248/$I$269*100,HLOOKUP(INDIRECT(ADDRESS(2,COLUMN())),OFFSET($M$2,0,0,ROW()-1,7),ROW()-1,FALSE))</f>
        <v/>
      </c>
      <c r="J7" t="str">
        <f ca="1">IF(AND($B$242=1,LEN($J$248) * LEN($J$269)&gt;0),$J$248/$J$269*100,HLOOKUP(INDIRECT(ADDRESS(2,COLUMN())),OFFSET($M$2,0,0,ROW()-1,7),ROW()-1,FALSE))</f>
        <v/>
      </c>
      <c r="K7" t="str">
        <f ca="1">IF(AND($B$242=1,LEN($K$248) * LEN($K$269)&gt;0),$K$248/$K$269*100,HLOOKUP(INDIRECT(ADDRESS(2,COLUMN())),OFFSET($M$2,0,0,ROW()-1,7),ROW()-1,FALSE))</f>
        <v/>
      </c>
      <c r="L7">
        <f ca="1">IF(AND($B$242=1,LEN($L$248) * LEN($L$269)&gt;0),$L$248/$L$269*100,HLOOKUP(INDIRECT(ADDRESS(2,COLUMN())),OFFSET($M$2,0,0,ROW()-1,7),ROW()-1,FALSE))</f>
        <v>55.932941640000003</v>
      </c>
      <c r="M7" t="str">
        <f>""</f>
        <v/>
      </c>
      <c r="N7" t="str">
        <f>""</f>
        <v/>
      </c>
      <c r="O7" t="str">
        <f>""</f>
        <v/>
      </c>
      <c r="P7" t="str">
        <f>""</f>
        <v/>
      </c>
      <c r="Q7" t="str">
        <f>""</f>
        <v/>
      </c>
      <c r="R7" t="str">
        <f>""</f>
        <v/>
      </c>
      <c r="S7">
        <f>55.93294164</f>
        <v>55.932941640000003</v>
      </c>
    </row>
    <row r="8" spans="1:19" x14ac:dyDescent="0.25">
      <c r="A8" t="str">
        <f>"        Wipro Ltd"</f>
        <v xml:space="preserve">        Wipro Ltd</v>
      </c>
      <c r="B8" t="str">
        <f>"WIT US Equity"</f>
        <v>WIT US Equity</v>
      </c>
      <c r="E8" t="str">
        <f>"Expression"</f>
        <v>Expression</v>
      </c>
      <c r="F8" t="e">
        <f ca="1">IF(AND($B$242=1,LEN($F$250) * LEN($F$275)&gt;0),$F$250/$F$275*100,HLOOKUP(INDIRECT(ADDRESS(2,COLUMN())),OFFSET($M$2,0,0,ROW()-1,7),ROW()-1,FALSE))</f>
        <v>#NAME?</v>
      </c>
      <c r="G8">
        <f ca="1">IF(AND($B$242=1,LEN($G$250) * LEN($G$275)&gt;0),$G$250/$G$275*100,HLOOKUP(INDIRECT(ADDRESS(2,COLUMN())),OFFSET($M$2,0,0,ROW()-1,7),ROW()-1,FALSE))</f>
        <v>49.623876619999997</v>
      </c>
      <c r="H8">
        <f ca="1">IF(AND($B$242=1,LEN($H$250) * LEN($H$275)&gt;0),$H$250/$H$275*100,HLOOKUP(INDIRECT(ADDRESS(2,COLUMN())),OFFSET($M$2,0,0,ROW()-1,7),ROW()-1,FALSE))</f>
        <v>47.463528070000002</v>
      </c>
      <c r="I8">
        <f ca="1">IF(AND($B$242=1,LEN($I$250) * LEN($I$275)&gt;0),$I$250/$I$275*100,HLOOKUP(INDIRECT(ADDRESS(2,COLUMN())),OFFSET($M$2,0,0,ROW()-1,7),ROW()-1,FALSE))</f>
        <v>52.819393820000002</v>
      </c>
      <c r="J8">
        <f ca="1">IF(AND($B$242=1,LEN($J$250) * LEN($J$275)&gt;0),$J$250/$J$275*100,HLOOKUP(INDIRECT(ADDRESS(2,COLUMN())),OFFSET($M$2,0,0,ROW()-1,7),ROW()-1,FALSE))</f>
        <v>50.467371790000001</v>
      </c>
      <c r="K8">
        <f ca="1">IF(AND($B$242=1,LEN($K$250) * LEN($K$275)&gt;0),$K$250/$K$275*100,HLOOKUP(INDIRECT(ADDRESS(2,COLUMN())),OFFSET($M$2,0,0,ROW()-1,7),ROW()-1,FALSE))</f>
        <v>48.414528969999999</v>
      </c>
      <c r="L8">
        <f ca="1">IF(AND($B$242=1,LEN($L$250) * LEN($L$275)&gt;0),$L$250/$L$275*100,HLOOKUP(INDIRECT(ADDRESS(2,COLUMN())),OFFSET($M$2,0,0,ROW()-1,7),ROW()-1,FALSE))</f>
        <v>46.133387380000002</v>
      </c>
      <c r="M8">
        <f>57.73525479</f>
        <v>57.735254789999999</v>
      </c>
      <c r="N8">
        <f>49.62387662</f>
        <v>49.623876619999997</v>
      </c>
      <c r="O8">
        <f>47.46352807</f>
        <v>47.463528070000002</v>
      </c>
      <c r="P8">
        <f>52.81939382</f>
        <v>52.819393820000002</v>
      </c>
      <c r="Q8">
        <f>50.46737179</f>
        <v>50.467371790000001</v>
      </c>
      <c r="R8">
        <f>48.41452897</f>
        <v>48.414528969999999</v>
      </c>
      <c r="S8">
        <f>46.13338738</f>
        <v>46.133387380000002</v>
      </c>
    </row>
    <row r="9" spans="1:19" x14ac:dyDescent="0.25">
      <c r="A9" t="str">
        <f>"    Europe"</f>
        <v xml:space="preserve">    Europe</v>
      </c>
      <c r="B9" t="str">
        <f>""</f>
        <v/>
      </c>
      <c r="E9" t="str">
        <f>"Heading"</f>
        <v>Heading</v>
      </c>
      <c r="M9" t="str">
        <f>""</f>
        <v/>
      </c>
      <c r="N9" t="str">
        <f>""</f>
        <v/>
      </c>
      <c r="O9" t="str">
        <f>""</f>
        <v/>
      </c>
      <c r="P9" t="str">
        <f>""</f>
        <v/>
      </c>
      <c r="Q9" t="str">
        <f>""</f>
        <v/>
      </c>
      <c r="R9" t="str">
        <f>""</f>
        <v/>
      </c>
      <c r="S9" t="str">
        <f>""</f>
        <v/>
      </c>
    </row>
    <row r="10" spans="1:19" x14ac:dyDescent="0.25">
      <c r="A10" t="str">
        <f>"        Wipro Ltd"</f>
        <v xml:space="preserve">        Wipro Ltd</v>
      </c>
      <c r="B10" t="str">
        <f>"WIT US Equity"</f>
        <v>WIT US Equity</v>
      </c>
      <c r="E10" t="str">
        <f>"Expression"</f>
        <v>Expression</v>
      </c>
      <c r="F10" t="e">
        <f ca="1">IF(AND($B$242=1,LEN($F$264) * LEN($F$275)&gt;0),$F$264/$F$275*100,HLOOKUP(INDIRECT(ADDRESS(2,COLUMN())),OFFSET($M$2,0,0,ROW()-1,7),ROW()-1,FALSE))</f>
        <v>#NAME?</v>
      </c>
      <c r="G10">
        <f ca="1">IF(AND($B$242=1,LEN($G$264) * LEN($G$275)&gt;0),$G$264/$G$275*100,HLOOKUP(INDIRECT(ADDRESS(2,COLUMN())),OFFSET($M$2,0,0,ROW()-1,7),ROW()-1,FALSE))</f>
        <v>22.857411089999999</v>
      </c>
      <c r="H10">
        <f ca="1">IF(AND($B$242=1,LEN($H$264) * LEN($H$275)&gt;0),$H$264/$H$275*100,HLOOKUP(INDIRECT(ADDRESS(2,COLUMN())),OFFSET($M$2,0,0,ROW()-1,7),ROW()-1,FALSE))</f>
        <v>23.20127149</v>
      </c>
      <c r="I10">
        <f ca="1">IF(AND($B$242=1,LEN($I$264) * LEN($I$275)&gt;0),$I$264/$I$275*100,HLOOKUP(INDIRECT(ADDRESS(2,COLUMN())),OFFSET($M$2,0,0,ROW()-1,7),ROW()-1,FALSE))</f>
        <v>24.329308390000001</v>
      </c>
      <c r="J10">
        <f ca="1">IF(AND($B$242=1,LEN($J$264) * LEN($J$275)&gt;0),$J$264/$J$275*100,HLOOKUP(INDIRECT(ADDRESS(2,COLUMN())),OFFSET($M$2,0,0,ROW()-1,7),ROW()-1,FALSE))</f>
        <v>24.669619860000001</v>
      </c>
      <c r="K10">
        <f ca="1">IF(AND($B$242=1,LEN($K$264) * LEN($K$275)&gt;0),$K$264/$K$275*100,HLOOKUP(INDIRECT(ADDRESS(2,COLUMN())),OFFSET($M$2,0,0,ROW()-1,7),ROW()-1,FALSE))</f>
        <v>26.519928870000001</v>
      </c>
      <c r="L10">
        <f ca="1">IF(AND($B$242=1,LEN($L$264) * LEN($L$275)&gt;0),$L$264/$L$275*100,HLOOKUP(INDIRECT(ADDRESS(2,COLUMN())),OFFSET($M$2,0,0,ROW()-1,7),ROW()-1,FALSE))</f>
        <v>27.83251856</v>
      </c>
      <c r="M10">
        <f>23.74113452</f>
        <v>23.741134519999999</v>
      </c>
      <c r="N10">
        <f>22.85741109</f>
        <v>22.857411089999999</v>
      </c>
      <c r="O10">
        <f>23.20127149</f>
        <v>23.20127149</v>
      </c>
      <c r="P10">
        <f>24.32930839</f>
        <v>24.329308390000001</v>
      </c>
      <c r="Q10">
        <f>24.66961986</f>
        <v>24.669619860000001</v>
      </c>
      <c r="R10">
        <f>26.51992887</f>
        <v>26.519928870000001</v>
      </c>
      <c r="S10">
        <f>27.83251856</f>
        <v>27.83251856</v>
      </c>
    </row>
    <row r="11" spans="1:19" x14ac:dyDescent="0.25">
      <c r="A11" t="str">
        <f>"        HCL Technologies Ltd"</f>
        <v xml:space="preserve">        HCL Technologies Ltd</v>
      </c>
      <c r="B11" t="str">
        <f>"HCLT IN Equity"</f>
        <v>HCLT IN Equity</v>
      </c>
      <c r="E11" t="str">
        <f>"Expression"</f>
        <v>Expression</v>
      </c>
      <c r="F11" t="e">
        <f ca="1">IF(AND($B$242=1,LEN($F$254) * LEN($F$269)&gt;0),$F$254/$F$269*100,HLOOKUP(INDIRECT(ADDRESS(2,COLUMN())),OFFSET($M$2,0,0,ROW()-1,7),ROW()-1,FALSE))</f>
        <v>#NAME?</v>
      </c>
      <c r="G11">
        <f ca="1">IF(AND($B$242=1,LEN($G$254) * LEN($G$269)&gt;0),$G$254/$G$269*100,HLOOKUP(INDIRECT(ADDRESS(2,COLUMN())),OFFSET($M$2,0,0,ROW()-1,7),ROW()-1,FALSE))</f>
        <v>26.742454590000001</v>
      </c>
      <c r="H11">
        <f ca="1">IF(AND($B$242=1,LEN($H$254) * LEN($H$269)&gt;0),$H$254/$H$269*100,HLOOKUP(INDIRECT(ADDRESS(2,COLUMN())),OFFSET($M$2,0,0,ROW()-1,7),ROW()-1,FALSE))</f>
        <v>27.37447843</v>
      </c>
      <c r="I11">
        <f ca="1">IF(AND($B$242=1,LEN($I$254) * LEN($I$269)&gt;0),$I$254/$I$269*100,HLOOKUP(INDIRECT(ADDRESS(2,COLUMN())),OFFSET($M$2,0,0,ROW()-1,7),ROW()-1,FALSE))</f>
        <v>26.717805200000001</v>
      </c>
      <c r="J11" t="str">
        <f ca="1">IF(AND($B$242=1,LEN($J$254) * LEN($J$269)&gt;0),$J$254/$J$269*100,HLOOKUP(INDIRECT(ADDRESS(2,COLUMN())),OFFSET($M$2,0,0,ROW()-1,7),ROW()-1,FALSE))</f>
        <v/>
      </c>
      <c r="K11" t="str">
        <f ca="1">IF(AND($B$242=1,LEN($K$254) * LEN($K$269)&gt;0),$K$254/$K$269*100,HLOOKUP(INDIRECT(ADDRESS(2,COLUMN())),OFFSET($M$2,0,0,ROW()-1,7),ROW()-1,FALSE))</f>
        <v/>
      </c>
      <c r="L11">
        <f ca="1">IF(AND($B$242=1,LEN($L$254) * LEN($L$269)&gt;0),$L$254/$L$269*100,HLOOKUP(INDIRECT(ADDRESS(2,COLUMN())),OFFSET($M$2,0,0,ROW()-1,7),ROW()-1,FALSE))</f>
        <v>31.618620830000001</v>
      </c>
      <c r="M11">
        <f>27.44305556</f>
        <v>27.443055560000001</v>
      </c>
      <c r="N11">
        <f>26.74245459</f>
        <v>26.742454590000001</v>
      </c>
      <c r="O11">
        <f>27.37447843</f>
        <v>27.37447843</v>
      </c>
      <c r="P11">
        <f>26.7178052</f>
        <v>26.717805200000001</v>
      </c>
      <c r="Q11" t="str">
        <f>""</f>
        <v/>
      </c>
      <c r="R11" t="str">
        <f>""</f>
        <v/>
      </c>
      <c r="S11">
        <f>31.61862083</f>
        <v>31.618620830000001</v>
      </c>
    </row>
    <row r="12" spans="1:19" x14ac:dyDescent="0.25">
      <c r="A12" t="str">
        <f>"        Tata Consultancy Services Ltd"</f>
        <v xml:space="preserve">        Tata Consultancy Services Ltd</v>
      </c>
      <c r="B12" t="str">
        <f>"TCS IN Equity"</f>
        <v>TCS IN Equity</v>
      </c>
      <c r="E12" t="str">
        <f>"Expression"</f>
        <v>Expression</v>
      </c>
      <c r="F12" t="e">
        <f ca="1">IF(AND($B$242=1,LEN($F$256) * LEN($F$280)&gt;0),$F$256/$F$280*100,HLOOKUP(INDIRECT(ADDRESS(2,COLUMN())),OFFSET($M$2,0,0,ROW()-1,7),ROW()-1,FALSE))</f>
        <v>#NAME?</v>
      </c>
      <c r="G12">
        <f ca="1">IF(AND($B$242=1,LEN($G$256) * LEN($G$280)&gt;0),$G$256/$G$280*100,HLOOKUP(INDIRECT(ADDRESS(2,COLUMN())),OFFSET($M$2,0,0,ROW()-1,7),ROW()-1,FALSE))</f>
        <v>29.7</v>
      </c>
      <c r="H12">
        <f ca="1">IF(AND($B$242=1,LEN($H$256) * LEN($H$280)&gt;0),$H$256/$H$280*100,HLOOKUP(INDIRECT(ADDRESS(2,COLUMN())),OFFSET($M$2,0,0,ROW()-1,7),ROW()-1,FALSE))</f>
        <v>27.7</v>
      </c>
      <c r="I12">
        <f ca="1">IF(AND($B$242=1,LEN($I$256) * LEN($I$280)&gt;0),$I$256/$I$280*100,HLOOKUP(INDIRECT(ADDRESS(2,COLUMN())),OFFSET($M$2,0,0,ROW()-1,7),ROW()-1,FALSE))</f>
        <v>25.4</v>
      </c>
      <c r="J12">
        <f ca="1">IF(AND($B$242=1,LEN($J$256) * LEN($J$280)&gt;0),$J$256/$J$280*100,HLOOKUP(INDIRECT(ADDRESS(2,COLUMN())),OFFSET($M$2,0,0,ROW()-1,7),ROW()-1,FALSE))</f>
        <v>26.800051799999999</v>
      </c>
      <c r="K12">
        <f ca="1">IF(AND($B$242=1,LEN($K$256) * LEN($K$280)&gt;0),$K$256/$K$280*100,HLOOKUP(INDIRECT(ADDRESS(2,COLUMN())),OFFSET($M$2,0,0,ROW()-1,7),ROW()-1,FALSE))</f>
        <v>28.299999969999998</v>
      </c>
      <c r="L12">
        <f ca="1">IF(AND($B$242=1,LEN($L$256) * LEN($L$280)&gt;0),$L$256/$L$280*100,HLOOKUP(INDIRECT(ADDRESS(2,COLUMN())),OFFSET($M$2,0,0,ROW()-1,7),ROW()-1,FALSE))</f>
        <v>28.643055019999998</v>
      </c>
      <c r="M12">
        <f>30.6</f>
        <v>30.6</v>
      </c>
      <c r="N12">
        <f>29.7</f>
        <v>29.7</v>
      </c>
      <c r="O12">
        <f>27.7</f>
        <v>27.7</v>
      </c>
      <c r="P12">
        <f>25.4</f>
        <v>25.4</v>
      </c>
      <c r="Q12">
        <f>26.8000518</f>
        <v>26.800051799999999</v>
      </c>
      <c r="R12">
        <f>28.29999997</f>
        <v>28.299999969999998</v>
      </c>
      <c r="S12">
        <f>28.64305502</f>
        <v>28.643055019999998</v>
      </c>
    </row>
    <row r="13" spans="1:19" x14ac:dyDescent="0.25">
      <c r="A13" t="str">
        <f>"        Infosys Ltd"</f>
        <v xml:space="preserve">        Infosys Ltd</v>
      </c>
      <c r="B13" t="str">
        <f>"INFY US Equity"</f>
        <v>INFY US Equity</v>
      </c>
      <c r="E13" t="str">
        <f>"Expression"</f>
        <v>Expression</v>
      </c>
      <c r="F13" t="e">
        <f ca="1">IF(AND($B$242=1,LEN($F$258) * LEN($F$278)&gt;0),$F$258/$F$278*100,HLOOKUP(INDIRECT(ADDRESS(2,COLUMN())),OFFSET($M$2,0,0,ROW()-1,7),ROW()-1,FALSE))</f>
        <v>#NAME?</v>
      </c>
      <c r="G13">
        <f ca="1">IF(AND($B$242=1,LEN($G$258) * LEN($G$278)&gt;0),$G$258/$G$278*100,HLOOKUP(INDIRECT(ADDRESS(2,COLUMN())),OFFSET($M$2,0,0,ROW()-1,7),ROW()-1,FALSE))</f>
        <v>24.120955550000001</v>
      </c>
      <c r="H13">
        <f ca="1">IF(AND($B$242=1,LEN($H$258) * LEN($H$278)&gt;0),$H$258/$H$278*100,HLOOKUP(INDIRECT(ADDRESS(2,COLUMN())),OFFSET($M$2,0,0,ROW()-1,7),ROW()-1,FALSE))</f>
        <v>23.73443748</v>
      </c>
      <c r="I13">
        <f ca="1">IF(AND($B$242=1,LEN($I$258) * LEN($I$278)&gt;0),$I$258/$I$278*100,HLOOKUP(INDIRECT(ADDRESS(2,COLUMN())),OFFSET($M$2,0,0,ROW()-1,7),ROW()-1,FALSE))</f>
        <v>22.4753227</v>
      </c>
      <c r="J13">
        <f ca="1">IF(AND($B$242=1,LEN($J$258) * LEN($J$278)&gt;0),$J$258/$J$278*100,HLOOKUP(INDIRECT(ADDRESS(2,COLUMN())),OFFSET($M$2,0,0,ROW()-1,7),ROW()-1,FALSE))</f>
        <v>23.018529489999999</v>
      </c>
      <c r="K13">
        <f ca="1">IF(AND($B$242=1,LEN($K$258) * LEN($K$278)&gt;0),$K$258/$K$278*100,HLOOKUP(INDIRECT(ADDRESS(2,COLUMN())),OFFSET($M$2,0,0,ROW()-1,7),ROW()-1,FALSE))</f>
        <v>24.06084135</v>
      </c>
      <c r="L13">
        <f ca="1">IF(AND($B$242=1,LEN($L$258) * LEN($L$278)&gt;0),$L$258/$L$278*100,HLOOKUP(INDIRECT(ADDRESS(2,COLUMN())),OFFSET($M$2,0,0,ROW()-1,7),ROW()-1,FALSE))</f>
        <v>24.435002900000001</v>
      </c>
      <c r="M13">
        <f>24.1389565</f>
        <v>24.138956499999999</v>
      </c>
      <c r="N13">
        <f>24.12095555</f>
        <v>24.120955550000001</v>
      </c>
      <c r="O13">
        <f>23.73443748</f>
        <v>23.73443748</v>
      </c>
      <c r="P13">
        <f>22.4753227</f>
        <v>22.4753227</v>
      </c>
      <c r="Q13">
        <f>23.01852949</f>
        <v>23.018529489999999</v>
      </c>
      <c r="R13">
        <f>24.06084135</f>
        <v>24.06084135</v>
      </c>
      <c r="S13">
        <f>24.4350029</f>
        <v>24.435002900000001</v>
      </c>
    </row>
    <row r="14" spans="1:19" x14ac:dyDescent="0.25">
      <c r="A14" t="str">
        <f>"    Asia/Pacific"</f>
        <v xml:space="preserve">    Asia/Pacific</v>
      </c>
      <c r="B14" t="str">
        <f>""</f>
        <v/>
      </c>
      <c r="E14" t="str">
        <f>"Heading"</f>
        <v>Heading</v>
      </c>
      <c r="M14" t="str">
        <f>""</f>
        <v/>
      </c>
      <c r="N14" t="str">
        <f>""</f>
        <v/>
      </c>
      <c r="O14" t="str">
        <f>""</f>
        <v/>
      </c>
      <c r="P14" t="str">
        <f>""</f>
        <v/>
      </c>
      <c r="Q14" t="str">
        <f>""</f>
        <v/>
      </c>
      <c r="R14" t="str">
        <f>""</f>
        <v/>
      </c>
      <c r="S14" t="str">
        <f>""</f>
        <v/>
      </c>
    </row>
    <row r="15" spans="1:19" x14ac:dyDescent="0.25">
      <c r="A15" t="str">
        <f>"        Wipro Ltd"</f>
        <v xml:space="preserve">        Wipro Ltd</v>
      </c>
      <c r="B15" t="str">
        <f>"WIT US Equity"</f>
        <v>WIT US Equity</v>
      </c>
      <c r="E15" t="str">
        <f>"Expression"</f>
        <v>Expression</v>
      </c>
      <c r="F15" t="e">
        <f ca="1">IF(AND($B$242=1,LEN($F$260) * LEN($F$275)&gt;0),$F$260/$F$275*100,HLOOKUP(INDIRECT(ADDRESS(2,COLUMN())),OFFSET($M$2,0,0,ROW()-1,7),ROW()-1,FALSE))</f>
        <v>#NAME?</v>
      </c>
      <c r="G15">
        <f ca="1">IF(AND($B$242=1,LEN($G$260) * LEN($G$275)&gt;0),$G$260/$G$275*100,HLOOKUP(INDIRECT(ADDRESS(2,COLUMN())),OFFSET($M$2,0,0,ROW()-1,7),ROW()-1,FALSE))</f>
        <v>7.9466411819999996</v>
      </c>
      <c r="H15">
        <f ca="1">IF(AND($B$242=1,LEN($H$260) * LEN($H$275)&gt;0),$H$260/$H$275*100,HLOOKUP(INDIRECT(ADDRESS(2,COLUMN())),OFFSET($M$2,0,0,ROW()-1,7),ROW()-1,FALSE))</f>
        <v>9.4281031710000001</v>
      </c>
      <c r="I15">
        <f ca="1">IF(AND($B$242=1,LEN($I$260) * LEN($I$275)&gt;0),$I$260/$I$275*100,HLOOKUP(INDIRECT(ADDRESS(2,COLUMN())),OFFSET($M$2,0,0,ROW()-1,7),ROW()-1,FALSE))</f>
        <v>8.4583631560000008</v>
      </c>
      <c r="J15">
        <f ca="1">IF(AND($B$242=1,LEN($J$260) * LEN($J$275)&gt;0),$J$260/$J$275*100,HLOOKUP(INDIRECT(ADDRESS(2,COLUMN())),OFFSET($M$2,0,0,ROW()-1,7),ROW()-1,FALSE))</f>
        <v>10.02478339</v>
      </c>
      <c r="K15">
        <f ca="1">IF(AND($B$242=1,LEN($K$260) * LEN($K$275)&gt;0),$K$260/$K$275*100,HLOOKUP(INDIRECT(ADDRESS(2,COLUMN())),OFFSET($M$2,0,0,ROW()-1,7),ROW()-1,FALSE))</f>
        <v>9.7441139890000006</v>
      </c>
      <c r="L15">
        <f ca="1">IF(AND($B$242=1,LEN($L$260) * LEN($L$275)&gt;0),$L$260/$L$275*100,HLOOKUP(INDIRECT(ADDRESS(2,COLUMN())),OFFSET($M$2,0,0,ROW()-1,7),ROW()-1,FALSE))</f>
        <v>10.64662687</v>
      </c>
      <c r="M15">
        <f>4.942054826</f>
        <v>4.9420548259999997</v>
      </c>
      <c r="N15">
        <f>7.946641182</f>
        <v>7.9466411819999996</v>
      </c>
      <c r="O15">
        <f>9.428103171</f>
        <v>9.4281031710000001</v>
      </c>
      <c r="P15">
        <f>8.458363156</f>
        <v>8.4583631560000008</v>
      </c>
      <c r="Q15">
        <f>10.02478339</f>
        <v>10.02478339</v>
      </c>
      <c r="R15">
        <f>9.744113989</f>
        <v>9.7441139890000006</v>
      </c>
      <c r="S15">
        <f>10.64662687</f>
        <v>10.64662687</v>
      </c>
    </row>
    <row r="16" spans="1:19" x14ac:dyDescent="0.25">
      <c r="A16" t="str">
        <f>"        Tata Consultancy Services Ltd"</f>
        <v xml:space="preserve">        Tata Consultancy Services Ltd</v>
      </c>
      <c r="B16" t="str">
        <f>"TCS IN Equity"</f>
        <v>TCS IN Equity</v>
      </c>
      <c r="E16" t="str">
        <f>"Expression"</f>
        <v>Expression</v>
      </c>
      <c r="F16" t="e">
        <f ca="1">IF(AND($B$242=1,LEN($F$262) * LEN($F$280)&gt;0),$F$262/$F$280*100,HLOOKUP(INDIRECT(ADDRESS(2,COLUMN())),OFFSET($M$2,0,0,ROW()-1,7),ROW()-1,FALSE))</f>
        <v>#NAME?</v>
      </c>
      <c r="G16">
        <f ca="1">IF(AND($B$242=1,LEN($G$262) * LEN($G$280)&gt;0),$G$262/$G$280*100,HLOOKUP(INDIRECT(ADDRESS(2,COLUMN())),OFFSET($M$2,0,0,ROW()-1,7),ROW()-1,FALSE))</f>
        <v>9.5</v>
      </c>
      <c r="H16">
        <f ca="1">IF(AND($B$242=1,LEN($H$262) * LEN($H$280)&gt;0),$H$262/$H$280*100,HLOOKUP(INDIRECT(ADDRESS(2,COLUMN())),OFFSET($M$2,0,0,ROW()-1,7),ROW()-1,FALSE))</f>
        <v>9.6999999999999993</v>
      </c>
      <c r="I16">
        <f ca="1">IF(AND($B$242=1,LEN($I$262) * LEN($I$280)&gt;0),$I$262/$I$280*100,HLOOKUP(INDIRECT(ADDRESS(2,COLUMN())),OFFSET($M$2,0,0,ROW()-1,7),ROW()-1,FALSE))</f>
        <v>9.7000000029999995</v>
      </c>
      <c r="J16">
        <f ca="1">IF(AND($B$242=1,LEN($J$262) * LEN($J$280)&gt;0),$J$262/$J$280*100,HLOOKUP(INDIRECT(ADDRESS(2,COLUMN())),OFFSET($M$2,0,0,ROW()-1,7),ROW()-1,FALSE))</f>
        <v>9.5000183610000004</v>
      </c>
      <c r="K16">
        <f ca="1">IF(AND($B$242=1,LEN($K$262) * LEN($K$280)&gt;0),$K$262/$K$280*100,HLOOKUP(INDIRECT(ADDRESS(2,COLUMN())),OFFSET($M$2,0,0,ROW()-1,7),ROW()-1,FALSE))</f>
        <v>9.2999998609999999</v>
      </c>
      <c r="L16">
        <f ca="1">IF(AND($B$242=1,LEN($L$262) * LEN($L$280)&gt;0),$L$262/$L$280*100,HLOOKUP(INDIRECT(ADDRESS(2,COLUMN())),OFFSET($M$2,0,0,ROW()-1,7),ROW()-1,FALSE))</f>
        <v>7.224258936</v>
      </c>
      <c r="M16">
        <f>9.3</f>
        <v>9.3000000000000007</v>
      </c>
      <c r="N16">
        <f>9.5</f>
        <v>9.5</v>
      </c>
      <c r="O16">
        <f>9.7</f>
        <v>9.6999999999999993</v>
      </c>
      <c r="P16">
        <f>9.700000003</f>
        <v>9.7000000029999995</v>
      </c>
      <c r="Q16">
        <f>9.500018361</f>
        <v>9.5000183610000004</v>
      </c>
      <c r="R16">
        <f>9.299999861</f>
        <v>9.2999998609999999</v>
      </c>
      <c r="S16">
        <f>7.224258936</f>
        <v>7.224258936</v>
      </c>
    </row>
    <row r="17" spans="1:19" x14ac:dyDescent="0.25">
      <c r="A17" t="str">
        <f>"    India"</f>
        <v xml:space="preserve">    India</v>
      </c>
      <c r="B17" t="str">
        <f>""</f>
        <v/>
      </c>
      <c r="E17" t="str">
        <f>"Heading"</f>
        <v>Heading</v>
      </c>
      <c r="M17" t="str">
        <f>""</f>
        <v/>
      </c>
      <c r="N17" t="str">
        <f>""</f>
        <v/>
      </c>
      <c r="O17" t="str">
        <f>""</f>
        <v/>
      </c>
      <c r="P17" t="str">
        <f>""</f>
        <v/>
      </c>
      <c r="Q17" t="str">
        <f>""</f>
        <v/>
      </c>
      <c r="R17" t="str">
        <f>""</f>
        <v/>
      </c>
      <c r="S17" t="str">
        <f>""</f>
        <v/>
      </c>
    </row>
    <row r="18" spans="1:19" x14ac:dyDescent="0.25">
      <c r="A18" t="str">
        <f>"        Wipro Ltd"</f>
        <v xml:space="preserve">        Wipro Ltd</v>
      </c>
      <c r="B18" t="str">
        <f>"WIT US Equity"</f>
        <v>WIT US Equity</v>
      </c>
      <c r="E18" t="str">
        <f>"Expression"</f>
        <v>Expression</v>
      </c>
      <c r="F18" t="e">
        <f ca="1">IF(AND($B$242=1,LEN($F$264) * LEN($F$275)&gt;0),$F$264/$F$275*100,HLOOKUP(INDIRECT(ADDRESS(2,COLUMN())),OFFSET($M$2,0,0,ROW()-1,7),ROW()-1,FALSE))</f>
        <v>#NAME?</v>
      </c>
      <c r="G18">
        <f ca="1">IF(AND($B$242=1,LEN($G$264) * LEN($G$275)&gt;0),$G$264/$G$275*100,HLOOKUP(INDIRECT(ADDRESS(2,COLUMN())),OFFSET($M$2,0,0,ROW()-1,7),ROW()-1,FALSE))</f>
        <v>22.857411089999999</v>
      </c>
      <c r="H18">
        <f ca="1">IF(AND($B$242=1,LEN($H$264) * LEN($H$275)&gt;0),$H$264/$H$275*100,HLOOKUP(INDIRECT(ADDRESS(2,COLUMN())),OFFSET($M$2,0,0,ROW()-1,7),ROW()-1,FALSE))</f>
        <v>23.20127149</v>
      </c>
      <c r="I18">
        <f ca="1">IF(AND($B$242=1,LEN($I$264) * LEN($I$275)&gt;0),$I$264/$I$275*100,HLOOKUP(INDIRECT(ADDRESS(2,COLUMN())),OFFSET($M$2,0,0,ROW()-1,7),ROW()-1,FALSE))</f>
        <v>24.329308390000001</v>
      </c>
      <c r="J18">
        <f ca="1">IF(AND($B$242=1,LEN($J$264) * LEN($J$275)&gt;0),$J$264/$J$275*100,HLOOKUP(INDIRECT(ADDRESS(2,COLUMN())),OFFSET($M$2,0,0,ROW()-1,7),ROW()-1,FALSE))</f>
        <v>24.669619860000001</v>
      </c>
      <c r="K18">
        <f ca="1">IF(AND($B$242=1,LEN($K$264) * LEN($K$275)&gt;0),$K$264/$K$275*100,HLOOKUP(INDIRECT(ADDRESS(2,COLUMN())),OFFSET($M$2,0,0,ROW()-1,7),ROW()-1,FALSE))</f>
        <v>26.519928870000001</v>
      </c>
      <c r="L18">
        <f ca="1">IF(AND($B$242=1,LEN($L$264) * LEN($L$275)&gt;0),$L$264/$L$275*100,HLOOKUP(INDIRECT(ADDRESS(2,COLUMN())),OFFSET($M$2,0,0,ROW()-1,7),ROW()-1,FALSE))</f>
        <v>27.83251856</v>
      </c>
      <c r="M18">
        <f>23.74113452</f>
        <v>23.741134519999999</v>
      </c>
      <c r="N18">
        <f>22.85741109</f>
        <v>22.857411089999999</v>
      </c>
      <c r="O18">
        <f>23.20127149</f>
        <v>23.20127149</v>
      </c>
      <c r="P18">
        <f>24.32930839</f>
        <v>24.329308390000001</v>
      </c>
      <c r="Q18">
        <f>24.66961986</f>
        <v>24.669619860000001</v>
      </c>
      <c r="R18">
        <f>26.51992887</f>
        <v>26.519928870000001</v>
      </c>
      <c r="S18">
        <f>27.83251856</f>
        <v>27.83251856</v>
      </c>
    </row>
    <row r="19" spans="1:19" x14ac:dyDescent="0.25">
      <c r="A19" t="str">
        <f>"        Tata Consultancy Services Ltd"</f>
        <v xml:space="preserve">        Tata Consultancy Services Ltd</v>
      </c>
      <c r="B19" t="str">
        <f>"TCS IN Equity"</f>
        <v>TCS IN Equity</v>
      </c>
      <c r="E19" t="str">
        <f>"Expression"</f>
        <v>Expression</v>
      </c>
      <c r="F19" t="e">
        <f ca="1">IF(AND($B$242=1,LEN($F$266) * LEN($F$280)&gt;0),$F$266/$F$280*100,HLOOKUP(INDIRECT(ADDRESS(2,COLUMN())),OFFSET($M$2,0,0,ROW()-1,7),ROW()-1,FALSE))</f>
        <v>#NAME?</v>
      </c>
      <c r="G19">
        <f ca="1">IF(AND($B$242=1,LEN($G$266) * LEN($G$280)&gt;0),$G$266/$G$280*100,HLOOKUP(INDIRECT(ADDRESS(2,COLUMN())),OFFSET($M$2,0,0,ROW()-1,7),ROW()-1,FALSE))</f>
        <v>5.699999998</v>
      </c>
      <c r="H19">
        <f ca="1">IF(AND($B$242=1,LEN($H$266) * LEN($H$280)&gt;0),$H$266/$H$280*100,HLOOKUP(INDIRECT(ADDRESS(2,COLUMN())),OFFSET($M$2,0,0,ROW()-1,7),ROW()-1,FALSE))</f>
        <v>6.4000000010000004</v>
      </c>
      <c r="I19">
        <f ca="1">IF(AND($B$242=1,LEN($I$266) * LEN($I$280)&gt;0),$I$266/$I$280*100,HLOOKUP(INDIRECT(ADDRESS(2,COLUMN())),OFFSET($M$2,0,0,ROW()-1,7),ROW()-1,FALSE))</f>
        <v>6.300000002</v>
      </c>
      <c r="J19">
        <f ca="1">IF(AND($B$242=1,LEN($J$266) * LEN($J$280)&gt;0),$J$266/$J$280*100,HLOOKUP(INDIRECT(ADDRESS(2,COLUMN())),OFFSET($M$2,0,0,ROW()-1,7),ROW()-1,FALSE))</f>
        <v>6.2000119810000003</v>
      </c>
      <c r="K19">
        <f ca="1">IF(AND($B$242=1,LEN($K$266) * LEN($K$280)&gt;0),$K$266/$K$280*100,HLOOKUP(INDIRECT(ADDRESS(2,COLUMN())),OFFSET($M$2,0,0,ROW()-1,7),ROW()-1,FALSE))</f>
        <v>6.3999997449999997</v>
      </c>
      <c r="L19">
        <f ca="1">IF(AND($B$242=1,LEN($L$266) * LEN($L$280)&gt;0),$L$266/$L$280*100,HLOOKUP(INDIRECT(ADDRESS(2,COLUMN())),OFFSET($M$2,0,0,ROW()-1,7),ROW()-1,FALSE))</f>
        <v>6.7080343879999997</v>
      </c>
      <c r="M19">
        <f>5.699999999</f>
        <v>5.6999999990000001</v>
      </c>
      <c r="N19">
        <f>5.699999998</f>
        <v>5.699999998</v>
      </c>
      <c r="O19">
        <f>6.400000001</f>
        <v>6.4000000010000004</v>
      </c>
      <c r="P19">
        <f>6.300000002</f>
        <v>6.300000002</v>
      </c>
      <c r="Q19">
        <f>6.200011981</f>
        <v>6.2000119810000003</v>
      </c>
      <c r="R19">
        <f>6.399999745</f>
        <v>6.3999997449999997</v>
      </c>
      <c r="S19">
        <f>6.708034388</f>
        <v>6.7080343879999997</v>
      </c>
    </row>
    <row r="20" spans="1:19" x14ac:dyDescent="0.25">
      <c r="A20" t="str">
        <f>"        HCL Technologies Ltd"</f>
        <v xml:space="preserve">        HCL Technologies Ltd</v>
      </c>
      <c r="B20" t="str">
        <f>"HCLT IN Equity"</f>
        <v>HCLT IN Equity</v>
      </c>
      <c r="E20" t="str">
        <f>"Expression"</f>
        <v>Expression</v>
      </c>
      <c r="F20" t="e">
        <f ca="1">IF(AND($B$242=1,LEN($F$268) * LEN($F$269)&gt;0),$F$268/$F$269*100,HLOOKUP(INDIRECT(ADDRESS(2,COLUMN())),OFFSET($M$2,0,0,ROW()-1,7),ROW()-1,FALSE))</f>
        <v>#NAME?</v>
      </c>
      <c r="G20">
        <f ca="1">IF(AND($B$242=1,LEN($G$268) * LEN($G$269)&gt;0),$G$268/$G$269*100,HLOOKUP(INDIRECT(ADDRESS(2,COLUMN())),OFFSET($M$2,0,0,ROW()-1,7),ROW()-1,FALSE))</f>
        <v>3.5101957619999999</v>
      </c>
      <c r="H20">
        <f ca="1">IF(AND($B$242=1,LEN($H$268) * LEN($H$269)&gt;0),$H$268/$H$269*100,HLOOKUP(INDIRECT(ADDRESS(2,COLUMN())),OFFSET($M$2,0,0,ROW()-1,7),ROW()-1,FALSE))</f>
        <v>3.9451047049999999</v>
      </c>
      <c r="I20">
        <f ca="1">IF(AND($B$242=1,LEN($I$268) * LEN($I$269)&gt;0),$I$268/$I$269*100,HLOOKUP(INDIRECT(ADDRESS(2,COLUMN())),OFFSET($M$2,0,0,ROW()-1,7),ROW()-1,FALSE))</f>
        <v>4.1919351279999999</v>
      </c>
      <c r="J20" t="str">
        <f ca="1">IF(AND($B$242=1,LEN($J$268) * LEN($J$269)&gt;0),$J$268/$J$269*100,HLOOKUP(INDIRECT(ADDRESS(2,COLUMN())),OFFSET($M$2,0,0,ROW()-1,7),ROW()-1,FALSE))</f>
        <v/>
      </c>
      <c r="K20" t="str">
        <f ca="1">IF(AND($B$242=1,LEN($K$268) * LEN($K$269)&gt;0),$K$268/$K$269*100,HLOOKUP(INDIRECT(ADDRESS(2,COLUMN())),OFFSET($M$2,0,0,ROW()-1,7),ROW()-1,FALSE))</f>
        <v/>
      </c>
      <c r="L20" t="str">
        <f ca="1">IF(AND($B$242=1,LEN($L$268) * LEN($L$269)&gt;0),$L$268/$L$269*100,HLOOKUP(INDIRECT(ADDRESS(2,COLUMN())),OFFSET($M$2,0,0,ROW()-1,7),ROW()-1,FALSE))</f>
        <v/>
      </c>
      <c r="M20">
        <f>3.328995572</f>
        <v>3.3289955720000002</v>
      </c>
      <c r="N20">
        <f>3.510195762</f>
        <v>3.5101957619999999</v>
      </c>
      <c r="O20">
        <f>3.945104705</f>
        <v>3.9451047049999999</v>
      </c>
      <c r="P20">
        <f>4.191935128</f>
        <v>4.1919351279999999</v>
      </c>
      <c r="Q20" t="str">
        <f>""</f>
        <v/>
      </c>
      <c r="R20" t="str">
        <f>""</f>
        <v/>
      </c>
      <c r="S20" t="str">
        <f>""</f>
        <v/>
      </c>
    </row>
    <row r="21" spans="1:19" x14ac:dyDescent="0.25">
      <c r="A21" t="str">
        <f>"        Infosys Ltd"</f>
        <v xml:space="preserve">        Infosys Ltd</v>
      </c>
      <c r="B21" t="str">
        <f>"INFY US Equity"</f>
        <v>INFY US Equity</v>
      </c>
      <c r="E21" t="str">
        <f>"Expression"</f>
        <v>Expression</v>
      </c>
      <c r="F21" t="e">
        <f ca="1">IF(AND($B$242=1,LEN($F$270) * LEN($F$278)&gt;0),$F$270/$F$278*100,HLOOKUP(INDIRECT(ADDRESS(2,COLUMN())),OFFSET($M$2,0,0,ROW()-1,7),ROW()-1,FALSE))</f>
        <v>#NAME?</v>
      </c>
      <c r="G21">
        <f ca="1">IF(AND($B$242=1,LEN($G$270) * LEN($G$278)&gt;0),$G$270/$G$278*100,HLOOKUP(INDIRECT(ADDRESS(2,COLUMN())),OFFSET($M$2,0,0,ROW()-1,7),ROW()-1,FALSE))</f>
        <v>2.4771696369999998</v>
      </c>
      <c r="H21">
        <f ca="1">IF(AND($B$242=1,LEN($H$270) * LEN($H$278)&gt;0),$H$270/$H$278*100,HLOOKUP(INDIRECT(ADDRESS(2,COLUMN())),OFFSET($M$2,0,0,ROW()-1,7),ROW()-1,FALSE))</f>
        <v>3.1635517960000001</v>
      </c>
      <c r="I21">
        <f ca="1">IF(AND($B$242=1,LEN($I$270) * LEN($I$278)&gt;0),$I$270/$I$278*100,HLOOKUP(INDIRECT(ADDRESS(2,COLUMN())),OFFSET($M$2,0,0,ROW()-1,7),ROW()-1,FALSE))</f>
        <v>3.1832252790000002</v>
      </c>
      <c r="J21">
        <f ca="1">IF(AND($B$242=1,LEN($J$270) * LEN($J$278)&gt;0),$J$270/$J$278*100,HLOOKUP(INDIRECT(ADDRESS(2,COLUMN())),OFFSET($M$2,0,0,ROW()-1,7),ROW()-1,FALSE))</f>
        <v>2.5992536959999999</v>
      </c>
      <c r="K21">
        <f ca="1">IF(AND($B$242=1,LEN($K$270) * LEN($K$278)&gt;0),$K$270/$K$278*100,HLOOKUP(INDIRECT(ADDRESS(2,COLUMN())),OFFSET($M$2,0,0,ROW()-1,7),ROW()-1,FALSE))</f>
        <v>2.4081471919999999</v>
      </c>
      <c r="L21">
        <f ca="1">IF(AND($B$242=1,LEN($L$270) * LEN($L$278)&gt;0),$L$270/$L$278*100,HLOOKUP(INDIRECT(ADDRESS(2,COLUMN())),OFFSET($M$2,0,0,ROW()-1,7),ROW()-1,FALSE))</f>
        <v>2.5811341809999999</v>
      </c>
      <c r="M21">
        <f>2.604883741</f>
        <v>2.6048837410000001</v>
      </c>
      <c r="N21">
        <f>2.477169637</f>
        <v>2.4771696369999998</v>
      </c>
      <c r="O21">
        <f>3.163551796</f>
        <v>3.1635517960000001</v>
      </c>
      <c r="P21">
        <f>3.183225279</f>
        <v>3.1832252790000002</v>
      </c>
      <c r="Q21">
        <f>2.599253696</f>
        <v>2.5992536959999999</v>
      </c>
      <c r="R21">
        <f>2.408147192</f>
        <v>2.4081471919999999</v>
      </c>
      <c r="S21">
        <f>2.581134181</f>
        <v>2.5811341809999999</v>
      </c>
    </row>
    <row r="22" spans="1:19" x14ac:dyDescent="0.25">
      <c r="A22" t="str">
        <f>"Revenue by Vertical (% of Total Revenue)"</f>
        <v>Revenue by Vertical (% of Total Revenue)</v>
      </c>
      <c r="B22" t="str">
        <f>""</f>
        <v/>
      </c>
      <c r="E22" t="str">
        <f>"Static"</f>
        <v>Static</v>
      </c>
      <c r="F22" t="str">
        <f t="shared" ref="F22:L22" ca="1" si="1">HLOOKUP(INDIRECT(ADDRESS(2,COLUMN())),OFFSET($M$2,0,0,ROW()-1,7),ROW()-1,FALSE)</f>
        <v/>
      </c>
      <c r="G22" t="str">
        <f t="shared" ca="1" si="1"/>
        <v/>
      </c>
      <c r="H22" t="str">
        <f t="shared" ca="1" si="1"/>
        <v/>
      </c>
      <c r="I22" t="str">
        <f t="shared" ca="1" si="1"/>
        <v/>
      </c>
      <c r="J22" t="str">
        <f t="shared" ca="1" si="1"/>
        <v/>
      </c>
      <c r="K22" t="str">
        <f t="shared" ca="1" si="1"/>
        <v/>
      </c>
      <c r="L22" t="str">
        <f t="shared" ca="1" si="1"/>
        <v/>
      </c>
      <c r="M22" t="str">
        <f>""</f>
        <v/>
      </c>
      <c r="N22" t="str">
        <f>""</f>
        <v/>
      </c>
      <c r="O22" t="str">
        <f>""</f>
        <v/>
      </c>
      <c r="P22" t="str">
        <f>""</f>
        <v/>
      </c>
      <c r="Q22" t="str">
        <f>""</f>
        <v/>
      </c>
      <c r="R22" t="str">
        <f>""</f>
        <v/>
      </c>
      <c r="S22" t="str">
        <f>""</f>
        <v/>
      </c>
    </row>
    <row r="23" spans="1:19" x14ac:dyDescent="0.25">
      <c r="A23" t="str">
        <f>"    Financial Services (BFSI)"</f>
        <v xml:space="preserve">    Financial Services (BFSI)</v>
      </c>
      <c r="B23" t="str">
        <f>""</f>
        <v/>
      </c>
      <c r="E23" t="str">
        <f>"Heading"</f>
        <v>Heading</v>
      </c>
      <c r="M23" t="str">
        <f>""</f>
        <v/>
      </c>
      <c r="N23" t="str">
        <f>""</f>
        <v/>
      </c>
      <c r="O23" t="str">
        <f>""</f>
        <v/>
      </c>
      <c r="P23" t="str">
        <f>""</f>
        <v/>
      </c>
      <c r="Q23" t="str">
        <f>""</f>
        <v/>
      </c>
      <c r="R23" t="str">
        <f>""</f>
        <v/>
      </c>
      <c r="S23" t="str">
        <f>""</f>
        <v/>
      </c>
    </row>
    <row r="24" spans="1:19" x14ac:dyDescent="0.25">
      <c r="A24" t="str">
        <f>"        Wipro Ltd"</f>
        <v xml:space="preserve">        Wipro Ltd</v>
      </c>
      <c r="B24" t="str">
        <f>"WIT US Equity"</f>
        <v>WIT US Equity</v>
      </c>
      <c r="E24" t="str">
        <f>"Expression"</f>
        <v>Expression</v>
      </c>
      <c r="F24" t="e">
        <f ca="1">IF(AND($B$242=1,LEN($F$274) * LEN($F$275)&gt;0),$F$274/$F$275*100,HLOOKUP(INDIRECT(ADDRESS(2,COLUMN())),OFFSET($M$2,0,0,ROW()-1,7),ROW()-1,FALSE))</f>
        <v>#NAME?</v>
      </c>
      <c r="G24">
        <f ca="1">IF(AND($B$242=1,LEN($G$274) * LEN($G$275)&gt;0),$G$274/$G$275*100,HLOOKUP(INDIRECT(ADDRESS(2,COLUMN())),OFFSET($M$2,0,0,ROW()-1,7),ROW()-1,FALSE))</f>
        <v>30.9</v>
      </c>
      <c r="H24">
        <f ca="1">IF(AND($B$242=1,LEN($H$274) * LEN($H$275)&gt;0),$H$274/$H$275*100,HLOOKUP(INDIRECT(ADDRESS(2,COLUMN())),OFFSET($M$2,0,0,ROW()-1,7),ROW()-1,FALSE))</f>
        <v>28.1</v>
      </c>
      <c r="I24">
        <f ca="1">IF(AND($B$242=1,LEN($I$274) * LEN($I$275)&gt;0),$I$274/$I$275*100,HLOOKUP(INDIRECT(ADDRESS(2,COLUMN())),OFFSET($M$2,0,0,ROW()-1,7),ROW()-1,FALSE))</f>
        <v>25.7</v>
      </c>
      <c r="J24">
        <f ca="1">IF(AND($B$242=1,LEN($J$274) * LEN($J$275)&gt;0),$J$274/$J$275*100,HLOOKUP(INDIRECT(ADDRESS(2,COLUMN())),OFFSET($M$2,0,0,ROW()-1,7),ROW()-1,FALSE))</f>
        <v>26.3</v>
      </c>
      <c r="K24">
        <f ca="1">IF(AND($B$242=1,LEN($K$274) * LEN($K$275)&gt;0),$K$274/$K$275*100,HLOOKUP(INDIRECT(ADDRESS(2,COLUMN())),OFFSET($M$2,0,0,ROW()-1,7),ROW()-1,FALSE))</f>
        <v>24.561471210000001</v>
      </c>
      <c r="L24">
        <f ca="1">IF(AND($B$242=1,LEN($L$274) * LEN($L$275)&gt;0),$L$274/$L$275*100,HLOOKUP(INDIRECT(ADDRESS(2,COLUMN())),OFFSET($M$2,0,0,ROW()-1,7),ROW()-1,FALSE))</f>
        <v>24.470868060000001</v>
      </c>
      <c r="M24">
        <f>31.16098631</f>
        <v>31.160986309999998</v>
      </c>
      <c r="N24">
        <f>30.9</f>
        <v>30.9</v>
      </c>
      <c r="O24">
        <f>28.1</f>
        <v>28.1</v>
      </c>
      <c r="P24">
        <f>25.7</f>
        <v>25.7</v>
      </c>
      <c r="Q24">
        <f>26.3</f>
        <v>26.3</v>
      </c>
      <c r="R24">
        <f>24.56147121</f>
        <v>24.561471210000001</v>
      </c>
      <c r="S24">
        <f>24.47086806</f>
        <v>24.470868060000001</v>
      </c>
    </row>
    <row r="25" spans="1:19" x14ac:dyDescent="0.25">
      <c r="A25" t="str">
        <f>"    Health Care &amp; Life Sciences"</f>
        <v xml:space="preserve">    Health Care &amp; Life Sciences</v>
      </c>
      <c r="B25" t="str">
        <f>""</f>
        <v/>
      </c>
      <c r="E25" t="str">
        <f>"Heading"</f>
        <v>Heading</v>
      </c>
      <c r="M25" t="str">
        <f>""</f>
        <v/>
      </c>
      <c r="N25" t="str">
        <f>""</f>
        <v/>
      </c>
      <c r="O25" t="str">
        <f>""</f>
        <v/>
      </c>
      <c r="P25" t="str">
        <f>""</f>
        <v/>
      </c>
      <c r="Q25" t="str">
        <f>""</f>
        <v/>
      </c>
      <c r="R25" t="str">
        <f>""</f>
        <v/>
      </c>
      <c r="S25" t="str">
        <f>""</f>
        <v/>
      </c>
    </row>
    <row r="26" spans="1:19" x14ac:dyDescent="0.25">
      <c r="A26" t="str">
        <f>"        Wipro Ltd"</f>
        <v xml:space="preserve">        Wipro Ltd</v>
      </c>
      <c r="B26" t="str">
        <f>"WIT US Equity"</f>
        <v>WIT US Equity</v>
      </c>
      <c r="E26" t="str">
        <f>"Expression"</f>
        <v>Expression</v>
      </c>
      <c r="F26" t="e">
        <f ca="1">IF(AND($B$242=1,LEN($F$274) * LEN($F$275)&gt;0),$F$274/$F$275*100,HLOOKUP(INDIRECT(ADDRESS(2,COLUMN())),OFFSET($M$2,0,0,ROW()-1,7),ROW()-1,FALSE))</f>
        <v>#NAME?</v>
      </c>
      <c r="G26">
        <f ca="1">IF(AND($B$242=1,LEN($G$274) * LEN($G$275)&gt;0),$G$274/$G$275*100,HLOOKUP(INDIRECT(ADDRESS(2,COLUMN())),OFFSET($M$2,0,0,ROW()-1,7),ROW()-1,FALSE))</f>
        <v>30.9</v>
      </c>
      <c r="H26">
        <f ca="1">IF(AND($B$242=1,LEN($H$274) * LEN($H$275)&gt;0),$H$274/$H$275*100,HLOOKUP(INDIRECT(ADDRESS(2,COLUMN())),OFFSET($M$2,0,0,ROW()-1,7),ROW()-1,FALSE))</f>
        <v>28.1</v>
      </c>
      <c r="I26">
        <f ca="1">IF(AND($B$242=1,LEN($I$274) * LEN($I$275)&gt;0),$I$274/$I$275*100,HLOOKUP(INDIRECT(ADDRESS(2,COLUMN())),OFFSET($M$2,0,0,ROW()-1,7),ROW()-1,FALSE))</f>
        <v>25.7</v>
      </c>
      <c r="J26">
        <f ca="1">IF(AND($B$242=1,LEN($J$274) * LEN($J$275)&gt;0),$J$274/$J$275*100,HLOOKUP(INDIRECT(ADDRESS(2,COLUMN())),OFFSET($M$2,0,0,ROW()-1,7),ROW()-1,FALSE))</f>
        <v>26.3</v>
      </c>
      <c r="K26">
        <f ca="1">IF(AND($B$242=1,LEN($K$274) * LEN($K$275)&gt;0),$K$274/$K$275*100,HLOOKUP(INDIRECT(ADDRESS(2,COLUMN())),OFFSET($M$2,0,0,ROW()-1,7),ROW()-1,FALSE))</f>
        <v>24.561471210000001</v>
      </c>
      <c r="L26">
        <f ca="1">IF(AND($B$242=1,LEN($L$274) * LEN($L$275)&gt;0),$L$274/$L$275*100,HLOOKUP(INDIRECT(ADDRESS(2,COLUMN())),OFFSET($M$2,0,0,ROW()-1,7),ROW()-1,FALSE))</f>
        <v>24.470868060000001</v>
      </c>
      <c r="M26">
        <f>31.16098631</f>
        <v>31.160986309999998</v>
      </c>
      <c r="N26">
        <f>30.9</f>
        <v>30.9</v>
      </c>
      <c r="O26">
        <f>28.1</f>
        <v>28.1</v>
      </c>
      <c r="P26">
        <f>25.7</f>
        <v>25.7</v>
      </c>
      <c r="Q26">
        <f>26.3</f>
        <v>26.3</v>
      </c>
      <c r="R26">
        <f>24.56147121</f>
        <v>24.561471210000001</v>
      </c>
      <c r="S26">
        <f>24.47086806</f>
        <v>24.470868060000001</v>
      </c>
    </row>
    <row r="27" spans="1:19" x14ac:dyDescent="0.25">
      <c r="A27" t="str">
        <f>"        Infosys Ltd"</f>
        <v xml:space="preserve">        Infosys Ltd</v>
      </c>
      <c r="B27" t="str">
        <f>"INFY US Equity"</f>
        <v>INFY US Equity</v>
      </c>
      <c r="E27" t="str">
        <f>"Expression"</f>
        <v>Expression</v>
      </c>
      <c r="F27" t="e">
        <f ca="1">IF(AND($B$242=1,LEN($F$293) * LEN($F$294) * LEN($F$278)&gt;0),($F$293+$F$294)/$F$278*100,HLOOKUP(INDIRECT(ADDRESS(2,COLUMN())),OFFSET($M$2,0,0,ROW()-1,7),ROW()-1,FALSE))</f>
        <v>#NAME?</v>
      </c>
      <c r="G27" t="str">
        <f ca="1">IF(AND($B$242=1,LEN($G$293) * LEN($G$294) * LEN($G$278)&gt;0),($G$293+$G$294)/$G$278*100,HLOOKUP(INDIRECT(ADDRESS(2,COLUMN())),OFFSET($M$2,0,0,ROW()-1,7),ROW()-1,FALSE))</f>
        <v/>
      </c>
      <c r="H27" t="str">
        <f ca="1">IF(AND($B$242=1,LEN($H$293) * LEN($H$294) * LEN($H$278)&gt;0),($H$293+$H$294)/$H$278*100,HLOOKUP(INDIRECT(ADDRESS(2,COLUMN())),OFFSET($M$2,0,0,ROW()-1,7),ROW()-1,FALSE))</f>
        <v/>
      </c>
      <c r="I27">
        <f ca="1">IF(AND($B$242=1,LEN($I$293) * LEN($I$294) * LEN($I$278)&gt;0),($I$293+$I$294)/$I$278*100,HLOOKUP(INDIRECT(ADDRESS(2,COLUMN())),OFFSET($M$2,0,0,ROW()-1,7),ROW()-1,FALSE))</f>
        <v>6.6999941390000002</v>
      </c>
      <c r="J27">
        <f ca="1">IF(AND($B$242=1,LEN($J$293) * LEN($J$294) * LEN($J$278)&gt;0),($J$293+$J$294)/$J$278*100,HLOOKUP(INDIRECT(ADDRESS(2,COLUMN())),OFFSET($M$2,0,0,ROW()-1,7),ROW()-1,FALSE))</f>
        <v>7.7000016059999998</v>
      </c>
      <c r="K27">
        <f ca="1">IF(AND($B$242=1,LEN($K$293) * LEN($K$294) * LEN($K$278)&gt;0),($K$293+$K$294)/$K$278*100,HLOOKUP(INDIRECT(ADDRESS(2,COLUMN())),OFFSET($M$2,0,0,ROW()-1,7),ROW()-1,FALSE))</f>
        <v>6.8000000070000004</v>
      </c>
      <c r="L27">
        <f ca="1">IF(AND($B$242=1,LEN($L$293) * LEN($L$294) * LEN($L$278)&gt;0),($L$293+$L$294)/$L$278*100,HLOOKUP(INDIRECT(ADDRESS(2,COLUMN())),OFFSET($M$2,0,0,ROW()-1,7),ROW()-1,FALSE))</f>
        <v>6.7999940280000004</v>
      </c>
      <c r="M27" t="str">
        <f>""</f>
        <v/>
      </c>
      <c r="N27" t="str">
        <f>""</f>
        <v/>
      </c>
      <c r="O27" t="str">
        <f>""</f>
        <v/>
      </c>
      <c r="P27">
        <f>6.699994139</f>
        <v>6.6999941390000002</v>
      </c>
      <c r="Q27">
        <f>7.700001606</f>
        <v>7.7000016059999998</v>
      </c>
      <c r="R27">
        <f>6.800000007</f>
        <v>6.8000000070000004</v>
      </c>
      <c r="S27">
        <f>6.799994028</f>
        <v>6.7999940280000004</v>
      </c>
    </row>
    <row r="28" spans="1:19" x14ac:dyDescent="0.25">
      <c r="A28" t="str">
        <f>"        Tata Consultancy Services Ltd"</f>
        <v xml:space="preserve">        Tata Consultancy Services Ltd</v>
      </c>
      <c r="B28" t="str">
        <f>"TCS IN Equity"</f>
        <v>TCS IN Equity</v>
      </c>
      <c r="E28" t="str">
        <f>"Expression"</f>
        <v>Expression</v>
      </c>
      <c r="F28" t="e">
        <f ca="1">IF(AND($B$242=1,LEN($F$279) * LEN($F$280)&gt;0),$F$279/$F$280*100,HLOOKUP(INDIRECT(ADDRESS(2,COLUMN())),OFFSET($M$2,0,0,ROW()-1,7),ROW()-1,FALSE))</f>
        <v>#NAME?</v>
      </c>
      <c r="G28">
        <f ca="1">IF(AND($B$242=1,LEN($G$279) * LEN($G$280)&gt;0),$G$279/$G$280*100,HLOOKUP(INDIRECT(ADDRESS(2,COLUMN())),OFFSET($M$2,0,0,ROW()-1,7),ROW()-1,FALSE))</f>
        <v>7.4999999979999998</v>
      </c>
      <c r="H28">
        <f ca="1">IF(AND($B$242=1,LEN($H$279) * LEN($H$280)&gt;0),$H$279/$H$280*100,HLOOKUP(INDIRECT(ADDRESS(2,COLUMN())),OFFSET($M$2,0,0,ROW()-1,7),ROW()-1,FALSE))</f>
        <v>7.2000000010000003</v>
      </c>
      <c r="I28">
        <f ca="1">IF(AND($B$242=1,LEN($I$279) * LEN($I$280)&gt;0),$I$279/$I$280*100,HLOOKUP(INDIRECT(ADDRESS(2,COLUMN())),OFFSET($M$2,0,0,ROW()-1,7),ROW()-1,FALSE))</f>
        <v>7.4999999979999998</v>
      </c>
      <c r="J28">
        <f ca="1">IF(AND($B$242=1,LEN($J$279) * LEN($J$280)&gt;0),$J$279/$J$280*100,HLOOKUP(INDIRECT(ADDRESS(2,COLUMN())),OFFSET($M$2,0,0,ROW()-1,7),ROW()-1,FALSE))</f>
        <v>7.1000137250000002</v>
      </c>
      <c r="K28">
        <f ca="1">IF(AND($B$242=1,LEN($K$279) * LEN($K$280)&gt;0),$K$279/$K$280*100,HLOOKUP(INDIRECT(ADDRESS(2,COLUMN())),OFFSET($M$2,0,0,ROW()-1,7),ROW()-1,FALSE))</f>
        <v>6.3999997449999997</v>
      </c>
      <c r="L28">
        <f ca="1">IF(AND($B$242=1,LEN($L$279) * LEN($L$280)&gt;0),$L$279/$L$280*100,HLOOKUP(INDIRECT(ADDRESS(2,COLUMN())),OFFSET($M$2,0,0,ROW()-1,7),ROW()-1,FALSE))</f>
        <v>5.7999999979999997</v>
      </c>
      <c r="M28">
        <f>8.299999998</f>
        <v>8.2999999980000005</v>
      </c>
      <c r="N28">
        <f>7.499999998</f>
        <v>7.4999999979999998</v>
      </c>
      <c r="O28">
        <f>7.200000001</f>
        <v>7.2000000010000003</v>
      </c>
      <c r="P28">
        <f>7.499999998</f>
        <v>7.4999999979999998</v>
      </c>
      <c r="Q28">
        <f>7.100013725</f>
        <v>7.1000137250000002</v>
      </c>
      <c r="R28">
        <f>6.399999745</f>
        <v>6.3999997449999997</v>
      </c>
      <c r="S28">
        <f>5.799999998</f>
        <v>5.7999999979999997</v>
      </c>
    </row>
    <row r="29" spans="1:19" x14ac:dyDescent="0.25">
      <c r="A29" t="str">
        <f>"Revenue Metrics:"</f>
        <v>Revenue Metrics:</v>
      </c>
      <c r="B29" t="str">
        <f>""</f>
        <v/>
      </c>
      <c r="E29" t="str">
        <f>"Heading"</f>
        <v>Heading</v>
      </c>
      <c r="M29" t="str">
        <f>""</f>
        <v/>
      </c>
      <c r="N29" t="str">
        <f>""</f>
        <v/>
      </c>
      <c r="O29" t="str">
        <f>""</f>
        <v/>
      </c>
      <c r="P29" t="str">
        <f>""</f>
        <v/>
      </c>
      <c r="Q29" t="str">
        <f>""</f>
        <v/>
      </c>
      <c r="R29" t="str">
        <f>""</f>
        <v/>
      </c>
      <c r="S29" t="str">
        <f>""</f>
        <v/>
      </c>
    </row>
    <row r="30" spans="1:19" x14ac:dyDescent="0.25">
      <c r="A30" t="str">
        <f>"Revenue Growth QoQ (Reported)"</f>
        <v>Revenue Growth QoQ (Reported)</v>
      </c>
      <c r="B30" t="str">
        <f>""</f>
        <v/>
      </c>
      <c r="E30" t="str">
        <f>"Average"</f>
        <v>Average</v>
      </c>
      <c r="F30">
        <f ca="1">IF(ISERROR(IF(AVERAGE($F$31:$F$41) = 0, "", AVERAGE($F$31:$F$41))), "", (IF(AVERAGE($F$31:$F$41) = 0, "", AVERAGE($F$31:$F$41))))</f>
        <v>6.3784260916999997</v>
      </c>
      <c r="G30">
        <f ca="1">IF(ISERROR(IF(AVERAGE($G$31:$G$41) = 0, "", AVERAGE($G$31:$G$41))), "", (IF(AVERAGE($G$31:$G$41) = 0, "", AVERAGE($G$31:$G$41))))</f>
        <v>7.4959636762000006</v>
      </c>
      <c r="H30">
        <f ca="1">IF(ISERROR(IF(AVERAGE($H$31:$H$41) = 0, "", AVERAGE($H$31:$H$41))), "", (IF(AVERAGE($H$31:$H$41) = 0, "", AVERAGE($H$31:$H$41))))</f>
        <v>2.7360314546</v>
      </c>
      <c r="I30">
        <f ca="1">IF(ISERROR(IF(AVERAGE($I$31:$I$41) = 0, "", AVERAGE($I$31:$I$41))), "", (IF(AVERAGE($I$31:$I$41) = 0, "", AVERAGE($I$31:$I$41))))</f>
        <v>7.6452287456363646</v>
      </c>
      <c r="J30">
        <f ca="1">IF(ISERROR(IF(AVERAGE($J$31:$J$41) = 0, "", AVERAGE($J$31:$J$41))), "", (IF(AVERAGE($J$31:$J$41) = 0, "", AVERAGE($J$31:$J$41))))</f>
        <v>6.9634987493000011</v>
      </c>
      <c r="K30">
        <f ca="1">IF(ISERROR(IF(AVERAGE($K$31:$K$41) = 0, "", AVERAGE($K$31:$K$41))), "", (IF(AVERAGE($K$31:$K$41) = 0, "", AVERAGE($K$31:$K$41))))</f>
        <v>2.1826367089999996</v>
      </c>
      <c r="L30">
        <f ca="1">IF(ISERROR(IF(AVERAGE($L$31:$L$41) = 0, "", AVERAGE($L$31:$L$41))), "", (IF(AVERAGE($L$31:$L$41) = 0, "", AVERAGE($L$31:$L$41))))</f>
        <v>18.334436468636365</v>
      </c>
      <c r="M30">
        <f>6.378426091</f>
        <v>6.3784260909999997</v>
      </c>
      <c r="N30">
        <f>7.495963676</f>
        <v>7.4959636759999997</v>
      </c>
      <c r="O30">
        <f>2.736031455</f>
        <v>2.736031455</v>
      </c>
      <c r="P30">
        <f>7.645228746</f>
        <v>7.6452287459999999</v>
      </c>
      <c r="Q30">
        <f>6.963498748</f>
        <v>6.9634987480000001</v>
      </c>
      <c r="R30">
        <f>2.182636709</f>
        <v>2.1826367090000001</v>
      </c>
      <c r="S30">
        <f>18.33443647</f>
        <v>18.33443647</v>
      </c>
    </row>
    <row r="31" spans="1:19" x14ac:dyDescent="0.25">
      <c r="A31" t="str">
        <f>"    Accenture PLC"</f>
        <v xml:space="preserve">    Accenture PLC</v>
      </c>
      <c r="B31" t="str">
        <f>"ACN US Equity"</f>
        <v>ACN US Equity</v>
      </c>
      <c r="C31" t="str">
        <f t="shared" ref="C31:C41" si="2">"F0486"</f>
        <v>F0486</v>
      </c>
      <c r="D31" t="str">
        <f t="shared" ref="D31:D41" si="3">"REVENUE_SEQUENTIAL_GROWTH"</f>
        <v>REVENUE_SEQUENTIAL_GROWTH</v>
      </c>
      <c r="E31" t="str">
        <f t="shared" ref="E31:E41" si="4">"Dynamic"</f>
        <v>Dynamic</v>
      </c>
      <c r="F31">
        <f ca="1">IF(AND(ISNUMBER($F$295),$B$242=1),$F$295,HLOOKUP(INDIRECT(ADDRESS(2,COLUMN())),OFFSET($M$2,0,0,ROW()-1,7),ROW()-1,FALSE))</f>
        <v>5.4216677600000001</v>
      </c>
      <c r="G31">
        <f ca="1">IF(AND(ISNUMBER($G$295),$B$242=1),$G$295,HLOOKUP(INDIRECT(ADDRESS(2,COLUMN())),OFFSET($M$2,0,0,ROW()-1,7),ROW()-1,FALSE))</f>
        <v>11.497350859999999</v>
      </c>
      <c r="H31">
        <f ca="1">IF(AND(ISNUMBER($H$295),$B$242=1),$H$295,HLOOKUP(INDIRECT(ADDRESS(2,COLUMN())),OFFSET($M$2,0,0,ROW()-1,7),ROW()-1,FALSE))</f>
        <v>5.6550266410000001</v>
      </c>
      <c r="I31">
        <f ca="1">IF(AND(ISNUMBER($I$295),$B$242=1),$I$295,HLOOKUP(INDIRECT(ADDRESS(2,COLUMN())),OFFSET($M$2,0,0,ROW()-1,7),ROW()-1,FALSE))</f>
        <v>5.7216161520000002</v>
      </c>
      <c r="J31">
        <f ca="1">IF(AND(ISNUMBER($J$295),$B$242=1),$J$295,HLOOKUP(INDIRECT(ADDRESS(2,COLUMN())),OFFSET($M$2,0,0,ROW()-1,7),ROW()-1,FALSE))</f>
        <v>3.261981188</v>
      </c>
      <c r="K31">
        <f ca="1">IF(AND(ISNUMBER($K$295),$B$242=1),$K$295,HLOOKUP(INDIRECT(ADDRESS(2,COLUMN())),OFFSET($M$2,0,0,ROW()-1,7),ROW()-1,FALSE))</f>
        <v>4.8706294620000001</v>
      </c>
      <c r="L31">
        <f ca="1">IF(AND(ISNUMBER($L$295),$B$242=1),$L$295,HLOOKUP(INDIRECT(ADDRESS(2,COLUMN())),OFFSET($M$2,0,0,ROW()-1,7),ROW()-1,FALSE))</f>
        <v>2.069649777</v>
      </c>
      <c r="M31">
        <f>5.42166776</f>
        <v>5.4216677600000001</v>
      </c>
      <c r="N31">
        <f>11.49735086</f>
        <v>11.497350859999999</v>
      </c>
      <c r="O31">
        <f>5.655026641</f>
        <v>5.6550266410000001</v>
      </c>
      <c r="P31">
        <f>5.721616152</f>
        <v>5.7216161520000002</v>
      </c>
      <c r="Q31">
        <f>3.261981188</f>
        <v>3.261981188</v>
      </c>
      <c r="R31">
        <f>4.870629462</f>
        <v>4.8706294620000001</v>
      </c>
      <c r="S31">
        <f>2.069649777</f>
        <v>2.069649777</v>
      </c>
    </row>
    <row r="32" spans="1:19" x14ac:dyDescent="0.25">
      <c r="A32" t="str">
        <f>"    AtoS"</f>
        <v xml:space="preserve">    AtoS</v>
      </c>
      <c r="B32" t="str">
        <f>"ATO FP Equity"</f>
        <v>ATO FP Equity</v>
      </c>
      <c r="C32" t="str">
        <f t="shared" si="2"/>
        <v>F0486</v>
      </c>
      <c r="D32" t="str">
        <f t="shared" si="3"/>
        <v>REVENUE_SEQUENTIAL_GROWTH</v>
      </c>
      <c r="E32" t="str">
        <f t="shared" si="4"/>
        <v>Dynamic</v>
      </c>
      <c r="F32">
        <f ca="1">IF(AND(ISNUMBER($F$296),$B$242=1),$F$296,HLOOKUP(INDIRECT(ADDRESS(2,COLUMN())),OFFSET($M$2,0,0,ROW()-1,7),ROW()-1,FALSE))</f>
        <v>8.827948911</v>
      </c>
      <c r="G32">
        <f ca="1">IF(AND(ISNUMBER($G$296),$B$242=1),$G$296,HLOOKUP(INDIRECT(ADDRESS(2,COLUMN())),OFFSET($M$2,0,0,ROW()-1,7),ROW()-1,FALSE))</f>
        <v>-11.23707903</v>
      </c>
      <c r="H32">
        <f ca="1">IF(AND(ISNUMBER($H$296),$B$242=1),$H$296,HLOOKUP(INDIRECT(ADDRESS(2,COLUMN())),OFFSET($M$2,0,0,ROW()-1,7),ROW()-1,FALSE))</f>
        <v>-1.167436994</v>
      </c>
      <c r="I32">
        <f ca="1">IF(AND(ISNUMBER($I$296),$B$242=1),$I$296,HLOOKUP(INDIRECT(ADDRESS(2,COLUMN())),OFFSET($M$2,0,0,ROW()-1,7),ROW()-1,FALSE))</f>
        <v>13.59037949</v>
      </c>
      <c r="J32">
        <f ca="1">IF(AND(ISNUMBER($J$296),$B$242=1),$J$296,HLOOKUP(INDIRECT(ADDRESS(2,COLUMN())),OFFSET($M$2,0,0,ROW()-1,7),ROW()-1,FALSE))</f>
        <v>18.056169350000001</v>
      </c>
      <c r="K32">
        <f ca="1">IF(AND(ISNUMBER($K$296),$B$242=1),$K$296,HLOOKUP(INDIRECT(ADDRESS(2,COLUMN())),OFFSET($M$2,0,0,ROW()-1,7),ROW()-1,FALSE))</f>
        <v>5.0681401340000001</v>
      </c>
      <c r="L32">
        <f ca="1">IF(AND(ISNUMBER($L$296),$B$242=1),$L$296,HLOOKUP(INDIRECT(ADDRESS(2,COLUMN())),OFFSET($M$2,0,0,ROW()-1,7),ROW()-1,FALSE))</f>
        <v>-2.5971529690000001</v>
      </c>
      <c r="M32">
        <f>8.827948911</f>
        <v>8.827948911</v>
      </c>
      <c r="N32">
        <f>-11.23707903</f>
        <v>-11.23707903</v>
      </c>
      <c r="O32">
        <f>-1.167436994</f>
        <v>-1.167436994</v>
      </c>
      <c r="P32">
        <f>13.59037949</f>
        <v>13.59037949</v>
      </c>
      <c r="Q32">
        <f>18.05616935</f>
        <v>18.056169350000001</v>
      </c>
      <c r="R32">
        <f>5.068140134</f>
        <v>5.0681401340000001</v>
      </c>
      <c r="S32">
        <f>-2.597152969</f>
        <v>-2.5971529690000001</v>
      </c>
    </row>
    <row r="33" spans="1:19" x14ac:dyDescent="0.25">
      <c r="A33" t="str">
        <f>"    Capgemini"</f>
        <v xml:space="preserve">    Capgemini</v>
      </c>
      <c r="B33" t="str">
        <f>"CAP FP Equity"</f>
        <v>CAP FP Equity</v>
      </c>
      <c r="C33" t="str">
        <f t="shared" si="2"/>
        <v>F0486</v>
      </c>
      <c r="D33" t="str">
        <f t="shared" si="3"/>
        <v>REVENUE_SEQUENTIAL_GROWTH</v>
      </c>
      <c r="E33" t="str">
        <f t="shared" si="4"/>
        <v>Dynamic</v>
      </c>
      <c r="F33">
        <f ca="1">IF(AND(ISNUMBER($F$297),$B$242=1),$F$297,HLOOKUP(INDIRECT(ADDRESS(2,COLUMN())),OFFSET($M$2,0,0,ROW()-1,7),ROW()-1,FALSE))</f>
        <v>7.0319011900000001</v>
      </c>
      <c r="G33">
        <f ca="1">IF(AND(ISNUMBER($G$297),$B$242=1),$G$297,HLOOKUP(INDIRECT(ADDRESS(2,COLUMN())),OFFSET($M$2,0,0,ROW()-1,7),ROW()-1,FALSE))</f>
        <v>5.3652694609999996</v>
      </c>
      <c r="H33">
        <f ca="1">IF(AND(ISNUMBER($H$297),$B$242=1),$H$297,HLOOKUP(INDIRECT(ADDRESS(2,COLUMN())),OFFSET($M$2,0,0,ROW()-1,7),ROW()-1,FALSE))</f>
        <v>-0.11165164700000001</v>
      </c>
      <c r="I33">
        <f ca="1">IF(AND(ISNUMBER($I$297),$B$242=1),$I$297,HLOOKUP(INDIRECT(ADDRESS(2,COLUMN())),OFFSET($M$2,0,0,ROW()-1,7),ROW()-1,FALSE))</f>
        <v>5.2370960970000002</v>
      </c>
      <c r="J33">
        <f ca="1">IF(AND(ISNUMBER($J$297),$B$242=1),$J$297,HLOOKUP(INDIRECT(ADDRESS(2,COLUMN())),OFFSET($M$2,0,0,ROW()-1,7),ROW()-1,FALSE))</f>
        <v>12.692707840000001</v>
      </c>
      <c r="K33">
        <f ca="1">IF(AND(ISNUMBER($K$297),$B$242=1),$K$297,HLOOKUP(INDIRECT(ADDRESS(2,COLUMN())),OFFSET($M$2,0,0,ROW()-1,7),ROW()-1,FALSE))</f>
        <v>4.7661514069999997</v>
      </c>
      <c r="L33">
        <f ca="1">IF(AND(ISNUMBER($L$297),$B$242=1),$L$297,HLOOKUP(INDIRECT(ADDRESS(2,COLUMN())),OFFSET($M$2,0,0,ROW()-1,7),ROW()-1,FALSE))</f>
        <v>-1.6757599379999999</v>
      </c>
      <c r="M33">
        <f>7.03190119</f>
        <v>7.0319011900000001</v>
      </c>
      <c r="N33">
        <f>5.365269461</f>
        <v>5.3652694609999996</v>
      </c>
      <c r="O33">
        <f>-0.111651647</f>
        <v>-0.11165164700000001</v>
      </c>
      <c r="P33">
        <f>5.237096097</f>
        <v>5.2370960970000002</v>
      </c>
      <c r="Q33">
        <f>12.69270784</f>
        <v>12.692707840000001</v>
      </c>
      <c r="R33">
        <f>4.766151407</f>
        <v>4.7661514069999997</v>
      </c>
      <c r="S33">
        <f>-1.675759938</f>
        <v>-1.6757599379999999</v>
      </c>
    </row>
    <row r="34" spans="1:19" x14ac:dyDescent="0.25">
      <c r="A34" t="str">
        <f>"    CGI Group Inc"</f>
        <v xml:space="preserve">    CGI Group Inc</v>
      </c>
      <c r="B34" t="str">
        <f>"GIB US Equity"</f>
        <v>GIB US Equity</v>
      </c>
      <c r="C34" t="str">
        <f t="shared" si="2"/>
        <v>F0486</v>
      </c>
      <c r="D34" t="str">
        <f t="shared" si="3"/>
        <v>REVENUE_SEQUENTIAL_GROWTH</v>
      </c>
      <c r="E34" t="str">
        <f t="shared" si="4"/>
        <v>Dynamic</v>
      </c>
      <c r="F34">
        <f ca="1">IF(AND(ISNUMBER($F$298),$B$242=1),$F$298,HLOOKUP(INDIRECT(ADDRESS(2,COLUMN())),OFFSET($M$2,0,0,ROW()-1,7),ROW()-1,FALSE))</f>
        <v>5.2526305039999999</v>
      </c>
      <c r="G34">
        <f ca="1">IF(AND(ISNUMBER($G$298),$B$242=1),$G$298,HLOOKUP(INDIRECT(ADDRESS(2,COLUMN())),OFFSET($M$2,0,0,ROW()-1,7),ROW()-1,FALSE))</f>
        <v>6.1019361249999999</v>
      </c>
      <c r="H34">
        <f ca="1">IF(AND(ISNUMBER($H$298),$B$242=1),$H$298,HLOOKUP(INDIRECT(ADDRESS(2,COLUMN())),OFFSET($M$2,0,0,ROW()-1,7),ROW()-1,FALSE))</f>
        <v>1.5145371299999999</v>
      </c>
      <c r="I34">
        <f ca="1">IF(AND(ISNUMBER($I$298),$B$242=1),$I$298,HLOOKUP(INDIRECT(ADDRESS(2,COLUMN())),OFFSET($M$2,0,0,ROW()-1,7),ROW()-1,FALSE))</f>
        <v>3.8511160000000002</v>
      </c>
      <c r="J34">
        <f ca="1">IF(AND(ISNUMBER($J$298),$B$242=1),$J$298,HLOOKUP(INDIRECT(ADDRESS(2,COLUMN())),OFFSET($M$2,0,0,ROW()-1,7),ROW()-1,FALSE))</f>
        <v>-2.0247832030000001</v>
      </c>
      <c r="K34">
        <f ca="1">IF(AND(ISNUMBER($K$298),$B$242=1),$K$298,HLOOKUP(INDIRECT(ADDRESS(2,COLUMN())),OFFSET($M$2,0,0,ROW()-1,7),ROW()-1,FALSE))</f>
        <v>4.1158500309999999</v>
      </c>
      <c r="L34">
        <f ca="1">IF(AND(ISNUMBER($L$298),$B$242=1),$L$298,HLOOKUP(INDIRECT(ADDRESS(2,COLUMN())),OFFSET($M$2,0,0,ROW()-1,7),ROW()-1,FALSE))</f>
        <v>111.3089828</v>
      </c>
      <c r="M34">
        <f>5.252630504</f>
        <v>5.2526305039999999</v>
      </c>
      <c r="N34">
        <f>6.101936125</f>
        <v>6.1019361249999999</v>
      </c>
      <c r="O34">
        <f>1.51453713</f>
        <v>1.5145371299999999</v>
      </c>
      <c r="P34">
        <f>3.851116</f>
        <v>3.8511160000000002</v>
      </c>
      <c r="Q34">
        <f>-2.024783203</f>
        <v>-2.0247832030000001</v>
      </c>
      <c r="R34">
        <f>4.115850031</f>
        <v>4.1158500309999999</v>
      </c>
      <c r="S34">
        <f>111.3089828</f>
        <v>111.3089828</v>
      </c>
    </row>
    <row r="35" spans="1:19" x14ac:dyDescent="0.25">
      <c r="A35" t="str">
        <f>"    Cognizant Technology Solutions"</f>
        <v xml:space="preserve">    Cognizant Technology Solutions</v>
      </c>
      <c r="B35" t="str">
        <f>"CTSH US Equity"</f>
        <v>CTSH US Equity</v>
      </c>
      <c r="C35" t="str">
        <f t="shared" si="2"/>
        <v>F0486</v>
      </c>
      <c r="D35" t="str">
        <f t="shared" si="3"/>
        <v>REVENUE_SEQUENTIAL_GROWTH</v>
      </c>
      <c r="E35" t="str">
        <f t="shared" si="4"/>
        <v>Dynamic</v>
      </c>
      <c r="F35">
        <f ca="1">IF(AND(ISNUMBER($F$299),$B$242=1),$F$299,HLOOKUP(INDIRECT(ADDRESS(2,COLUMN())),OFFSET($M$2,0,0,ROW()-1,7),ROW()-1,FALSE))</f>
        <v>4.0806201550000001</v>
      </c>
      <c r="G35">
        <f ca="1">IF(AND(ISNUMBER($G$299),$B$242=1),$G$299,HLOOKUP(INDIRECT(ADDRESS(2,COLUMN())),OFFSET($M$2,0,0,ROW()-1,7),ROW()-1,FALSE))</f>
        <v>8.8791357190000006</v>
      </c>
      <c r="H35">
        <f ca="1">IF(AND(ISNUMBER($H$299),$B$242=1),$H$299,HLOOKUP(INDIRECT(ADDRESS(2,COLUMN())),OFFSET($M$2,0,0,ROW()-1,7),ROW()-1,FALSE))</f>
        <v>9.8094461329999998</v>
      </c>
      <c r="I35">
        <f ca="1">IF(AND(ISNUMBER($I$299),$B$242=1),$I$299,HLOOKUP(INDIRECT(ADDRESS(2,COLUMN())),OFFSET($M$2,0,0,ROW()-1,7),ROW()-1,FALSE))</f>
        <v>8.6259664950000001</v>
      </c>
      <c r="J35">
        <f ca="1">IF(AND(ISNUMBER($J$299),$B$242=1),$J$299,HLOOKUP(INDIRECT(ADDRESS(2,COLUMN())),OFFSET($M$2,0,0,ROW()-1,7),ROW()-1,FALSE))</f>
        <v>20.981807910000001</v>
      </c>
      <c r="K35">
        <f ca="1">IF(AND(ISNUMBER($K$299),$B$242=1),$K$299,HLOOKUP(INDIRECT(ADDRESS(2,COLUMN())),OFFSET($M$2,0,0,ROW()-1,7),ROW()-1,FALSE))</f>
        <v>16.05202603</v>
      </c>
      <c r="L35">
        <f ca="1">IF(AND(ISNUMBER($L$299),$B$242=1),$L$299,HLOOKUP(INDIRECT(ADDRESS(2,COLUMN())),OFFSET($M$2,0,0,ROW()-1,7),ROW()-1,FALSE))</f>
        <v>20.373275769999999</v>
      </c>
      <c r="M35">
        <f>4.080620155</f>
        <v>4.0806201550000001</v>
      </c>
      <c r="N35">
        <f>8.879135719</f>
        <v>8.8791357190000006</v>
      </c>
      <c r="O35">
        <f>9.809446133</f>
        <v>9.8094461329999998</v>
      </c>
      <c r="P35">
        <f>8.625966495</f>
        <v>8.6259664950000001</v>
      </c>
      <c r="Q35">
        <f>20.98180791</f>
        <v>20.981807910000001</v>
      </c>
      <c r="R35">
        <f>16.05202603</f>
        <v>16.05202603</v>
      </c>
      <c r="S35">
        <f>20.37327577</f>
        <v>20.373275769999999</v>
      </c>
    </row>
    <row r="36" spans="1:19" x14ac:dyDescent="0.25">
      <c r="A36" t="str">
        <f>"    Computer Sciences Corp"</f>
        <v xml:space="preserve">    Computer Sciences Corp</v>
      </c>
      <c r="B36" t="str">
        <f>"CSC US Equity"</f>
        <v>CSC US Equity</v>
      </c>
      <c r="C36" t="str">
        <f t="shared" si="2"/>
        <v>F0486</v>
      </c>
      <c r="D36" t="str">
        <f t="shared" si="3"/>
        <v>REVENUE_SEQUENTIAL_GROWTH</v>
      </c>
      <c r="E36" t="str">
        <f t="shared" si="4"/>
        <v>Dynamic</v>
      </c>
      <c r="F36" t="str">
        <f ca="1">IF(AND(ISNUMBER($F$300),$B$242=1),$F$300,HLOOKUP(INDIRECT(ADDRESS(2,COLUMN())),OFFSET($M$2,0,0,ROW()-1,7),ROW()-1,FALSE))</f>
        <v/>
      </c>
      <c r="G36" t="str">
        <f ca="1">IF(AND(ISNUMBER($G$300),$B$242=1),$G$300,HLOOKUP(INDIRECT(ADDRESS(2,COLUMN())),OFFSET($M$2,0,0,ROW()-1,7),ROW()-1,FALSE))</f>
        <v/>
      </c>
      <c r="H36" t="str">
        <f ca="1">IF(AND(ISNUMBER($H$300),$B$242=1),$H$300,HLOOKUP(INDIRECT(ADDRESS(2,COLUMN())),OFFSET($M$2,0,0,ROW()-1,7),ROW()-1,FALSE))</f>
        <v/>
      </c>
      <c r="I36">
        <f ca="1">IF(AND(ISNUMBER($I$300),$B$242=1),$I$300,HLOOKUP(INDIRECT(ADDRESS(2,COLUMN())),OFFSET($M$2,0,0,ROW()-1,7),ROW()-1,FALSE))</f>
        <v>7.050379961</v>
      </c>
      <c r="J36">
        <f ca="1">IF(AND(ISNUMBER($J$300),$B$242=1),$J$300,HLOOKUP(INDIRECT(ADDRESS(2,COLUMN())),OFFSET($M$2,0,0,ROW()-1,7),ROW()-1,FALSE))</f>
        <v>-12.455340639999999</v>
      </c>
      <c r="K36">
        <f ca="1">IF(AND(ISNUMBER($K$300),$B$242=1),$K$300,HLOOKUP(INDIRECT(ADDRESS(2,COLUMN())),OFFSET($M$2,0,0,ROW()-1,7),ROW()-1,FALSE))</f>
        <v>-37.551931070000002</v>
      </c>
      <c r="L36">
        <f ca="1">IF(AND(ISNUMBER($L$300),$B$242=1),$L$300,HLOOKUP(INDIRECT(ADDRESS(2,COLUMN())),OFFSET($M$2,0,0,ROW()-1,7),ROW()-1,FALSE))</f>
        <v>-8.4325466710000008</v>
      </c>
      <c r="M36" t="str">
        <f>""</f>
        <v/>
      </c>
      <c r="N36" t="str">
        <f>""</f>
        <v/>
      </c>
      <c r="O36" t="str">
        <f>""</f>
        <v/>
      </c>
      <c r="P36">
        <f>7.050379961</f>
        <v>7.050379961</v>
      </c>
      <c r="Q36">
        <f>-12.45534064</f>
        <v>-12.455340639999999</v>
      </c>
      <c r="R36">
        <f>-37.55193107</f>
        <v>-37.551931070000002</v>
      </c>
      <c r="S36">
        <f>-8.432546671</f>
        <v>-8.4325466710000008</v>
      </c>
    </row>
    <row r="37" spans="1:19" x14ac:dyDescent="0.25">
      <c r="A37" t="str">
        <f>"    HCL Technologies Ltd"</f>
        <v xml:space="preserve">    HCL Technologies Ltd</v>
      </c>
      <c r="B37" t="str">
        <f>"HCLT IN Equity"</f>
        <v>HCLT IN Equity</v>
      </c>
      <c r="C37" t="str">
        <f t="shared" si="2"/>
        <v>F0486</v>
      </c>
      <c r="D37" t="str">
        <f t="shared" si="3"/>
        <v>REVENUE_SEQUENTIAL_GROWTH</v>
      </c>
      <c r="E37" t="str">
        <f t="shared" si="4"/>
        <v>Dynamic</v>
      </c>
      <c r="F37">
        <f ca="1">IF(AND(ISNUMBER($F$301),$B$242=1),$F$301,HLOOKUP(INDIRECT(ADDRESS(2,COLUMN())),OFFSET($M$2,0,0,ROW()-1,7),ROW()-1,FALSE))</f>
        <v>15.10124647</v>
      </c>
      <c r="G37">
        <f ca="1">IF(AND(ISNUMBER($G$301),$B$242=1),$G$301,HLOOKUP(INDIRECT(ADDRESS(2,COLUMN())),OFFSET($M$2,0,0,ROW()-1,7),ROW()-1,FALSE))</f>
        <v>10.053998350000001</v>
      </c>
      <c r="H37">
        <f ca="1">IF(AND(ISNUMBER($H$301),$B$242=1),$H$301,HLOOKUP(INDIRECT(ADDRESS(2,COLUMN())),OFFSET($M$2,0,0,ROW()-1,7),ROW()-1,FALSE))</f>
        <v>6.309913506</v>
      </c>
      <c r="I37">
        <f ca="1">IF(AND(ISNUMBER($I$301),$B$242=1),$I$301,HLOOKUP(INDIRECT(ADDRESS(2,COLUMN())),OFFSET($M$2,0,0,ROW()-1,7),ROW()-1,FALSE))</f>
        <v>16.585612229999999</v>
      </c>
      <c r="J37" t="str">
        <f ca="1">IF(AND(ISNUMBER($J$301),$B$242=1),$J$301,HLOOKUP(INDIRECT(ADDRESS(2,COLUMN())),OFFSET($M$2,0,0,ROW()-1,7),ROW()-1,FALSE))</f>
        <v/>
      </c>
      <c r="K37" t="str">
        <f ca="1">IF(AND(ISNUMBER($K$301),$B$242=1),$K$301,HLOOKUP(INDIRECT(ADDRESS(2,COLUMN())),OFFSET($M$2,0,0,ROW()-1,7),ROW()-1,FALSE))</f>
        <v/>
      </c>
      <c r="L37">
        <f ca="1">IF(AND(ISNUMBER($L$301),$B$242=1),$L$301,HLOOKUP(INDIRECT(ADDRESS(2,COLUMN())),OFFSET($M$2,0,0,ROW()-1,7),ROW()-1,FALSE))</f>
        <v>14.86114967</v>
      </c>
      <c r="M37">
        <f>15.10124647</f>
        <v>15.10124647</v>
      </c>
      <c r="N37">
        <f>10.05399835</f>
        <v>10.053998350000001</v>
      </c>
      <c r="O37">
        <f>6.309913506</f>
        <v>6.309913506</v>
      </c>
      <c r="P37">
        <f>16.58561223</f>
        <v>16.585612229999999</v>
      </c>
      <c r="Q37" t="str">
        <f>""</f>
        <v/>
      </c>
      <c r="R37" t="str">
        <f>""</f>
        <v/>
      </c>
      <c r="S37">
        <f>14.86114967</f>
        <v>14.86114967</v>
      </c>
    </row>
    <row r="38" spans="1:19" x14ac:dyDescent="0.25">
      <c r="A38" t="str">
        <f>"    Infosys Ltd"</f>
        <v xml:space="preserve">    Infosys Ltd</v>
      </c>
      <c r="B38" t="str">
        <f>"INFY US Equity"</f>
        <v>INFY US Equity</v>
      </c>
      <c r="C38" t="str">
        <f t="shared" si="2"/>
        <v>F0486</v>
      </c>
      <c r="D38" t="str">
        <f t="shared" si="3"/>
        <v>REVENUE_SEQUENTIAL_GROWTH</v>
      </c>
      <c r="E38" t="str">
        <f t="shared" si="4"/>
        <v>Dynamic</v>
      </c>
      <c r="F38">
        <f ca="1">IF(AND(ISNUMBER($F$302),$B$242=1),$F$302,HLOOKUP(INDIRECT(ADDRESS(2,COLUMN())),OFFSET($M$2,0,0,ROW()-1,7),ROW()-1,FALSE))</f>
        <v>9.8167523439999993</v>
      </c>
      <c r="G38">
        <f ca="1">IF(AND(ISNUMBER($G$302),$B$242=1),$G$302,HLOOKUP(INDIRECT(ADDRESS(2,COLUMN())),OFFSET($M$2,0,0,ROW()-1,7),ROW()-1,FALSE))</f>
        <v>17.23292022</v>
      </c>
      <c r="H38">
        <f ca="1">IF(AND(ISNUMBER($H$302),$B$242=1),$H$302,HLOOKUP(INDIRECT(ADDRESS(2,COLUMN())),OFFSET($M$2,0,0,ROW()-1,7),ROW()-1,FALSE))</f>
        <v>2.9758775769999999</v>
      </c>
      <c r="I38">
        <f ca="1">IF(AND(ISNUMBER($I$302),$B$242=1),$I$302,HLOOKUP(INDIRECT(ADDRESS(2,COLUMN())),OFFSET($M$2,0,0,ROW()-1,7),ROW()-1,FALSE))</f>
        <v>9.6779359720000002</v>
      </c>
      <c r="J38">
        <f ca="1">IF(AND(ISNUMBER($J$302),$B$242=1),$J$302,HLOOKUP(INDIRECT(ADDRESS(2,COLUMN())),OFFSET($M$2,0,0,ROW()-1,7),ROW()-1,FALSE))</f>
        <v>17.108347869999999</v>
      </c>
      <c r="K38">
        <f ca="1">IF(AND(ISNUMBER($K$302),$B$242=1),$K$302,HLOOKUP(INDIRECT(ADDRESS(2,COLUMN())),OFFSET($M$2,0,0,ROW()-1,7),ROW()-1,FALSE))</f>
        <v>6.355095446</v>
      </c>
      <c r="L38">
        <f ca="1">IF(AND(ISNUMBER($L$302),$B$242=1),$L$302,HLOOKUP(INDIRECT(ADDRESS(2,COLUMN())),OFFSET($M$2,0,0,ROW()-1,7),ROW()-1,FALSE))</f>
        <v>24.239195079999998</v>
      </c>
      <c r="M38">
        <f>9.816752344</f>
        <v>9.8167523439999993</v>
      </c>
      <c r="N38">
        <f>17.23292022</f>
        <v>17.23292022</v>
      </c>
      <c r="O38">
        <f>2.975877577</f>
        <v>2.9758775769999999</v>
      </c>
      <c r="P38">
        <f>9.677935972</f>
        <v>9.6779359720000002</v>
      </c>
      <c r="Q38">
        <f>17.10834787</f>
        <v>17.108347869999999</v>
      </c>
      <c r="R38">
        <f>6.355095446</f>
        <v>6.355095446</v>
      </c>
      <c r="S38">
        <f>24.23919508</f>
        <v>24.239195079999998</v>
      </c>
    </row>
    <row r="39" spans="1:19" x14ac:dyDescent="0.25">
      <c r="A39" t="str">
        <f>"    International Business Machine"</f>
        <v xml:space="preserve">    International Business Machine</v>
      </c>
      <c r="B39" t="str">
        <f>"IBM US Equity"</f>
        <v>IBM US Equity</v>
      </c>
      <c r="C39" t="str">
        <f t="shared" si="2"/>
        <v>F0486</v>
      </c>
      <c r="D39" t="str">
        <f t="shared" si="3"/>
        <v>REVENUE_SEQUENTIAL_GROWTH</v>
      </c>
      <c r="E39" t="str">
        <f t="shared" si="4"/>
        <v>Dynamic</v>
      </c>
      <c r="F39">
        <f ca="1">IF(AND(ISNUMBER($F$303),$B$242=1),$F$303,HLOOKUP(INDIRECT(ADDRESS(2,COLUMN())),OFFSET($M$2,0,0,ROW()-1,7),ROW()-1,FALSE))</f>
        <v>-3.070698948</v>
      </c>
      <c r="G39">
        <f ca="1">IF(AND(ISNUMBER($G$303),$B$242=1),$G$303,HLOOKUP(INDIRECT(ADDRESS(2,COLUMN())),OFFSET($M$2,0,0,ROW()-1,7),ROW()-1,FALSE))</f>
        <v>0.57114696899999995</v>
      </c>
      <c r="H39">
        <f ca="1">IF(AND(ISNUMBER($H$303),$B$242=1),$H$303,HLOOKUP(INDIRECT(ADDRESS(2,COLUMN())),OFFSET($M$2,0,0,ROW()-1,7),ROW()-1,FALSE))</f>
        <v>-0.97598818799999998</v>
      </c>
      <c r="I39">
        <f ca="1">IF(AND(ISNUMBER($I$303),$B$242=1),$I$303,HLOOKUP(INDIRECT(ADDRESS(2,COLUMN())),OFFSET($M$2,0,0,ROW()-1,7),ROW()-1,FALSE))</f>
        <v>-2.2289915709999999</v>
      </c>
      <c r="J39">
        <f ca="1">IF(AND(ISNUMBER($J$303),$B$242=1),$J$303,HLOOKUP(INDIRECT(ADDRESS(2,COLUMN())),OFFSET($M$2,0,0,ROW()-1,7),ROW()-1,FALSE))</f>
        <v>-11.910381170000001</v>
      </c>
      <c r="K39">
        <f ca="1">IF(AND(ISNUMBER($K$303),$B$242=1),$K$303,HLOOKUP(INDIRECT(ADDRESS(2,COLUMN())),OFFSET($M$2,0,0,ROW()-1,7),ROW()-1,FALSE))</f>
        <v>-5.6665345089999999</v>
      </c>
      <c r="L39">
        <f ca="1">IF(AND(ISNUMBER($L$303),$B$242=1),$L$303,HLOOKUP(INDIRECT(ADDRESS(2,COLUMN())),OFFSET($M$2,0,0,ROW()-1,7),ROW()-1,FALSE))</f>
        <v>-4.3810875439999997</v>
      </c>
      <c r="M39">
        <f>-3.070698948</f>
        <v>-3.070698948</v>
      </c>
      <c r="N39">
        <f>0.571146969</f>
        <v>0.57114696899999995</v>
      </c>
      <c r="O39">
        <f>-0.975988188</f>
        <v>-0.97598818799999998</v>
      </c>
      <c r="P39">
        <f>-2.228991571</f>
        <v>-2.2289915709999999</v>
      </c>
      <c r="Q39">
        <f>-11.91038117</f>
        <v>-11.910381170000001</v>
      </c>
      <c r="R39">
        <f>-5.666534509</f>
        <v>-5.6665345089999999</v>
      </c>
      <c r="S39">
        <f>-4.381087544</f>
        <v>-4.3810875439999997</v>
      </c>
    </row>
    <row r="40" spans="1:19" x14ac:dyDescent="0.25">
      <c r="A40" t="str">
        <f>"    Tata Consultancy Services Ltd"</f>
        <v xml:space="preserve">    Tata Consultancy Services Ltd</v>
      </c>
      <c r="B40" t="str">
        <f>"TCS IN Equity"</f>
        <v>TCS IN Equity</v>
      </c>
      <c r="C40" t="str">
        <f t="shared" si="2"/>
        <v>F0486</v>
      </c>
      <c r="D40" t="str">
        <f t="shared" si="3"/>
        <v>REVENUE_SEQUENTIAL_GROWTH</v>
      </c>
      <c r="E40" t="str">
        <f t="shared" si="4"/>
        <v>Dynamic</v>
      </c>
      <c r="F40">
        <f ca="1">IF(AND(ISNUMBER($F$304),$B$242=1),$F$304,HLOOKUP(INDIRECT(ADDRESS(2,COLUMN())),OFFSET($M$2,0,0,ROW()-1,7),ROW()-1,FALSE))</f>
        <v>7.1594873789999998</v>
      </c>
      <c r="G40">
        <f ca="1">IF(AND(ISNUMBER($G$304),$B$242=1),$G$304,HLOOKUP(INDIRECT(ADDRESS(2,COLUMN())),OFFSET($M$2,0,0,ROW()-1,7),ROW()-1,FALSE))</f>
        <v>18.975013000000001</v>
      </c>
      <c r="H40">
        <f ca="1">IF(AND(ISNUMBER($H$304),$B$242=1),$H$304,HLOOKUP(INDIRECT(ADDRESS(2,COLUMN())),OFFSET($M$2,0,0,ROW()-1,7),ROW()-1,FALSE))</f>
        <v>4.3554922600000001</v>
      </c>
      <c r="I40">
        <f ca="1">IF(AND(ISNUMBER($I$304),$B$242=1),$I$304,HLOOKUP(INDIRECT(ADDRESS(2,COLUMN())),OFFSET($M$2,0,0,ROW()-1,7),ROW()-1,FALSE))</f>
        <v>8.5783185759999991</v>
      </c>
      <c r="J40">
        <f ca="1">IF(AND(ISNUMBER($J$304),$B$242=1),$J$304,HLOOKUP(INDIRECT(ADDRESS(2,COLUMN())),OFFSET($M$2,0,0,ROW()-1,7),ROW()-1,FALSE))</f>
        <v>14.789038720000001</v>
      </c>
      <c r="K40">
        <f ca="1">IF(AND(ISNUMBER($K$304),$B$242=1),$K$304,HLOOKUP(INDIRECT(ADDRESS(2,COLUMN())),OFFSET($M$2,0,0,ROW()-1,7),ROW()-1,FALSE))</f>
        <v>15.69386437</v>
      </c>
      <c r="L40">
        <f ca="1">IF(AND(ISNUMBER($L$304),$B$242=1),$L$304,HLOOKUP(INDIRECT(ADDRESS(2,COLUMN())),OFFSET($M$2,0,0,ROW()-1,7),ROW()-1,FALSE))</f>
        <v>29.877814520000001</v>
      </c>
      <c r="M40">
        <f>7.159487379</f>
        <v>7.1594873789999998</v>
      </c>
      <c r="N40">
        <f>18.975013</f>
        <v>18.975013000000001</v>
      </c>
      <c r="O40">
        <f>4.35549226</f>
        <v>4.3554922600000001</v>
      </c>
      <c r="P40">
        <f>8.578318576</f>
        <v>8.5783185759999991</v>
      </c>
      <c r="Q40">
        <f>14.78903872</f>
        <v>14.789038720000001</v>
      </c>
      <c r="R40">
        <f>15.69386437</f>
        <v>15.69386437</v>
      </c>
      <c r="S40">
        <f>29.87781452</f>
        <v>29.877814520000001</v>
      </c>
    </row>
    <row r="41" spans="1:19" x14ac:dyDescent="0.25">
      <c r="A41" t="str">
        <f>"    Wipro Ltd"</f>
        <v xml:space="preserve">    Wipro Ltd</v>
      </c>
      <c r="B41" t="str">
        <f>"WIT US Equity"</f>
        <v>WIT US Equity</v>
      </c>
      <c r="C41" t="str">
        <f t="shared" si="2"/>
        <v>F0486</v>
      </c>
      <c r="D41" t="str">
        <f t="shared" si="3"/>
        <v>REVENUE_SEQUENTIAL_GROWTH</v>
      </c>
      <c r="E41" t="str">
        <f t="shared" si="4"/>
        <v>Dynamic</v>
      </c>
      <c r="F41">
        <f ca="1">IF(AND(ISNUMBER($F$305),$B$242=1),$F$305,HLOOKUP(INDIRECT(ADDRESS(2,COLUMN())),OFFSET($M$2,0,0,ROW()-1,7),ROW()-1,FALSE))</f>
        <v>4.162705152</v>
      </c>
      <c r="G41">
        <f ca="1">IF(AND(ISNUMBER($G$305),$B$242=1),$G$305,HLOOKUP(INDIRECT(ADDRESS(2,COLUMN())),OFFSET($M$2,0,0,ROW()-1,7),ROW()-1,FALSE))</f>
        <v>7.5199450880000001</v>
      </c>
      <c r="H41">
        <f ca="1">IF(AND(ISNUMBER($H$305),$B$242=1),$H$305,HLOOKUP(INDIRECT(ADDRESS(2,COLUMN())),OFFSET($M$2,0,0,ROW()-1,7),ROW()-1,FALSE))</f>
        <v>-1.004901872</v>
      </c>
      <c r="I41">
        <f ca="1">IF(AND(ISNUMBER($I$305),$B$242=1),$I$305,HLOOKUP(INDIRECT(ADDRESS(2,COLUMN())),OFFSET($M$2,0,0,ROW()-1,7),ROW()-1,FALSE))</f>
        <v>7.4080868000000004</v>
      </c>
      <c r="J41">
        <f ca="1">IF(AND(ISNUMBER($J$305),$B$242=1),$J$305,HLOOKUP(INDIRECT(ADDRESS(2,COLUMN())),OFFSET($M$2,0,0,ROW()-1,7),ROW()-1,FALSE))</f>
        <v>9.1354396280000003</v>
      </c>
      <c r="K41">
        <f ca="1">IF(AND(ISNUMBER($K$305),$B$242=1),$K$305,HLOOKUP(INDIRECT(ADDRESS(2,COLUMN())),OFFSET($M$2,0,0,ROW()-1,7),ROW()-1,FALSE))</f>
        <v>8.1230757889999996</v>
      </c>
      <c r="L41">
        <f ca="1">IF(AND(ISNUMBER($L$305),$B$242=1),$L$305,HLOOKUP(INDIRECT(ADDRESS(2,COLUMN())),OFFSET($M$2,0,0,ROW()-1,7),ROW()-1,FALSE))</f>
        <v>16.035280660000002</v>
      </c>
      <c r="M41">
        <f>4.162705152</f>
        <v>4.162705152</v>
      </c>
      <c r="N41">
        <f>7.519945088</f>
        <v>7.5199450880000001</v>
      </c>
      <c r="O41">
        <f>-1.004901872</f>
        <v>-1.004901872</v>
      </c>
      <c r="P41">
        <f>7.4080868</f>
        <v>7.4080868000000004</v>
      </c>
      <c r="Q41">
        <f>9.135439628</f>
        <v>9.1354396280000003</v>
      </c>
      <c r="R41">
        <f>8.123075789</f>
        <v>8.1230757889999996</v>
      </c>
      <c r="S41">
        <f>16.03528066</f>
        <v>16.035280660000002</v>
      </c>
    </row>
    <row r="42" spans="1:19" x14ac:dyDescent="0.25">
      <c r="A42" t="str">
        <f>"Revenue Growth YoY (Reported)"</f>
        <v>Revenue Growth YoY (Reported)</v>
      </c>
      <c r="B42" t="str">
        <f>""</f>
        <v/>
      </c>
      <c r="E42" t="str">
        <f>"Average"</f>
        <v>Average</v>
      </c>
      <c r="F42">
        <f ca="1">IF(ISERROR(IF(AVERAGE($F$43:$F$53) = 0, "", AVERAGE($F$43:$F$53))), "", (IF(AVERAGE($F$43:$F$53) = 0, "", AVERAGE($F$43:$F$53))))</f>
        <v>6.3784260916999997</v>
      </c>
      <c r="G42">
        <f ca="1">IF(ISERROR(IF(AVERAGE($G$43:$G$53) = 0, "", AVERAGE($G$43:$G$53))), "", (IF(AVERAGE($G$43:$G$53) = 0, "", AVERAGE($G$43:$G$53))))</f>
        <v>7.4959636762000006</v>
      </c>
      <c r="H42">
        <f ca="1">IF(ISERROR(IF(AVERAGE($H$43:$H$53) = 0, "", AVERAGE($H$43:$H$53))), "", (IF(AVERAGE($H$43:$H$53) = 0, "", AVERAGE($H$43:$H$53))))</f>
        <v>2.7360314546</v>
      </c>
      <c r="I42">
        <f ca="1">IF(ISERROR(IF(AVERAGE($I$43:$I$53) = 0, "", AVERAGE($I$43:$I$53))), "", (IF(AVERAGE($I$43:$I$53) = 0, "", AVERAGE($I$43:$I$53))))</f>
        <v>7.6452287456363646</v>
      </c>
      <c r="J42">
        <f ca="1">IF(ISERROR(IF(AVERAGE($J$43:$J$53) = 0, "", AVERAGE($J$43:$J$53))), "", (IF(AVERAGE($J$43:$J$53) = 0, "", AVERAGE($J$43:$J$53))))</f>
        <v>6.9634987493000011</v>
      </c>
      <c r="K42">
        <f ca="1">IF(ISERROR(IF(AVERAGE($K$43:$K$53) = 0, "", AVERAGE($K$43:$K$53))), "", (IF(AVERAGE($K$43:$K$53) = 0, "", AVERAGE($K$43:$K$53))))</f>
        <v>2.1826367089999996</v>
      </c>
      <c r="L42">
        <f ca="1">IF(ISERROR(IF(AVERAGE($L$43:$L$53) = 0, "", AVERAGE($L$43:$L$53))), "", (IF(AVERAGE($L$43:$L$53) = 0, "", AVERAGE($L$43:$L$53))))</f>
        <v>18.334436468636365</v>
      </c>
      <c r="M42">
        <f>6.378426091</f>
        <v>6.3784260909999997</v>
      </c>
      <c r="N42">
        <f>7.495963676</f>
        <v>7.4959636759999997</v>
      </c>
      <c r="O42">
        <f>2.736031455</f>
        <v>2.736031455</v>
      </c>
      <c r="P42">
        <f>7.645228746</f>
        <v>7.6452287459999999</v>
      </c>
      <c r="Q42">
        <f>6.963498748</f>
        <v>6.9634987480000001</v>
      </c>
      <c r="R42">
        <f>2.182636709</f>
        <v>2.1826367090000001</v>
      </c>
      <c r="S42">
        <f>18.33443647</f>
        <v>18.33443647</v>
      </c>
    </row>
    <row r="43" spans="1:19" x14ac:dyDescent="0.25">
      <c r="A43" t="str">
        <f>"    Accenture PLC"</f>
        <v xml:space="preserve">    Accenture PLC</v>
      </c>
      <c r="B43" t="str">
        <f>"ACN US Equity"</f>
        <v>ACN US Equity</v>
      </c>
      <c r="C43" t="str">
        <f t="shared" ref="C43:C53" si="5">"RR033"</f>
        <v>RR033</v>
      </c>
      <c r="D43" t="str">
        <f t="shared" ref="D43:D53" si="6">"SALES_GROWTH"</f>
        <v>SALES_GROWTH</v>
      </c>
      <c r="E43" t="str">
        <f t="shared" ref="E43:E53" si="7">"Dynamic"</f>
        <v>Dynamic</v>
      </c>
      <c r="F43">
        <f ca="1">IF(AND(ISNUMBER($F$306),$B$242=1),$F$306,HLOOKUP(INDIRECT(ADDRESS(2,COLUMN())),OFFSET($M$2,0,0,ROW()-1,7),ROW()-1,FALSE))</f>
        <v>5.4216677600000001</v>
      </c>
      <c r="G43">
        <f ca="1">IF(AND(ISNUMBER($G$306),$B$242=1),$G$306,HLOOKUP(INDIRECT(ADDRESS(2,COLUMN())),OFFSET($M$2,0,0,ROW()-1,7),ROW()-1,FALSE))</f>
        <v>11.497350859999999</v>
      </c>
      <c r="H43">
        <f ca="1">IF(AND(ISNUMBER($H$306),$B$242=1),$H$306,HLOOKUP(INDIRECT(ADDRESS(2,COLUMN())),OFFSET($M$2,0,0,ROW()-1,7),ROW()-1,FALSE))</f>
        <v>5.6550266410000001</v>
      </c>
      <c r="I43">
        <f ca="1">IF(AND(ISNUMBER($I$306),$B$242=1),$I$306,HLOOKUP(INDIRECT(ADDRESS(2,COLUMN())),OFFSET($M$2,0,0,ROW()-1,7),ROW()-1,FALSE))</f>
        <v>5.7216161520000002</v>
      </c>
      <c r="J43">
        <f ca="1">IF(AND(ISNUMBER($J$306),$B$242=1),$J$306,HLOOKUP(INDIRECT(ADDRESS(2,COLUMN())),OFFSET($M$2,0,0,ROW()-1,7),ROW()-1,FALSE))</f>
        <v>3.261981188</v>
      </c>
      <c r="K43">
        <f ca="1">IF(AND(ISNUMBER($K$306),$B$242=1),$K$306,HLOOKUP(INDIRECT(ADDRESS(2,COLUMN())),OFFSET($M$2,0,0,ROW()-1,7),ROW()-1,FALSE))</f>
        <v>4.8706294620000001</v>
      </c>
      <c r="L43">
        <f ca="1">IF(AND(ISNUMBER($L$306),$B$242=1),$L$306,HLOOKUP(INDIRECT(ADDRESS(2,COLUMN())),OFFSET($M$2,0,0,ROW()-1,7),ROW()-1,FALSE))</f>
        <v>2.069649777</v>
      </c>
      <c r="M43">
        <f>5.42166776</f>
        <v>5.4216677600000001</v>
      </c>
      <c r="N43">
        <f>11.49735086</f>
        <v>11.497350859999999</v>
      </c>
      <c r="O43">
        <f>5.655026641</f>
        <v>5.6550266410000001</v>
      </c>
      <c r="P43">
        <f>5.721616152</f>
        <v>5.7216161520000002</v>
      </c>
      <c r="Q43">
        <f>3.261981188</f>
        <v>3.261981188</v>
      </c>
      <c r="R43">
        <f>4.870629462</f>
        <v>4.8706294620000001</v>
      </c>
      <c r="S43">
        <f>2.069649777</f>
        <v>2.069649777</v>
      </c>
    </row>
    <row r="44" spans="1:19" x14ac:dyDescent="0.25">
      <c r="A44" t="str">
        <f>"    AtoS"</f>
        <v xml:space="preserve">    AtoS</v>
      </c>
      <c r="B44" t="str">
        <f>"ATO FP Equity"</f>
        <v>ATO FP Equity</v>
      </c>
      <c r="C44" t="str">
        <f t="shared" si="5"/>
        <v>RR033</v>
      </c>
      <c r="D44" t="str">
        <f t="shared" si="6"/>
        <v>SALES_GROWTH</v>
      </c>
      <c r="E44" t="str">
        <f t="shared" si="7"/>
        <v>Dynamic</v>
      </c>
      <c r="F44">
        <f ca="1">IF(AND(ISNUMBER($F$307),$B$242=1),$F$307,HLOOKUP(INDIRECT(ADDRESS(2,COLUMN())),OFFSET($M$2,0,0,ROW()-1,7),ROW()-1,FALSE))</f>
        <v>8.827948911</v>
      </c>
      <c r="G44">
        <f ca="1">IF(AND(ISNUMBER($G$307),$B$242=1),$G$307,HLOOKUP(INDIRECT(ADDRESS(2,COLUMN())),OFFSET($M$2,0,0,ROW()-1,7),ROW()-1,FALSE))</f>
        <v>-11.23707903</v>
      </c>
      <c r="H44">
        <f ca="1">IF(AND(ISNUMBER($H$307),$B$242=1),$H$307,HLOOKUP(INDIRECT(ADDRESS(2,COLUMN())),OFFSET($M$2,0,0,ROW()-1,7),ROW()-1,FALSE))</f>
        <v>-1.167436994</v>
      </c>
      <c r="I44">
        <f ca="1">IF(AND(ISNUMBER($I$307),$B$242=1),$I$307,HLOOKUP(INDIRECT(ADDRESS(2,COLUMN())),OFFSET($M$2,0,0,ROW()-1,7),ROW()-1,FALSE))</f>
        <v>13.59037949</v>
      </c>
      <c r="J44">
        <f ca="1">IF(AND(ISNUMBER($J$307),$B$242=1),$J$307,HLOOKUP(INDIRECT(ADDRESS(2,COLUMN())),OFFSET($M$2,0,0,ROW()-1,7),ROW()-1,FALSE))</f>
        <v>18.056169350000001</v>
      </c>
      <c r="K44">
        <f ca="1">IF(AND(ISNUMBER($K$307),$B$242=1),$K$307,HLOOKUP(INDIRECT(ADDRESS(2,COLUMN())),OFFSET($M$2,0,0,ROW()-1,7),ROW()-1,FALSE))</f>
        <v>5.0681401340000001</v>
      </c>
      <c r="L44">
        <f ca="1">IF(AND(ISNUMBER($L$307),$B$242=1),$L$307,HLOOKUP(INDIRECT(ADDRESS(2,COLUMN())),OFFSET($M$2,0,0,ROW()-1,7),ROW()-1,FALSE))</f>
        <v>-2.5971529690000001</v>
      </c>
      <c r="M44">
        <f>8.827948911</f>
        <v>8.827948911</v>
      </c>
      <c r="N44">
        <f>-11.23707903</f>
        <v>-11.23707903</v>
      </c>
      <c r="O44">
        <f>-1.167436994</f>
        <v>-1.167436994</v>
      </c>
      <c r="P44">
        <f>13.59037949</f>
        <v>13.59037949</v>
      </c>
      <c r="Q44">
        <f>18.05616935</f>
        <v>18.056169350000001</v>
      </c>
      <c r="R44">
        <f>5.068140134</f>
        <v>5.0681401340000001</v>
      </c>
      <c r="S44">
        <f>-2.597152969</f>
        <v>-2.5971529690000001</v>
      </c>
    </row>
    <row r="45" spans="1:19" x14ac:dyDescent="0.25">
      <c r="A45" t="str">
        <f>"    Capgemini"</f>
        <v xml:space="preserve">    Capgemini</v>
      </c>
      <c r="B45" t="str">
        <f>"CAP FP Equity"</f>
        <v>CAP FP Equity</v>
      </c>
      <c r="C45" t="str">
        <f t="shared" si="5"/>
        <v>RR033</v>
      </c>
      <c r="D45" t="str">
        <f t="shared" si="6"/>
        <v>SALES_GROWTH</v>
      </c>
      <c r="E45" t="str">
        <f t="shared" si="7"/>
        <v>Dynamic</v>
      </c>
      <c r="F45">
        <f ca="1">IF(AND(ISNUMBER($F$308),$B$242=1),$F$308,HLOOKUP(INDIRECT(ADDRESS(2,COLUMN())),OFFSET($M$2,0,0,ROW()-1,7),ROW()-1,FALSE))</f>
        <v>7.0319011900000001</v>
      </c>
      <c r="G45">
        <f ca="1">IF(AND(ISNUMBER($G$308),$B$242=1),$G$308,HLOOKUP(INDIRECT(ADDRESS(2,COLUMN())),OFFSET($M$2,0,0,ROW()-1,7),ROW()-1,FALSE))</f>
        <v>5.3652694609999996</v>
      </c>
      <c r="H45">
        <f ca="1">IF(AND(ISNUMBER($H$308),$B$242=1),$H$308,HLOOKUP(INDIRECT(ADDRESS(2,COLUMN())),OFFSET($M$2,0,0,ROW()-1,7),ROW()-1,FALSE))</f>
        <v>-0.11165164700000001</v>
      </c>
      <c r="I45">
        <f ca="1">IF(AND(ISNUMBER($I$308),$B$242=1),$I$308,HLOOKUP(INDIRECT(ADDRESS(2,COLUMN())),OFFSET($M$2,0,0,ROW()-1,7),ROW()-1,FALSE))</f>
        <v>5.2370960970000002</v>
      </c>
      <c r="J45">
        <f ca="1">IF(AND(ISNUMBER($J$308),$B$242=1),$J$308,HLOOKUP(INDIRECT(ADDRESS(2,COLUMN())),OFFSET($M$2,0,0,ROW()-1,7),ROW()-1,FALSE))</f>
        <v>12.692707840000001</v>
      </c>
      <c r="K45">
        <f ca="1">IF(AND(ISNUMBER($K$308),$B$242=1),$K$308,HLOOKUP(INDIRECT(ADDRESS(2,COLUMN())),OFFSET($M$2,0,0,ROW()-1,7),ROW()-1,FALSE))</f>
        <v>4.7661514069999997</v>
      </c>
      <c r="L45">
        <f ca="1">IF(AND(ISNUMBER($L$308),$B$242=1),$L$308,HLOOKUP(INDIRECT(ADDRESS(2,COLUMN())),OFFSET($M$2,0,0,ROW()-1,7),ROW()-1,FALSE))</f>
        <v>-1.6757599379999999</v>
      </c>
      <c r="M45">
        <f>7.03190119</f>
        <v>7.0319011900000001</v>
      </c>
      <c r="N45">
        <f>5.365269461</f>
        <v>5.3652694609999996</v>
      </c>
      <c r="O45">
        <f>-0.111651647</f>
        <v>-0.11165164700000001</v>
      </c>
      <c r="P45">
        <f>5.237096097</f>
        <v>5.2370960970000002</v>
      </c>
      <c r="Q45">
        <f>12.69270784</f>
        <v>12.692707840000001</v>
      </c>
      <c r="R45">
        <f>4.766151407</f>
        <v>4.7661514069999997</v>
      </c>
      <c r="S45">
        <f>-1.675759938</f>
        <v>-1.6757599379999999</v>
      </c>
    </row>
    <row r="46" spans="1:19" x14ac:dyDescent="0.25">
      <c r="A46" t="str">
        <f>"    CGI Group Inc"</f>
        <v xml:space="preserve">    CGI Group Inc</v>
      </c>
      <c r="B46" t="str">
        <f>"GIB US Equity"</f>
        <v>GIB US Equity</v>
      </c>
      <c r="C46" t="str">
        <f t="shared" si="5"/>
        <v>RR033</v>
      </c>
      <c r="D46" t="str">
        <f t="shared" si="6"/>
        <v>SALES_GROWTH</v>
      </c>
      <c r="E46" t="str">
        <f t="shared" si="7"/>
        <v>Dynamic</v>
      </c>
      <c r="F46">
        <f ca="1">IF(AND(ISNUMBER($F$309),$B$242=1),$F$309,HLOOKUP(INDIRECT(ADDRESS(2,COLUMN())),OFFSET($M$2,0,0,ROW()-1,7),ROW()-1,FALSE))</f>
        <v>5.2526305039999999</v>
      </c>
      <c r="G46">
        <f ca="1">IF(AND(ISNUMBER($G$309),$B$242=1),$G$309,HLOOKUP(INDIRECT(ADDRESS(2,COLUMN())),OFFSET($M$2,0,0,ROW()-1,7),ROW()-1,FALSE))</f>
        <v>6.1019361249999999</v>
      </c>
      <c r="H46">
        <f ca="1">IF(AND(ISNUMBER($H$309),$B$242=1),$H$309,HLOOKUP(INDIRECT(ADDRESS(2,COLUMN())),OFFSET($M$2,0,0,ROW()-1,7),ROW()-1,FALSE))</f>
        <v>1.5145371299999999</v>
      </c>
      <c r="I46">
        <f ca="1">IF(AND(ISNUMBER($I$309),$B$242=1),$I$309,HLOOKUP(INDIRECT(ADDRESS(2,COLUMN())),OFFSET($M$2,0,0,ROW()-1,7),ROW()-1,FALSE))</f>
        <v>3.8511160000000002</v>
      </c>
      <c r="J46">
        <f ca="1">IF(AND(ISNUMBER($J$309),$B$242=1),$J$309,HLOOKUP(INDIRECT(ADDRESS(2,COLUMN())),OFFSET($M$2,0,0,ROW()-1,7),ROW()-1,FALSE))</f>
        <v>-2.0247832030000001</v>
      </c>
      <c r="K46">
        <f ca="1">IF(AND(ISNUMBER($K$309),$B$242=1),$K$309,HLOOKUP(INDIRECT(ADDRESS(2,COLUMN())),OFFSET($M$2,0,0,ROW()-1,7),ROW()-1,FALSE))</f>
        <v>4.1158500309999999</v>
      </c>
      <c r="L46">
        <f ca="1">IF(AND(ISNUMBER($L$309),$B$242=1),$L$309,HLOOKUP(INDIRECT(ADDRESS(2,COLUMN())),OFFSET($M$2,0,0,ROW()-1,7),ROW()-1,FALSE))</f>
        <v>111.3089828</v>
      </c>
      <c r="M46">
        <f>5.252630504</f>
        <v>5.2526305039999999</v>
      </c>
      <c r="N46">
        <f>6.101936125</f>
        <v>6.1019361249999999</v>
      </c>
      <c r="O46">
        <f>1.51453713</f>
        <v>1.5145371299999999</v>
      </c>
      <c r="P46">
        <f>3.851116</f>
        <v>3.8511160000000002</v>
      </c>
      <c r="Q46">
        <f>-2.024783203</f>
        <v>-2.0247832030000001</v>
      </c>
      <c r="R46">
        <f>4.115850031</f>
        <v>4.1158500309999999</v>
      </c>
      <c r="S46">
        <f>111.3089828</f>
        <v>111.3089828</v>
      </c>
    </row>
    <row r="47" spans="1:19" x14ac:dyDescent="0.25">
      <c r="A47" t="str">
        <f>"    Cognizant Technology Solutions"</f>
        <v xml:space="preserve">    Cognizant Technology Solutions</v>
      </c>
      <c r="B47" t="str">
        <f>"CTSH US Equity"</f>
        <v>CTSH US Equity</v>
      </c>
      <c r="C47" t="str">
        <f t="shared" si="5"/>
        <v>RR033</v>
      </c>
      <c r="D47" t="str">
        <f t="shared" si="6"/>
        <v>SALES_GROWTH</v>
      </c>
      <c r="E47" t="str">
        <f t="shared" si="7"/>
        <v>Dynamic</v>
      </c>
      <c r="F47">
        <f ca="1">IF(AND(ISNUMBER($F$310),$B$242=1),$F$310,HLOOKUP(INDIRECT(ADDRESS(2,COLUMN())),OFFSET($M$2,0,0,ROW()-1,7),ROW()-1,FALSE))</f>
        <v>4.0806201550000001</v>
      </c>
      <c r="G47">
        <f ca="1">IF(AND(ISNUMBER($G$310),$B$242=1),$G$310,HLOOKUP(INDIRECT(ADDRESS(2,COLUMN())),OFFSET($M$2,0,0,ROW()-1,7),ROW()-1,FALSE))</f>
        <v>8.8791357190000006</v>
      </c>
      <c r="H47">
        <f ca="1">IF(AND(ISNUMBER($H$310),$B$242=1),$H$310,HLOOKUP(INDIRECT(ADDRESS(2,COLUMN())),OFFSET($M$2,0,0,ROW()-1,7),ROW()-1,FALSE))</f>
        <v>9.8094461329999998</v>
      </c>
      <c r="I47">
        <f ca="1">IF(AND(ISNUMBER($I$310),$B$242=1),$I$310,HLOOKUP(INDIRECT(ADDRESS(2,COLUMN())),OFFSET($M$2,0,0,ROW()-1,7),ROW()-1,FALSE))</f>
        <v>8.6259664950000001</v>
      </c>
      <c r="J47">
        <f ca="1">IF(AND(ISNUMBER($J$310),$B$242=1),$J$310,HLOOKUP(INDIRECT(ADDRESS(2,COLUMN())),OFFSET($M$2,0,0,ROW()-1,7),ROW()-1,FALSE))</f>
        <v>20.981807910000001</v>
      </c>
      <c r="K47">
        <f ca="1">IF(AND(ISNUMBER($K$310),$B$242=1),$K$310,HLOOKUP(INDIRECT(ADDRESS(2,COLUMN())),OFFSET($M$2,0,0,ROW()-1,7),ROW()-1,FALSE))</f>
        <v>16.05202603</v>
      </c>
      <c r="L47">
        <f ca="1">IF(AND(ISNUMBER($L$310),$B$242=1),$L$310,HLOOKUP(INDIRECT(ADDRESS(2,COLUMN())),OFFSET($M$2,0,0,ROW()-1,7),ROW()-1,FALSE))</f>
        <v>20.373275769999999</v>
      </c>
      <c r="M47">
        <f>4.080620155</f>
        <v>4.0806201550000001</v>
      </c>
      <c r="N47">
        <f>8.879135719</f>
        <v>8.8791357190000006</v>
      </c>
      <c r="O47">
        <f>9.809446133</f>
        <v>9.8094461329999998</v>
      </c>
      <c r="P47">
        <f>8.625966495</f>
        <v>8.6259664950000001</v>
      </c>
      <c r="Q47">
        <f>20.98180791</f>
        <v>20.981807910000001</v>
      </c>
      <c r="R47">
        <f>16.05202603</f>
        <v>16.05202603</v>
      </c>
      <c r="S47">
        <f>20.37327577</f>
        <v>20.373275769999999</v>
      </c>
    </row>
    <row r="48" spans="1:19" x14ac:dyDescent="0.25">
      <c r="A48" t="str">
        <f>"    Computer Sciences Corp"</f>
        <v xml:space="preserve">    Computer Sciences Corp</v>
      </c>
      <c r="B48" t="str">
        <f>"CSC US Equity"</f>
        <v>CSC US Equity</v>
      </c>
      <c r="C48" t="str">
        <f t="shared" si="5"/>
        <v>RR033</v>
      </c>
      <c r="D48" t="str">
        <f t="shared" si="6"/>
        <v>SALES_GROWTH</v>
      </c>
      <c r="E48" t="str">
        <f t="shared" si="7"/>
        <v>Dynamic</v>
      </c>
      <c r="F48" t="str">
        <f ca="1">IF(AND(ISNUMBER($F$311),$B$242=1),$F$311,HLOOKUP(INDIRECT(ADDRESS(2,COLUMN())),OFFSET($M$2,0,0,ROW()-1,7),ROW()-1,FALSE))</f>
        <v/>
      </c>
      <c r="G48" t="str">
        <f ca="1">IF(AND(ISNUMBER($G$311),$B$242=1),$G$311,HLOOKUP(INDIRECT(ADDRESS(2,COLUMN())),OFFSET($M$2,0,0,ROW()-1,7),ROW()-1,FALSE))</f>
        <v/>
      </c>
      <c r="H48" t="str">
        <f ca="1">IF(AND(ISNUMBER($H$311),$B$242=1),$H$311,HLOOKUP(INDIRECT(ADDRESS(2,COLUMN())),OFFSET($M$2,0,0,ROW()-1,7),ROW()-1,FALSE))</f>
        <v/>
      </c>
      <c r="I48">
        <f ca="1">IF(AND(ISNUMBER($I$311),$B$242=1),$I$311,HLOOKUP(INDIRECT(ADDRESS(2,COLUMN())),OFFSET($M$2,0,0,ROW()-1,7),ROW()-1,FALSE))</f>
        <v>7.050379961</v>
      </c>
      <c r="J48">
        <f ca="1">IF(AND(ISNUMBER($J$311),$B$242=1),$J$311,HLOOKUP(INDIRECT(ADDRESS(2,COLUMN())),OFFSET($M$2,0,0,ROW()-1,7),ROW()-1,FALSE))</f>
        <v>-12.455340639999999</v>
      </c>
      <c r="K48">
        <f ca="1">IF(AND(ISNUMBER($K$311),$B$242=1),$K$311,HLOOKUP(INDIRECT(ADDRESS(2,COLUMN())),OFFSET($M$2,0,0,ROW()-1,7),ROW()-1,FALSE))</f>
        <v>-37.551931070000002</v>
      </c>
      <c r="L48">
        <f ca="1">IF(AND(ISNUMBER($L$311),$B$242=1),$L$311,HLOOKUP(INDIRECT(ADDRESS(2,COLUMN())),OFFSET($M$2,0,0,ROW()-1,7),ROW()-1,FALSE))</f>
        <v>-8.4325466710000008</v>
      </c>
      <c r="M48" t="str">
        <f>""</f>
        <v/>
      </c>
      <c r="N48" t="str">
        <f>""</f>
        <v/>
      </c>
      <c r="O48" t="str">
        <f>""</f>
        <v/>
      </c>
      <c r="P48">
        <f>7.050379961</f>
        <v>7.050379961</v>
      </c>
      <c r="Q48">
        <f>-12.45534064</f>
        <v>-12.455340639999999</v>
      </c>
      <c r="R48">
        <f>-37.55193107</f>
        <v>-37.551931070000002</v>
      </c>
      <c r="S48">
        <f>-8.432546671</f>
        <v>-8.4325466710000008</v>
      </c>
    </row>
    <row r="49" spans="1:19" x14ac:dyDescent="0.25">
      <c r="A49" t="str">
        <f>"    HCL Technologies Ltd"</f>
        <v xml:space="preserve">    HCL Technologies Ltd</v>
      </c>
      <c r="B49" t="str">
        <f>"HCLT IN Equity"</f>
        <v>HCLT IN Equity</v>
      </c>
      <c r="C49" t="str">
        <f t="shared" si="5"/>
        <v>RR033</v>
      </c>
      <c r="D49" t="str">
        <f t="shared" si="6"/>
        <v>SALES_GROWTH</v>
      </c>
      <c r="E49" t="str">
        <f t="shared" si="7"/>
        <v>Dynamic</v>
      </c>
      <c r="F49">
        <f ca="1">IF(AND(ISNUMBER($F$312),$B$242=1),$F$312,HLOOKUP(INDIRECT(ADDRESS(2,COLUMN())),OFFSET($M$2,0,0,ROW()-1,7),ROW()-1,FALSE))</f>
        <v>15.10124647</v>
      </c>
      <c r="G49">
        <f ca="1">IF(AND(ISNUMBER($G$312),$B$242=1),$G$312,HLOOKUP(INDIRECT(ADDRESS(2,COLUMN())),OFFSET($M$2,0,0,ROW()-1,7),ROW()-1,FALSE))</f>
        <v>10.053998350000001</v>
      </c>
      <c r="H49">
        <f ca="1">IF(AND(ISNUMBER($H$312),$B$242=1),$H$312,HLOOKUP(INDIRECT(ADDRESS(2,COLUMN())),OFFSET($M$2,0,0,ROW()-1,7),ROW()-1,FALSE))</f>
        <v>6.309913506</v>
      </c>
      <c r="I49">
        <f ca="1">IF(AND(ISNUMBER($I$312),$B$242=1),$I$312,HLOOKUP(INDIRECT(ADDRESS(2,COLUMN())),OFFSET($M$2,0,0,ROW()-1,7),ROW()-1,FALSE))</f>
        <v>16.585612229999999</v>
      </c>
      <c r="J49" t="str">
        <f ca="1">IF(AND(ISNUMBER($J$312),$B$242=1),$J$312,HLOOKUP(INDIRECT(ADDRESS(2,COLUMN())),OFFSET($M$2,0,0,ROW()-1,7),ROW()-1,FALSE))</f>
        <v/>
      </c>
      <c r="K49" t="str">
        <f ca="1">IF(AND(ISNUMBER($K$312),$B$242=1),$K$312,HLOOKUP(INDIRECT(ADDRESS(2,COLUMN())),OFFSET($M$2,0,0,ROW()-1,7),ROW()-1,FALSE))</f>
        <v/>
      </c>
      <c r="L49">
        <f ca="1">IF(AND(ISNUMBER($L$312),$B$242=1),$L$312,HLOOKUP(INDIRECT(ADDRESS(2,COLUMN())),OFFSET($M$2,0,0,ROW()-1,7),ROW()-1,FALSE))</f>
        <v>14.86114967</v>
      </c>
      <c r="M49">
        <f>15.10124647</f>
        <v>15.10124647</v>
      </c>
      <c r="N49">
        <f>10.05399835</f>
        <v>10.053998350000001</v>
      </c>
      <c r="O49">
        <f>6.309913506</f>
        <v>6.309913506</v>
      </c>
      <c r="P49">
        <f>16.58561223</f>
        <v>16.585612229999999</v>
      </c>
      <c r="Q49" t="str">
        <f>""</f>
        <v/>
      </c>
      <c r="R49" t="str">
        <f>""</f>
        <v/>
      </c>
      <c r="S49">
        <f>14.86114967</f>
        <v>14.86114967</v>
      </c>
    </row>
    <row r="50" spans="1:19" x14ac:dyDescent="0.25">
      <c r="A50" t="str">
        <f>"    Infosys Ltd"</f>
        <v xml:space="preserve">    Infosys Ltd</v>
      </c>
      <c r="B50" t="str">
        <f>"INFY US Equity"</f>
        <v>INFY US Equity</v>
      </c>
      <c r="C50" t="str">
        <f t="shared" si="5"/>
        <v>RR033</v>
      </c>
      <c r="D50" t="str">
        <f t="shared" si="6"/>
        <v>SALES_GROWTH</v>
      </c>
      <c r="E50" t="str">
        <f t="shared" si="7"/>
        <v>Dynamic</v>
      </c>
      <c r="F50">
        <f ca="1">IF(AND(ISNUMBER($F$313),$B$242=1),$F$313,HLOOKUP(INDIRECT(ADDRESS(2,COLUMN())),OFFSET($M$2,0,0,ROW()-1,7),ROW()-1,FALSE))</f>
        <v>9.8167523439999993</v>
      </c>
      <c r="G50">
        <f ca="1">IF(AND(ISNUMBER($G$313),$B$242=1),$G$313,HLOOKUP(INDIRECT(ADDRESS(2,COLUMN())),OFFSET($M$2,0,0,ROW()-1,7),ROW()-1,FALSE))</f>
        <v>17.23292022</v>
      </c>
      <c r="H50">
        <f ca="1">IF(AND(ISNUMBER($H$313),$B$242=1),$H$313,HLOOKUP(INDIRECT(ADDRESS(2,COLUMN())),OFFSET($M$2,0,0,ROW()-1,7),ROW()-1,FALSE))</f>
        <v>2.9758775769999999</v>
      </c>
      <c r="I50">
        <f ca="1">IF(AND(ISNUMBER($I$313),$B$242=1),$I$313,HLOOKUP(INDIRECT(ADDRESS(2,COLUMN())),OFFSET($M$2,0,0,ROW()-1,7),ROW()-1,FALSE))</f>
        <v>9.6779359720000002</v>
      </c>
      <c r="J50">
        <f ca="1">IF(AND(ISNUMBER($J$313),$B$242=1),$J$313,HLOOKUP(INDIRECT(ADDRESS(2,COLUMN())),OFFSET($M$2,0,0,ROW()-1,7),ROW()-1,FALSE))</f>
        <v>17.108347869999999</v>
      </c>
      <c r="K50">
        <f ca="1">IF(AND(ISNUMBER($K$313),$B$242=1),$K$313,HLOOKUP(INDIRECT(ADDRESS(2,COLUMN())),OFFSET($M$2,0,0,ROW()-1,7),ROW()-1,FALSE))</f>
        <v>6.355095446</v>
      </c>
      <c r="L50">
        <f ca="1">IF(AND(ISNUMBER($L$313),$B$242=1),$L$313,HLOOKUP(INDIRECT(ADDRESS(2,COLUMN())),OFFSET($M$2,0,0,ROW()-1,7),ROW()-1,FALSE))</f>
        <v>24.239195079999998</v>
      </c>
      <c r="M50">
        <f>9.816752344</f>
        <v>9.8167523439999993</v>
      </c>
      <c r="N50">
        <f>17.23292022</f>
        <v>17.23292022</v>
      </c>
      <c r="O50">
        <f>2.975877577</f>
        <v>2.9758775769999999</v>
      </c>
      <c r="P50">
        <f>9.677935972</f>
        <v>9.6779359720000002</v>
      </c>
      <c r="Q50">
        <f>17.10834787</f>
        <v>17.108347869999999</v>
      </c>
      <c r="R50">
        <f>6.355095446</f>
        <v>6.355095446</v>
      </c>
      <c r="S50">
        <f>24.23919508</f>
        <v>24.239195079999998</v>
      </c>
    </row>
    <row r="51" spans="1:19" x14ac:dyDescent="0.25">
      <c r="A51" t="str">
        <f>"    International Business Machine"</f>
        <v xml:space="preserve">    International Business Machine</v>
      </c>
      <c r="B51" t="str">
        <f>"IBM US Equity"</f>
        <v>IBM US Equity</v>
      </c>
      <c r="C51" t="str">
        <f t="shared" si="5"/>
        <v>RR033</v>
      </c>
      <c r="D51" t="str">
        <f t="shared" si="6"/>
        <v>SALES_GROWTH</v>
      </c>
      <c r="E51" t="str">
        <f t="shared" si="7"/>
        <v>Dynamic</v>
      </c>
      <c r="F51">
        <f ca="1">IF(AND(ISNUMBER($F$314),$B$242=1),$F$314,HLOOKUP(INDIRECT(ADDRESS(2,COLUMN())),OFFSET($M$2,0,0,ROW()-1,7),ROW()-1,FALSE))</f>
        <v>-3.070698948</v>
      </c>
      <c r="G51">
        <f ca="1">IF(AND(ISNUMBER($G$314),$B$242=1),$G$314,HLOOKUP(INDIRECT(ADDRESS(2,COLUMN())),OFFSET($M$2,0,0,ROW()-1,7),ROW()-1,FALSE))</f>
        <v>0.57114696899999995</v>
      </c>
      <c r="H51">
        <f ca="1">IF(AND(ISNUMBER($H$314),$B$242=1),$H$314,HLOOKUP(INDIRECT(ADDRESS(2,COLUMN())),OFFSET($M$2,0,0,ROW()-1,7),ROW()-1,FALSE))</f>
        <v>-0.97598818799999998</v>
      </c>
      <c r="I51">
        <f ca="1">IF(AND(ISNUMBER($I$314),$B$242=1),$I$314,HLOOKUP(INDIRECT(ADDRESS(2,COLUMN())),OFFSET($M$2,0,0,ROW()-1,7),ROW()-1,FALSE))</f>
        <v>-2.2289915709999999</v>
      </c>
      <c r="J51">
        <f ca="1">IF(AND(ISNUMBER($J$314),$B$242=1),$J$314,HLOOKUP(INDIRECT(ADDRESS(2,COLUMN())),OFFSET($M$2,0,0,ROW()-1,7),ROW()-1,FALSE))</f>
        <v>-11.910381170000001</v>
      </c>
      <c r="K51">
        <f ca="1">IF(AND(ISNUMBER($K$314),$B$242=1),$K$314,HLOOKUP(INDIRECT(ADDRESS(2,COLUMN())),OFFSET($M$2,0,0,ROW()-1,7),ROW()-1,FALSE))</f>
        <v>-5.6665345089999999</v>
      </c>
      <c r="L51">
        <f ca="1">IF(AND(ISNUMBER($L$314),$B$242=1),$L$314,HLOOKUP(INDIRECT(ADDRESS(2,COLUMN())),OFFSET($M$2,0,0,ROW()-1,7),ROW()-1,FALSE))</f>
        <v>-4.3810875439999997</v>
      </c>
      <c r="M51">
        <f>-3.070698948</f>
        <v>-3.070698948</v>
      </c>
      <c r="N51">
        <f>0.571146969</f>
        <v>0.57114696899999995</v>
      </c>
      <c r="O51">
        <f>-0.975988188</f>
        <v>-0.97598818799999998</v>
      </c>
      <c r="P51">
        <f>-2.228991571</f>
        <v>-2.2289915709999999</v>
      </c>
      <c r="Q51">
        <f>-11.91038117</f>
        <v>-11.910381170000001</v>
      </c>
      <c r="R51">
        <f>-5.666534509</f>
        <v>-5.6665345089999999</v>
      </c>
      <c r="S51">
        <f>-4.381087544</f>
        <v>-4.3810875439999997</v>
      </c>
    </row>
    <row r="52" spans="1:19" x14ac:dyDescent="0.25">
      <c r="A52" t="str">
        <f>"    Tata Consultancy Services Ltd"</f>
        <v xml:space="preserve">    Tata Consultancy Services Ltd</v>
      </c>
      <c r="B52" t="str">
        <f>"TCS IN Equity"</f>
        <v>TCS IN Equity</v>
      </c>
      <c r="C52" t="str">
        <f t="shared" si="5"/>
        <v>RR033</v>
      </c>
      <c r="D52" t="str">
        <f t="shared" si="6"/>
        <v>SALES_GROWTH</v>
      </c>
      <c r="E52" t="str">
        <f t="shared" si="7"/>
        <v>Dynamic</v>
      </c>
      <c r="F52">
        <f ca="1">IF(AND(ISNUMBER($F$315),$B$242=1),$F$315,HLOOKUP(INDIRECT(ADDRESS(2,COLUMN())),OFFSET($M$2,0,0,ROW()-1,7),ROW()-1,FALSE))</f>
        <v>7.1594873789999998</v>
      </c>
      <c r="G52">
        <f ca="1">IF(AND(ISNUMBER($G$315),$B$242=1),$G$315,HLOOKUP(INDIRECT(ADDRESS(2,COLUMN())),OFFSET($M$2,0,0,ROW()-1,7),ROW()-1,FALSE))</f>
        <v>18.975013000000001</v>
      </c>
      <c r="H52">
        <f ca="1">IF(AND(ISNUMBER($H$315),$B$242=1),$H$315,HLOOKUP(INDIRECT(ADDRESS(2,COLUMN())),OFFSET($M$2,0,0,ROW()-1,7),ROW()-1,FALSE))</f>
        <v>4.3554922600000001</v>
      </c>
      <c r="I52">
        <f ca="1">IF(AND(ISNUMBER($I$315),$B$242=1),$I$315,HLOOKUP(INDIRECT(ADDRESS(2,COLUMN())),OFFSET($M$2,0,0,ROW()-1,7),ROW()-1,FALSE))</f>
        <v>8.5783185759999991</v>
      </c>
      <c r="J52">
        <f ca="1">IF(AND(ISNUMBER($J$315),$B$242=1),$J$315,HLOOKUP(INDIRECT(ADDRESS(2,COLUMN())),OFFSET($M$2,0,0,ROW()-1,7),ROW()-1,FALSE))</f>
        <v>14.789038720000001</v>
      </c>
      <c r="K52">
        <f ca="1">IF(AND(ISNUMBER($K$315),$B$242=1),$K$315,HLOOKUP(INDIRECT(ADDRESS(2,COLUMN())),OFFSET($M$2,0,0,ROW()-1,7),ROW()-1,FALSE))</f>
        <v>15.69386437</v>
      </c>
      <c r="L52">
        <f ca="1">IF(AND(ISNUMBER($L$315),$B$242=1),$L$315,HLOOKUP(INDIRECT(ADDRESS(2,COLUMN())),OFFSET($M$2,0,0,ROW()-1,7),ROW()-1,FALSE))</f>
        <v>29.877814520000001</v>
      </c>
      <c r="M52">
        <f>7.159487379</f>
        <v>7.1594873789999998</v>
      </c>
      <c r="N52">
        <f>18.975013</f>
        <v>18.975013000000001</v>
      </c>
      <c r="O52">
        <f>4.35549226</f>
        <v>4.3554922600000001</v>
      </c>
      <c r="P52">
        <f>8.578318576</f>
        <v>8.5783185759999991</v>
      </c>
      <c r="Q52">
        <f>14.78903872</f>
        <v>14.789038720000001</v>
      </c>
      <c r="R52">
        <f>15.69386437</f>
        <v>15.69386437</v>
      </c>
      <c r="S52">
        <f>29.87781452</f>
        <v>29.877814520000001</v>
      </c>
    </row>
    <row r="53" spans="1:19" x14ac:dyDescent="0.25">
      <c r="A53" t="str">
        <f>"    Wipro Ltd"</f>
        <v xml:space="preserve">    Wipro Ltd</v>
      </c>
      <c r="B53" t="str">
        <f>"WIT US Equity"</f>
        <v>WIT US Equity</v>
      </c>
      <c r="C53" t="str">
        <f t="shared" si="5"/>
        <v>RR033</v>
      </c>
      <c r="D53" t="str">
        <f t="shared" si="6"/>
        <v>SALES_GROWTH</v>
      </c>
      <c r="E53" t="str">
        <f t="shared" si="7"/>
        <v>Dynamic</v>
      </c>
      <c r="F53">
        <f ca="1">IF(AND(ISNUMBER($F$316),$B$242=1),$F$316,HLOOKUP(INDIRECT(ADDRESS(2,COLUMN())),OFFSET($M$2,0,0,ROW()-1,7),ROW()-1,FALSE))</f>
        <v>4.162705152</v>
      </c>
      <c r="G53">
        <f ca="1">IF(AND(ISNUMBER($G$316),$B$242=1),$G$316,HLOOKUP(INDIRECT(ADDRESS(2,COLUMN())),OFFSET($M$2,0,0,ROW()-1,7),ROW()-1,FALSE))</f>
        <v>7.5199450880000001</v>
      </c>
      <c r="H53">
        <f ca="1">IF(AND(ISNUMBER($H$316),$B$242=1),$H$316,HLOOKUP(INDIRECT(ADDRESS(2,COLUMN())),OFFSET($M$2,0,0,ROW()-1,7),ROW()-1,FALSE))</f>
        <v>-1.004901872</v>
      </c>
      <c r="I53">
        <f ca="1">IF(AND(ISNUMBER($I$316),$B$242=1),$I$316,HLOOKUP(INDIRECT(ADDRESS(2,COLUMN())),OFFSET($M$2,0,0,ROW()-1,7),ROW()-1,FALSE))</f>
        <v>7.4080868000000004</v>
      </c>
      <c r="J53">
        <f ca="1">IF(AND(ISNUMBER($J$316),$B$242=1),$J$316,HLOOKUP(INDIRECT(ADDRESS(2,COLUMN())),OFFSET($M$2,0,0,ROW()-1,7),ROW()-1,FALSE))</f>
        <v>9.1354396280000003</v>
      </c>
      <c r="K53">
        <f ca="1">IF(AND(ISNUMBER($K$316),$B$242=1),$K$316,HLOOKUP(INDIRECT(ADDRESS(2,COLUMN())),OFFSET($M$2,0,0,ROW()-1,7),ROW()-1,FALSE))</f>
        <v>8.1230757889999996</v>
      </c>
      <c r="L53">
        <f ca="1">IF(AND(ISNUMBER($L$316),$B$242=1),$L$316,HLOOKUP(INDIRECT(ADDRESS(2,COLUMN())),OFFSET($M$2,0,0,ROW()-1,7),ROW()-1,FALSE))</f>
        <v>16.035280660000002</v>
      </c>
      <c r="M53">
        <f>4.162705152</f>
        <v>4.162705152</v>
      </c>
      <c r="N53">
        <f>7.519945088</f>
        <v>7.5199450880000001</v>
      </c>
      <c r="O53">
        <f>-1.004901872</f>
        <v>-1.004901872</v>
      </c>
      <c r="P53">
        <f>7.4080868</f>
        <v>7.4080868000000004</v>
      </c>
      <c r="Q53">
        <f>9.135439628</f>
        <v>9.1354396280000003</v>
      </c>
      <c r="R53">
        <f>8.123075789</f>
        <v>8.1230757889999996</v>
      </c>
      <c r="S53">
        <f>16.03528066</f>
        <v>16.035280660000002</v>
      </c>
    </row>
    <row r="54" spans="1:19" x14ac:dyDescent="0.25">
      <c r="A54" t="str">
        <f>"Revenue Growth QoQ (Constant Currency)"</f>
        <v>Revenue Growth QoQ (Constant Currency)</v>
      </c>
      <c r="B54" t="str">
        <f>""</f>
        <v/>
      </c>
      <c r="E54" t="str">
        <f>"Average"</f>
        <v>Average</v>
      </c>
      <c r="F54">
        <f ca="1">IF(ISERROR(IF(AVERAGE($F$55:$F$59) = 0, "", AVERAGE($F$55:$F$59))), "", (IF(AVERAGE($F$55:$F$59) = 0, "", AVERAGE($F$55:$F$59))))</f>
        <v>3.9333333333333331</v>
      </c>
      <c r="G54">
        <f ca="1">IF(ISERROR(IF(AVERAGE($G$55:$G$59) = 0, "", AVERAGE($G$55:$G$59))), "", (IF(AVERAGE($G$55:$G$59) = 0, "", AVERAGE($G$55:$G$59))))</f>
        <v>6.7</v>
      </c>
      <c r="H54">
        <f ca="1">IF(ISERROR(IF(AVERAGE($H$55:$H$59) = 0, "", AVERAGE($H$55:$H$59))), "", (IF(AVERAGE($H$55:$H$59) = 0, "", AVERAGE($H$55:$H$59))))</f>
        <v>2.0499999999999998</v>
      </c>
      <c r="I54">
        <f ca="1">IF(ISERROR(IF(AVERAGE($I$55:$I$59) = 0, "", AVERAGE($I$55:$I$59))), "", (IF(AVERAGE($I$55:$I$59) = 0, "", AVERAGE($I$55:$I$59))))</f>
        <v>4.3499999999999996</v>
      </c>
      <c r="J54">
        <f ca="1">IF(ISERROR(IF(AVERAGE($J$55:$J$59) = 0, "", AVERAGE($J$55:$J$59))), "", (IF(AVERAGE($J$55:$J$59) = 0, "", AVERAGE($J$55:$J$59))))</f>
        <v>2.7</v>
      </c>
      <c r="K54">
        <f ca="1">IF(ISERROR(IF(AVERAGE($K$55:$K$59) = 0, "", AVERAGE($K$55:$K$59))), "", (IF(AVERAGE($K$55:$K$59) = 0, "", AVERAGE($K$55:$K$59))))</f>
        <v>2.2999999999999998</v>
      </c>
      <c r="L54">
        <f ca="1">IF(ISERROR(IF(AVERAGE($L$55:$L$59) = 0, "", AVERAGE($L$55:$L$59))), "", (IF(AVERAGE($L$55:$L$59) = 0, "", AVERAGE($L$55:$L$59))))</f>
        <v>2.5499999999999998</v>
      </c>
      <c r="M54">
        <f>3.933333333</f>
        <v>3.9333333330000002</v>
      </c>
      <c r="N54">
        <f>6.7</f>
        <v>6.7</v>
      </c>
      <c r="O54">
        <f>2.05</f>
        <v>2.0499999999999998</v>
      </c>
      <c r="P54">
        <f>4.35</f>
        <v>4.3499999999999996</v>
      </c>
      <c r="Q54">
        <f>2.7</f>
        <v>2.7</v>
      </c>
      <c r="R54">
        <f>2.3</f>
        <v>2.2999999999999998</v>
      </c>
      <c r="S54">
        <f>2.55</f>
        <v>2.5499999999999998</v>
      </c>
    </row>
    <row r="55" spans="1:19" x14ac:dyDescent="0.25">
      <c r="A55" t="str">
        <f>"    HCL Technologies Ltd"</f>
        <v xml:space="preserve">    HCL Technologies Ltd</v>
      </c>
      <c r="B55" t="str">
        <f>"HCLT IN Equity"</f>
        <v>HCLT IN Equity</v>
      </c>
      <c r="C55" t="str">
        <f>"B5666"</f>
        <v>B5666</v>
      </c>
      <c r="D55" t="str">
        <f>"ARD_SEQUENTIAL_REVENUE_GROWTH_CC"</f>
        <v>ARD_SEQUENTIAL_REVENUE_GROWTH_CC</v>
      </c>
      <c r="E55" t="str">
        <f>"Dynamic"</f>
        <v>Dynamic</v>
      </c>
      <c r="F55">
        <f ca="1">IF(AND(ISNUMBER($F$317),$B$242=1),$F$317,HLOOKUP(INDIRECT(ADDRESS(2,COLUMN())),OFFSET($M$2,0,0,ROW()-1,7),ROW()-1,FALSE))</f>
        <v>0.8</v>
      </c>
      <c r="G55">
        <f ca="1">IF(AND(ISNUMBER($G$317),$B$242=1),$G$317,HLOOKUP(INDIRECT(ADDRESS(2,COLUMN())),OFFSET($M$2,0,0,ROW()-1,7),ROW()-1,FALSE))</f>
        <v>3.3</v>
      </c>
      <c r="H55">
        <f ca="1">IF(AND(ISNUMBER($H$317),$B$242=1),$H$317,HLOOKUP(INDIRECT(ADDRESS(2,COLUMN())),OFFSET($M$2,0,0,ROW()-1,7),ROW()-1,FALSE))</f>
        <v>1.2</v>
      </c>
      <c r="I55">
        <f ca="1">IF(AND(ISNUMBER($I$317),$B$242=1),$I$317,HLOOKUP(INDIRECT(ADDRESS(2,COLUMN())),OFFSET($M$2,0,0,ROW()-1,7),ROW()-1,FALSE))</f>
        <v>3.8</v>
      </c>
      <c r="J55">
        <f ca="1">IF(AND(ISNUMBER($J$317),$B$242=1),$J$317,HLOOKUP(INDIRECT(ADDRESS(2,COLUMN())),OFFSET($M$2,0,0,ROW()-1,7),ROW()-1,FALSE))</f>
        <v>1.7</v>
      </c>
      <c r="K55" t="str">
        <f ca="1">IF(AND(ISNUMBER($K$317),$B$242=1),$K$317,HLOOKUP(INDIRECT(ADDRESS(2,COLUMN())),OFFSET($M$2,0,0,ROW()-1,7),ROW()-1,FALSE))</f>
        <v/>
      </c>
      <c r="L55">
        <f ca="1">IF(AND(ISNUMBER($L$317),$B$242=1),$L$317,HLOOKUP(INDIRECT(ADDRESS(2,COLUMN())),OFFSET($M$2,0,0,ROW()-1,7),ROW()-1,FALSE))</f>
        <v>2.8</v>
      </c>
      <c r="M55">
        <f>0.8</f>
        <v>0.8</v>
      </c>
      <c r="N55">
        <f>3.3</f>
        <v>3.3</v>
      </c>
      <c r="O55">
        <f>1.2</f>
        <v>1.2</v>
      </c>
      <c r="P55">
        <f>3.8</f>
        <v>3.8</v>
      </c>
      <c r="Q55">
        <f>1.7</f>
        <v>1.7</v>
      </c>
      <c r="R55" t="str">
        <f>""</f>
        <v/>
      </c>
      <c r="S55">
        <f>2.8</f>
        <v>2.8</v>
      </c>
    </row>
    <row r="56" spans="1:19" x14ac:dyDescent="0.25">
      <c r="A56" t="str">
        <f>"    Infosys Ltd"</f>
        <v xml:space="preserve">    Infosys Ltd</v>
      </c>
      <c r="B56" t="str">
        <f>"INFY US Equity"</f>
        <v>INFY US Equity</v>
      </c>
      <c r="C56" t="str">
        <f>"B5666"</f>
        <v>B5666</v>
      </c>
      <c r="D56" t="str">
        <f>"ARD_SEQUENTIAL_REVENUE_GROWTH_CC"</f>
        <v>ARD_SEQUENTIAL_REVENUE_GROWTH_CC</v>
      </c>
      <c r="E56" t="str">
        <f>"Dynamic"</f>
        <v>Dynamic</v>
      </c>
      <c r="F56" t="str">
        <f ca="1">IF(AND(ISNUMBER($F$318),$B$242=1),$F$318,HLOOKUP(INDIRECT(ADDRESS(2,COLUMN())),OFFSET($M$2,0,0,ROW()-1,7),ROW()-1,FALSE))</f>
        <v/>
      </c>
      <c r="G56" t="str">
        <f ca="1">IF(AND(ISNUMBER($G$318),$B$242=1),$G$318,HLOOKUP(INDIRECT(ADDRESS(2,COLUMN())),OFFSET($M$2,0,0,ROW()-1,7),ROW()-1,FALSE))</f>
        <v/>
      </c>
      <c r="H56" t="str">
        <f ca="1">IF(AND(ISNUMBER($H$318),$B$242=1),$H$318,HLOOKUP(INDIRECT(ADDRESS(2,COLUMN())),OFFSET($M$2,0,0,ROW()-1,7),ROW()-1,FALSE))</f>
        <v/>
      </c>
      <c r="I56" t="str">
        <f ca="1">IF(AND(ISNUMBER($I$318),$B$242=1),$I$318,HLOOKUP(INDIRECT(ADDRESS(2,COLUMN())),OFFSET($M$2,0,0,ROW()-1,7),ROW()-1,FALSE))</f>
        <v/>
      </c>
      <c r="J56" t="str">
        <f ca="1">IF(AND(ISNUMBER($J$318),$B$242=1),$J$318,HLOOKUP(INDIRECT(ADDRESS(2,COLUMN())),OFFSET($M$2,0,0,ROW()-1,7),ROW()-1,FALSE))</f>
        <v/>
      </c>
      <c r="K56" t="str">
        <f ca="1">IF(AND(ISNUMBER($K$318),$B$242=1),$K$318,HLOOKUP(INDIRECT(ADDRESS(2,COLUMN())),OFFSET($M$2,0,0,ROW()-1,7),ROW()-1,FALSE))</f>
        <v/>
      </c>
      <c r="L56" t="str">
        <f ca="1">IF(AND(ISNUMBER($L$318),$B$242=1),$L$318,HLOOKUP(INDIRECT(ADDRESS(2,COLUMN())),OFFSET($M$2,0,0,ROW()-1,7),ROW()-1,FALSE))</f>
        <v/>
      </c>
      <c r="M56" t="str">
        <f>""</f>
        <v/>
      </c>
      <c r="N56" t="str">
        <f>""</f>
        <v/>
      </c>
      <c r="O56" t="str">
        <f>""</f>
        <v/>
      </c>
      <c r="P56" t="str">
        <f>""</f>
        <v/>
      </c>
      <c r="Q56" t="str">
        <f>""</f>
        <v/>
      </c>
      <c r="R56" t="str">
        <f>""</f>
        <v/>
      </c>
      <c r="S56" t="str">
        <f>""</f>
        <v/>
      </c>
    </row>
    <row r="57" spans="1:19" x14ac:dyDescent="0.25">
      <c r="A57" t="str">
        <f>"    International Business Machine"</f>
        <v xml:space="preserve">    International Business Machine</v>
      </c>
      <c r="B57" t="str">
        <f>"IBM US Equity"</f>
        <v>IBM US Equity</v>
      </c>
      <c r="C57" t="str">
        <f>"B5666"</f>
        <v>B5666</v>
      </c>
      <c r="D57" t="str">
        <f>"ARD_SEQUENTIAL_REVENUE_GROWTH_CC"</f>
        <v>ARD_SEQUENTIAL_REVENUE_GROWTH_CC</v>
      </c>
      <c r="E57" t="str">
        <f>"Dynamic"</f>
        <v>Dynamic</v>
      </c>
      <c r="F57" t="str">
        <f ca="1">IF(AND(ISNUMBER($F$319),$B$242=1),$F$319,HLOOKUP(INDIRECT(ADDRESS(2,COLUMN())),OFFSET($M$2,0,0,ROW()-1,7),ROW()-1,FALSE))</f>
        <v/>
      </c>
      <c r="G57" t="str">
        <f ca="1">IF(AND(ISNUMBER($G$319),$B$242=1),$G$319,HLOOKUP(INDIRECT(ADDRESS(2,COLUMN())),OFFSET($M$2,0,0,ROW()-1,7),ROW()-1,FALSE))</f>
        <v/>
      </c>
      <c r="H57" t="str">
        <f ca="1">IF(AND(ISNUMBER($H$319),$B$242=1),$H$319,HLOOKUP(INDIRECT(ADDRESS(2,COLUMN())),OFFSET($M$2,0,0,ROW()-1,7),ROW()-1,FALSE))</f>
        <v/>
      </c>
      <c r="I57" t="str">
        <f ca="1">IF(AND(ISNUMBER($I$319),$B$242=1),$I$319,HLOOKUP(INDIRECT(ADDRESS(2,COLUMN())),OFFSET($M$2,0,0,ROW()-1,7),ROW()-1,FALSE))</f>
        <v/>
      </c>
      <c r="J57" t="str">
        <f ca="1">IF(AND(ISNUMBER($J$319),$B$242=1),$J$319,HLOOKUP(INDIRECT(ADDRESS(2,COLUMN())),OFFSET($M$2,0,0,ROW()-1,7),ROW()-1,FALSE))</f>
        <v/>
      </c>
      <c r="K57" t="str">
        <f ca="1">IF(AND(ISNUMBER($K$319),$B$242=1),$K$319,HLOOKUP(INDIRECT(ADDRESS(2,COLUMN())),OFFSET($M$2,0,0,ROW()-1,7),ROW()-1,FALSE))</f>
        <v/>
      </c>
      <c r="L57" t="str">
        <f ca="1">IF(AND(ISNUMBER($L$319),$B$242=1),$L$319,HLOOKUP(INDIRECT(ADDRESS(2,COLUMN())),OFFSET($M$2,0,0,ROW()-1,7),ROW()-1,FALSE))</f>
        <v/>
      </c>
      <c r="M57" t="str">
        <f>""</f>
        <v/>
      </c>
      <c r="N57" t="str">
        <f>""</f>
        <v/>
      </c>
      <c r="O57" t="str">
        <f>""</f>
        <v/>
      </c>
      <c r="P57" t="str">
        <f>""</f>
        <v/>
      </c>
      <c r="Q57" t="str">
        <f>""</f>
        <v/>
      </c>
      <c r="R57" t="str">
        <f>""</f>
        <v/>
      </c>
      <c r="S57" t="str">
        <f>""</f>
        <v/>
      </c>
    </row>
    <row r="58" spans="1:19" x14ac:dyDescent="0.25">
      <c r="A58" t="str">
        <f>"    Tata Consultancy Services Ltd"</f>
        <v xml:space="preserve">    Tata Consultancy Services Ltd</v>
      </c>
      <c r="B58" t="str">
        <f>"TCS IN Equity"</f>
        <v>TCS IN Equity</v>
      </c>
      <c r="C58" t="str">
        <f>"B5666"</f>
        <v>B5666</v>
      </c>
      <c r="D58" t="str">
        <f>"ARD_SEQUENTIAL_REVENUE_GROWTH_CC"</f>
        <v>ARD_SEQUENTIAL_REVENUE_GROWTH_CC</v>
      </c>
      <c r="E58" t="str">
        <f>"Dynamic"</f>
        <v>Dynamic</v>
      </c>
      <c r="F58">
        <f ca="1">IF(AND(ISNUMBER($F$320),$B$242=1),$F$320,HLOOKUP(INDIRECT(ADDRESS(2,COLUMN())),OFFSET($M$2,0,0,ROW()-1,7),ROW()-1,FALSE))</f>
        <v>7.1</v>
      </c>
      <c r="G58">
        <f ca="1">IF(AND(ISNUMBER($G$320),$B$242=1),$G$320,HLOOKUP(INDIRECT(ADDRESS(2,COLUMN())),OFFSET($M$2,0,0,ROW()-1,7),ROW()-1,FALSE))</f>
        <v>11.4</v>
      </c>
      <c r="H58" t="str">
        <f ca="1">IF(AND(ISNUMBER($H$320),$B$242=1),$H$320,HLOOKUP(INDIRECT(ADDRESS(2,COLUMN())),OFFSET($M$2,0,0,ROW()-1,7),ROW()-1,FALSE))</f>
        <v/>
      </c>
      <c r="I58" t="str">
        <f ca="1">IF(AND(ISNUMBER($I$320),$B$242=1),$I$320,HLOOKUP(INDIRECT(ADDRESS(2,COLUMN())),OFFSET($M$2,0,0,ROW()-1,7),ROW()-1,FALSE))</f>
        <v/>
      </c>
      <c r="J58" t="str">
        <f ca="1">IF(AND(ISNUMBER($J$320),$B$242=1),$J$320,HLOOKUP(INDIRECT(ADDRESS(2,COLUMN())),OFFSET($M$2,0,0,ROW()-1,7),ROW()-1,FALSE))</f>
        <v/>
      </c>
      <c r="K58" t="str">
        <f ca="1">IF(AND(ISNUMBER($K$320),$B$242=1),$K$320,HLOOKUP(INDIRECT(ADDRESS(2,COLUMN())),OFFSET($M$2,0,0,ROW()-1,7),ROW()-1,FALSE))</f>
        <v/>
      </c>
      <c r="L58" t="str">
        <f ca="1">IF(AND(ISNUMBER($L$320),$B$242=1),$L$320,HLOOKUP(INDIRECT(ADDRESS(2,COLUMN())),OFFSET($M$2,0,0,ROW()-1,7),ROW()-1,FALSE))</f>
        <v/>
      </c>
      <c r="M58">
        <f>7.1</f>
        <v>7.1</v>
      </c>
      <c r="N58">
        <f>11.4</f>
        <v>11.4</v>
      </c>
      <c r="O58" t="str">
        <f>""</f>
        <v/>
      </c>
      <c r="P58" t="str">
        <f>""</f>
        <v/>
      </c>
      <c r="Q58" t="str">
        <f>""</f>
        <v/>
      </c>
      <c r="R58" t="str">
        <f>""</f>
        <v/>
      </c>
      <c r="S58" t="str">
        <f>""</f>
        <v/>
      </c>
    </row>
    <row r="59" spans="1:19" x14ac:dyDescent="0.25">
      <c r="A59" t="str">
        <f>"    Wipro Ltd"</f>
        <v xml:space="preserve">    Wipro Ltd</v>
      </c>
      <c r="B59" t="str">
        <f>"WIT US Equity"</f>
        <v>WIT US Equity</v>
      </c>
      <c r="C59" t="str">
        <f>"B5666"</f>
        <v>B5666</v>
      </c>
      <c r="D59" t="str">
        <f>"ARD_SEQUENTIAL_REVENUE_GROWTH_CC"</f>
        <v>ARD_SEQUENTIAL_REVENUE_GROWTH_CC</v>
      </c>
      <c r="E59" t="str">
        <f>"Dynamic"</f>
        <v>Dynamic</v>
      </c>
      <c r="F59">
        <f ca="1">IF(AND(ISNUMBER($F$321),$B$242=1),$F$321,HLOOKUP(INDIRECT(ADDRESS(2,COLUMN())),OFFSET($M$2,0,0,ROW()-1,7),ROW()-1,FALSE))</f>
        <v>3.9</v>
      </c>
      <c r="G59">
        <f ca="1">IF(AND(ISNUMBER($G$321),$B$242=1),$G$321,HLOOKUP(INDIRECT(ADDRESS(2,COLUMN())),OFFSET($M$2,0,0,ROW()-1,7),ROW()-1,FALSE))</f>
        <v>5.4</v>
      </c>
      <c r="H59">
        <f ca="1">IF(AND(ISNUMBER($H$321),$B$242=1),$H$321,HLOOKUP(INDIRECT(ADDRESS(2,COLUMN())),OFFSET($M$2,0,0,ROW()-1,7),ROW()-1,FALSE))</f>
        <v>2.9</v>
      </c>
      <c r="I59">
        <f ca="1">IF(AND(ISNUMBER($I$321),$B$242=1),$I$321,HLOOKUP(INDIRECT(ADDRESS(2,COLUMN())),OFFSET($M$2,0,0,ROW()-1,7),ROW()-1,FALSE))</f>
        <v>4.9000000000000004</v>
      </c>
      <c r="J59">
        <f ca="1">IF(AND(ISNUMBER($J$321),$B$242=1),$J$321,HLOOKUP(INDIRECT(ADDRESS(2,COLUMN())),OFFSET($M$2,0,0,ROW()-1,7),ROW()-1,FALSE))</f>
        <v>3.7</v>
      </c>
      <c r="K59">
        <f ca="1">IF(AND(ISNUMBER($K$321),$B$242=1),$K$321,HLOOKUP(INDIRECT(ADDRESS(2,COLUMN())),OFFSET($M$2,0,0,ROW()-1,7),ROW()-1,FALSE))</f>
        <v>2.2999999999999998</v>
      </c>
      <c r="L59">
        <f ca="1">IF(AND(ISNUMBER($L$321),$B$242=1),$L$321,HLOOKUP(INDIRECT(ADDRESS(2,COLUMN())),OFFSET($M$2,0,0,ROW()-1,7),ROW()-1,FALSE))</f>
        <v>2.2999999999999998</v>
      </c>
      <c r="M59">
        <f>3.9</f>
        <v>3.9</v>
      </c>
      <c r="N59">
        <f>5.4</f>
        <v>5.4</v>
      </c>
      <c r="O59">
        <f>2.9</f>
        <v>2.9</v>
      </c>
      <c r="P59">
        <f>4.9</f>
        <v>4.9000000000000004</v>
      </c>
      <c r="Q59">
        <f>3.7</f>
        <v>3.7</v>
      </c>
      <c r="R59">
        <f>2.3</f>
        <v>2.2999999999999998</v>
      </c>
      <c r="S59">
        <f>2.3</f>
        <v>2.2999999999999998</v>
      </c>
    </row>
    <row r="60" spans="1:19" x14ac:dyDescent="0.25">
      <c r="A60" t="str">
        <f>"Revenue Growth YoY (Constant Currency)"</f>
        <v>Revenue Growth YoY (Constant Currency)</v>
      </c>
      <c r="B60" t="str">
        <f>""</f>
        <v/>
      </c>
      <c r="E60" t="str">
        <f>"Average"</f>
        <v>Average</v>
      </c>
      <c r="F60">
        <f ca="1">IF(ISERROR(IF(AVERAGE($F$61:$F$67) = 0, "", AVERAGE($F$61:$F$67))), "", (IF(AVERAGE($F$61:$F$67) = 0, "", AVERAGE($F$61:$F$67))))</f>
        <v>8.2799999999999994</v>
      </c>
      <c r="G60">
        <f ca="1">IF(ISERROR(IF(AVERAGE($G$61:$G$67) = 0, "", AVERAGE($G$61:$G$67))), "", (IF(AVERAGE($G$61:$G$67) = 0, "", AVERAGE($G$61:$G$67))))</f>
        <v>8.4166666666666661</v>
      </c>
      <c r="H60">
        <f ca="1">IF(ISERROR(IF(AVERAGE($H$61:$H$67) = 0, "", AVERAGE($H$61:$H$67))), "", (IF(AVERAGE($H$61:$H$67) = 0, "", AVERAGE($H$61:$H$67))))</f>
        <v>5.0999999999999996</v>
      </c>
      <c r="I60">
        <f ca="1">IF(ISERROR(IF(AVERAGE($I$61:$I$67) = 0, "", AVERAGE($I$61:$I$67))), "", (IF(AVERAGE($I$61:$I$67) = 0, "", AVERAGE($I$61:$I$67))))</f>
        <v>7.0240000000000009</v>
      </c>
      <c r="J60">
        <f ca="1">IF(ISERROR(IF(AVERAGE($J$61:$J$67) = 0, "", AVERAGE($J$61:$J$67))), "", (IF(AVERAGE($J$61:$J$67) = 0, "", AVERAGE($J$61:$J$67))))</f>
        <v>6.375</v>
      </c>
      <c r="K60">
        <f ca="1">IF(ISERROR(IF(AVERAGE($K$61:$K$67) = 0, "", AVERAGE($K$61:$K$67))), "", (IF(AVERAGE($K$61:$K$67) = 0, "", AVERAGE($K$61:$K$67))))</f>
        <v>4.2666666666666666</v>
      </c>
      <c r="L60">
        <f ca="1">IF(ISERROR(IF(AVERAGE($L$61:$L$67) = 0, "", AVERAGE($L$61:$L$67))), "", (IF(AVERAGE($L$61:$L$67) = 0, "", AVERAGE($L$61:$L$67))))</f>
        <v>5.9750000000000005</v>
      </c>
      <c r="M60">
        <f>8.28</f>
        <v>8.2799999999999994</v>
      </c>
      <c r="N60">
        <f>8.416666667</f>
        <v>8.4166666669999994</v>
      </c>
      <c r="O60">
        <f>5.1</f>
        <v>5.0999999999999996</v>
      </c>
      <c r="P60">
        <f>7.024</f>
        <v>7.024</v>
      </c>
      <c r="Q60">
        <f>6.375</f>
        <v>6.375</v>
      </c>
      <c r="R60">
        <f>4.266666667</f>
        <v>4.266666667</v>
      </c>
      <c r="S60">
        <f>5.975</f>
        <v>5.9749999999999996</v>
      </c>
    </row>
    <row r="61" spans="1:19" x14ac:dyDescent="0.25">
      <c r="A61" t="str">
        <f>"    Accenture PLC"</f>
        <v xml:space="preserve">    Accenture PLC</v>
      </c>
      <c r="B61" t="str">
        <f>"ACN US Equity"</f>
        <v>ACN US Equity</v>
      </c>
      <c r="C61" t="str">
        <f t="shared" ref="C61:C66" si="8">"B2825"</f>
        <v>B2825</v>
      </c>
      <c r="D61" t="str">
        <f t="shared" ref="D61:D66" si="9">"ARD_1_YR_REVENUE_GROWTH_CC"</f>
        <v>ARD_1_YR_REVENUE_GROWTH_CC</v>
      </c>
      <c r="E61" t="str">
        <f t="shared" ref="E61:E66" si="10">"Dynamic"</f>
        <v>Dynamic</v>
      </c>
      <c r="F61">
        <f ca="1">IF(AND(ISNUMBER($F$322),$B$242=1),$F$322,HLOOKUP(INDIRECT(ADDRESS(2,COLUMN())),OFFSET($M$2,0,0,ROW()-1,7),ROW()-1,FALSE))</f>
        <v>8.5</v>
      </c>
      <c r="G61">
        <f ca="1">IF(AND(ISNUMBER($G$322),$B$242=1),$G$322,HLOOKUP(INDIRECT(ADDRESS(2,COLUMN())),OFFSET($M$2,0,0,ROW()-1,7),ROW()-1,FALSE))</f>
        <v>11</v>
      </c>
      <c r="H61">
        <f ca="1">IF(AND(ISNUMBER($H$322),$B$242=1),$H$322,HLOOKUP(INDIRECT(ADDRESS(2,COLUMN())),OFFSET($M$2,0,0,ROW()-1,7),ROW()-1,FALSE))</f>
        <v>7</v>
      </c>
      <c r="I61">
        <f ca="1">IF(AND(ISNUMBER($I$322),$B$242=1),$I$322,HLOOKUP(INDIRECT(ADDRESS(2,COLUMN())),OFFSET($M$2,0,0,ROW()-1,7),ROW()-1,FALSE))</f>
        <v>5.72</v>
      </c>
      <c r="J61">
        <f ca="1">IF(AND(ISNUMBER($J$322),$B$242=1),$J$322,HLOOKUP(INDIRECT(ADDRESS(2,COLUMN())),OFFSET($M$2,0,0,ROW()-1,7),ROW()-1,FALSE))</f>
        <v>11</v>
      </c>
      <c r="K61">
        <f ca="1">IF(AND(ISNUMBER($K$322),$B$242=1),$K$322,HLOOKUP(INDIRECT(ADDRESS(2,COLUMN())),OFFSET($M$2,0,0,ROW()-1,7),ROW()-1,FALSE))</f>
        <v>5</v>
      </c>
      <c r="L61">
        <f ca="1">IF(AND(ISNUMBER($L$322),$B$242=1),$L$322,HLOOKUP(INDIRECT(ADDRESS(2,COLUMN())),OFFSET($M$2,0,0,ROW()-1,7),ROW()-1,FALSE))</f>
        <v>4</v>
      </c>
      <c r="M61">
        <f>8.5</f>
        <v>8.5</v>
      </c>
      <c r="N61">
        <f>11</f>
        <v>11</v>
      </c>
      <c r="O61">
        <f>7</f>
        <v>7</v>
      </c>
      <c r="P61">
        <f>5.72</f>
        <v>5.72</v>
      </c>
      <c r="Q61">
        <f>11</f>
        <v>11</v>
      </c>
      <c r="R61">
        <f>5</f>
        <v>5</v>
      </c>
      <c r="S61">
        <f>4</f>
        <v>4</v>
      </c>
    </row>
    <row r="62" spans="1:19" x14ac:dyDescent="0.25">
      <c r="A62" t="str">
        <f>"    HCL Technologies Ltd"</f>
        <v xml:space="preserve">    HCL Technologies Ltd</v>
      </c>
      <c r="B62" t="str">
        <f>"HCLT IN Equity"</f>
        <v>HCLT IN Equity</v>
      </c>
      <c r="C62" t="str">
        <f t="shared" si="8"/>
        <v>B2825</v>
      </c>
      <c r="D62" t="str">
        <f t="shared" si="9"/>
        <v>ARD_1_YR_REVENUE_GROWTH_CC</v>
      </c>
      <c r="E62" t="str">
        <f t="shared" si="10"/>
        <v>Dynamic</v>
      </c>
      <c r="F62">
        <f ca="1">IF(AND(ISNUMBER($F$323),$B$242=1),$F$323,HLOOKUP(INDIRECT(ADDRESS(2,COLUMN())),OFFSET($M$2,0,0,ROW()-1,7),ROW()-1,FALSE))</f>
        <v>13.5</v>
      </c>
      <c r="G62">
        <f ca="1">IF(AND(ISNUMBER($G$323),$B$242=1),$G$323,HLOOKUP(INDIRECT(ADDRESS(2,COLUMN())),OFFSET($M$2,0,0,ROW()-1,7),ROW()-1,FALSE))</f>
        <v>15.3</v>
      </c>
      <c r="H62">
        <f ca="1">IF(AND(ISNUMBER($H$323),$B$242=1),$H$323,HLOOKUP(INDIRECT(ADDRESS(2,COLUMN())),OFFSET($M$2,0,0,ROW()-1,7),ROW()-1,FALSE))</f>
        <v>8.1999999999999993</v>
      </c>
      <c r="I62">
        <f ca="1">IF(AND(ISNUMBER($I$323),$B$242=1),$I$323,HLOOKUP(INDIRECT(ADDRESS(2,COLUMN())),OFFSET($M$2,0,0,ROW()-1,7),ROW()-1,FALSE))</f>
        <v>16.100000000000001</v>
      </c>
      <c r="J62">
        <f ca="1">IF(AND(ISNUMBER($J$323),$B$242=1),$J$323,HLOOKUP(INDIRECT(ADDRESS(2,COLUMN())),OFFSET($M$2,0,0,ROW()-1,7),ROW()-1,FALSE))</f>
        <v>8.1</v>
      </c>
      <c r="K62" t="str">
        <f ca="1">IF(AND(ISNUMBER($K$323),$B$242=1),$K$323,HLOOKUP(INDIRECT(ADDRESS(2,COLUMN())),OFFSET($M$2,0,0,ROW()-1,7),ROW()-1,FALSE))</f>
        <v/>
      </c>
      <c r="L62">
        <f ca="1">IF(AND(ISNUMBER($L$323),$B$242=1),$L$323,HLOOKUP(INDIRECT(ADDRESS(2,COLUMN())),OFFSET($M$2,0,0,ROW()-1,7),ROW()-1,FALSE))</f>
        <v>13.1</v>
      </c>
      <c r="M62">
        <f>13.5</f>
        <v>13.5</v>
      </c>
      <c r="N62">
        <f>15.3</f>
        <v>15.3</v>
      </c>
      <c r="O62">
        <f>8.2</f>
        <v>8.1999999999999993</v>
      </c>
      <c r="P62">
        <f>16.1</f>
        <v>16.100000000000001</v>
      </c>
      <c r="Q62">
        <f>8.1</f>
        <v>8.1</v>
      </c>
      <c r="R62" t="str">
        <f>""</f>
        <v/>
      </c>
      <c r="S62">
        <f>13.1</f>
        <v>13.1</v>
      </c>
    </row>
    <row r="63" spans="1:19" x14ac:dyDescent="0.25">
      <c r="A63" t="str">
        <f>"    Infosys Ltd"</f>
        <v xml:space="preserve">    Infosys Ltd</v>
      </c>
      <c r="B63" t="str">
        <f>"INFY US Equity"</f>
        <v>INFY US Equity</v>
      </c>
      <c r="C63" t="str">
        <f t="shared" si="8"/>
        <v>B2825</v>
      </c>
      <c r="D63" t="str">
        <f t="shared" si="9"/>
        <v>ARD_1_YR_REVENUE_GROWTH_CC</v>
      </c>
      <c r="E63" t="str">
        <f t="shared" si="10"/>
        <v>Dynamic</v>
      </c>
      <c r="F63">
        <f ca="1">IF(AND(ISNUMBER($F$324),$B$242=1),$F$324,HLOOKUP(INDIRECT(ADDRESS(2,COLUMN())),OFFSET($M$2,0,0,ROW()-1,7),ROW()-1,FALSE))</f>
        <v>9.8000000000000007</v>
      </c>
      <c r="G63">
        <f ca="1">IF(AND(ISNUMBER($G$324),$B$242=1),$G$324,HLOOKUP(INDIRECT(ADDRESS(2,COLUMN())),OFFSET($M$2,0,0,ROW()-1,7),ROW()-1,FALSE))</f>
        <v>9</v>
      </c>
      <c r="H63" t="str">
        <f ca="1">IF(AND(ISNUMBER($H$324),$B$242=1),$H$324,HLOOKUP(INDIRECT(ADDRESS(2,COLUMN())),OFFSET($M$2,0,0,ROW()-1,7),ROW()-1,FALSE))</f>
        <v/>
      </c>
      <c r="I63" t="str">
        <f ca="1">IF(AND(ISNUMBER($I$324),$B$242=1),$I$324,HLOOKUP(INDIRECT(ADDRESS(2,COLUMN())),OFFSET($M$2,0,0,ROW()-1,7),ROW()-1,FALSE))</f>
        <v/>
      </c>
      <c r="J63" t="str">
        <f ca="1">IF(AND(ISNUMBER($J$324),$B$242=1),$J$324,HLOOKUP(INDIRECT(ADDRESS(2,COLUMN())),OFFSET($M$2,0,0,ROW()-1,7),ROW()-1,FALSE))</f>
        <v/>
      </c>
      <c r="K63" t="str">
        <f ca="1">IF(AND(ISNUMBER($K$324),$B$242=1),$K$324,HLOOKUP(INDIRECT(ADDRESS(2,COLUMN())),OFFSET($M$2,0,0,ROW()-1,7),ROW()-1,FALSE))</f>
        <v/>
      </c>
      <c r="L63" t="str">
        <f ca="1">IF(AND(ISNUMBER($L$324),$B$242=1),$L$324,HLOOKUP(INDIRECT(ADDRESS(2,COLUMN())),OFFSET($M$2,0,0,ROW()-1,7),ROW()-1,FALSE))</f>
        <v/>
      </c>
      <c r="M63">
        <f>9.8</f>
        <v>9.8000000000000007</v>
      </c>
      <c r="N63">
        <f>9</f>
        <v>9</v>
      </c>
      <c r="O63" t="str">
        <f>""</f>
        <v/>
      </c>
      <c r="P63" t="str">
        <f>""</f>
        <v/>
      </c>
      <c r="Q63" t="str">
        <f>""</f>
        <v/>
      </c>
      <c r="R63" t="str">
        <f>""</f>
        <v/>
      </c>
      <c r="S63" t="str">
        <f>""</f>
        <v/>
      </c>
    </row>
    <row r="64" spans="1:19" x14ac:dyDescent="0.25">
      <c r="A64" t="str">
        <f>"    International Business Machine"</f>
        <v xml:space="preserve">    International Business Machine</v>
      </c>
      <c r="B64" t="str">
        <f>"IBM US Equity"</f>
        <v>IBM US Equity</v>
      </c>
      <c r="C64" t="str">
        <f t="shared" si="8"/>
        <v>B2825</v>
      </c>
      <c r="D64" t="str">
        <f t="shared" si="9"/>
        <v>ARD_1_YR_REVENUE_GROWTH_CC</v>
      </c>
      <c r="E64" t="str">
        <f t="shared" si="10"/>
        <v>Dynamic</v>
      </c>
      <c r="F64" t="str">
        <f ca="1">IF(AND(ISNUMBER($F$325),$B$242=1),$F$325,HLOOKUP(INDIRECT(ADDRESS(2,COLUMN())),OFFSET($M$2,0,0,ROW()-1,7),ROW()-1,FALSE))</f>
        <v/>
      </c>
      <c r="G64">
        <f ca="1">IF(AND(ISNUMBER($G$325),$B$242=1),$G$325,HLOOKUP(INDIRECT(ADDRESS(2,COLUMN())),OFFSET($M$2,0,0,ROW()-1,7),ROW()-1,FALSE))</f>
        <v>0</v>
      </c>
      <c r="H64">
        <f ca="1">IF(AND(ISNUMBER($H$325),$B$242=1),$H$325,HLOOKUP(INDIRECT(ADDRESS(2,COLUMN())),OFFSET($M$2,0,0,ROW()-1,7),ROW()-1,FALSE))</f>
        <v>-1</v>
      </c>
      <c r="I64">
        <f ca="1">IF(AND(ISNUMBER($I$325),$B$242=1),$I$325,HLOOKUP(INDIRECT(ADDRESS(2,COLUMN())),OFFSET($M$2,0,0,ROW()-1,7),ROW()-1,FALSE))</f>
        <v>-2</v>
      </c>
      <c r="J64">
        <f ca="1">IF(AND(ISNUMBER($J$325),$B$242=1),$J$325,HLOOKUP(INDIRECT(ADDRESS(2,COLUMN())),OFFSET($M$2,0,0,ROW()-1,7),ROW()-1,FALSE))</f>
        <v>-1.2</v>
      </c>
      <c r="K64">
        <f ca="1">IF(AND(ISNUMBER($K$325),$B$242=1),$K$325,HLOOKUP(INDIRECT(ADDRESS(2,COLUMN())),OFFSET($M$2,0,0,ROW()-1,7),ROW()-1,FALSE))</f>
        <v>-1.5</v>
      </c>
      <c r="L64">
        <f ca="1">IF(AND(ISNUMBER($L$325),$B$242=1),$L$325,HLOOKUP(INDIRECT(ADDRESS(2,COLUMN())),OFFSET($M$2,0,0,ROW()-1,7),ROW()-1,FALSE))</f>
        <v>-2.5</v>
      </c>
      <c r="M64" t="str">
        <f>""</f>
        <v/>
      </c>
      <c r="N64">
        <f>0</f>
        <v>0</v>
      </c>
      <c r="O64">
        <f>-1</f>
        <v>-1</v>
      </c>
      <c r="P64">
        <f>-2</f>
        <v>-2</v>
      </c>
      <c r="Q64">
        <f>-1.2</f>
        <v>-1.2</v>
      </c>
      <c r="R64">
        <f>-1.5</f>
        <v>-1.5</v>
      </c>
      <c r="S64">
        <f>-2.5</f>
        <v>-2.5</v>
      </c>
    </row>
    <row r="65" spans="1:19" x14ac:dyDescent="0.25">
      <c r="A65" t="str">
        <f>"    Tata Consultancy Services Ltd"</f>
        <v xml:space="preserve">    Tata Consultancy Services Ltd</v>
      </c>
      <c r="B65" t="str">
        <f>"TCS IN Equity"</f>
        <v>TCS IN Equity</v>
      </c>
      <c r="C65" t="str">
        <f t="shared" si="8"/>
        <v>B2825</v>
      </c>
      <c r="D65" t="str">
        <f t="shared" si="9"/>
        <v>ARD_1_YR_REVENUE_GROWTH_CC</v>
      </c>
      <c r="E65" t="str">
        <f t="shared" si="10"/>
        <v>Dynamic</v>
      </c>
      <c r="F65">
        <f ca="1">IF(AND(ISNUMBER($F$326),$B$242=1),$F$326,HLOOKUP(INDIRECT(ADDRESS(2,COLUMN())),OFFSET($M$2,0,0,ROW()-1,7),ROW()-1,FALSE))</f>
        <v>7.1</v>
      </c>
      <c r="G65">
        <f ca="1">IF(AND(ISNUMBER($G$326),$B$242=1),$G$326,HLOOKUP(INDIRECT(ADDRESS(2,COLUMN())),OFFSET($M$2,0,0,ROW()-1,7),ROW()-1,FALSE))</f>
        <v>11.4</v>
      </c>
      <c r="H65">
        <f ca="1">IF(AND(ISNUMBER($H$326),$B$242=1),$H$326,HLOOKUP(INDIRECT(ADDRESS(2,COLUMN())),OFFSET($M$2,0,0,ROW()-1,7),ROW()-1,FALSE))</f>
        <v>6.7</v>
      </c>
      <c r="I65">
        <f ca="1">IF(AND(ISNUMBER($I$326),$B$242=1),$I$326,HLOOKUP(INDIRECT(ADDRESS(2,COLUMN())),OFFSET($M$2,0,0,ROW()-1,7),ROW()-1,FALSE))</f>
        <v>8.3000000000000007</v>
      </c>
      <c r="J65" t="str">
        <f ca="1">IF(AND(ISNUMBER($J$326),$B$242=1),$J$326,HLOOKUP(INDIRECT(ADDRESS(2,COLUMN())),OFFSET($M$2,0,0,ROW()-1,7),ROW()-1,FALSE))</f>
        <v/>
      </c>
      <c r="K65" t="str">
        <f ca="1">IF(AND(ISNUMBER($K$326),$B$242=1),$K$326,HLOOKUP(INDIRECT(ADDRESS(2,COLUMN())),OFFSET($M$2,0,0,ROW()-1,7),ROW()-1,FALSE))</f>
        <v/>
      </c>
      <c r="L65" t="str">
        <f ca="1">IF(AND(ISNUMBER($L$326),$B$242=1),$L$326,HLOOKUP(INDIRECT(ADDRESS(2,COLUMN())),OFFSET($M$2,0,0,ROW()-1,7),ROW()-1,FALSE))</f>
        <v/>
      </c>
      <c r="M65">
        <f>7.1</f>
        <v>7.1</v>
      </c>
      <c r="N65">
        <f>11.4</f>
        <v>11.4</v>
      </c>
      <c r="O65">
        <f>6.7</f>
        <v>6.7</v>
      </c>
      <c r="P65">
        <f>8.3</f>
        <v>8.3000000000000007</v>
      </c>
      <c r="Q65" t="str">
        <f>""</f>
        <v/>
      </c>
      <c r="R65" t="str">
        <f>""</f>
        <v/>
      </c>
      <c r="S65" t="str">
        <f>""</f>
        <v/>
      </c>
    </row>
    <row r="66" spans="1:19" x14ac:dyDescent="0.25">
      <c r="A66" t="str">
        <f>"    Wipro Ltd"</f>
        <v xml:space="preserve">    Wipro Ltd</v>
      </c>
      <c r="B66" t="str">
        <f>"WIT US Equity"</f>
        <v>WIT US Equity</v>
      </c>
      <c r="C66" t="str">
        <f t="shared" si="8"/>
        <v>B2825</v>
      </c>
      <c r="D66" t="str">
        <f t="shared" si="9"/>
        <v>ARD_1_YR_REVENUE_GROWTH_CC</v>
      </c>
      <c r="E66" t="str">
        <f t="shared" si="10"/>
        <v>Dynamic</v>
      </c>
      <c r="F66">
        <f ca="1">IF(AND(ISNUMBER($F$327),$B$242=1),$F$327,HLOOKUP(INDIRECT(ADDRESS(2,COLUMN())),OFFSET($M$2,0,0,ROW()-1,7),ROW()-1,FALSE))</f>
        <v>2.5</v>
      </c>
      <c r="G66">
        <f ca="1">IF(AND(ISNUMBER($G$327),$B$242=1),$G$327,HLOOKUP(INDIRECT(ADDRESS(2,COLUMN())),OFFSET($M$2,0,0,ROW()-1,7),ROW()-1,FALSE))</f>
        <v>3.8</v>
      </c>
      <c r="H66">
        <f ca="1">IF(AND(ISNUMBER($H$327),$B$242=1),$H$327,HLOOKUP(INDIRECT(ADDRESS(2,COLUMN())),OFFSET($M$2,0,0,ROW()-1,7),ROW()-1,FALSE))</f>
        <v>4.5999999999999996</v>
      </c>
      <c r="I66">
        <f ca="1">IF(AND(ISNUMBER($I$327),$B$242=1),$I$327,HLOOKUP(INDIRECT(ADDRESS(2,COLUMN())),OFFSET($M$2,0,0,ROW()-1,7),ROW()-1,FALSE))</f>
        <v>7</v>
      </c>
      <c r="J66">
        <f ca="1">IF(AND(ISNUMBER($J$327),$B$242=1),$J$327,HLOOKUP(INDIRECT(ADDRESS(2,COLUMN())),OFFSET($M$2,0,0,ROW()-1,7),ROW()-1,FALSE))</f>
        <v>7.6</v>
      </c>
      <c r="K66">
        <f ca="1">IF(AND(ISNUMBER($K$327),$B$242=1),$K$327,HLOOKUP(INDIRECT(ADDRESS(2,COLUMN())),OFFSET($M$2,0,0,ROW()-1,7),ROW()-1,FALSE))</f>
        <v>9.3000000000000007</v>
      </c>
      <c r="L66">
        <f ca="1">IF(AND(ISNUMBER($L$327),$B$242=1),$L$327,HLOOKUP(INDIRECT(ADDRESS(2,COLUMN())),OFFSET($M$2,0,0,ROW()-1,7),ROW()-1,FALSE))</f>
        <v>9.3000000000000007</v>
      </c>
      <c r="M66">
        <f>2.5</f>
        <v>2.5</v>
      </c>
      <c r="N66">
        <f>3.8</f>
        <v>3.8</v>
      </c>
      <c r="O66">
        <f>4.6</f>
        <v>4.5999999999999996</v>
      </c>
      <c r="P66">
        <f>7</f>
        <v>7</v>
      </c>
      <c r="Q66">
        <f>7.6</f>
        <v>7.6</v>
      </c>
      <c r="R66">
        <f>9.3</f>
        <v>9.3000000000000007</v>
      </c>
      <c r="S66">
        <f>9.3</f>
        <v>9.3000000000000007</v>
      </c>
    </row>
    <row r="67" spans="1:19" x14ac:dyDescent="0.25">
      <c r="A67" t="str">
        <f>"    "</f>
        <v xml:space="preserve">    </v>
      </c>
      <c r="B67" t="str">
        <f>""</f>
        <v/>
      </c>
      <c r="E67" t="str">
        <f>"Static"</f>
        <v>Static</v>
      </c>
      <c r="F67" t="str">
        <f t="shared" ref="F67:L67" ca="1" si="11">HLOOKUP(INDIRECT(ADDRESS(2,COLUMN())),OFFSET($M$2,0,0,ROW()-1,7),ROW()-1,FALSE)</f>
        <v/>
      </c>
      <c r="G67" t="str">
        <f t="shared" ca="1" si="11"/>
        <v/>
      </c>
      <c r="H67" t="str">
        <f t="shared" ca="1" si="11"/>
        <v/>
      </c>
      <c r="I67" t="str">
        <f t="shared" ca="1" si="11"/>
        <v/>
      </c>
      <c r="J67" t="str">
        <f t="shared" ca="1" si="11"/>
        <v/>
      </c>
      <c r="K67" t="str">
        <f t="shared" ca="1" si="11"/>
        <v/>
      </c>
      <c r="L67" t="str">
        <f t="shared" ca="1" si="11"/>
        <v/>
      </c>
      <c r="M67" t="str">
        <f>""</f>
        <v/>
      </c>
      <c r="N67" t="str">
        <f>""</f>
        <v/>
      </c>
      <c r="O67" t="str">
        <f>""</f>
        <v/>
      </c>
      <c r="P67" t="str">
        <f>""</f>
        <v/>
      </c>
      <c r="Q67" t="str">
        <f>""</f>
        <v/>
      </c>
      <c r="R67" t="str">
        <f>""</f>
        <v/>
      </c>
      <c r="S67" t="str">
        <f>""</f>
        <v/>
      </c>
    </row>
    <row r="68" spans="1:19" x14ac:dyDescent="0.25">
      <c r="A68" t="str">
        <f>"Bookings Metrics:"</f>
        <v>Bookings Metrics:</v>
      </c>
      <c r="B68" t="str">
        <f>""</f>
        <v/>
      </c>
      <c r="E68" t="str">
        <f>"Heading"</f>
        <v>Heading</v>
      </c>
      <c r="M68" t="str">
        <f>""</f>
        <v/>
      </c>
      <c r="N68" t="str">
        <f>""</f>
        <v/>
      </c>
      <c r="O68" t="str">
        <f>""</f>
        <v/>
      </c>
      <c r="P68" t="str">
        <f>""</f>
        <v/>
      </c>
      <c r="Q68" t="str">
        <f>""</f>
        <v/>
      </c>
      <c r="R68" t="str">
        <f>""</f>
        <v/>
      </c>
      <c r="S68" t="str">
        <f>""</f>
        <v/>
      </c>
    </row>
    <row r="69" spans="1:19" x14ac:dyDescent="0.25">
      <c r="A69" t="str">
        <f>"Employee Metrics:"</f>
        <v>Employee Metrics:</v>
      </c>
      <c r="B69" t="str">
        <f>""</f>
        <v/>
      </c>
      <c r="E69" t="str">
        <f>"Heading"</f>
        <v>Heading</v>
      </c>
      <c r="M69" t="str">
        <f>""</f>
        <v/>
      </c>
      <c r="N69" t="str">
        <f>""</f>
        <v/>
      </c>
      <c r="O69" t="str">
        <f>""</f>
        <v/>
      </c>
      <c r="P69" t="str">
        <f>""</f>
        <v/>
      </c>
      <c r="Q69" t="str">
        <f>""</f>
        <v/>
      </c>
      <c r="R69" t="str">
        <f>""</f>
        <v/>
      </c>
      <c r="S69" t="str">
        <f>""</f>
        <v/>
      </c>
    </row>
    <row r="70" spans="1:19" x14ac:dyDescent="0.25">
      <c r="A70" t="str">
        <f>"Total Employees"</f>
        <v>Total Employees</v>
      </c>
      <c r="B70" t="str">
        <f>""</f>
        <v/>
      </c>
      <c r="E70" t="str">
        <f>"Sum"</f>
        <v>Sum</v>
      </c>
      <c r="F70">
        <f ca="1">IF(ISERROR(IF(SUM($F$71:$F$77) = 0, "", SUM($F$71:$F$77))), "", (IF(SUM($F$71:$F$77) = 0, "", SUM($F$71:$F$77))))</f>
        <v>2159244</v>
      </c>
      <c r="G70">
        <f ca="1">IF(ISERROR(IF(SUM($G$71:$G$77) = 0, "", SUM($G$71:$G$77))), "", (IF(SUM($G$71:$G$77) = 0, "", SUM($G$71:$G$77))))</f>
        <v>2052998</v>
      </c>
      <c r="H70">
        <f ca="1">IF(ISERROR(IF(SUM($H$71:$H$77) = 0, "", SUM($H$71:$H$77))), "", (IF(SUM($H$71:$H$77) = 0, "", SUM($H$71:$H$77))))</f>
        <v>1968613</v>
      </c>
      <c r="I70">
        <f ca="1">IF(ISERROR(IF(SUM($I$71:$I$77) = 0, "", SUM($I$71:$I$77))), "", (IF(SUM($I$71:$I$77) = 0, "", SUM($I$71:$I$77))))</f>
        <v>1909542</v>
      </c>
      <c r="J70">
        <f ca="1">IF(ISERROR(IF(SUM($J$71:$J$77) = 0, "", SUM($J$71:$J$77))), "", (IF(SUM($J$71:$J$77) = 0, "", SUM($J$71:$J$77))))</f>
        <v>1783650</v>
      </c>
      <c r="K70">
        <f ca="1">IF(ISERROR(IF(SUM($K$71:$K$77) = 0, "", SUM($K$71:$K$77))), "", (IF(SUM($K$71:$K$77) = 0, "", SUM($K$71:$K$77))))</f>
        <v>1550152</v>
      </c>
      <c r="L70">
        <f ca="1">IF(ISERROR(IF(SUM($L$71:$L$77) = 0, "", SUM($L$71:$L$77))), "", (IF(SUM($L$71:$L$77) = 0, "", SUM($L$71:$L$77))))</f>
        <v>1576225</v>
      </c>
      <c r="M70">
        <f>2159244</f>
        <v>2159244</v>
      </c>
      <c r="N70">
        <f>2052998</f>
        <v>2052998</v>
      </c>
      <c r="O70">
        <f>1968613</f>
        <v>1968613</v>
      </c>
      <c r="P70">
        <f>1909542</f>
        <v>1909542</v>
      </c>
      <c r="Q70">
        <f>1783650</f>
        <v>1783650</v>
      </c>
      <c r="R70">
        <f>1550152</f>
        <v>1550152</v>
      </c>
      <c r="S70">
        <f>1576225</f>
        <v>1576225</v>
      </c>
    </row>
    <row r="71" spans="1:19" x14ac:dyDescent="0.25">
      <c r="A71" t="str">
        <f>"    International Business Machine"</f>
        <v xml:space="preserve">    International Business Machine</v>
      </c>
      <c r="B71" t="str">
        <f>"IBM US Equity"</f>
        <v>IBM US Equity</v>
      </c>
      <c r="C71" t="str">
        <f t="shared" ref="C71:C77" si="12">"RR121"</f>
        <v>RR121</v>
      </c>
      <c r="D71" t="str">
        <f t="shared" ref="D71:D77" si="13">"NUM_OF_EMPLOYEES"</f>
        <v>NUM_OF_EMPLOYEES</v>
      </c>
      <c r="E71" t="str">
        <f t="shared" ref="E71:E77" si="14">"Dynamic"</f>
        <v>Dynamic</v>
      </c>
      <c r="F71">
        <f ca="1">IF(AND(ISNUMBER($F$328),$B$242=1),$F$328,HLOOKUP(INDIRECT(ADDRESS(2,COLUMN())),OFFSET($M$2,0,0,ROW()-1,7),ROW()-1,FALSE))</f>
        <v>350600</v>
      </c>
      <c r="G71">
        <f ca="1">IF(AND(ISNUMBER($G$328),$B$242=1),$G$328,HLOOKUP(INDIRECT(ADDRESS(2,COLUMN())),OFFSET($M$2,0,0,ROW()-1,7),ROW()-1,FALSE))</f>
        <v>350600</v>
      </c>
      <c r="H71">
        <f ca="1">IF(AND(ISNUMBER($H$328),$B$242=1),$H$328,HLOOKUP(INDIRECT(ADDRESS(2,COLUMN())),OFFSET($M$2,0,0,ROW()-1,7),ROW()-1,FALSE))</f>
        <v>366600</v>
      </c>
      <c r="I71">
        <f ca="1">IF(AND(ISNUMBER($I$328),$B$242=1),$I$328,HLOOKUP(INDIRECT(ADDRESS(2,COLUMN())),OFFSET($M$2,0,0,ROW()-1,7),ROW()-1,FALSE))</f>
        <v>380300</v>
      </c>
      <c r="J71">
        <f ca="1">IF(AND(ISNUMBER($J$328),$B$242=1),$J$328,HLOOKUP(INDIRECT(ADDRESS(2,COLUMN())),OFFSET($M$2,0,0,ROW()-1,7),ROW()-1,FALSE))</f>
        <v>377757</v>
      </c>
      <c r="K71">
        <f ca="1">IF(AND(ISNUMBER($K$328),$B$242=1),$K$328,HLOOKUP(INDIRECT(ADDRESS(2,COLUMN())),OFFSET($M$2,0,0,ROW()-1,7),ROW()-1,FALSE))</f>
        <v>379592</v>
      </c>
      <c r="L71">
        <f ca="1">IF(AND(ISNUMBER($L$328),$B$242=1),$L$328,HLOOKUP(INDIRECT(ADDRESS(2,COLUMN())),OFFSET($M$2,0,0,ROW()-1,7),ROW()-1,FALSE))</f>
        <v>431212</v>
      </c>
      <c r="M71">
        <f>350600</f>
        <v>350600</v>
      </c>
      <c r="N71">
        <f>350600</f>
        <v>350600</v>
      </c>
      <c r="O71">
        <f>366600</f>
        <v>366600</v>
      </c>
      <c r="P71">
        <f>380300</f>
        <v>380300</v>
      </c>
      <c r="Q71">
        <f>377757</f>
        <v>377757</v>
      </c>
      <c r="R71">
        <f>379592</f>
        <v>379592</v>
      </c>
      <c r="S71">
        <f>431212</f>
        <v>431212</v>
      </c>
    </row>
    <row r="72" spans="1:19" x14ac:dyDescent="0.25">
      <c r="A72" t="str">
        <f>"    Accenture PLC"</f>
        <v xml:space="preserve">    Accenture PLC</v>
      </c>
      <c r="B72" t="str">
        <f>"ACN US Equity"</f>
        <v>ACN US Equity</v>
      </c>
      <c r="C72" t="str">
        <f t="shared" si="12"/>
        <v>RR121</v>
      </c>
      <c r="D72" t="str">
        <f t="shared" si="13"/>
        <v>NUM_OF_EMPLOYEES</v>
      </c>
      <c r="E72" t="str">
        <f t="shared" si="14"/>
        <v>Dynamic</v>
      </c>
      <c r="F72">
        <f ca="1">IF(AND(ISNUMBER($F$329),$B$242=1),$F$329,HLOOKUP(INDIRECT(ADDRESS(2,COLUMN())),OFFSET($M$2,0,0,ROW()-1,7),ROW()-1,FALSE))</f>
        <v>492000</v>
      </c>
      <c r="G72">
        <f ca="1">IF(AND(ISNUMBER($G$329),$B$242=1),$G$329,HLOOKUP(INDIRECT(ADDRESS(2,COLUMN())),OFFSET($M$2,0,0,ROW()-1,7),ROW()-1,FALSE))</f>
        <v>459000</v>
      </c>
      <c r="H72">
        <f ca="1">IF(AND(ISNUMBER($H$329),$B$242=1),$H$329,HLOOKUP(INDIRECT(ADDRESS(2,COLUMN())),OFFSET($M$2,0,0,ROW()-1,7),ROW()-1,FALSE))</f>
        <v>459000</v>
      </c>
      <c r="I72">
        <f ca="1">IF(AND(ISNUMBER($I$329),$B$242=1),$I$329,HLOOKUP(INDIRECT(ADDRESS(2,COLUMN())),OFFSET($M$2,0,0,ROW()-1,7),ROW()-1,FALSE))</f>
        <v>384000</v>
      </c>
      <c r="J72">
        <f ca="1">IF(AND(ISNUMBER($J$329),$B$242=1),$J$329,HLOOKUP(INDIRECT(ADDRESS(2,COLUMN())),OFFSET($M$2,0,0,ROW()-1,7),ROW()-1,FALSE))</f>
        <v>358498</v>
      </c>
      <c r="K72">
        <f ca="1">IF(AND(ISNUMBER($K$329),$B$242=1),$K$329,HLOOKUP(INDIRECT(ADDRESS(2,COLUMN())),OFFSET($M$2,0,0,ROW()-1,7),ROW()-1,FALSE))</f>
        <v>305000</v>
      </c>
      <c r="L72">
        <f ca="1">IF(AND(ISNUMBER($L$329),$B$242=1),$L$329,HLOOKUP(INDIRECT(ADDRESS(2,COLUMN())),OFFSET($M$2,0,0,ROW()-1,7),ROW()-1,FALSE))</f>
        <v>275000</v>
      </c>
      <c r="M72">
        <f>492000</f>
        <v>492000</v>
      </c>
      <c r="N72">
        <f>459000</f>
        <v>459000</v>
      </c>
      <c r="O72">
        <f>459000</f>
        <v>459000</v>
      </c>
      <c r="P72">
        <f>384000</f>
        <v>384000</v>
      </c>
      <c r="Q72">
        <f>358498</f>
        <v>358498</v>
      </c>
      <c r="R72">
        <f>305000</f>
        <v>305000</v>
      </c>
      <c r="S72">
        <f>275000</f>
        <v>275000</v>
      </c>
    </row>
    <row r="73" spans="1:19" x14ac:dyDescent="0.25">
      <c r="A73" t="str">
        <f>"    Tata Consultancy Services Ltd"</f>
        <v xml:space="preserve">    Tata Consultancy Services Ltd</v>
      </c>
      <c r="B73" t="str">
        <f>"TCS IN Equity"</f>
        <v>TCS IN Equity</v>
      </c>
      <c r="C73" t="str">
        <f t="shared" si="12"/>
        <v>RR121</v>
      </c>
      <c r="D73" t="str">
        <f t="shared" si="13"/>
        <v>NUM_OF_EMPLOYEES</v>
      </c>
      <c r="E73" t="str">
        <f t="shared" si="14"/>
        <v>Dynamic</v>
      </c>
      <c r="F73">
        <f ca="1">IF(AND(ISNUMBER($F$330),$B$242=1),$F$330,HLOOKUP(INDIRECT(ADDRESS(2,COLUMN())),OFFSET($M$2,0,0,ROW()-1,7),ROW()-1,FALSE))</f>
        <v>448464</v>
      </c>
      <c r="G73">
        <f ca="1">IF(AND(ISNUMBER($G$330),$B$242=1),$G$330,HLOOKUP(INDIRECT(ADDRESS(2,COLUMN())),OFFSET($M$2,0,0,ROW()-1,7),ROW()-1,FALSE))</f>
        <v>424285</v>
      </c>
      <c r="H73">
        <f ca="1">IF(AND(ISNUMBER($H$330),$B$242=1),$H$330,HLOOKUP(INDIRECT(ADDRESS(2,COLUMN())),OFFSET($M$2,0,0,ROW()-1,7),ROW()-1,FALSE))</f>
        <v>394998</v>
      </c>
      <c r="I73">
        <f ca="1">IF(AND(ISNUMBER($I$330),$B$242=1),$I$330,HLOOKUP(INDIRECT(ADDRESS(2,COLUMN())),OFFSET($M$2,0,0,ROW()-1,7),ROW()-1,FALSE))</f>
        <v>387223</v>
      </c>
      <c r="J73">
        <f ca="1">IF(AND(ISNUMBER($J$330),$B$242=1),$J$330,HLOOKUP(INDIRECT(ADDRESS(2,COLUMN())),OFFSET($M$2,0,0,ROW()-1,7),ROW()-1,FALSE))</f>
        <v>353843</v>
      </c>
      <c r="K73">
        <f ca="1">IF(AND(ISNUMBER($K$330),$B$242=1),$K$330,HLOOKUP(INDIRECT(ADDRESS(2,COLUMN())),OFFSET($M$2,0,0,ROW()-1,7),ROW()-1,FALSE))</f>
        <v>319656</v>
      </c>
      <c r="L73">
        <f ca="1">IF(AND(ISNUMBER($L$330),$B$242=1),$L$330,HLOOKUP(INDIRECT(ADDRESS(2,COLUMN())),OFFSET($M$2,0,0,ROW()-1,7),ROW()-1,FALSE))</f>
        <v>300464</v>
      </c>
      <c r="M73">
        <f>448464</f>
        <v>448464</v>
      </c>
      <c r="N73">
        <f>424285</f>
        <v>424285</v>
      </c>
      <c r="O73">
        <f>394998</f>
        <v>394998</v>
      </c>
      <c r="P73">
        <f>387223</f>
        <v>387223</v>
      </c>
      <c r="Q73">
        <f>353843</f>
        <v>353843</v>
      </c>
      <c r="R73">
        <f>319656</f>
        <v>319656</v>
      </c>
      <c r="S73">
        <f>300464</f>
        <v>300464</v>
      </c>
    </row>
    <row r="74" spans="1:19" x14ac:dyDescent="0.25">
      <c r="A74" t="str">
        <f>"    Infosys Ltd"</f>
        <v xml:space="preserve">    Infosys Ltd</v>
      </c>
      <c r="B74" t="str">
        <f>"INFY US Equity"</f>
        <v>INFY US Equity</v>
      </c>
      <c r="C74" t="str">
        <f t="shared" si="12"/>
        <v>RR121</v>
      </c>
      <c r="D74" t="str">
        <f t="shared" si="13"/>
        <v>NUM_OF_EMPLOYEES</v>
      </c>
      <c r="E74" t="str">
        <f t="shared" si="14"/>
        <v>Dynamic</v>
      </c>
      <c r="F74">
        <f ca="1">IF(AND(ISNUMBER($F$331),$B$242=1),$F$331,HLOOKUP(INDIRECT(ADDRESS(2,COLUMN())),OFFSET($M$2,0,0,ROW()-1,7),ROW()-1,FALSE))</f>
        <v>242371</v>
      </c>
      <c r="G74">
        <f ca="1">IF(AND(ISNUMBER($G$331),$B$242=1),$G$331,HLOOKUP(INDIRECT(ADDRESS(2,COLUMN())),OFFSET($M$2,0,0,ROW()-1,7),ROW()-1,FALSE))</f>
        <v>228123</v>
      </c>
      <c r="H74">
        <f ca="1">IF(AND(ISNUMBER($H$331),$B$242=1),$H$331,HLOOKUP(INDIRECT(ADDRESS(2,COLUMN())),OFFSET($M$2,0,0,ROW()-1,7),ROW()-1,FALSE))</f>
        <v>204107</v>
      </c>
      <c r="I74">
        <f ca="1">IF(AND(ISNUMBER($I$331),$B$242=1),$I$331,HLOOKUP(INDIRECT(ADDRESS(2,COLUMN())),OFFSET($M$2,0,0,ROW()-1,7),ROW()-1,FALSE))</f>
        <v>200364</v>
      </c>
      <c r="J74">
        <f ca="1">IF(AND(ISNUMBER($J$331),$B$242=1),$J$331,HLOOKUP(INDIRECT(ADDRESS(2,COLUMN())),OFFSET($M$2,0,0,ROW()-1,7),ROW()-1,FALSE))</f>
        <v>194044</v>
      </c>
      <c r="K74">
        <f ca="1">IF(AND(ISNUMBER($K$331),$B$242=1),$K$331,HLOOKUP(INDIRECT(ADDRESS(2,COLUMN())),OFFSET($M$2,0,0,ROW()-1,7),ROW()-1,FALSE))</f>
        <v>176187</v>
      </c>
      <c r="L74">
        <f ca="1">IF(AND(ISNUMBER($L$331),$B$242=1),$L$331,HLOOKUP(INDIRECT(ADDRESS(2,COLUMN())),OFFSET($M$2,0,0,ROW()-1,7),ROW()-1,FALSE))</f>
        <v>160405</v>
      </c>
      <c r="M74">
        <f>242371</f>
        <v>242371</v>
      </c>
      <c r="N74">
        <f>228123</f>
        <v>228123</v>
      </c>
      <c r="O74">
        <f>204107</f>
        <v>204107</v>
      </c>
      <c r="P74">
        <f>200364</f>
        <v>200364</v>
      </c>
      <c r="Q74">
        <f>194044</f>
        <v>194044</v>
      </c>
      <c r="R74">
        <f>176187</f>
        <v>176187</v>
      </c>
      <c r="S74">
        <f>160405</f>
        <v>160405</v>
      </c>
    </row>
    <row r="75" spans="1:19" x14ac:dyDescent="0.25">
      <c r="A75" t="str">
        <f>"    Cognizant Technology Solutions"</f>
        <v xml:space="preserve">    Cognizant Technology Solutions</v>
      </c>
      <c r="B75" t="str">
        <f>"CTSH US Equity"</f>
        <v>CTSH US Equity</v>
      </c>
      <c r="C75" t="str">
        <f t="shared" si="12"/>
        <v>RR121</v>
      </c>
      <c r="D75" t="str">
        <f t="shared" si="13"/>
        <v>NUM_OF_EMPLOYEES</v>
      </c>
      <c r="E75" t="str">
        <f t="shared" si="14"/>
        <v>Dynamic</v>
      </c>
      <c r="F75">
        <f ca="1">IF(AND(ISNUMBER($F$332),$B$242=1),$F$332,HLOOKUP(INDIRECT(ADDRESS(2,COLUMN())),OFFSET($M$2,0,0,ROW()-1,7),ROW()-1,FALSE))</f>
        <v>292500</v>
      </c>
      <c r="G75">
        <f ca="1">IF(AND(ISNUMBER($G$332),$B$242=1),$G$332,HLOOKUP(INDIRECT(ADDRESS(2,COLUMN())),OFFSET($M$2,0,0,ROW()-1,7),ROW()-1,FALSE))</f>
        <v>281600</v>
      </c>
      <c r="H75">
        <f ca="1">IF(AND(ISNUMBER($H$332),$B$242=1),$H$332,HLOOKUP(INDIRECT(ADDRESS(2,COLUMN())),OFFSET($M$2,0,0,ROW()-1,7),ROW()-1,FALSE))</f>
        <v>260000</v>
      </c>
      <c r="I75">
        <f ca="1">IF(AND(ISNUMBER($I$332),$B$242=1),$I$332,HLOOKUP(INDIRECT(ADDRESS(2,COLUMN())),OFFSET($M$2,0,0,ROW()-1,7),ROW()-1,FALSE))</f>
        <v>260200</v>
      </c>
      <c r="J75">
        <f ca="1">IF(AND(ISNUMBER($J$332),$B$242=1),$J$332,HLOOKUP(INDIRECT(ADDRESS(2,COLUMN())),OFFSET($M$2,0,0,ROW()-1,7),ROW()-1,FALSE))</f>
        <v>221700</v>
      </c>
      <c r="K75">
        <f ca="1">IF(AND(ISNUMBER($K$332),$B$242=1),$K$332,HLOOKUP(INDIRECT(ADDRESS(2,COLUMN())),OFFSET($M$2,0,0,ROW()-1,7),ROW()-1,FALSE))</f>
        <v>211500</v>
      </c>
      <c r="L75">
        <f ca="1">IF(AND(ISNUMBER($L$332),$B$242=1),$L$332,HLOOKUP(INDIRECT(ADDRESS(2,COLUMN())),OFFSET($M$2,0,0,ROW()-1,7),ROW()-1,FALSE))</f>
        <v>171400</v>
      </c>
      <c r="M75">
        <f>292500</f>
        <v>292500</v>
      </c>
      <c r="N75">
        <f>281600</f>
        <v>281600</v>
      </c>
      <c r="O75">
        <f>260000</f>
        <v>260000</v>
      </c>
      <c r="P75">
        <f>260200</f>
        <v>260200</v>
      </c>
      <c r="Q75">
        <f>221700</f>
        <v>221700</v>
      </c>
      <c r="R75">
        <f>211500</f>
        <v>211500</v>
      </c>
      <c r="S75">
        <f>171400</f>
        <v>171400</v>
      </c>
    </row>
    <row r="76" spans="1:19" x14ac:dyDescent="0.25">
      <c r="A76" t="str">
        <f>"    Wipro Ltd"</f>
        <v xml:space="preserve">    Wipro Ltd</v>
      </c>
      <c r="B76" t="str">
        <f>"WIT US Equity"</f>
        <v>WIT US Equity</v>
      </c>
      <c r="C76" t="str">
        <f t="shared" si="12"/>
        <v>RR121</v>
      </c>
      <c r="D76" t="str">
        <f t="shared" si="13"/>
        <v>NUM_OF_EMPLOYEES</v>
      </c>
      <c r="E76" t="str">
        <f t="shared" si="14"/>
        <v>Dynamic</v>
      </c>
      <c r="F76">
        <f ca="1">IF(AND(ISNUMBER($F$333),$B$242=1),$F$333,HLOOKUP(INDIRECT(ADDRESS(2,COLUMN())),OFFSET($M$2,0,0,ROW()-1,7),ROW()-1,FALSE))</f>
        <v>182886</v>
      </c>
      <c r="G76">
        <f ca="1">IF(AND(ISNUMBER($G$333),$B$242=1),$G$333,HLOOKUP(INDIRECT(ADDRESS(2,COLUMN())),OFFSET($M$2,0,0,ROW()-1,7),ROW()-1,FALSE))</f>
        <v>171425</v>
      </c>
      <c r="H76">
        <f ca="1">IF(AND(ISNUMBER($H$333),$B$242=1),$H$333,HLOOKUP(INDIRECT(ADDRESS(2,COLUMN())),OFFSET($M$2,0,0,ROW()-1,7),ROW()-1,FALSE))</f>
        <v>163827</v>
      </c>
      <c r="I76">
        <f ca="1">IF(AND(ISNUMBER($I$333),$B$242=1),$I$333,HLOOKUP(INDIRECT(ADDRESS(2,COLUMN())),OFFSET($M$2,0,0,ROW()-1,7),ROW()-1,FALSE))</f>
        <v>181482</v>
      </c>
      <c r="J76">
        <f ca="1">IF(AND(ISNUMBER($J$333),$B$242=1),$J$333,HLOOKUP(INDIRECT(ADDRESS(2,COLUMN())),OFFSET($M$2,0,0,ROW()-1,7),ROW()-1,FALSE))</f>
        <v>172912</v>
      </c>
      <c r="K76">
        <f ca="1">IF(AND(ISNUMBER($K$333),$B$242=1),$K$333,HLOOKUP(INDIRECT(ADDRESS(2,COLUMN())),OFFSET($M$2,0,0,ROW()-1,7),ROW()-1,FALSE))</f>
        <v>158217</v>
      </c>
      <c r="L76">
        <f ca="1">IF(AND(ISNUMBER($L$333),$B$242=1),$L$333,HLOOKUP(INDIRECT(ADDRESS(2,COLUMN())),OFFSET($M$2,0,0,ROW()-1,7),ROW()-1,FALSE))</f>
        <v>146053</v>
      </c>
      <c r="M76">
        <f>182886</f>
        <v>182886</v>
      </c>
      <c r="N76">
        <f>171425</f>
        <v>171425</v>
      </c>
      <c r="O76">
        <f>163827</f>
        <v>163827</v>
      </c>
      <c r="P76">
        <f>181482</f>
        <v>181482</v>
      </c>
      <c r="Q76">
        <f>172912</f>
        <v>172912</v>
      </c>
      <c r="R76">
        <f>158217</f>
        <v>158217</v>
      </c>
      <c r="S76">
        <f>146053</f>
        <v>146053</v>
      </c>
    </row>
    <row r="77" spans="1:19" x14ac:dyDescent="0.25">
      <c r="A77" t="str">
        <f>"    HCL Technologies Ltd"</f>
        <v xml:space="preserve">    HCL Technologies Ltd</v>
      </c>
      <c r="B77" t="str">
        <f>"HCLT IN Equity"</f>
        <v>HCLT IN Equity</v>
      </c>
      <c r="C77" t="str">
        <f t="shared" si="12"/>
        <v>RR121</v>
      </c>
      <c r="D77" t="str">
        <f t="shared" si="13"/>
        <v>NUM_OF_EMPLOYEES</v>
      </c>
      <c r="E77" t="str">
        <f t="shared" si="14"/>
        <v>Dynamic</v>
      </c>
      <c r="F77">
        <f ca="1">IF(AND(ISNUMBER($F$334),$B$242=1),$F$334,HLOOKUP(INDIRECT(ADDRESS(2,COLUMN())),OFFSET($M$2,0,0,ROW()-1,7),ROW()-1,FALSE))</f>
        <v>150423</v>
      </c>
      <c r="G77">
        <f ca="1">IF(AND(ISNUMBER($G$334),$B$242=1),$G$334,HLOOKUP(INDIRECT(ADDRESS(2,COLUMN())),OFFSET($M$2,0,0,ROW()-1,7),ROW()-1,FALSE))</f>
        <v>137965</v>
      </c>
      <c r="H77">
        <f ca="1">IF(AND(ISNUMBER($H$334),$B$242=1),$H$334,HLOOKUP(INDIRECT(ADDRESS(2,COLUMN())),OFFSET($M$2,0,0,ROW()-1,7),ROW()-1,FALSE))</f>
        <v>120081</v>
      </c>
      <c r="I77">
        <f ca="1">IF(AND(ISNUMBER($I$334),$B$242=1),$I$334,HLOOKUP(INDIRECT(ADDRESS(2,COLUMN())),OFFSET($M$2,0,0,ROW()-1,7),ROW()-1,FALSE))</f>
        <v>115973</v>
      </c>
      <c r="J77">
        <f ca="1">IF(AND(ISNUMBER($J$334),$B$242=1),$J$334,HLOOKUP(INDIRECT(ADDRESS(2,COLUMN())),OFFSET($M$2,0,0,ROW()-1,7),ROW()-1,FALSE))</f>
        <v>104896</v>
      </c>
      <c r="K77" t="str">
        <f ca="1">IF(AND(ISNUMBER($K$334),$B$242=1),$K$334,HLOOKUP(INDIRECT(ADDRESS(2,COLUMN())),OFFSET($M$2,0,0,ROW()-1,7),ROW()-1,FALSE))</f>
        <v/>
      </c>
      <c r="L77">
        <f ca="1">IF(AND(ISNUMBER($L$334),$B$242=1),$L$334,HLOOKUP(INDIRECT(ADDRESS(2,COLUMN())),OFFSET($M$2,0,0,ROW()-1,7),ROW()-1,FALSE))</f>
        <v>91691</v>
      </c>
      <c r="M77">
        <f>150423</f>
        <v>150423</v>
      </c>
      <c r="N77">
        <f>137965</f>
        <v>137965</v>
      </c>
      <c r="O77">
        <f>120081</f>
        <v>120081</v>
      </c>
      <c r="P77">
        <f>115973</f>
        <v>115973</v>
      </c>
      <c r="Q77">
        <f>104896</f>
        <v>104896</v>
      </c>
      <c r="R77" t="str">
        <f>""</f>
        <v/>
      </c>
      <c r="S77">
        <f>91691</f>
        <v>91691</v>
      </c>
    </row>
    <row r="78" spans="1:19" x14ac:dyDescent="0.25">
      <c r="A78" t="str">
        <f>"Employee Attrition (%)"</f>
        <v>Employee Attrition (%)</v>
      </c>
      <c r="B78" t="str">
        <f>"BRITBPOV Index"</f>
        <v>BRITBPOV Index</v>
      </c>
      <c r="E78" t="str">
        <f>"Median"</f>
        <v>Median</v>
      </c>
      <c r="F78">
        <f ca="1">IF(ISERROR(IF(MEDIAN($F$79:$F$84) = 0, "", MEDIAN($F$79:$F$84))), "", (IF(MEDIAN($F$79:$F$84) = 0, "", MEDIAN($F$79:$F$84))))</f>
        <v>14.7</v>
      </c>
      <c r="G78">
        <f ca="1">IF(ISERROR(IF(MEDIAN($G$79:$G$84) = 0, "", MEDIAN($G$79:$G$84))), "", (IF(MEDIAN($G$79:$G$84) = 0, "", MEDIAN($G$79:$G$84))))</f>
        <v>17.649999999999999</v>
      </c>
      <c r="H78">
        <f ca="1">IF(ISERROR(IF(MEDIAN($H$79:$H$84) = 0, "", MEDIAN($H$79:$H$84))), "", (IF(MEDIAN($H$79:$H$84) = 0, "", MEDIAN($H$79:$H$84))))</f>
        <v>16.05</v>
      </c>
      <c r="I78">
        <f ca="1">IF(ISERROR(IF(MEDIAN($I$79:$I$84) = 0, "", MEDIAN($I$79:$I$84))), "", (IF(MEDIAN($I$79:$I$84) = 0, "", MEDIAN($I$79:$I$84))))</f>
        <v>16.3</v>
      </c>
      <c r="J78">
        <f ca="1">IF(ISERROR(IF(MEDIAN($J$79:$J$84) = 0, "", MEDIAN($J$79:$J$84))), "", (IF(MEDIAN($J$79:$J$84) = 0, "", MEDIAN($J$79:$J$84))))</f>
        <v>16.700000000000003</v>
      </c>
      <c r="K78">
        <f ca="1">IF(ISERROR(IF(MEDIAN($K$79:$K$84) = 0, "", MEDIAN($K$79:$K$84))), "", (IF(MEDIAN($K$79:$K$84) = 0, "", MEDIAN($K$79:$K$84))))</f>
        <v>16.5</v>
      </c>
      <c r="L78">
        <f ca="1">IF(ISERROR(IF(MEDIAN($L$79:$L$84) = 0, "", MEDIAN($L$79:$L$84))), "", (IF(MEDIAN($L$79:$L$84) = 0, "", MEDIAN($L$79:$L$84))))</f>
        <v>16</v>
      </c>
      <c r="M78">
        <f>14.7</f>
        <v>14.7</v>
      </c>
      <c r="N78">
        <f>17.65</f>
        <v>17.649999999999999</v>
      </c>
      <c r="O78">
        <f>16.05</f>
        <v>16.05</v>
      </c>
      <c r="P78">
        <f>16.3</f>
        <v>16.3</v>
      </c>
      <c r="Q78">
        <f>16.7</f>
        <v>16.7</v>
      </c>
      <c r="R78">
        <f>16.5</f>
        <v>16.5</v>
      </c>
      <c r="S78">
        <f>16</f>
        <v>16</v>
      </c>
    </row>
    <row r="79" spans="1:19" x14ac:dyDescent="0.25">
      <c r="A79" t="str">
        <f>"    Accenture PLC"</f>
        <v xml:space="preserve">    Accenture PLC</v>
      </c>
      <c r="B79" t="str">
        <f>"ACN US Equity"</f>
        <v>ACN US Equity</v>
      </c>
      <c r="C79" t="str">
        <f t="shared" ref="C79:C84" si="15">"M0005"</f>
        <v>M0005</v>
      </c>
      <c r="D79" t="str">
        <f t="shared" ref="D79:D84" si="16">"ATTRITION_RATE"</f>
        <v>ATTRITION_RATE</v>
      </c>
      <c r="E79" t="str">
        <f t="shared" ref="E79:E84" si="17">"Dynamic"</f>
        <v>Dynamic</v>
      </c>
      <c r="F79" t="str">
        <f ca="1">IF(AND(ISNUMBER($F$335),$B$242=1),$F$335,HLOOKUP(INDIRECT(ADDRESS(2,COLUMN())),OFFSET($M$2,0,0,ROW()-1,7),ROW()-1,FALSE))</f>
        <v/>
      </c>
      <c r="G79" t="str">
        <f ca="1">IF(AND(ISNUMBER($G$335),$B$242=1),$G$335,HLOOKUP(INDIRECT(ADDRESS(2,COLUMN())),OFFSET($M$2,0,0,ROW()-1,7),ROW()-1,FALSE))</f>
        <v/>
      </c>
      <c r="H79" t="str">
        <f ca="1">IF(AND(ISNUMBER($H$335),$B$242=1),$H$335,HLOOKUP(INDIRECT(ADDRESS(2,COLUMN())),OFFSET($M$2,0,0,ROW()-1,7),ROW()-1,FALSE))</f>
        <v/>
      </c>
      <c r="I79">
        <f ca="1">IF(AND(ISNUMBER($I$335),$B$242=1),$I$335,HLOOKUP(INDIRECT(ADDRESS(2,COLUMN())),OFFSET($M$2,0,0,ROW()-1,7),ROW()-1,FALSE))</f>
        <v>14</v>
      </c>
      <c r="J79">
        <f ca="1">IF(AND(ISNUMBER($J$335),$B$242=1),$J$335,HLOOKUP(INDIRECT(ADDRESS(2,COLUMN())),OFFSET($M$2,0,0,ROW()-1,7),ROW()-1,FALSE))</f>
        <v>14</v>
      </c>
      <c r="K79">
        <f ca="1">IF(AND(ISNUMBER($K$335),$B$242=1),$K$335,HLOOKUP(INDIRECT(ADDRESS(2,COLUMN())),OFFSET($M$2,0,0,ROW()-1,7),ROW()-1,FALSE))</f>
        <v>13</v>
      </c>
      <c r="L79">
        <f ca="1">IF(AND(ISNUMBER($L$335),$B$242=1),$L$335,HLOOKUP(INDIRECT(ADDRESS(2,COLUMN())),OFFSET($M$2,0,0,ROW()-1,7),ROW()-1,FALSE))</f>
        <v>12</v>
      </c>
      <c r="M79" t="str">
        <f>""</f>
        <v/>
      </c>
      <c r="N79" t="str">
        <f>""</f>
        <v/>
      </c>
      <c r="O79" t="str">
        <f>""</f>
        <v/>
      </c>
      <c r="P79">
        <f>14</f>
        <v>14</v>
      </c>
      <c r="Q79">
        <f>14</f>
        <v>14</v>
      </c>
      <c r="R79">
        <f>13</f>
        <v>13</v>
      </c>
      <c r="S79">
        <f>12</f>
        <v>12</v>
      </c>
    </row>
    <row r="80" spans="1:19" x14ac:dyDescent="0.25">
      <c r="A80" t="str">
        <f>"    Tata Consultancy Services Ltd"</f>
        <v xml:space="preserve">    Tata Consultancy Services Ltd</v>
      </c>
      <c r="B80" t="str">
        <f>"TCS IN Equity"</f>
        <v>TCS IN Equity</v>
      </c>
      <c r="C80" t="str">
        <f t="shared" si="15"/>
        <v>M0005</v>
      </c>
      <c r="D80" t="str">
        <f t="shared" si="16"/>
        <v>ATTRITION_RATE</v>
      </c>
      <c r="E80" t="str">
        <f t="shared" si="17"/>
        <v>Dynamic</v>
      </c>
      <c r="F80">
        <f ca="1">IF(AND(ISNUMBER($F$336),$B$242=1),$F$336,HLOOKUP(INDIRECT(ADDRESS(2,COLUMN())),OFFSET($M$2,0,0,ROW()-1,7),ROW()-1,FALSE))</f>
        <v>12.1</v>
      </c>
      <c r="G80" t="str">
        <f ca="1">IF(AND(ISNUMBER($G$336),$B$242=1),$G$336,HLOOKUP(INDIRECT(ADDRESS(2,COLUMN())),OFFSET($M$2,0,0,ROW()-1,7),ROW()-1,FALSE))</f>
        <v/>
      </c>
      <c r="H80">
        <f ca="1">IF(AND(ISNUMBER($H$336),$B$242=1),$H$336,HLOOKUP(INDIRECT(ADDRESS(2,COLUMN())),OFFSET($M$2,0,0,ROW()-1,7),ROW()-1,FALSE))</f>
        <v>11</v>
      </c>
      <c r="I80">
        <f ca="1">IF(AND(ISNUMBER($I$336),$B$242=1),$I$336,HLOOKUP(INDIRECT(ADDRESS(2,COLUMN())),OFFSET($M$2,0,0,ROW()-1,7),ROW()-1,FALSE))</f>
        <v>11.5</v>
      </c>
      <c r="J80" t="str">
        <f ca="1">IF(AND(ISNUMBER($J$336),$B$242=1),$J$336,HLOOKUP(INDIRECT(ADDRESS(2,COLUMN())),OFFSET($M$2,0,0,ROW()-1,7),ROW()-1,FALSE))</f>
        <v/>
      </c>
      <c r="K80" t="str">
        <f ca="1">IF(AND(ISNUMBER($K$336),$B$242=1),$K$336,HLOOKUP(INDIRECT(ADDRESS(2,COLUMN())),OFFSET($M$2,0,0,ROW()-1,7),ROW()-1,FALSE))</f>
        <v/>
      </c>
      <c r="L80" t="str">
        <f ca="1">IF(AND(ISNUMBER($L$336),$B$242=1),$L$336,HLOOKUP(INDIRECT(ADDRESS(2,COLUMN())),OFFSET($M$2,0,0,ROW()-1,7),ROW()-1,FALSE))</f>
        <v/>
      </c>
      <c r="M80">
        <f>12.1</f>
        <v>12.1</v>
      </c>
      <c r="N80" t="str">
        <f>""</f>
        <v/>
      </c>
      <c r="O80">
        <f>11</f>
        <v>11</v>
      </c>
      <c r="P80">
        <f>11.5</f>
        <v>11.5</v>
      </c>
      <c r="Q80" t="str">
        <f>""</f>
        <v/>
      </c>
      <c r="R80" t="str">
        <f>""</f>
        <v/>
      </c>
      <c r="S80" t="str">
        <f>""</f>
        <v/>
      </c>
    </row>
    <row r="81" spans="1:19" x14ac:dyDescent="0.25">
      <c r="A81" t="str">
        <f>"    Infosys Ltd"</f>
        <v xml:space="preserve">    Infosys Ltd</v>
      </c>
      <c r="B81" t="str">
        <f>"INFY US Equity"</f>
        <v>INFY US Equity</v>
      </c>
      <c r="C81" t="str">
        <f t="shared" si="15"/>
        <v>M0005</v>
      </c>
      <c r="D81" t="str">
        <f t="shared" si="16"/>
        <v>ATTRITION_RATE</v>
      </c>
      <c r="E81" t="str">
        <f t="shared" si="17"/>
        <v>Dynamic</v>
      </c>
      <c r="F81" t="str">
        <f ca="1">IF(AND(ISNUMBER($F$337),$B$242=1),$F$337,HLOOKUP(INDIRECT(ADDRESS(2,COLUMN())),OFFSET($M$2,0,0,ROW()-1,7),ROW()-1,FALSE))</f>
        <v/>
      </c>
      <c r="G81" t="str">
        <f ca="1">IF(AND(ISNUMBER($G$337),$B$242=1),$G$337,HLOOKUP(INDIRECT(ADDRESS(2,COLUMN())),OFFSET($M$2,0,0,ROW()-1,7),ROW()-1,FALSE))</f>
        <v/>
      </c>
      <c r="H81">
        <f ca="1">IF(AND(ISNUMBER($H$337),$B$242=1),$H$337,HLOOKUP(INDIRECT(ADDRESS(2,COLUMN())),OFFSET($M$2,0,0,ROW()-1,7),ROW()-1,FALSE))</f>
        <v>20</v>
      </c>
      <c r="I81">
        <f ca="1">IF(AND(ISNUMBER($I$337),$B$242=1),$I$337,HLOOKUP(INDIRECT(ADDRESS(2,COLUMN())),OFFSET($M$2,0,0,ROW()-1,7),ROW()-1,FALSE))</f>
        <v>19.2</v>
      </c>
      <c r="J81">
        <f ca="1">IF(AND(ISNUMBER($J$337),$B$242=1),$J$337,HLOOKUP(INDIRECT(ADDRESS(2,COLUMN())),OFFSET($M$2,0,0,ROW()-1,7),ROW()-1,FALSE))</f>
        <v>18.7</v>
      </c>
      <c r="K81">
        <f ca="1">IF(AND(ISNUMBER($K$337),$B$242=1),$K$337,HLOOKUP(INDIRECT(ADDRESS(2,COLUMN())),OFFSET($M$2,0,0,ROW()-1,7),ROW()-1,FALSE))</f>
        <v>18.899999999999999</v>
      </c>
      <c r="L81">
        <f ca="1">IF(AND(ISNUMBER($L$337),$B$242=1),$L$337,HLOOKUP(INDIRECT(ADDRESS(2,COLUMN())),OFFSET($M$2,0,0,ROW()-1,7),ROW()-1,FALSE))</f>
        <v>18.7</v>
      </c>
      <c r="M81" t="str">
        <f>""</f>
        <v/>
      </c>
      <c r="N81" t="str">
        <f>""</f>
        <v/>
      </c>
      <c r="O81">
        <f>20</f>
        <v>20</v>
      </c>
      <c r="P81">
        <f>19.2</f>
        <v>19.2</v>
      </c>
      <c r="Q81">
        <f>18.7</f>
        <v>18.7</v>
      </c>
      <c r="R81">
        <f>18.9</f>
        <v>18.899999999999999</v>
      </c>
      <c r="S81">
        <f>18.7</f>
        <v>18.7</v>
      </c>
    </row>
    <row r="82" spans="1:19" x14ac:dyDescent="0.25">
      <c r="A82" t="str">
        <f>"    Wipro Ltd"</f>
        <v xml:space="preserve">    Wipro Ltd</v>
      </c>
      <c r="B82" t="str">
        <f>"WIT US Equity"</f>
        <v>WIT US Equity</v>
      </c>
      <c r="C82" t="str">
        <f t="shared" si="15"/>
        <v>M0005</v>
      </c>
      <c r="D82" t="str">
        <f t="shared" si="16"/>
        <v>ATTRITION_RATE</v>
      </c>
      <c r="E82" t="str">
        <f t="shared" si="17"/>
        <v>Dynamic</v>
      </c>
      <c r="F82">
        <f ca="1">IF(AND(ISNUMBER($F$338),$B$242=1),$F$338,HLOOKUP(INDIRECT(ADDRESS(2,COLUMN())),OFFSET($M$2,0,0,ROW()-1,7),ROW()-1,FALSE))</f>
        <v>14.7</v>
      </c>
      <c r="G82">
        <f ca="1">IF(AND(ISNUMBER($G$338),$B$242=1),$G$338,HLOOKUP(INDIRECT(ADDRESS(2,COLUMN())),OFFSET($M$2,0,0,ROW()-1,7),ROW()-1,FALSE))</f>
        <v>17.600000000000001</v>
      </c>
      <c r="H82">
        <f ca="1">IF(AND(ISNUMBER($H$338),$B$242=1),$H$338,HLOOKUP(INDIRECT(ADDRESS(2,COLUMN())),OFFSET($M$2,0,0,ROW()-1,7),ROW()-1,FALSE))</f>
        <v>16.600000000000001</v>
      </c>
      <c r="I82">
        <f ca="1">IF(AND(ISNUMBER($I$338),$B$242=1),$I$338,HLOOKUP(INDIRECT(ADDRESS(2,COLUMN())),OFFSET($M$2,0,0,ROW()-1,7),ROW()-1,FALSE))</f>
        <v>16.3</v>
      </c>
      <c r="J82">
        <f ca="1">IF(AND(ISNUMBER($J$338),$B$242=1),$J$338,HLOOKUP(INDIRECT(ADDRESS(2,COLUMN())),OFFSET($M$2,0,0,ROW()-1,7),ROW()-1,FALSE))</f>
        <v>16.100000000000001</v>
      </c>
      <c r="K82">
        <f ca="1">IF(AND(ISNUMBER($K$338),$B$242=1),$K$338,HLOOKUP(INDIRECT(ADDRESS(2,COLUMN())),OFFSET($M$2,0,0,ROW()-1,7),ROW()-1,FALSE))</f>
        <v>16.5</v>
      </c>
      <c r="L82">
        <f ca="1">IF(AND(ISNUMBER($L$338),$B$242=1),$L$338,HLOOKUP(INDIRECT(ADDRESS(2,COLUMN())),OFFSET($M$2,0,0,ROW()-1,7),ROW()-1,FALSE))</f>
        <v>15.1</v>
      </c>
      <c r="M82">
        <f>14.7</f>
        <v>14.7</v>
      </c>
      <c r="N82">
        <f>17.6</f>
        <v>17.600000000000001</v>
      </c>
      <c r="O82">
        <f>16.6</f>
        <v>16.600000000000001</v>
      </c>
      <c r="P82">
        <f>16.3</f>
        <v>16.3</v>
      </c>
      <c r="Q82">
        <f>16.1</f>
        <v>16.100000000000001</v>
      </c>
      <c r="R82">
        <f>16.5</f>
        <v>16.5</v>
      </c>
      <c r="S82">
        <f>15.1</f>
        <v>15.1</v>
      </c>
    </row>
    <row r="83" spans="1:19" x14ac:dyDescent="0.25">
      <c r="A83" t="str">
        <f>"    Cognizant Technology Solutions"</f>
        <v xml:space="preserve">    Cognizant Technology Solutions</v>
      </c>
      <c r="B83" t="str">
        <f>"CTSH US Equity"</f>
        <v>CTSH US Equity</v>
      </c>
      <c r="C83" t="str">
        <f t="shared" si="15"/>
        <v>M0005</v>
      </c>
      <c r="D83" t="str">
        <f t="shared" si="16"/>
        <v>ATTRITION_RATE</v>
      </c>
      <c r="E83" t="str">
        <f t="shared" si="17"/>
        <v>Dynamic</v>
      </c>
      <c r="F83" t="str">
        <f ca="1">IF(AND(ISNUMBER($F$339),$B$242=1),$F$339,HLOOKUP(INDIRECT(ADDRESS(2,COLUMN())),OFFSET($M$2,0,0,ROW()-1,7),ROW()-1,FALSE))</f>
        <v/>
      </c>
      <c r="G83" t="str">
        <f ca="1">IF(AND(ISNUMBER($G$339),$B$242=1),$G$339,HLOOKUP(INDIRECT(ADDRESS(2,COLUMN())),OFFSET($M$2,0,0,ROW()-1,7),ROW()-1,FALSE))</f>
        <v/>
      </c>
      <c r="H83" t="str">
        <f ca="1">IF(AND(ISNUMBER($H$339),$B$242=1),$H$339,HLOOKUP(INDIRECT(ADDRESS(2,COLUMN())),OFFSET($M$2,0,0,ROW()-1,7),ROW()-1,FALSE))</f>
        <v/>
      </c>
      <c r="I83" t="str">
        <f ca="1">IF(AND(ISNUMBER($I$339),$B$242=1),$I$339,HLOOKUP(INDIRECT(ADDRESS(2,COLUMN())),OFFSET($M$2,0,0,ROW()-1,7),ROW()-1,FALSE))</f>
        <v/>
      </c>
      <c r="J83" t="str">
        <f ca="1">IF(AND(ISNUMBER($J$339),$B$242=1),$J$339,HLOOKUP(INDIRECT(ADDRESS(2,COLUMN())),OFFSET($M$2,0,0,ROW()-1,7),ROW()-1,FALSE))</f>
        <v/>
      </c>
      <c r="K83" t="str">
        <f ca="1">IF(AND(ISNUMBER($K$339),$B$242=1),$K$339,HLOOKUP(INDIRECT(ADDRESS(2,COLUMN())),OFFSET($M$2,0,0,ROW()-1,7),ROW()-1,FALSE))</f>
        <v/>
      </c>
      <c r="L83">
        <f ca="1">IF(AND(ISNUMBER($L$339),$B$242=1),$L$339,HLOOKUP(INDIRECT(ADDRESS(2,COLUMN())),OFFSET($M$2,0,0,ROW()-1,7),ROW()-1,FALSE))</f>
        <v>16</v>
      </c>
      <c r="M83" t="str">
        <f>""</f>
        <v/>
      </c>
      <c r="N83" t="str">
        <f>""</f>
        <v/>
      </c>
      <c r="O83" t="str">
        <f>""</f>
        <v/>
      </c>
      <c r="P83" t="str">
        <f>""</f>
        <v/>
      </c>
      <c r="Q83" t="str">
        <f>""</f>
        <v/>
      </c>
      <c r="R83" t="str">
        <f>""</f>
        <v/>
      </c>
      <c r="S83">
        <f>16</f>
        <v>16</v>
      </c>
    </row>
    <row r="84" spans="1:19" x14ac:dyDescent="0.25">
      <c r="A84" t="str">
        <f>"    HCL Technologies Ltd"</f>
        <v xml:space="preserve">    HCL Technologies Ltd</v>
      </c>
      <c r="B84" t="str">
        <f>"HCLT IN Equity"</f>
        <v>HCLT IN Equity</v>
      </c>
      <c r="C84" t="str">
        <f t="shared" si="15"/>
        <v>M0005</v>
      </c>
      <c r="D84" t="str">
        <f t="shared" si="16"/>
        <v>ATTRITION_RATE</v>
      </c>
      <c r="E84" t="str">
        <f t="shared" si="17"/>
        <v>Dynamic</v>
      </c>
      <c r="F84">
        <f ca="1">IF(AND(ISNUMBER($F$340),$B$242=1),$F$340,HLOOKUP(INDIRECT(ADDRESS(2,COLUMN())),OFFSET($M$2,0,0,ROW()-1,7),ROW()-1,FALSE))</f>
        <v>16.3</v>
      </c>
      <c r="G84">
        <f ca="1">IF(AND(ISNUMBER($G$340),$B$242=1),$G$340,HLOOKUP(INDIRECT(ADDRESS(2,COLUMN())),OFFSET($M$2,0,0,ROW()-1,7),ROW()-1,FALSE))</f>
        <v>17.7</v>
      </c>
      <c r="H84">
        <f ca="1">IF(AND(ISNUMBER($H$340),$B$242=1),$H$340,HLOOKUP(INDIRECT(ADDRESS(2,COLUMN())),OFFSET($M$2,0,0,ROW()-1,7),ROW()-1,FALSE))</f>
        <v>15.5</v>
      </c>
      <c r="I84">
        <f ca="1">IF(AND(ISNUMBER($I$340),$B$242=1),$I$340,HLOOKUP(INDIRECT(ADDRESS(2,COLUMN())),OFFSET($M$2,0,0,ROW()-1,7),ROW()-1,FALSE))</f>
        <v>16.899999999999999</v>
      </c>
      <c r="J84">
        <f ca="1">IF(AND(ISNUMBER($J$340),$B$242=1),$J$340,HLOOKUP(INDIRECT(ADDRESS(2,COLUMN())),OFFSET($M$2,0,0,ROW()-1,7),ROW()-1,FALSE))</f>
        <v>17.3</v>
      </c>
      <c r="K84" t="str">
        <f ca="1">IF(AND(ISNUMBER($K$340),$B$242=1),$K$340,HLOOKUP(INDIRECT(ADDRESS(2,COLUMN())),OFFSET($M$2,0,0,ROW()-1,7),ROW()-1,FALSE))</f>
        <v/>
      </c>
      <c r="L84">
        <f ca="1">IF(AND(ISNUMBER($L$340),$B$242=1),$L$340,HLOOKUP(INDIRECT(ADDRESS(2,COLUMN())),OFFSET($M$2,0,0,ROW()-1,7),ROW()-1,FALSE))</f>
        <v>16.899999999999999</v>
      </c>
      <c r="M84">
        <f>16.3</f>
        <v>16.3</v>
      </c>
      <c r="N84">
        <f>17.7</f>
        <v>17.7</v>
      </c>
      <c r="O84">
        <f>15.5</f>
        <v>15.5</v>
      </c>
      <c r="P84">
        <f>16.9</f>
        <v>16.899999999999999</v>
      </c>
      <c r="Q84">
        <f>17.3</f>
        <v>17.3</v>
      </c>
      <c r="R84" t="str">
        <f>""</f>
        <v/>
      </c>
      <c r="S84">
        <f>16.9</f>
        <v>16.899999999999999</v>
      </c>
    </row>
    <row r="85" spans="1:19" x14ac:dyDescent="0.25">
      <c r="A85" t="str">
        <f>"Employee Utilization (%)"</f>
        <v>Employee Utilization (%)</v>
      </c>
      <c r="B85" t="str">
        <f>""</f>
        <v/>
      </c>
      <c r="E85" t="str">
        <f>"Average"</f>
        <v>Average</v>
      </c>
      <c r="F85">
        <f ca="1">IF(ISERROR(IF(AVERAGE($F$86:$F$91) = 0, "", AVERAGE($F$86:$F$91))), "", (IF(AVERAGE($F$86:$F$91) = 0, "", AVERAGE($F$86:$F$91))))</f>
        <v>82.45</v>
      </c>
      <c r="G85">
        <f ca="1">IF(ISERROR(IF(AVERAGE($G$86:$G$91) = 0, "", AVERAGE($G$86:$G$91))), "", (IF(AVERAGE($G$86:$G$91) = 0, "", AVERAGE($G$86:$G$91))))</f>
        <v>84.333333333333329</v>
      </c>
      <c r="H85">
        <f ca="1">IF(ISERROR(IF(AVERAGE($H$86:$H$91) = 0, "", AVERAGE($H$86:$H$91))), "", (IF(AVERAGE($H$86:$H$91) = 0, "", AVERAGE($H$86:$H$91))))</f>
        <v>83.86666666666666</v>
      </c>
      <c r="I85">
        <f ca="1">IF(ISERROR(IF(AVERAGE($I$86:$I$91) = 0, "", AVERAGE($I$86:$I$91))), "", (IF(AVERAGE($I$86:$I$91) = 0, "", AVERAGE($I$86:$I$91))))</f>
        <v>85.424999999999997</v>
      </c>
      <c r="J85">
        <f ca="1">IF(ISERROR(IF(AVERAGE($J$86:$J$91) = 0, "", AVERAGE($J$86:$J$91))), "", (IF(AVERAGE($J$86:$J$91) = 0, "", AVERAGE($J$86:$J$91))))</f>
        <v>84.025000000000006</v>
      </c>
      <c r="K85">
        <f ca="1">IF(ISERROR(IF(AVERAGE($K$86:$K$91) = 0, "", AVERAGE($K$86:$K$91))), "", (IF(AVERAGE($K$86:$K$91) = 0, "", AVERAGE($K$86:$K$91))))</f>
        <v>82.666666666666671</v>
      </c>
      <c r="L85">
        <f ca="1">IF(ISERROR(IF(AVERAGE($L$86:$L$91) = 0, "", AVERAGE($L$86:$L$91))), "", (IF(AVERAGE($L$86:$L$91) = 0, "", AVERAGE($L$86:$L$91))))</f>
        <v>81.125</v>
      </c>
      <c r="M85" t="str">
        <f>""</f>
        <v/>
      </c>
      <c r="N85">
        <f>84.33333333</f>
        <v>84.333333330000002</v>
      </c>
      <c r="O85">
        <f>83.86666667</f>
        <v>83.866666670000001</v>
      </c>
      <c r="P85">
        <f>85.425</f>
        <v>85.424999999999997</v>
      </c>
      <c r="Q85">
        <f>84.025</f>
        <v>84.025000000000006</v>
      </c>
      <c r="R85">
        <f>82.66666667</f>
        <v>82.666666669999998</v>
      </c>
      <c r="S85">
        <f>81.125</f>
        <v>81.125</v>
      </c>
    </row>
    <row r="86" spans="1:19" x14ac:dyDescent="0.25">
      <c r="A86" t="str">
        <f>"    Accenture PLC"</f>
        <v xml:space="preserve">    Accenture PLC</v>
      </c>
      <c r="B86" t="str">
        <f>"ACN US Equity"</f>
        <v>ACN US Equity</v>
      </c>
      <c r="C86" t="str">
        <f t="shared" ref="C86:C91" si="18">"M0006"</f>
        <v>M0006</v>
      </c>
      <c r="D86" t="str">
        <f t="shared" ref="D86:D91" si="19">"UTILIZATION_RATE"</f>
        <v>UTILIZATION_RATE</v>
      </c>
      <c r="E86" t="str">
        <f t="shared" ref="E86:E91" si="20">"Dynamic"</f>
        <v>Dynamic</v>
      </c>
      <c r="F86" t="str">
        <f ca="1">IF(AND(ISNUMBER($F$341),$B$242=1),$F$341,HLOOKUP(INDIRECT(ADDRESS(2,COLUMN())),OFFSET($M$2,0,0,ROW()-1,7),ROW()-1,FALSE))</f>
        <v/>
      </c>
      <c r="G86" t="str">
        <f ca="1">IF(AND(ISNUMBER($G$341),$B$242=1),$G$341,HLOOKUP(INDIRECT(ADDRESS(2,COLUMN())),OFFSET($M$2,0,0,ROW()-1,7),ROW()-1,FALSE))</f>
        <v/>
      </c>
      <c r="H86" t="str">
        <f ca="1">IF(AND(ISNUMBER($H$341),$B$242=1),$H$341,HLOOKUP(INDIRECT(ADDRESS(2,COLUMN())),OFFSET($M$2,0,0,ROW()-1,7),ROW()-1,FALSE))</f>
        <v/>
      </c>
      <c r="I86">
        <f ca="1">IF(AND(ISNUMBER($I$341),$B$242=1),$I$341,HLOOKUP(INDIRECT(ADDRESS(2,COLUMN())),OFFSET($M$2,0,0,ROW()-1,7),ROW()-1,FALSE))</f>
        <v>92</v>
      </c>
      <c r="J86">
        <f ca="1">IF(AND(ISNUMBER($J$341),$B$242=1),$J$341,HLOOKUP(INDIRECT(ADDRESS(2,COLUMN())),OFFSET($M$2,0,0,ROW()-1,7),ROW()-1,FALSE))</f>
        <v>90</v>
      </c>
      <c r="K86">
        <f ca="1">IF(AND(ISNUMBER($K$341),$B$242=1),$K$341,HLOOKUP(INDIRECT(ADDRESS(2,COLUMN())),OFFSET($M$2,0,0,ROW()-1,7),ROW()-1,FALSE))</f>
        <v>88</v>
      </c>
      <c r="L86">
        <f ca="1">IF(AND(ISNUMBER($L$341),$B$242=1),$L$341,HLOOKUP(INDIRECT(ADDRESS(2,COLUMN())),OFFSET($M$2,0,0,ROW()-1,7),ROW()-1,FALSE))</f>
        <v>88</v>
      </c>
      <c r="M86" t="str">
        <f>""</f>
        <v/>
      </c>
      <c r="N86" t="str">
        <f>""</f>
        <v/>
      </c>
      <c r="O86" t="str">
        <f>""</f>
        <v/>
      </c>
      <c r="P86">
        <f>92</f>
        <v>92</v>
      </c>
      <c r="Q86">
        <f>90</f>
        <v>90</v>
      </c>
      <c r="R86">
        <f>88</f>
        <v>88</v>
      </c>
      <c r="S86">
        <f>88</f>
        <v>88</v>
      </c>
    </row>
    <row r="87" spans="1:19" x14ac:dyDescent="0.25">
      <c r="A87" t="str">
        <f>"    Tata Consultancy Services Ltd"</f>
        <v xml:space="preserve">    Tata Consultancy Services Ltd</v>
      </c>
      <c r="B87" t="str">
        <f>"TCS IN Equity"</f>
        <v>TCS IN Equity</v>
      </c>
      <c r="C87" t="str">
        <f t="shared" si="18"/>
        <v>M0006</v>
      </c>
      <c r="D87" t="str">
        <f t="shared" si="19"/>
        <v>UTILIZATION_RATE</v>
      </c>
      <c r="E87" t="str">
        <f t="shared" si="20"/>
        <v>Dynamic</v>
      </c>
      <c r="F87" t="str">
        <f ca="1">IF(AND(ISNUMBER($F$342),$B$242=1),$F$342,HLOOKUP(INDIRECT(ADDRESS(2,COLUMN())),OFFSET($M$2,0,0,ROW()-1,7),ROW()-1,FALSE))</f>
        <v/>
      </c>
      <c r="G87" t="str">
        <f ca="1">IF(AND(ISNUMBER($G$342),$B$242=1),$G$342,HLOOKUP(INDIRECT(ADDRESS(2,COLUMN())),OFFSET($M$2,0,0,ROW()-1,7),ROW()-1,FALSE))</f>
        <v/>
      </c>
      <c r="H87" t="str">
        <f ca="1">IF(AND(ISNUMBER($H$342),$B$242=1),$H$342,HLOOKUP(INDIRECT(ADDRESS(2,COLUMN())),OFFSET($M$2,0,0,ROW()-1,7),ROW()-1,FALSE))</f>
        <v/>
      </c>
      <c r="I87" t="str">
        <f ca="1">IF(AND(ISNUMBER($I$342),$B$242=1),$I$342,HLOOKUP(INDIRECT(ADDRESS(2,COLUMN())),OFFSET($M$2,0,0,ROW()-1,7),ROW()-1,FALSE))</f>
        <v/>
      </c>
      <c r="J87" t="str">
        <f ca="1">IF(AND(ISNUMBER($J$342),$B$242=1),$J$342,HLOOKUP(INDIRECT(ADDRESS(2,COLUMN())),OFFSET($M$2,0,0,ROW()-1,7),ROW()-1,FALSE))</f>
        <v/>
      </c>
      <c r="K87" t="str">
        <f ca="1">IF(AND(ISNUMBER($K$342),$B$242=1),$K$342,HLOOKUP(INDIRECT(ADDRESS(2,COLUMN())),OFFSET($M$2,0,0,ROW()-1,7),ROW()-1,FALSE))</f>
        <v/>
      </c>
      <c r="L87" t="str">
        <f ca="1">IF(AND(ISNUMBER($L$342),$B$242=1),$L$342,HLOOKUP(INDIRECT(ADDRESS(2,COLUMN())),OFFSET($M$2,0,0,ROW()-1,7),ROW()-1,FALSE))</f>
        <v/>
      </c>
      <c r="M87" t="str">
        <f>""</f>
        <v/>
      </c>
      <c r="N87" t="str">
        <f>""</f>
        <v/>
      </c>
      <c r="O87" t="str">
        <f>""</f>
        <v/>
      </c>
      <c r="P87" t="str">
        <f>""</f>
        <v/>
      </c>
      <c r="Q87" t="str">
        <f>""</f>
        <v/>
      </c>
      <c r="R87" t="str">
        <f>""</f>
        <v/>
      </c>
      <c r="S87" t="str">
        <f>""</f>
        <v/>
      </c>
    </row>
    <row r="88" spans="1:19" x14ac:dyDescent="0.25">
      <c r="A88" t="str">
        <f>"    Infosys Ltd"</f>
        <v xml:space="preserve">    Infosys Ltd</v>
      </c>
      <c r="B88" t="str">
        <f>"INFY US Equity"</f>
        <v>INFY US Equity</v>
      </c>
      <c r="C88" t="str">
        <f t="shared" si="18"/>
        <v>M0006</v>
      </c>
      <c r="D88" t="str">
        <f t="shared" si="19"/>
        <v>UTILIZATION_RATE</v>
      </c>
      <c r="E88" t="str">
        <f t="shared" si="20"/>
        <v>Dynamic</v>
      </c>
      <c r="F88">
        <f ca="1">IF(AND(ISNUMBER($F$343),$B$242=1),$F$343,HLOOKUP(INDIRECT(ADDRESS(2,COLUMN())),OFFSET($M$2,0,0,ROW()-1,7),ROW()-1,FALSE))</f>
        <v>84</v>
      </c>
      <c r="G88">
        <f ca="1">IF(AND(ISNUMBER($G$343),$B$242=1),$G$343,HLOOKUP(INDIRECT(ADDRESS(2,COLUMN())),OFFSET($M$2,0,0,ROW()-1,7),ROW()-1,FALSE))</f>
        <v>84.3</v>
      </c>
      <c r="H88">
        <f ca="1">IF(AND(ISNUMBER($H$343),$B$242=1),$H$343,HLOOKUP(INDIRECT(ADDRESS(2,COLUMN())),OFFSET($M$2,0,0,ROW()-1,7),ROW()-1,FALSE))</f>
        <v>84.6</v>
      </c>
      <c r="I88">
        <f ca="1">IF(AND(ISNUMBER($I$343),$B$242=1),$I$343,HLOOKUP(INDIRECT(ADDRESS(2,COLUMN())),OFFSET($M$2,0,0,ROW()-1,7),ROW()-1,FALSE))</f>
        <v>81.7</v>
      </c>
      <c r="J88">
        <f ca="1">IF(AND(ISNUMBER($J$343),$B$242=1),$J$343,HLOOKUP(INDIRECT(ADDRESS(2,COLUMN())),OFFSET($M$2,0,0,ROW()-1,7),ROW()-1,FALSE))</f>
        <v>80.599999999999994</v>
      </c>
      <c r="K88">
        <f ca="1">IF(AND(ISNUMBER($K$343),$B$242=1),$K$343,HLOOKUP(INDIRECT(ADDRESS(2,COLUMN())),OFFSET($M$2,0,0,ROW()-1,7),ROW()-1,FALSE))</f>
        <v>80.900000000000006</v>
      </c>
      <c r="L88">
        <f ca="1">IF(AND(ISNUMBER($L$343),$B$242=1),$L$343,HLOOKUP(INDIRECT(ADDRESS(2,COLUMN())),OFFSET($M$2,0,0,ROW()-1,7),ROW()-1,FALSE))</f>
        <v>77.400000000000006</v>
      </c>
      <c r="M88">
        <f>84</f>
        <v>84</v>
      </c>
      <c r="N88">
        <f>84.3</f>
        <v>84.3</v>
      </c>
      <c r="O88">
        <f>84.6</f>
        <v>84.6</v>
      </c>
      <c r="P88">
        <f>81.7</f>
        <v>81.7</v>
      </c>
      <c r="Q88">
        <f>80.6</f>
        <v>80.599999999999994</v>
      </c>
      <c r="R88">
        <f>80.9</f>
        <v>80.900000000000006</v>
      </c>
      <c r="S88">
        <f>77.4</f>
        <v>77.400000000000006</v>
      </c>
    </row>
    <row r="89" spans="1:19" x14ac:dyDescent="0.25">
      <c r="A89" t="str">
        <f>"    Cognizant Technology Solutions"</f>
        <v xml:space="preserve">    Cognizant Technology Solutions</v>
      </c>
      <c r="B89" t="str">
        <f>"CTSH US Equity"</f>
        <v>CTSH US Equity</v>
      </c>
      <c r="C89" t="str">
        <f t="shared" si="18"/>
        <v>M0006</v>
      </c>
      <c r="D89" t="str">
        <f t="shared" si="19"/>
        <v>UTILIZATION_RATE</v>
      </c>
      <c r="E89" t="str">
        <f t="shared" si="20"/>
        <v>Dynamic</v>
      </c>
      <c r="F89" t="str">
        <f ca="1">IF(AND(ISNUMBER($F$344),$B$242=1),$F$344,HLOOKUP(INDIRECT(ADDRESS(2,COLUMN())),OFFSET($M$2,0,0,ROW()-1,7),ROW()-1,FALSE))</f>
        <v/>
      </c>
      <c r="G89" t="str">
        <f ca="1">IF(AND(ISNUMBER($G$344),$B$242=1),$G$344,HLOOKUP(INDIRECT(ADDRESS(2,COLUMN())),OFFSET($M$2,0,0,ROW()-1,7),ROW()-1,FALSE))</f>
        <v/>
      </c>
      <c r="H89" t="str">
        <f ca="1">IF(AND(ISNUMBER($H$344),$B$242=1),$H$344,HLOOKUP(INDIRECT(ADDRESS(2,COLUMN())),OFFSET($M$2,0,0,ROW()-1,7),ROW()-1,FALSE))</f>
        <v/>
      </c>
      <c r="I89" t="str">
        <f ca="1">IF(AND(ISNUMBER($I$344),$B$242=1),$I$344,HLOOKUP(INDIRECT(ADDRESS(2,COLUMN())),OFFSET($M$2,0,0,ROW()-1,7),ROW()-1,FALSE))</f>
        <v/>
      </c>
      <c r="J89" t="str">
        <f ca="1">IF(AND(ISNUMBER($J$344),$B$242=1),$J$344,HLOOKUP(INDIRECT(ADDRESS(2,COLUMN())),OFFSET($M$2,0,0,ROW()-1,7),ROW()-1,FALSE))</f>
        <v/>
      </c>
      <c r="K89" t="str">
        <f ca="1">IF(AND(ISNUMBER($K$344),$B$242=1),$K$344,HLOOKUP(INDIRECT(ADDRESS(2,COLUMN())),OFFSET($M$2,0,0,ROW()-1,7),ROW()-1,FALSE))</f>
        <v/>
      </c>
      <c r="L89" t="str">
        <f ca="1">IF(AND(ISNUMBER($L$344),$B$242=1),$L$344,HLOOKUP(INDIRECT(ADDRESS(2,COLUMN())),OFFSET($M$2,0,0,ROW()-1,7),ROW()-1,FALSE))</f>
        <v/>
      </c>
      <c r="M89" t="str">
        <f>""</f>
        <v/>
      </c>
      <c r="N89" t="str">
        <f>""</f>
        <v/>
      </c>
      <c r="O89" t="str">
        <f>""</f>
        <v/>
      </c>
      <c r="P89" t="str">
        <f>""</f>
        <v/>
      </c>
      <c r="Q89" t="str">
        <f>""</f>
        <v/>
      </c>
      <c r="R89" t="str">
        <f>""</f>
        <v/>
      </c>
      <c r="S89" t="str">
        <f>""</f>
        <v/>
      </c>
    </row>
    <row r="90" spans="1:19" x14ac:dyDescent="0.25">
      <c r="A90" t="str">
        <f>"    Wipro Ltd"</f>
        <v xml:space="preserve">    Wipro Ltd</v>
      </c>
      <c r="B90" t="str">
        <f>"WIT US Equity"</f>
        <v>WIT US Equity</v>
      </c>
      <c r="C90" t="str">
        <f t="shared" si="18"/>
        <v>M0006</v>
      </c>
      <c r="D90" t="str">
        <f t="shared" si="19"/>
        <v>UTILIZATION_RATE</v>
      </c>
      <c r="E90" t="str">
        <f t="shared" si="20"/>
        <v>Dynamic</v>
      </c>
      <c r="F90">
        <f ca="1">IF(AND(ISNUMBER($F$345),$B$242=1),$F$345,HLOOKUP(INDIRECT(ADDRESS(2,COLUMN())),OFFSET($M$2,0,0,ROW()-1,7),ROW()-1,FALSE))</f>
        <v>80.900000000000006</v>
      </c>
      <c r="G90">
        <f ca="1">IF(AND(ISNUMBER($G$345),$B$242=1),$G$345,HLOOKUP(INDIRECT(ADDRESS(2,COLUMN())),OFFSET($M$2,0,0,ROW()-1,7),ROW()-1,FALSE))</f>
        <v>83.3</v>
      </c>
      <c r="H90">
        <f ca="1">IF(AND(ISNUMBER($H$345),$B$242=1),$H$345,HLOOKUP(INDIRECT(ADDRESS(2,COLUMN())),OFFSET($M$2,0,0,ROW()-1,7),ROW()-1,FALSE))</f>
        <v>81.099999999999994</v>
      </c>
      <c r="I90">
        <f ca="1">IF(AND(ISNUMBER($I$345),$B$242=1),$I$345,HLOOKUP(INDIRECT(ADDRESS(2,COLUMN())),OFFSET($M$2,0,0,ROW()-1,7),ROW()-1,FALSE))</f>
        <v>82.3</v>
      </c>
      <c r="J90">
        <f ca="1">IF(AND(ISNUMBER($J$345),$B$242=1),$J$345,HLOOKUP(INDIRECT(ADDRESS(2,COLUMN())),OFFSET($M$2,0,0,ROW()-1,7),ROW()-1,FALSE))</f>
        <v>79.900000000000006</v>
      </c>
      <c r="K90">
        <f ca="1">IF(AND(ISNUMBER($K$345),$B$242=1),$K$345,HLOOKUP(INDIRECT(ADDRESS(2,COLUMN())),OFFSET($M$2,0,0,ROW()-1,7),ROW()-1,FALSE))</f>
        <v>79.099999999999994</v>
      </c>
      <c r="L90">
        <f ca="1">IF(AND(ISNUMBER($L$345),$B$242=1),$L$345,HLOOKUP(INDIRECT(ADDRESS(2,COLUMN())),OFFSET($M$2,0,0,ROW()-1,7),ROW()-1,FALSE))</f>
        <v>74.599999999999994</v>
      </c>
      <c r="M90">
        <f>80.9</f>
        <v>80.900000000000006</v>
      </c>
      <c r="N90">
        <f>83.3</f>
        <v>83.3</v>
      </c>
      <c r="O90">
        <f>81.1</f>
        <v>81.099999999999994</v>
      </c>
      <c r="P90">
        <f>82.3</f>
        <v>82.3</v>
      </c>
      <c r="Q90">
        <f>79.9</f>
        <v>79.900000000000006</v>
      </c>
      <c r="R90">
        <f>79.1</f>
        <v>79.099999999999994</v>
      </c>
      <c r="S90">
        <f>74.6</f>
        <v>74.599999999999994</v>
      </c>
    </row>
    <row r="91" spans="1:19" x14ac:dyDescent="0.25">
      <c r="A91" t="str">
        <f>"    HCL Technologies Ltd"</f>
        <v xml:space="preserve">    HCL Technologies Ltd</v>
      </c>
      <c r="B91" t="str">
        <f>"HCLT IN Equity"</f>
        <v>HCLT IN Equity</v>
      </c>
      <c r="C91" t="str">
        <f t="shared" si="18"/>
        <v>M0006</v>
      </c>
      <c r="D91" t="str">
        <f t="shared" si="19"/>
        <v>UTILIZATION_RATE</v>
      </c>
      <c r="E91" t="str">
        <f t="shared" si="20"/>
        <v>Dynamic</v>
      </c>
      <c r="F91" t="str">
        <f ca="1">IF(AND(ISNUMBER($F$346),$B$242=1),$F$346,HLOOKUP(INDIRECT(ADDRESS(2,COLUMN())),OFFSET($M$2,0,0,ROW()-1,7),ROW()-1,FALSE))</f>
        <v/>
      </c>
      <c r="G91">
        <f ca="1">IF(AND(ISNUMBER($G$346),$B$242=1),$G$346,HLOOKUP(INDIRECT(ADDRESS(2,COLUMN())),OFFSET($M$2,0,0,ROW()-1,7),ROW()-1,FALSE))</f>
        <v>85.4</v>
      </c>
      <c r="H91">
        <f ca="1">IF(AND(ISNUMBER($H$346),$B$242=1),$H$346,HLOOKUP(INDIRECT(ADDRESS(2,COLUMN())),OFFSET($M$2,0,0,ROW()-1,7),ROW()-1,FALSE))</f>
        <v>85.9</v>
      </c>
      <c r="I91">
        <f ca="1">IF(AND(ISNUMBER($I$346),$B$242=1),$I$346,HLOOKUP(INDIRECT(ADDRESS(2,COLUMN())),OFFSET($M$2,0,0,ROW()-1,7),ROW()-1,FALSE))</f>
        <v>85.7</v>
      </c>
      <c r="J91">
        <f ca="1">IF(AND(ISNUMBER($J$346),$B$242=1),$J$346,HLOOKUP(INDIRECT(ADDRESS(2,COLUMN())),OFFSET($M$2,0,0,ROW()-1,7),ROW()-1,FALSE))</f>
        <v>85.6</v>
      </c>
      <c r="K91" t="str">
        <f ca="1">IF(AND(ISNUMBER($K$346),$B$242=1),$K$346,HLOOKUP(INDIRECT(ADDRESS(2,COLUMN())),OFFSET($M$2,0,0,ROW()-1,7),ROW()-1,FALSE))</f>
        <v/>
      </c>
      <c r="L91">
        <f ca="1">IF(AND(ISNUMBER($L$346),$B$242=1),$L$346,HLOOKUP(INDIRECT(ADDRESS(2,COLUMN())),OFFSET($M$2,0,0,ROW()-1,7),ROW()-1,FALSE))</f>
        <v>84.5</v>
      </c>
      <c r="M91" t="str">
        <f>""</f>
        <v/>
      </c>
      <c r="N91">
        <f>85.4</f>
        <v>85.4</v>
      </c>
      <c r="O91">
        <f>85.9</f>
        <v>85.9</v>
      </c>
      <c r="P91">
        <f>85.7</f>
        <v>85.7</v>
      </c>
      <c r="Q91">
        <f>85.6</f>
        <v>85.6</v>
      </c>
      <c r="R91" t="str">
        <f>""</f>
        <v/>
      </c>
      <c r="S91">
        <f>84.5</f>
        <v>84.5</v>
      </c>
    </row>
    <row r="92" spans="1:19" x14ac:dyDescent="0.25">
      <c r="A92" t="str">
        <f>"Client Metrics:"</f>
        <v>Client Metrics:</v>
      </c>
      <c r="B92" t="str">
        <f>""</f>
        <v/>
      </c>
      <c r="E92" t="str">
        <f>"Heading"</f>
        <v>Heading</v>
      </c>
      <c r="M92" t="str">
        <f>""</f>
        <v/>
      </c>
      <c r="N92" t="str">
        <f>""</f>
        <v/>
      </c>
      <c r="O92" t="str">
        <f>""</f>
        <v/>
      </c>
      <c r="P92" t="str">
        <f>""</f>
        <v/>
      </c>
      <c r="Q92" t="str">
        <f>""</f>
        <v/>
      </c>
      <c r="R92" t="str">
        <f>""</f>
        <v/>
      </c>
      <c r="S92" t="str">
        <f>""</f>
        <v/>
      </c>
    </row>
    <row r="93" spans="1:19" x14ac:dyDescent="0.25">
      <c r="A93" t="str">
        <f>"Active Clients"</f>
        <v>Active Clients</v>
      </c>
      <c r="B93" t="str">
        <f>""</f>
        <v/>
      </c>
      <c r="E93" t="str">
        <f>"Sum"</f>
        <v>Sum</v>
      </c>
      <c r="F93">
        <f ca="1">IF(ISERROR(IF(SUM($F$94:$F$98) = 0, "", SUM($F$94:$F$98))), "", (IF(SUM($F$94:$F$98) = 0, "", SUM($F$94:$F$98))))</f>
        <v>2485</v>
      </c>
      <c r="G93">
        <f ca="1">IF(ISERROR(IF(SUM($G$94:$G$98) = 0, "", SUM($G$94:$G$98))), "", (IF(SUM($G$94:$G$98) = 0, "", SUM($G$94:$G$98))))</f>
        <v>2772</v>
      </c>
      <c r="H93">
        <f ca="1">IF(ISERROR(IF(SUM($H$94:$H$98) = 0, "", SUM($H$94:$H$98))), "", (IF(SUM($H$94:$H$98) = 0, "", SUM($H$94:$H$98))))</f>
        <v>2809</v>
      </c>
      <c r="I93">
        <f ca="1">IF(ISERROR(IF(SUM($I$94:$I$98) = 0, "", SUM($I$94:$I$98))), "", (IF(SUM($I$94:$I$98) = 0, "", SUM($I$94:$I$98))))</f>
        <v>2814</v>
      </c>
      <c r="J93">
        <f ca="1">IF(ISERROR(IF(SUM($J$94:$J$98) = 0, "", SUM($J$94:$J$98))), "", (IF(SUM($J$94:$J$98) = 0, "", SUM($J$94:$J$98))))</f>
        <v>2615</v>
      </c>
      <c r="K93">
        <f ca="1">IF(ISERROR(IF(SUM($K$94:$K$98) = 0, "", SUM($K$94:$K$98))), "", (IF(SUM($K$94:$K$98) = 0, "", SUM($K$94:$K$98))))</f>
        <v>2275</v>
      </c>
      <c r="L93">
        <f ca="1">IF(ISERROR(IF(SUM($L$94:$L$98) = 0, "", SUM($L$94:$L$98))), "", (IF(SUM($L$94:$L$98) = 0, "", SUM($L$94:$L$98))))</f>
        <v>3073</v>
      </c>
      <c r="M93" t="str">
        <f>""</f>
        <v/>
      </c>
      <c r="N93">
        <f>2772</f>
        <v>2772</v>
      </c>
      <c r="O93">
        <f>2809</f>
        <v>2809</v>
      </c>
      <c r="P93">
        <f>2814</f>
        <v>2814</v>
      </c>
      <c r="Q93">
        <f>2615</f>
        <v>2615</v>
      </c>
      <c r="R93">
        <f>2275</f>
        <v>2275</v>
      </c>
      <c r="S93">
        <f>3073</f>
        <v>3073</v>
      </c>
    </row>
    <row r="94" spans="1:19" x14ac:dyDescent="0.25">
      <c r="A94" t="str">
        <f>"    Cognizant Technology Solutions Corp"</f>
        <v xml:space="preserve">    Cognizant Technology Solutions Corp</v>
      </c>
      <c r="B94" t="str">
        <f>"CTSH US Equity"</f>
        <v>CTSH US Equity</v>
      </c>
      <c r="C94" t="str">
        <f>"M0008"</f>
        <v>M0008</v>
      </c>
      <c r="D94" t="str">
        <f>"NUMBER_OF_ACTIVE_CLIENTS"</f>
        <v>NUMBER_OF_ACTIVE_CLIENTS</v>
      </c>
      <c r="E94" t="str">
        <f>"Dynamic"</f>
        <v>Dynamic</v>
      </c>
      <c r="F94" t="str">
        <f ca="1">IF(AND(ISNUMBER($F$347),$B$242=1),$F$347,HLOOKUP(INDIRECT(ADDRESS(2,COLUMN())),OFFSET($M$2,0,0,ROW()-1,7),ROW()-1,FALSE))</f>
        <v/>
      </c>
      <c r="G94">
        <f ca="1">IF(AND(ISNUMBER($G$347),$B$242=1),$G$347,HLOOKUP(INDIRECT(ADDRESS(2,COLUMN())),OFFSET($M$2,0,0,ROW()-1,7),ROW()-1,FALSE))</f>
        <v>378</v>
      </c>
      <c r="H94">
        <f ca="1">IF(AND(ISNUMBER($H$347),$B$242=1),$H$347,HLOOKUP(INDIRECT(ADDRESS(2,COLUMN())),OFFSET($M$2,0,0,ROW()-1,7),ROW()-1,FALSE))</f>
        <v>357</v>
      </c>
      <c r="I94">
        <f ca="1">IF(AND(ISNUMBER($I$347),$B$242=1),$I$347,HLOOKUP(INDIRECT(ADDRESS(2,COLUMN())),OFFSET($M$2,0,0,ROW()-1,7),ROW()-1,FALSE))</f>
        <v>329</v>
      </c>
      <c r="J94">
        <f ca="1">IF(AND(ISNUMBER($J$347),$B$242=1),$J$347,HLOOKUP(INDIRECT(ADDRESS(2,COLUMN())),OFFSET($M$2,0,0,ROW()-1,7),ROW()-1,FALSE))</f>
        <v>300</v>
      </c>
      <c r="K94">
        <f ca="1">IF(AND(ISNUMBER($K$347),$B$242=1),$K$347,HLOOKUP(INDIRECT(ADDRESS(2,COLUMN())),OFFSET($M$2,0,0,ROW()-1,7),ROW()-1,FALSE))</f>
        <v>271</v>
      </c>
      <c r="L94">
        <f ca="1">IF(AND(ISNUMBER($L$347),$B$242=1),$L$347,HLOOKUP(INDIRECT(ADDRESS(2,COLUMN())),OFFSET($M$2,0,0,ROW()-1,7),ROW()-1,FALSE))</f>
        <v>1197</v>
      </c>
      <c r="M94" t="str">
        <f>""</f>
        <v/>
      </c>
      <c r="N94">
        <f>378</f>
        <v>378</v>
      </c>
      <c r="O94">
        <f>357</f>
        <v>357</v>
      </c>
      <c r="P94">
        <f>329</f>
        <v>329</v>
      </c>
      <c r="Q94">
        <f>300</f>
        <v>300</v>
      </c>
      <c r="R94">
        <f>271</f>
        <v>271</v>
      </c>
      <c r="S94">
        <f>1197</f>
        <v>1197</v>
      </c>
    </row>
    <row r="95" spans="1:19" x14ac:dyDescent="0.25">
      <c r="A95" t="str">
        <f>"    HCL Technologies Ltd"</f>
        <v xml:space="preserve">    HCL Technologies Ltd</v>
      </c>
      <c r="B95" t="str">
        <f>"HCLT IN Equity"</f>
        <v>HCLT IN Equity</v>
      </c>
      <c r="C95" t="str">
        <f>"M0008"</f>
        <v>M0008</v>
      </c>
      <c r="D95" t="str">
        <f>"NUMBER_OF_ACTIVE_CLIENTS"</f>
        <v>NUMBER_OF_ACTIVE_CLIENTS</v>
      </c>
      <c r="E95" t="str">
        <f>"Dynamic"</f>
        <v>Dynamic</v>
      </c>
      <c r="F95" t="str">
        <f ca="1">IF(AND(ISNUMBER($F$348),$B$242=1),$F$348,HLOOKUP(INDIRECT(ADDRESS(2,COLUMN())),OFFSET($M$2,0,0,ROW()-1,7),ROW()-1,FALSE))</f>
        <v/>
      </c>
      <c r="G95" t="str">
        <f ca="1">IF(AND(ISNUMBER($G$348),$B$242=1),$G$348,HLOOKUP(INDIRECT(ADDRESS(2,COLUMN())),OFFSET($M$2,0,0,ROW()-1,7),ROW()-1,FALSE))</f>
        <v/>
      </c>
      <c r="H95" t="str">
        <f ca="1">IF(AND(ISNUMBER($H$348),$B$242=1),$H$348,HLOOKUP(INDIRECT(ADDRESS(2,COLUMN())),OFFSET($M$2,0,0,ROW()-1,7),ROW()-1,FALSE))</f>
        <v/>
      </c>
      <c r="I95" t="str">
        <f ca="1">IF(AND(ISNUMBER($I$348),$B$242=1),$I$348,HLOOKUP(INDIRECT(ADDRESS(2,COLUMN())),OFFSET($M$2,0,0,ROW()-1,7),ROW()-1,FALSE))</f>
        <v/>
      </c>
      <c r="J95" t="str">
        <f ca="1">IF(AND(ISNUMBER($J$348),$B$242=1),$J$348,HLOOKUP(INDIRECT(ADDRESS(2,COLUMN())),OFFSET($M$2,0,0,ROW()-1,7),ROW()-1,FALSE))</f>
        <v/>
      </c>
      <c r="K95" t="str">
        <f ca="1">IF(AND(ISNUMBER($K$348),$B$242=1),$K$348,HLOOKUP(INDIRECT(ADDRESS(2,COLUMN())),OFFSET($M$2,0,0,ROW()-1,7),ROW()-1,FALSE))</f>
        <v/>
      </c>
      <c r="L95" t="str">
        <f ca="1">IF(AND(ISNUMBER($L$348),$B$242=1),$L$348,HLOOKUP(INDIRECT(ADDRESS(2,COLUMN())),OFFSET($M$2,0,0,ROW()-1,7),ROW()-1,FALSE))</f>
        <v/>
      </c>
      <c r="M95" t="str">
        <f>""</f>
        <v/>
      </c>
      <c r="N95" t="str">
        <f>""</f>
        <v/>
      </c>
      <c r="O95" t="str">
        <f>""</f>
        <v/>
      </c>
      <c r="P95" t="str">
        <f>""</f>
        <v/>
      </c>
      <c r="Q95" t="str">
        <f>""</f>
        <v/>
      </c>
      <c r="R95" t="str">
        <f>""</f>
        <v/>
      </c>
      <c r="S95" t="str">
        <f>""</f>
        <v/>
      </c>
    </row>
    <row r="96" spans="1:19" x14ac:dyDescent="0.25">
      <c r="A96" t="str">
        <f>"    Infosys Ltd"</f>
        <v xml:space="preserve">    Infosys Ltd</v>
      </c>
      <c r="B96" t="str">
        <f>"INFY US Equity"</f>
        <v>INFY US Equity</v>
      </c>
      <c r="C96" t="str">
        <f>"M0008"</f>
        <v>M0008</v>
      </c>
      <c r="D96" t="str">
        <f>"NUMBER_OF_ACTIVE_CLIENTS"</f>
        <v>NUMBER_OF_ACTIVE_CLIENTS</v>
      </c>
      <c r="E96" t="str">
        <f>"Dynamic"</f>
        <v>Dynamic</v>
      </c>
      <c r="F96">
        <f ca="1">IF(AND(ISNUMBER($F$349),$B$242=1),$F$349,HLOOKUP(INDIRECT(ADDRESS(2,COLUMN())),OFFSET($M$2,0,0,ROW()-1,7),ROW()-1,FALSE))</f>
        <v>1411</v>
      </c>
      <c r="G96">
        <f ca="1">IF(AND(ISNUMBER($G$349),$B$242=1),$G$349,HLOOKUP(INDIRECT(ADDRESS(2,COLUMN())),OFFSET($M$2,0,0,ROW()-1,7),ROW()-1,FALSE))</f>
        <v>1279</v>
      </c>
      <c r="H96">
        <f ca="1">IF(AND(ISNUMBER($H$349),$B$242=1),$H$349,HLOOKUP(INDIRECT(ADDRESS(2,COLUMN())),OFFSET($M$2,0,0,ROW()-1,7),ROW()-1,FALSE))</f>
        <v>1204</v>
      </c>
      <c r="I96">
        <f ca="1">IF(AND(ISNUMBER($I$349),$B$242=1),$I$349,HLOOKUP(INDIRECT(ADDRESS(2,COLUMN())),OFFSET($M$2,0,0,ROW()-1,7),ROW()-1,FALSE))</f>
        <v>1162</v>
      </c>
      <c r="J96">
        <f ca="1">IF(AND(ISNUMBER($J$349),$B$242=1),$J$349,HLOOKUP(INDIRECT(ADDRESS(2,COLUMN())),OFFSET($M$2,0,0,ROW()-1,7),ROW()-1,FALSE))</f>
        <v>1092</v>
      </c>
      <c r="K96">
        <f ca="1">IF(AND(ISNUMBER($K$349),$B$242=1),$K$349,HLOOKUP(INDIRECT(ADDRESS(2,COLUMN())),OFFSET($M$2,0,0,ROW()-1,7),ROW()-1,FALSE))</f>
        <v>950</v>
      </c>
      <c r="L96">
        <f ca="1">IF(AND(ISNUMBER($L$349),$B$242=1),$L$349,HLOOKUP(INDIRECT(ADDRESS(2,COLUMN())),OFFSET($M$2,0,0,ROW()-1,7),ROW()-1,FALSE))</f>
        <v>890</v>
      </c>
      <c r="M96">
        <f>1411</f>
        <v>1411</v>
      </c>
      <c r="N96">
        <f>1279</f>
        <v>1279</v>
      </c>
      <c r="O96">
        <f>1204</f>
        <v>1204</v>
      </c>
      <c r="P96">
        <f>1162</f>
        <v>1162</v>
      </c>
      <c r="Q96">
        <f>1092</f>
        <v>1092</v>
      </c>
      <c r="R96">
        <f>950</f>
        <v>950</v>
      </c>
      <c r="S96">
        <f>890</f>
        <v>890</v>
      </c>
    </row>
    <row r="97" spans="1:19" x14ac:dyDescent="0.25">
      <c r="A97" t="str">
        <f>"    Tata Consultancy Services Ltd"</f>
        <v xml:space="preserve">    Tata Consultancy Services Ltd</v>
      </c>
      <c r="B97" t="str">
        <f>"TCS IN Equity"</f>
        <v>TCS IN Equity</v>
      </c>
      <c r="C97" t="str">
        <f>"M0008"</f>
        <v>M0008</v>
      </c>
      <c r="D97" t="str">
        <f>"NUMBER_OF_ACTIVE_CLIENTS"</f>
        <v>NUMBER_OF_ACTIVE_CLIENTS</v>
      </c>
      <c r="E97" t="str">
        <f>"Dynamic"</f>
        <v>Dynamic</v>
      </c>
      <c r="F97" t="str">
        <f ca="1">IF(AND(ISNUMBER($F$350),$B$242=1),$F$350,HLOOKUP(INDIRECT(ADDRESS(2,COLUMN())),OFFSET($M$2,0,0,ROW()-1,7),ROW()-1,FALSE))</f>
        <v/>
      </c>
      <c r="G97" t="str">
        <f ca="1">IF(AND(ISNUMBER($G$350),$B$242=1),$G$350,HLOOKUP(INDIRECT(ADDRESS(2,COLUMN())),OFFSET($M$2,0,0,ROW()-1,7),ROW()-1,FALSE))</f>
        <v/>
      </c>
      <c r="H97" t="str">
        <f ca="1">IF(AND(ISNUMBER($H$350),$B$242=1),$H$350,HLOOKUP(INDIRECT(ADDRESS(2,COLUMN())),OFFSET($M$2,0,0,ROW()-1,7),ROW()-1,FALSE))</f>
        <v/>
      </c>
      <c r="I97" t="str">
        <f ca="1">IF(AND(ISNUMBER($I$350),$B$242=1),$I$350,HLOOKUP(INDIRECT(ADDRESS(2,COLUMN())),OFFSET($M$2,0,0,ROW()-1,7),ROW()-1,FALSE))</f>
        <v/>
      </c>
      <c r="J97" t="str">
        <f ca="1">IF(AND(ISNUMBER($J$350),$B$242=1),$J$350,HLOOKUP(INDIRECT(ADDRESS(2,COLUMN())),OFFSET($M$2,0,0,ROW()-1,7),ROW()-1,FALSE))</f>
        <v/>
      </c>
      <c r="K97" t="str">
        <f ca="1">IF(AND(ISNUMBER($K$350),$B$242=1),$K$350,HLOOKUP(INDIRECT(ADDRESS(2,COLUMN())),OFFSET($M$2,0,0,ROW()-1,7),ROW()-1,FALSE))</f>
        <v/>
      </c>
      <c r="L97" t="str">
        <f ca="1">IF(AND(ISNUMBER($L$350),$B$242=1),$L$350,HLOOKUP(INDIRECT(ADDRESS(2,COLUMN())),OFFSET($M$2,0,0,ROW()-1,7),ROW()-1,FALSE))</f>
        <v/>
      </c>
      <c r="M97" t="str">
        <f>""</f>
        <v/>
      </c>
      <c r="N97" t="str">
        <f>""</f>
        <v/>
      </c>
      <c r="O97" t="str">
        <f>""</f>
        <v/>
      </c>
      <c r="P97" t="str">
        <f>""</f>
        <v/>
      </c>
      <c r="Q97" t="str">
        <f>""</f>
        <v/>
      </c>
      <c r="R97" t="str">
        <f>""</f>
        <v/>
      </c>
      <c r="S97" t="str">
        <f>""</f>
        <v/>
      </c>
    </row>
    <row r="98" spans="1:19" x14ac:dyDescent="0.25">
      <c r="A98" t="str">
        <f>"    Wipro Ltd"</f>
        <v xml:space="preserve">    Wipro Ltd</v>
      </c>
      <c r="B98" t="str">
        <f>"WIT US Equity"</f>
        <v>WIT US Equity</v>
      </c>
      <c r="C98" t="str">
        <f>"M0008"</f>
        <v>M0008</v>
      </c>
      <c r="D98" t="str">
        <f>"NUMBER_OF_ACTIVE_CLIENTS"</f>
        <v>NUMBER_OF_ACTIVE_CLIENTS</v>
      </c>
      <c r="E98" t="str">
        <f>"Dynamic"</f>
        <v>Dynamic</v>
      </c>
      <c r="F98">
        <f ca="1">IF(AND(ISNUMBER($F$351),$B$242=1),$F$351,HLOOKUP(INDIRECT(ADDRESS(2,COLUMN())),OFFSET($M$2,0,0,ROW()-1,7),ROW()-1,FALSE))</f>
        <v>1074</v>
      </c>
      <c r="G98">
        <f ca="1">IF(AND(ISNUMBER($G$351),$B$242=1),$G$351,HLOOKUP(INDIRECT(ADDRESS(2,COLUMN())),OFFSET($M$2,0,0,ROW()-1,7),ROW()-1,FALSE))</f>
        <v>1115</v>
      </c>
      <c r="H98">
        <f ca="1">IF(AND(ISNUMBER($H$351),$B$242=1),$H$351,HLOOKUP(INDIRECT(ADDRESS(2,COLUMN())),OFFSET($M$2,0,0,ROW()-1,7),ROW()-1,FALSE))</f>
        <v>1248</v>
      </c>
      <c r="I98">
        <f ca="1">IF(AND(ISNUMBER($I$351),$B$242=1),$I$351,HLOOKUP(INDIRECT(ADDRESS(2,COLUMN())),OFFSET($M$2,0,0,ROW()-1,7),ROW()-1,FALSE))</f>
        <v>1323</v>
      </c>
      <c r="J98">
        <f ca="1">IF(AND(ISNUMBER($J$351),$B$242=1),$J$351,HLOOKUP(INDIRECT(ADDRESS(2,COLUMN())),OFFSET($M$2,0,0,ROW()-1,7),ROW()-1,FALSE))</f>
        <v>1223</v>
      </c>
      <c r="K98">
        <f ca="1">IF(AND(ISNUMBER($K$351),$B$242=1),$K$351,HLOOKUP(INDIRECT(ADDRESS(2,COLUMN())),OFFSET($M$2,0,0,ROW()-1,7),ROW()-1,FALSE))</f>
        <v>1054</v>
      </c>
      <c r="L98">
        <f ca="1">IF(AND(ISNUMBER($L$351),$B$242=1),$L$351,HLOOKUP(INDIRECT(ADDRESS(2,COLUMN())),OFFSET($M$2,0,0,ROW()-1,7),ROW()-1,FALSE))</f>
        <v>986</v>
      </c>
      <c r="M98">
        <f>1074</f>
        <v>1074</v>
      </c>
      <c r="N98">
        <f>1115</f>
        <v>1115</v>
      </c>
      <c r="O98">
        <f>1248</f>
        <v>1248</v>
      </c>
      <c r="P98">
        <f>1323</f>
        <v>1323</v>
      </c>
      <c r="Q98">
        <f>1223</f>
        <v>1223</v>
      </c>
      <c r="R98">
        <f>1054</f>
        <v>1054</v>
      </c>
      <c r="S98">
        <f>986</f>
        <v>986</v>
      </c>
    </row>
    <row r="99" spans="1:19" x14ac:dyDescent="0.25">
      <c r="A99" t="str">
        <f>"Client Revenue Contribution"</f>
        <v>Client Revenue Contribution</v>
      </c>
      <c r="B99" t="str">
        <f>""</f>
        <v/>
      </c>
      <c r="E99" t="str">
        <f>"Static"</f>
        <v>Static</v>
      </c>
      <c r="F99" t="str">
        <f t="shared" ref="F99:L99" ca="1" si="21">HLOOKUP(INDIRECT(ADDRESS(2,COLUMN())),OFFSET($M$2,0,0,ROW()-1,7),ROW()-1,FALSE)</f>
        <v/>
      </c>
      <c r="G99" t="str">
        <f t="shared" ca="1" si="21"/>
        <v/>
      </c>
      <c r="H99" t="str">
        <f t="shared" ca="1" si="21"/>
        <v/>
      </c>
      <c r="I99" t="str">
        <f t="shared" ca="1" si="21"/>
        <v/>
      </c>
      <c r="J99" t="str">
        <f t="shared" ca="1" si="21"/>
        <v/>
      </c>
      <c r="K99" t="str">
        <f t="shared" ca="1" si="21"/>
        <v/>
      </c>
      <c r="L99" t="str">
        <f t="shared" ca="1" si="21"/>
        <v/>
      </c>
      <c r="M99" t="str">
        <f>""</f>
        <v/>
      </c>
      <c r="N99" t="str">
        <f>""</f>
        <v/>
      </c>
      <c r="O99" t="str">
        <f>""</f>
        <v/>
      </c>
      <c r="P99" t="str">
        <f>""</f>
        <v/>
      </c>
      <c r="Q99" t="str">
        <f>""</f>
        <v/>
      </c>
      <c r="R99" t="str">
        <f>""</f>
        <v/>
      </c>
      <c r="S99" t="str">
        <f>""</f>
        <v/>
      </c>
    </row>
    <row r="100" spans="1:19" x14ac:dyDescent="0.25">
      <c r="A100" t="str">
        <f>"    Top Client % of Revenue"</f>
        <v xml:space="preserve">    Top Client % of Revenue</v>
      </c>
      <c r="B100" t="str">
        <f>""</f>
        <v/>
      </c>
      <c r="E100" t="str">
        <f>"Average"</f>
        <v>Average</v>
      </c>
      <c r="F100">
        <f ca="1">IF(ISERROR(IF(AVERAGE($F$101:$F$105) = 0, "", AVERAGE($F$101:$F$105))), "", (IF(AVERAGE($F$101:$F$105) = 0, "", AVERAGE($F$101:$F$105))))</f>
        <v>3.1500000000000004</v>
      </c>
      <c r="G100">
        <f ca="1">IF(ISERROR(IF(AVERAGE($G$101:$G$105) = 0, "", AVERAGE($G$101:$G$105))), "", (IF(AVERAGE($G$101:$G$105) = 0, "", AVERAGE($G$101:$G$105))))</f>
        <v>3.7</v>
      </c>
      <c r="H100">
        <f ca="1">IF(ISERROR(IF(AVERAGE($H$101:$H$105) = 0, "", AVERAGE($H$101:$H$105))), "", (IF(AVERAGE($H$101:$H$105) = 0, "", AVERAGE($H$101:$H$105))))</f>
        <v>3.25</v>
      </c>
      <c r="I100">
        <f ca="1">IF(ISERROR(IF(AVERAGE($I$101:$I$105) = 0, "", AVERAGE($I$101:$I$105))), "", (IF(AVERAGE($I$101:$I$105) = 0, "", AVERAGE($I$101:$I$105))))</f>
        <v>3.05</v>
      </c>
      <c r="J100">
        <f ca="1">IF(ISERROR(IF(AVERAGE($J$101:$J$105) = 0, "", AVERAGE($J$101:$J$105))), "", (IF(AVERAGE($J$101:$J$105) = 0, "", AVERAGE($J$101:$J$105))))</f>
        <v>3.35</v>
      </c>
      <c r="K100">
        <f ca="1">IF(ISERROR(IF(AVERAGE($K$101:$K$105) = 0, "", AVERAGE($K$101:$K$105))), "", (IF(AVERAGE($K$101:$K$105) = 0, "", AVERAGE($K$101:$K$105))))</f>
        <v>3.5</v>
      </c>
      <c r="L100">
        <f ca="1">IF(ISERROR(IF(AVERAGE($L$101:$L$105) = 0, "", AVERAGE($L$101:$L$105))), "", (IF(AVERAGE($L$101:$L$105) = 0, "", AVERAGE($L$101:$L$105))))</f>
        <v>3.75</v>
      </c>
      <c r="M100">
        <f>3.15</f>
        <v>3.15</v>
      </c>
      <c r="N100">
        <f>3.7</f>
        <v>3.7</v>
      </c>
      <c r="O100">
        <f>3.25</f>
        <v>3.25</v>
      </c>
      <c r="P100">
        <f>3.05</f>
        <v>3.05</v>
      </c>
      <c r="Q100">
        <f>3.35</f>
        <v>3.35</v>
      </c>
      <c r="R100">
        <f>3.5</f>
        <v>3.5</v>
      </c>
      <c r="S100">
        <f>3.75</f>
        <v>3.75</v>
      </c>
    </row>
    <row r="101" spans="1:19" x14ac:dyDescent="0.25">
      <c r="A101" t="str">
        <f>"        Cognizant Technology Solutions Corp"</f>
        <v xml:space="preserve">        Cognizant Technology Solutions Corp</v>
      </c>
      <c r="B101" t="str">
        <f>"CTSH US Equity"</f>
        <v>CTSH US Equity</v>
      </c>
      <c r="C101" t="str">
        <f>"M0018"</f>
        <v>M0018</v>
      </c>
      <c r="D101" t="str">
        <f>"TOP_CLIENTS_CONTRIB_TO_REVENUE"</f>
        <v>TOP_CLIENTS_CONTRIB_TO_REVENUE</v>
      </c>
      <c r="E101" t="str">
        <f>"Dynamic"</f>
        <v>Dynamic</v>
      </c>
      <c r="F101" t="str">
        <f ca="1">IF(AND(ISNUMBER($F$352),$B$242=1),$F$352,HLOOKUP(INDIRECT(ADDRESS(2,COLUMN())),OFFSET($M$2,0,0,ROW()-1,7),ROW()-1,FALSE))</f>
        <v/>
      </c>
      <c r="G101" t="str">
        <f ca="1">IF(AND(ISNUMBER($G$352),$B$242=1),$G$352,HLOOKUP(INDIRECT(ADDRESS(2,COLUMN())),OFFSET($M$2,0,0,ROW()-1,7),ROW()-1,FALSE))</f>
        <v/>
      </c>
      <c r="H101" t="str">
        <f ca="1">IF(AND(ISNUMBER($H$352),$B$242=1),$H$352,HLOOKUP(INDIRECT(ADDRESS(2,COLUMN())),OFFSET($M$2,0,0,ROW()-1,7),ROW()-1,FALSE))</f>
        <v/>
      </c>
      <c r="I101" t="str">
        <f ca="1">IF(AND(ISNUMBER($I$352),$B$242=1),$I$352,HLOOKUP(INDIRECT(ADDRESS(2,COLUMN())),OFFSET($M$2,0,0,ROW()-1,7),ROW()-1,FALSE))</f>
        <v/>
      </c>
      <c r="J101" t="str">
        <f ca="1">IF(AND(ISNUMBER($J$352),$B$242=1),$J$352,HLOOKUP(INDIRECT(ADDRESS(2,COLUMN())),OFFSET($M$2,0,0,ROW()-1,7),ROW()-1,FALSE))</f>
        <v/>
      </c>
      <c r="K101" t="str">
        <f ca="1">IF(AND(ISNUMBER($K$352),$B$242=1),$K$352,HLOOKUP(INDIRECT(ADDRESS(2,COLUMN())),OFFSET($M$2,0,0,ROW()-1,7),ROW()-1,FALSE))</f>
        <v/>
      </c>
      <c r="L101" t="str">
        <f ca="1">IF(AND(ISNUMBER($L$352),$B$242=1),$L$352,HLOOKUP(INDIRECT(ADDRESS(2,COLUMN())),OFFSET($M$2,0,0,ROW()-1,7),ROW()-1,FALSE))</f>
        <v/>
      </c>
      <c r="M101" t="str">
        <f>""</f>
        <v/>
      </c>
      <c r="N101" t="str">
        <f>""</f>
        <v/>
      </c>
      <c r="O101" t="str">
        <f>""</f>
        <v/>
      </c>
      <c r="P101" t="str">
        <f>""</f>
        <v/>
      </c>
      <c r="Q101" t="str">
        <f>""</f>
        <v/>
      </c>
      <c r="R101" t="str">
        <f>""</f>
        <v/>
      </c>
      <c r="S101" t="str">
        <f>""</f>
        <v/>
      </c>
    </row>
    <row r="102" spans="1:19" x14ac:dyDescent="0.25">
      <c r="A102" t="str">
        <f>"        HCL Technologies Ltd"</f>
        <v xml:space="preserve">        HCL Technologies Ltd</v>
      </c>
      <c r="B102" t="str">
        <f>"HCLT IN Equity"</f>
        <v>HCLT IN Equity</v>
      </c>
      <c r="C102" t="str">
        <f>"M0018"</f>
        <v>M0018</v>
      </c>
      <c r="D102" t="str">
        <f>"TOP_CLIENTS_CONTRIB_TO_REVENUE"</f>
        <v>TOP_CLIENTS_CONTRIB_TO_REVENUE</v>
      </c>
      <c r="E102" t="str">
        <f>"Dynamic"</f>
        <v>Dynamic</v>
      </c>
      <c r="F102" t="str">
        <f ca="1">IF(AND(ISNUMBER($F$353),$B$242=1),$F$353,HLOOKUP(INDIRECT(ADDRESS(2,COLUMN())),OFFSET($M$2,0,0,ROW()-1,7),ROW()-1,FALSE))</f>
        <v/>
      </c>
      <c r="G102" t="str">
        <f ca="1">IF(AND(ISNUMBER($G$353),$B$242=1),$G$353,HLOOKUP(INDIRECT(ADDRESS(2,COLUMN())),OFFSET($M$2,0,0,ROW()-1,7),ROW()-1,FALSE))</f>
        <v/>
      </c>
      <c r="H102" t="str">
        <f ca="1">IF(AND(ISNUMBER($H$353),$B$242=1),$H$353,HLOOKUP(INDIRECT(ADDRESS(2,COLUMN())),OFFSET($M$2,0,0,ROW()-1,7),ROW()-1,FALSE))</f>
        <v/>
      </c>
      <c r="I102" t="str">
        <f ca="1">IF(AND(ISNUMBER($I$353),$B$242=1),$I$353,HLOOKUP(INDIRECT(ADDRESS(2,COLUMN())),OFFSET($M$2,0,0,ROW()-1,7),ROW()-1,FALSE))</f>
        <v/>
      </c>
      <c r="J102" t="str">
        <f ca="1">IF(AND(ISNUMBER($J$353),$B$242=1),$J$353,HLOOKUP(INDIRECT(ADDRESS(2,COLUMN())),OFFSET($M$2,0,0,ROW()-1,7),ROW()-1,FALSE))</f>
        <v/>
      </c>
      <c r="K102" t="str">
        <f ca="1">IF(AND(ISNUMBER($K$353),$B$242=1),$K$353,HLOOKUP(INDIRECT(ADDRESS(2,COLUMN())),OFFSET($M$2,0,0,ROW()-1,7),ROW()-1,FALSE))</f>
        <v/>
      </c>
      <c r="L102" t="str">
        <f ca="1">IF(AND(ISNUMBER($L$353),$B$242=1),$L$353,HLOOKUP(INDIRECT(ADDRESS(2,COLUMN())),OFFSET($M$2,0,0,ROW()-1,7),ROW()-1,FALSE))</f>
        <v/>
      </c>
      <c r="M102" t="str">
        <f>""</f>
        <v/>
      </c>
      <c r="N102" t="str">
        <f>""</f>
        <v/>
      </c>
      <c r="O102" t="str">
        <f>""</f>
        <v/>
      </c>
      <c r="P102" t="str">
        <f>""</f>
        <v/>
      </c>
      <c r="Q102" t="str">
        <f>""</f>
        <v/>
      </c>
      <c r="R102" t="str">
        <f>""</f>
        <v/>
      </c>
      <c r="S102" t="str">
        <f>""</f>
        <v/>
      </c>
    </row>
    <row r="103" spans="1:19" x14ac:dyDescent="0.25">
      <c r="A103" t="str">
        <f>"        Infosys Ltd"</f>
        <v xml:space="preserve">        Infosys Ltd</v>
      </c>
      <c r="B103" t="str">
        <f>"INFY US Equity"</f>
        <v>INFY US Equity</v>
      </c>
      <c r="C103" t="str">
        <f>"M0018"</f>
        <v>M0018</v>
      </c>
      <c r="D103" t="str">
        <f>"TOP_CLIENTS_CONTRIB_TO_REVENUE"</f>
        <v>TOP_CLIENTS_CONTRIB_TO_REVENUE</v>
      </c>
      <c r="E103" t="str">
        <f>"Dynamic"</f>
        <v>Dynamic</v>
      </c>
      <c r="F103">
        <f ca="1">IF(AND(ISNUMBER($F$354),$B$242=1),$F$354,HLOOKUP(INDIRECT(ADDRESS(2,COLUMN())),OFFSET($M$2,0,0,ROW()-1,7),ROW()-1,FALSE))</f>
        <v>3.1</v>
      </c>
      <c r="G103" t="str">
        <f ca="1">IF(AND(ISNUMBER($G$354),$B$242=1),$G$354,HLOOKUP(INDIRECT(ADDRESS(2,COLUMN())),OFFSET($M$2,0,0,ROW()-1,7),ROW()-1,FALSE))</f>
        <v/>
      </c>
      <c r="H103">
        <f ca="1">IF(AND(ISNUMBER($H$354),$B$242=1),$H$354,HLOOKUP(INDIRECT(ADDRESS(2,COLUMN())),OFFSET($M$2,0,0,ROW()-1,7),ROW()-1,FALSE))</f>
        <v>3.4</v>
      </c>
      <c r="I103">
        <f ca="1">IF(AND(ISNUMBER($I$354),$B$242=1),$I$354,HLOOKUP(INDIRECT(ADDRESS(2,COLUMN())),OFFSET($M$2,0,0,ROW()-1,7),ROW()-1,FALSE))</f>
        <v>3.4</v>
      </c>
      <c r="J103">
        <f ca="1">IF(AND(ISNUMBER($J$354),$B$242=1),$J$354,HLOOKUP(INDIRECT(ADDRESS(2,COLUMN())),OFFSET($M$2,0,0,ROW()-1,7),ROW()-1,FALSE))</f>
        <v>3.6</v>
      </c>
      <c r="K103">
        <f ca="1">IF(AND(ISNUMBER($K$354),$B$242=1),$K$354,HLOOKUP(INDIRECT(ADDRESS(2,COLUMN())),OFFSET($M$2,0,0,ROW()-1,7),ROW()-1,FALSE))</f>
        <v>3.3</v>
      </c>
      <c r="L103">
        <f ca="1">IF(AND(ISNUMBER($L$354),$B$242=1),$L$354,HLOOKUP(INDIRECT(ADDRESS(2,COLUMN())),OFFSET($M$2,0,0,ROW()-1,7),ROW()-1,FALSE))</f>
        <v>3.8</v>
      </c>
      <c r="M103">
        <f>3.1</f>
        <v>3.1</v>
      </c>
      <c r="N103" t="str">
        <f>""</f>
        <v/>
      </c>
      <c r="O103">
        <f>3.4</f>
        <v>3.4</v>
      </c>
      <c r="P103">
        <f>3.4</f>
        <v>3.4</v>
      </c>
      <c r="Q103">
        <f>3.6</f>
        <v>3.6</v>
      </c>
      <c r="R103">
        <f>3.3</f>
        <v>3.3</v>
      </c>
      <c r="S103">
        <f>3.8</f>
        <v>3.8</v>
      </c>
    </row>
    <row r="104" spans="1:19" x14ac:dyDescent="0.25">
      <c r="A104" t="str">
        <f>"        Tata Consultancy Services Ltd"</f>
        <v xml:space="preserve">        Tata Consultancy Services Ltd</v>
      </c>
      <c r="B104" t="str">
        <f>"TCS IN Equity"</f>
        <v>TCS IN Equity</v>
      </c>
      <c r="C104" t="str">
        <f>"M0018"</f>
        <v>M0018</v>
      </c>
      <c r="D104" t="str">
        <f>"TOP_CLIENTS_CONTRIB_TO_REVENUE"</f>
        <v>TOP_CLIENTS_CONTRIB_TO_REVENUE</v>
      </c>
      <c r="E104" t="str">
        <f>"Dynamic"</f>
        <v>Dynamic</v>
      </c>
      <c r="F104" t="str">
        <f ca="1">IF(AND(ISNUMBER($F$355),$B$242=1),$F$355,HLOOKUP(INDIRECT(ADDRESS(2,COLUMN())),OFFSET($M$2,0,0,ROW()-1,7),ROW()-1,FALSE))</f>
        <v/>
      </c>
      <c r="G104" t="str">
        <f ca="1">IF(AND(ISNUMBER($G$355),$B$242=1),$G$355,HLOOKUP(INDIRECT(ADDRESS(2,COLUMN())),OFFSET($M$2,0,0,ROW()-1,7),ROW()-1,FALSE))</f>
        <v/>
      </c>
      <c r="H104" t="str">
        <f ca="1">IF(AND(ISNUMBER($H$355),$B$242=1),$H$355,HLOOKUP(INDIRECT(ADDRESS(2,COLUMN())),OFFSET($M$2,0,0,ROW()-1,7),ROW()-1,FALSE))</f>
        <v/>
      </c>
      <c r="I104" t="str">
        <f ca="1">IF(AND(ISNUMBER($I$355),$B$242=1),$I$355,HLOOKUP(INDIRECT(ADDRESS(2,COLUMN())),OFFSET($M$2,0,0,ROW()-1,7),ROW()-1,FALSE))</f>
        <v/>
      </c>
      <c r="J104" t="str">
        <f ca="1">IF(AND(ISNUMBER($J$355),$B$242=1),$J$355,HLOOKUP(INDIRECT(ADDRESS(2,COLUMN())),OFFSET($M$2,0,0,ROW()-1,7),ROW()-1,FALSE))</f>
        <v/>
      </c>
      <c r="K104" t="str">
        <f ca="1">IF(AND(ISNUMBER($K$355),$B$242=1),$K$355,HLOOKUP(INDIRECT(ADDRESS(2,COLUMN())),OFFSET($M$2,0,0,ROW()-1,7),ROW()-1,FALSE))</f>
        <v/>
      </c>
      <c r="L104" t="str">
        <f ca="1">IF(AND(ISNUMBER($L$355),$B$242=1),$L$355,HLOOKUP(INDIRECT(ADDRESS(2,COLUMN())),OFFSET($M$2,0,0,ROW()-1,7),ROW()-1,FALSE))</f>
        <v/>
      </c>
      <c r="M104" t="str">
        <f>""</f>
        <v/>
      </c>
      <c r="N104" t="str">
        <f>""</f>
        <v/>
      </c>
      <c r="O104" t="str">
        <f>""</f>
        <v/>
      </c>
      <c r="P104" t="str">
        <f>""</f>
        <v/>
      </c>
      <c r="Q104" t="str">
        <f>""</f>
        <v/>
      </c>
      <c r="R104" t="str">
        <f>""</f>
        <v/>
      </c>
      <c r="S104" t="str">
        <f>""</f>
        <v/>
      </c>
    </row>
    <row r="105" spans="1:19" x14ac:dyDescent="0.25">
      <c r="A105" t="str">
        <f>"        Wipro Ltd"</f>
        <v xml:space="preserve">        Wipro Ltd</v>
      </c>
      <c r="B105" t="str">
        <f>"WIT US Equity"</f>
        <v>WIT US Equity</v>
      </c>
      <c r="C105" t="str">
        <f>"M0018"</f>
        <v>M0018</v>
      </c>
      <c r="D105" t="str">
        <f>"TOP_CLIENTS_CONTRIB_TO_REVENUE"</f>
        <v>TOP_CLIENTS_CONTRIB_TO_REVENUE</v>
      </c>
      <c r="E105" t="str">
        <f>"Dynamic"</f>
        <v>Dynamic</v>
      </c>
      <c r="F105">
        <f ca="1">IF(AND(ISNUMBER($F$356),$B$242=1),$F$356,HLOOKUP(INDIRECT(ADDRESS(2,COLUMN())),OFFSET($M$2,0,0,ROW()-1,7),ROW()-1,FALSE))</f>
        <v>3.2</v>
      </c>
      <c r="G105">
        <f ca="1">IF(AND(ISNUMBER($G$356),$B$242=1),$G$356,HLOOKUP(INDIRECT(ADDRESS(2,COLUMN())),OFFSET($M$2,0,0,ROW()-1,7),ROW()-1,FALSE))</f>
        <v>3.7</v>
      </c>
      <c r="H105">
        <f ca="1">IF(AND(ISNUMBER($H$356),$B$242=1),$H$356,HLOOKUP(INDIRECT(ADDRESS(2,COLUMN())),OFFSET($M$2,0,0,ROW()-1,7),ROW()-1,FALSE))</f>
        <v>3.1</v>
      </c>
      <c r="I105">
        <f ca="1">IF(AND(ISNUMBER($I$356),$B$242=1),$I$356,HLOOKUP(INDIRECT(ADDRESS(2,COLUMN())),OFFSET($M$2,0,0,ROW()-1,7),ROW()-1,FALSE))</f>
        <v>2.7</v>
      </c>
      <c r="J105">
        <f ca="1">IF(AND(ISNUMBER($J$356),$B$242=1),$J$356,HLOOKUP(INDIRECT(ADDRESS(2,COLUMN())),OFFSET($M$2,0,0,ROW()-1,7),ROW()-1,FALSE))</f>
        <v>3.1</v>
      </c>
      <c r="K105">
        <f ca="1">IF(AND(ISNUMBER($K$356),$B$242=1),$K$356,HLOOKUP(INDIRECT(ADDRESS(2,COLUMN())),OFFSET($M$2,0,0,ROW()-1,7),ROW()-1,FALSE))</f>
        <v>3.7</v>
      </c>
      <c r="L105">
        <f ca="1">IF(AND(ISNUMBER($L$356),$B$242=1),$L$356,HLOOKUP(INDIRECT(ADDRESS(2,COLUMN())),OFFSET($M$2,0,0,ROW()-1,7),ROW()-1,FALSE))</f>
        <v>3.7</v>
      </c>
      <c r="M105">
        <f>3.2</f>
        <v>3.2</v>
      </c>
      <c r="N105">
        <f>3.7</f>
        <v>3.7</v>
      </c>
      <c r="O105">
        <f>3.1</f>
        <v>3.1</v>
      </c>
      <c r="P105">
        <f>2.7</f>
        <v>2.7</v>
      </c>
      <c r="Q105">
        <f>3.1</f>
        <v>3.1</v>
      </c>
      <c r="R105">
        <f>3.7</f>
        <v>3.7</v>
      </c>
      <c r="S105">
        <f>3.7</f>
        <v>3.7</v>
      </c>
    </row>
    <row r="106" spans="1:19" x14ac:dyDescent="0.25">
      <c r="A106" t="str">
        <f>"    Top 5 Clients % of Revenue"</f>
        <v xml:space="preserve">    Top 5 Clients % of Revenue</v>
      </c>
      <c r="B106" t="str">
        <f>""</f>
        <v/>
      </c>
      <c r="E106" t="str">
        <f>"Average"</f>
        <v>Average</v>
      </c>
      <c r="F106">
        <f ca="1">IF(ISERROR(IF(AVERAGE($F$107:$F$111) = 0, "", AVERAGE($F$107:$F$111))), "", (IF(AVERAGE($F$107:$F$111) = 0, "", AVERAGE($F$107:$F$111))))</f>
        <v>13.95</v>
      </c>
      <c r="G106">
        <f ca="1">IF(ISERROR(IF(AVERAGE($G$107:$G$111) = 0, "", AVERAGE($G$107:$G$111))), "", (IF(AVERAGE($G$107:$G$111) = 0, "", AVERAGE($G$107:$G$111))))</f>
        <v>14.85</v>
      </c>
      <c r="H106">
        <f ca="1">IF(ISERROR(IF(AVERAGE($H$107:$H$111) = 0, "", AVERAGE($H$107:$H$111))), "", (IF(AVERAGE($H$107:$H$111) = 0, "", AVERAGE($H$107:$H$111))))</f>
        <v>9.1333333333333329</v>
      </c>
      <c r="I106">
        <f ca="1">IF(ISERROR(IF(AVERAGE($I$107:$I$111) = 0, "", AVERAGE($I$107:$I$111))), "", (IF(AVERAGE($I$107:$I$111) = 0, "", AVERAGE($I$107:$I$111))))</f>
        <v>12.433333333333332</v>
      </c>
      <c r="J106">
        <f ca="1">IF(ISERROR(IF(AVERAGE($J$107:$J$111) = 0, "", AVERAGE($J$107:$J$111))), "", (IF(AVERAGE($J$107:$J$111) = 0, "", AVERAGE($J$107:$J$111))))</f>
        <v>13</v>
      </c>
      <c r="K106">
        <f ca="1">IF(ISERROR(IF(AVERAGE($K$107:$K$111) = 0, "", AVERAGE($K$107:$K$111))), "", (IF(AVERAGE($K$107:$K$111) = 0, "", AVERAGE($K$107:$K$111))))</f>
        <v>13.200000000000001</v>
      </c>
      <c r="L106">
        <f ca="1">IF(ISERROR(IF(AVERAGE($L$107:$L$111) = 0, "", AVERAGE($L$107:$L$111))), "", (IF(AVERAGE($L$107:$L$111) = 0, "", AVERAGE($L$107:$L$111))))</f>
        <v>14.049999999999999</v>
      </c>
      <c r="M106">
        <f>13.95</f>
        <v>13.95</v>
      </c>
      <c r="N106">
        <f>14.85</f>
        <v>14.85</v>
      </c>
      <c r="O106">
        <f>9.133333333</f>
        <v>9.1333333329999995</v>
      </c>
      <c r="P106">
        <f>12.43333333</f>
        <v>12.43333333</v>
      </c>
      <c r="Q106">
        <f>13</f>
        <v>13</v>
      </c>
      <c r="R106">
        <f>13.2</f>
        <v>13.2</v>
      </c>
      <c r="S106">
        <f>14.05</f>
        <v>14.05</v>
      </c>
    </row>
    <row r="107" spans="1:19" x14ac:dyDescent="0.25">
      <c r="A107" t="str">
        <f>"        Cognizant Technology Solutions Corp"</f>
        <v xml:space="preserve">        Cognizant Technology Solutions Corp</v>
      </c>
      <c r="B107" t="str">
        <f>"CTSH US Equity"</f>
        <v>CTSH US Equity</v>
      </c>
      <c r="C107" t="str">
        <f>"M0019"</f>
        <v>M0019</v>
      </c>
      <c r="D107" t="str">
        <f>"TOP_5_CLIENTS_CONTRIB_TO_REV"</f>
        <v>TOP_5_CLIENTS_CONTRIB_TO_REV</v>
      </c>
      <c r="E107" t="str">
        <f>"Dynamic"</f>
        <v>Dynamic</v>
      </c>
      <c r="F107" t="str">
        <f ca="1">IF(AND(ISNUMBER($F$357),$B$242=1),$F$357,HLOOKUP(INDIRECT(ADDRESS(2,COLUMN())),OFFSET($M$2,0,0,ROW()-1,7),ROW()-1,FALSE))</f>
        <v/>
      </c>
      <c r="G107" t="str">
        <f ca="1">IF(AND(ISNUMBER($G$357),$B$242=1),$G$357,HLOOKUP(INDIRECT(ADDRESS(2,COLUMN())),OFFSET($M$2,0,0,ROW()-1,7),ROW()-1,FALSE))</f>
        <v/>
      </c>
      <c r="H107" t="str">
        <f ca="1">IF(AND(ISNUMBER($H$357),$B$242=1),$H$357,HLOOKUP(INDIRECT(ADDRESS(2,COLUMN())),OFFSET($M$2,0,0,ROW()-1,7),ROW()-1,FALSE))</f>
        <v/>
      </c>
      <c r="I107" t="str">
        <f ca="1">IF(AND(ISNUMBER($I$357),$B$242=1),$I$357,HLOOKUP(INDIRECT(ADDRESS(2,COLUMN())),OFFSET($M$2,0,0,ROW()-1,7),ROW()-1,FALSE))</f>
        <v/>
      </c>
      <c r="J107" t="str">
        <f ca="1">IF(AND(ISNUMBER($J$357),$B$242=1),$J$357,HLOOKUP(INDIRECT(ADDRESS(2,COLUMN())),OFFSET($M$2,0,0,ROW()-1,7),ROW()-1,FALSE))</f>
        <v/>
      </c>
      <c r="K107">
        <f ca="1">IF(AND(ISNUMBER($K$357),$B$242=1),$K$357,HLOOKUP(INDIRECT(ADDRESS(2,COLUMN())),OFFSET($M$2,0,0,ROW()-1,7),ROW()-1,FALSE))</f>
        <v>12.2</v>
      </c>
      <c r="L107">
        <f ca="1">IF(AND(ISNUMBER($L$357),$B$242=1),$L$357,HLOOKUP(INDIRECT(ADDRESS(2,COLUMN())),OFFSET($M$2,0,0,ROW()-1,7),ROW()-1,FALSE))</f>
        <v>13.2</v>
      </c>
      <c r="M107" t="str">
        <f>""</f>
        <v/>
      </c>
      <c r="N107" t="str">
        <f>""</f>
        <v/>
      </c>
      <c r="O107" t="str">
        <f>""</f>
        <v/>
      </c>
      <c r="P107" t="str">
        <f>""</f>
        <v/>
      </c>
      <c r="Q107" t="str">
        <f>""</f>
        <v/>
      </c>
      <c r="R107">
        <f>12.2</f>
        <v>12.2</v>
      </c>
      <c r="S107">
        <f>13.2</f>
        <v>13.2</v>
      </c>
    </row>
    <row r="108" spans="1:19" x14ac:dyDescent="0.25">
      <c r="A108" t="str">
        <f>"        HCL Technologies Ltd"</f>
        <v xml:space="preserve">        HCL Technologies Ltd</v>
      </c>
      <c r="B108" t="str">
        <f>"HCLT IN Equity"</f>
        <v>HCLT IN Equity</v>
      </c>
      <c r="C108" t="str">
        <f>"M0019"</f>
        <v>M0019</v>
      </c>
      <c r="D108" t="str">
        <f>"TOP_5_CLIENTS_CONTRIB_TO_REV"</f>
        <v>TOP_5_CLIENTS_CONTRIB_TO_REV</v>
      </c>
      <c r="E108" t="str">
        <f>"Dynamic"</f>
        <v>Dynamic</v>
      </c>
      <c r="F108">
        <f ca="1">IF(AND(ISNUMBER($F$358),$B$242=1),$F$358,HLOOKUP(INDIRECT(ADDRESS(2,COLUMN())),OFFSET($M$2,0,0,ROW()-1,7),ROW()-1,FALSE))</f>
        <v>15.1</v>
      </c>
      <c r="G108">
        <f ca="1">IF(AND(ISNUMBER($G$358),$B$242=1),$G$358,HLOOKUP(INDIRECT(ADDRESS(2,COLUMN())),OFFSET($M$2,0,0,ROW()-1,7),ROW()-1,FALSE))</f>
        <v>17</v>
      </c>
      <c r="H108">
        <f ca="1">IF(AND(ISNUMBER($H$358),$B$242=1),$H$358,HLOOKUP(INDIRECT(ADDRESS(2,COLUMN())),OFFSET($M$2,0,0,ROW()-1,7),ROW()-1,FALSE))</f>
        <v>16.3</v>
      </c>
      <c r="I108">
        <f ca="1">IF(AND(ISNUMBER($I$358),$B$242=1),$I$358,HLOOKUP(INDIRECT(ADDRESS(2,COLUMN())),OFFSET($M$2,0,0,ROW()-1,7),ROW()-1,FALSE))</f>
        <v>14.7</v>
      </c>
      <c r="J108">
        <f ca="1">IF(AND(ISNUMBER($J$358),$B$242=1),$J$358,HLOOKUP(INDIRECT(ADDRESS(2,COLUMN())),OFFSET($M$2,0,0,ROW()-1,7),ROW()-1,FALSE))</f>
        <v>13.6</v>
      </c>
      <c r="K108" t="str">
        <f ca="1">IF(AND(ISNUMBER($K$358),$B$242=1),$K$358,HLOOKUP(INDIRECT(ADDRESS(2,COLUMN())),OFFSET($M$2,0,0,ROW()-1,7),ROW()-1,FALSE))</f>
        <v/>
      </c>
      <c r="L108">
        <f ca="1">IF(AND(ISNUMBER($L$358),$B$242=1),$L$358,HLOOKUP(INDIRECT(ADDRESS(2,COLUMN())),OFFSET($M$2,0,0,ROW()-1,7),ROW()-1,FALSE))</f>
        <v>14.7</v>
      </c>
      <c r="M108">
        <f>15.1</f>
        <v>15.1</v>
      </c>
      <c r="N108">
        <f>17</f>
        <v>17</v>
      </c>
      <c r="O108">
        <f>16.3</f>
        <v>16.3</v>
      </c>
      <c r="P108">
        <f>14.7</f>
        <v>14.7</v>
      </c>
      <c r="Q108">
        <f>13.6</f>
        <v>13.6</v>
      </c>
      <c r="R108" t="str">
        <f>""</f>
        <v/>
      </c>
      <c r="S108">
        <f>14.7</f>
        <v>14.7</v>
      </c>
    </row>
    <row r="109" spans="1:19" x14ac:dyDescent="0.25">
      <c r="A109" t="str">
        <f>"        Infosys Ltd"</f>
        <v xml:space="preserve">        Infosys Ltd</v>
      </c>
      <c r="B109" t="str">
        <f>"INFY US Equity"</f>
        <v>INFY US Equity</v>
      </c>
      <c r="C109" t="str">
        <f>"M0019"</f>
        <v>M0019</v>
      </c>
      <c r="D109" t="str">
        <f>"TOP_5_CLIENTS_CONTRIB_TO_REV"</f>
        <v>TOP_5_CLIENTS_CONTRIB_TO_REV</v>
      </c>
      <c r="E109" t="str">
        <f>"Dynamic"</f>
        <v>Dynamic</v>
      </c>
      <c r="F109" t="str">
        <f ca="1">IF(AND(ISNUMBER($F$359),$B$242=1),$F$359,HLOOKUP(INDIRECT(ADDRESS(2,COLUMN())),OFFSET($M$2,0,0,ROW()-1,7),ROW()-1,FALSE))</f>
        <v/>
      </c>
      <c r="G109" t="str">
        <f ca="1">IF(AND(ISNUMBER($G$359),$B$242=1),$G$359,HLOOKUP(INDIRECT(ADDRESS(2,COLUMN())),OFFSET($M$2,0,0,ROW()-1,7),ROW()-1,FALSE))</f>
        <v/>
      </c>
      <c r="H109">
        <f ca="1">IF(AND(ISNUMBER($H$359),$B$242=1),$H$359,HLOOKUP(INDIRECT(ADDRESS(2,COLUMN())),OFFSET($M$2,0,0,ROW()-1,7),ROW()-1,FALSE))</f>
        <v>0</v>
      </c>
      <c r="I109">
        <f ca="1">IF(AND(ISNUMBER($I$359),$B$242=1),$I$359,HLOOKUP(INDIRECT(ADDRESS(2,COLUMN())),OFFSET($M$2,0,0,ROW()-1,7),ROW()-1,FALSE))</f>
        <v>12.6</v>
      </c>
      <c r="J109">
        <f ca="1">IF(AND(ISNUMBER($J$359),$B$242=1),$J$359,HLOOKUP(INDIRECT(ADDRESS(2,COLUMN())),OFFSET($M$2,0,0,ROW()-1,7),ROW()-1,FALSE))</f>
        <v>13.8</v>
      </c>
      <c r="K109">
        <f ca="1">IF(AND(ISNUMBER($K$359),$B$242=1),$K$359,HLOOKUP(INDIRECT(ADDRESS(2,COLUMN())),OFFSET($M$2,0,0,ROW()-1,7),ROW()-1,FALSE))</f>
        <v>13.5</v>
      </c>
      <c r="L109">
        <f ca="1">IF(AND(ISNUMBER($L$359),$B$242=1),$L$359,HLOOKUP(INDIRECT(ADDRESS(2,COLUMN())),OFFSET($M$2,0,0,ROW()-1,7),ROW()-1,FALSE))</f>
        <v>14.4</v>
      </c>
      <c r="M109" t="str">
        <f>""</f>
        <v/>
      </c>
      <c r="N109" t="str">
        <f>""</f>
        <v/>
      </c>
      <c r="O109">
        <f>0</f>
        <v>0</v>
      </c>
      <c r="P109">
        <f>12.6</f>
        <v>12.6</v>
      </c>
      <c r="Q109">
        <f>13.8</f>
        <v>13.8</v>
      </c>
      <c r="R109">
        <f>13.5</f>
        <v>13.5</v>
      </c>
      <c r="S109">
        <f>14.4</f>
        <v>14.4</v>
      </c>
    </row>
    <row r="110" spans="1:19" x14ac:dyDescent="0.25">
      <c r="A110" t="str">
        <f>"        Tata Consultancy Services Ltd"</f>
        <v xml:space="preserve">        Tata Consultancy Services Ltd</v>
      </c>
      <c r="B110" t="str">
        <f>"TCS IN Equity"</f>
        <v>TCS IN Equity</v>
      </c>
      <c r="C110" t="str">
        <f>"M0019"</f>
        <v>M0019</v>
      </c>
      <c r="D110" t="str">
        <f>"TOP_5_CLIENTS_CONTRIB_TO_REV"</f>
        <v>TOP_5_CLIENTS_CONTRIB_TO_REV</v>
      </c>
      <c r="E110" t="str">
        <f>"Dynamic"</f>
        <v>Dynamic</v>
      </c>
      <c r="F110" t="str">
        <f ca="1">IF(AND(ISNUMBER($F$360),$B$242=1),$F$360,HLOOKUP(INDIRECT(ADDRESS(2,COLUMN())),OFFSET($M$2,0,0,ROW()-1,7),ROW()-1,FALSE))</f>
        <v/>
      </c>
      <c r="G110" t="str">
        <f ca="1">IF(AND(ISNUMBER($G$360),$B$242=1),$G$360,HLOOKUP(INDIRECT(ADDRESS(2,COLUMN())),OFFSET($M$2,0,0,ROW()-1,7),ROW()-1,FALSE))</f>
        <v/>
      </c>
      <c r="H110" t="str">
        <f ca="1">IF(AND(ISNUMBER($H$360),$B$242=1),$H$360,HLOOKUP(INDIRECT(ADDRESS(2,COLUMN())),OFFSET($M$2,0,0,ROW()-1,7),ROW()-1,FALSE))</f>
        <v/>
      </c>
      <c r="I110" t="str">
        <f ca="1">IF(AND(ISNUMBER($I$360),$B$242=1),$I$360,HLOOKUP(INDIRECT(ADDRESS(2,COLUMN())),OFFSET($M$2,0,0,ROW()-1,7),ROW()-1,FALSE))</f>
        <v/>
      </c>
      <c r="J110" t="str">
        <f ca="1">IF(AND(ISNUMBER($J$360),$B$242=1),$J$360,HLOOKUP(INDIRECT(ADDRESS(2,COLUMN())),OFFSET($M$2,0,0,ROW()-1,7),ROW()-1,FALSE))</f>
        <v/>
      </c>
      <c r="K110" t="str">
        <f ca="1">IF(AND(ISNUMBER($K$360),$B$242=1),$K$360,HLOOKUP(INDIRECT(ADDRESS(2,COLUMN())),OFFSET($M$2,0,0,ROW()-1,7),ROW()-1,FALSE))</f>
        <v/>
      </c>
      <c r="L110" t="str">
        <f ca="1">IF(AND(ISNUMBER($L$360),$B$242=1),$L$360,HLOOKUP(INDIRECT(ADDRESS(2,COLUMN())),OFFSET($M$2,0,0,ROW()-1,7),ROW()-1,FALSE))</f>
        <v/>
      </c>
      <c r="M110" t="str">
        <f>""</f>
        <v/>
      </c>
      <c r="N110" t="str">
        <f>""</f>
        <v/>
      </c>
      <c r="O110" t="str">
        <f>""</f>
        <v/>
      </c>
      <c r="P110" t="str">
        <f>""</f>
        <v/>
      </c>
      <c r="Q110" t="str">
        <f>""</f>
        <v/>
      </c>
      <c r="R110" t="str">
        <f>""</f>
        <v/>
      </c>
      <c r="S110" t="str">
        <f>""</f>
        <v/>
      </c>
    </row>
    <row r="111" spans="1:19" x14ac:dyDescent="0.25">
      <c r="A111" t="str">
        <f>"        Wipro Ltd"</f>
        <v xml:space="preserve">        Wipro Ltd</v>
      </c>
      <c r="B111" t="str">
        <f>"WIT US Equity"</f>
        <v>WIT US Equity</v>
      </c>
      <c r="C111" t="str">
        <f>"M0019"</f>
        <v>M0019</v>
      </c>
      <c r="D111" t="str">
        <f>"TOP_5_CLIENTS_CONTRIB_TO_REV"</f>
        <v>TOP_5_CLIENTS_CONTRIB_TO_REV</v>
      </c>
      <c r="E111" t="str">
        <f>"Dynamic"</f>
        <v>Dynamic</v>
      </c>
      <c r="F111">
        <f ca="1">IF(AND(ISNUMBER($F$361),$B$242=1),$F$361,HLOOKUP(INDIRECT(ADDRESS(2,COLUMN())),OFFSET($M$2,0,0,ROW()-1,7),ROW()-1,FALSE))</f>
        <v>12.8</v>
      </c>
      <c r="G111">
        <f ca="1">IF(AND(ISNUMBER($G$361),$B$242=1),$G$361,HLOOKUP(INDIRECT(ADDRESS(2,COLUMN())),OFFSET($M$2,0,0,ROW()-1,7),ROW()-1,FALSE))</f>
        <v>12.7</v>
      </c>
      <c r="H111">
        <f ca="1">IF(AND(ISNUMBER($H$361),$B$242=1),$H$361,HLOOKUP(INDIRECT(ADDRESS(2,COLUMN())),OFFSET($M$2,0,0,ROW()-1,7),ROW()-1,FALSE))</f>
        <v>11.1</v>
      </c>
      <c r="I111">
        <f ca="1">IF(AND(ISNUMBER($I$361),$B$242=1),$I$361,HLOOKUP(INDIRECT(ADDRESS(2,COLUMN())),OFFSET($M$2,0,0,ROW()-1,7),ROW()-1,FALSE))</f>
        <v>10</v>
      </c>
      <c r="J111">
        <f ca="1">IF(AND(ISNUMBER($J$361),$B$242=1),$J$361,HLOOKUP(INDIRECT(ADDRESS(2,COLUMN())),OFFSET($M$2,0,0,ROW()-1,7),ROW()-1,FALSE))</f>
        <v>11.6</v>
      </c>
      <c r="K111">
        <f ca="1">IF(AND(ISNUMBER($K$361),$B$242=1),$K$361,HLOOKUP(INDIRECT(ADDRESS(2,COLUMN())),OFFSET($M$2,0,0,ROW()-1,7),ROW()-1,FALSE))</f>
        <v>13.9</v>
      </c>
      <c r="L111">
        <f ca="1">IF(AND(ISNUMBER($L$361),$B$242=1),$L$361,HLOOKUP(INDIRECT(ADDRESS(2,COLUMN())),OFFSET($M$2,0,0,ROW()-1,7),ROW()-1,FALSE))</f>
        <v>13.9</v>
      </c>
      <c r="M111">
        <f>12.8</f>
        <v>12.8</v>
      </c>
      <c r="N111">
        <f>12.7</f>
        <v>12.7</v>
      </c>
      <c r="O111">
        <f>11.1</f>
        <v>11.1</v>
      </c>
      <c r="P111">
        <f>10</f>
        <v>10</v>
      </c>
      <c r="Q111">
        <f>11.6</f>
        <v>11.6</v>
      </c>
      <c r="R111">
        <f>13.9</f>
        <v>13.9</v>
      </c>
      <c r="S111">
        <f>13.9</f>
        <v>13.9</v>
      </c>
    </row>
    <row r="112" spans="1:19" x14ac:dyDescent="0.25">
      <c r="A112" t="str">
        <f>"    Top 10 Clients % of Revenue"</f>
        <v xml:space="preserve">    Top 10 Clients % of Revenue</v>
      </c>
      <c r="B112" t="str">
        <f>""</f>
        <v/>
      </c>
      <c r="E112" t="str">
        <f>"Average"</f>
        <v>Average</v>
      </c>
      <c r="F112">
        <f ca="1">IF(ISERROR(IF(AVERAGE($F$113:$F$117) = 0, "", AVERAGE($F$113:$F$117))), "", (IF(AVERAGE($F$113:$F$117) = 0, "", AVERAGE($F$113:$F$117))))</f>
        <v>20.85</v>
      </c>
      <c r="G112">
        <f ca="1">IF(ISERROR(IF(AVERAGE($G$113:$G$117) = 0, "", AVERAGE($G$113:$G$117))), "", (IF(AVERAGE($G$113:$G$117) = 0, "", AVERAGE($G$113:$G$117))))</f>
        <v>21.8</v>
      </c>
      <c r="H112">
        <f ca="1">IF(ISERROR(IF(AVERAGE($H$113:$H$117) = 0, "", AVERAGE($H$113:$H$117))), "", (IF(AVERAGE($H$113:$H$117) = 0, "", AVERAGE($H$113:$H$117))))</f>
        <v>20.3</v>
      </c>
      <c r="I112">
        <f ca="1">IF(ISERROR(IF(AVERAGE($I$113:$I$117) = 0, "", AVERAGE($I$113:$I$117))), "", (IF(AVERAGE($I$113:$I$117) = 0, "", AVERAGE($I$113:$I$117))))</f>
        <v>20.066666666666666</v>
      </c>
      <c r="J112">
        <f ca="1">IF(ISERROR(IF(AVERAGE($J$113:$J$117) = 0, "", AVERAGE($J$113:$J$117))), "", (IF(AVERAGE($J$113:$J$117) = 0, "", AVERAGE($J$113:$J$117))))</f>
        <v>21.2</v>
      </c>
      <c r="K112">
        <f ca="1">IF(ISERROR(IF(AVERAGE($K$113:$K$117) = 0, "", AVERAGE($K$113:$K$117))), "", (IF(AVERAGE($K$113:$K$117) = 0, "", AVERAGE($K$113:$K$117))))</f>
        <v>22.233333333333334</v>
      </c>
      <c r="L112">
        <f ca="1">IF(ISERROR(IF(AVERAGE($L$113:$L$117) = 0, "", AVERAGE($L$113:$L$117))), "", (IF(AVERAGE($L$113:$L$117) = 0, "", AVERAGE($L$113:$L$117))))</f>
        <v>23.2</v>
      </c>
      <c r="M112">
        <f>20.85</f>
        <v>20.85</v>
      </c>
      <c r="N112">
        <f>21.8</f>
        <v>21.8</v>
      </c>
      <c r="O112">
        <f>20.3</f>
        <v>20.3</v>
      </c>
      <c r="P112">
        <f>20.06666667</f>
        <v>20.06666667</v>
      </c>
      <c r="Q112">
        <f>21.2</f>
        <v>21.2</v>
      </c>
      <c r="R112">
        <f>22.23333333</f>
        <v>22.233333330000001</v>
      </c>
      <c r="S112">
        <f>23.2</f>
        <v>23.2</v>
      </c>
    </row>
    <row r="113" spans="1:19" x14ac:dyDescent="0.25">
      <c r="A113" t="str">
        <f>"        Cognizant Technology Solutions Corp"</f>
        <v xml:space="preserve">        Cognizant Technology Solutions Corp</v>
      </c>
      <c r="B113" t="str">
        <f>"CTSH US Equity"</f>
        <v>CTSH US Equity</v>
      </c>
      <c r="C113" t="str">
        <f>"M0020"</f>
        <v>M0020</v>
      </c>
      <c r="D113" t="str">
        <f>"TOP_10_CLIENTS_CONTRIB_TO_REV"</f>
        <v>TOP_10_CLIENTS_CONTRIB_TO_REV</v>
      </c>
      <c r="E113" t="str">
        <f>"Dynamic"</f>
        <v>Dynamic</v>
      </c>
      <c r="F113" t="str">
        <f ca="1">IF(AND(ISNUMBER($F$362),$B$242=1),$F$362,HLOOKUP(INDIRECT(ADDRESS(2,COLUMN())),OFFSET($M$2,0,0,ROW()-1,7),ROW()-1,FALSE))</f>
        <v/>
      </c>
      <c r="G113" t="str">
        <f ca="1">IF(AND(ISNUMBER($G$362),$B$242=1),$G$362,HLOOKUP(INDIRECT(ADDRESS(2,COLUMN())),OFFSET($M$2,0,0,ROW()-1,7),ROW()-1,FALSE))</f>
        <v/>
      </c>
      <c r="H113" t="str">
        <f ca="1">IF(AND(ISNUMBER($H$362),$B$242=1),$H$362,HLOOKUP(INDIRECT(ADDRESS(2,COLUMN())),OFFSET($M$2,0,0,ROW()-1,7),ROW()-1,FALSE))</f>
        <v/>
      </c>
      <c r="I113" t="str">
        <f ca="1">IF(AND(ISNUMBER($I$362),$B$242=1),$I$362,HLOOKUP(INDIRECT(ADDRESS(2,COLUMN())),OFFSET($M$2,0,0,ROW()-1,7),ROW()-1,FALSE))</f>
        <v/>
      </c>
      <c r="J113" t="str">
        <f ca="1">IF(AND(ISNUMBER($J$362),$B$242=1),$J$362,HLOOKUP(INDIRECT(ADDRESS(2,COLUMN())),OFFSET($M$2,0,0,ROW()-1,7),ROW()-1,FALSE))</f>
        <v/>
      </c>
      <c r="K113">
        <f ca="1">IF(AND(ISNUMBER($K$362),$B$242=1),$K$362,HLOOKUP(INDIRECT(ADDRESS(2,COLUMN())),OFFSET($M$2,0,0,ROW()-1,7),ROW()-1,FALSE))</f>
        <v>21.3</v>
      </c>
      <c r="L113">
        <f ca="1">IF(AND(ISNUMBER($L$362),$B$242=1),$L$362,HLOOKUP(INDIRECT(ADDRESS(2,COLUMN())),OFFSET($M$2,0,0,ROW()-1,7),ROW()-1,FALSE))</f>
        <v>22.6</v>
      </c>
      <c r="M113" t="str">
        <f>""</f>
        <v/>
      </c>
      <c r="N113" t="str">
        <f>""</f>
        <v/>
      </c>
      <c r="O113" t="str">
        <f>""</f>
        <v/>
      </c>
      <c r="P113" t="str">
        <f>""</f>
        <v/>
      </c>
      <c r="Q113" t="str">
        <f>""</f>
        <v/>
      </c>
      <c r="R113">
        <f>21.3</f>
        <v>21.3</v>
      </c>
      <c r="S113">
        <f>22.6</f>
        <v>22.6</v>
      </c>
    </row>
    <row r="114" spans="1:19" x14ac:dyDescent="0.25">
      <c r="A114" t="str">
        <f>"        HCL Technologies Ltd"</f>
        <v xml:space="preserve">        HCL Technologies Ltd</v>
      </c>
      <c r="B114" t="str">
        <f>"HCLT IN Equity"</f>
        <v>HCLT IN Equity</v>
      </c>
      <c r="C114" t="str">
        <f>"M0020"</f>
        <v>M0020</v>
      </c>
      <c r="D114" t="str">
        <f>"TOP_10_CLIENTS_CONTRIB_TO_REV"</f>
        <v>TOP_10_CLIENTS_CONTRIB_TO_REV</v>
      </c>
      <c r="E114" t="str">
        <f>"Dynamic"</f>
        <v>Dynamic</v>
      </c>
      <c r="F114">
        <f ca="1">IF(AND(ISNUMBER($F$363),$B$242=1),$F$363,HLOOKUP(INDIRECT(ADDRESS(2,COLUMN())),OFFSET($M$2,0,0,ROW()-1,7),ROW()-1,FALSE))</f>
        <v>22</v>
      </c>
      <c r="G114">
        <f ca="1">IF(AND(ISNUMBER($G$363),$B$242=1),$G$363,HLOOKUP(INDIRECT(ADDRESS(2,COLUMN())),OFFSET($M$2,0,0,ROW()-1,7),ROW()-1,FALSE))</f>
        <v>24.1</v>
      </c>
      <c r="H114">
        <f ca="1">IF(AND(ISNUMBER($H$363),$B$242=1),$H$363,HLOOKUP(INDIRECT(ADDRESS(2,COLUMN())),OFFSET($M$2,0,0,ROW()-1,7),ROW()-1,FALSE))</f>
        <v>23.8</v>
      </c>
      <c r="I114">
        <f ca="1">IF(AND(ISNUMBER($I$363),$B$242=1),$I$363,HLOOKUP(INDIRECT(ADDRESS(2,COLUMN())),OFFSET($M$2,0,0,ROW()-1,7),ROW()-1,FALSE))</f>
        <v>22.1</v>
      </c>
      <c r="J114">
        <f ca="1">IF(AND(ISNUMBER($J$363),$B$242=1),$J$363,HLOOKUP(INDIRECT(ADDRESS(2,COLUMN())),OFFSET($M$2,0,0,ROW()-1,7),ROW()-1,FALSE))</f>
        <v>21.8</v>
      </c>
      <c r="K114" t="str">
        <f ca="1">IF(AND(ISNUMBER($K$363),$B$242=1),$K$363,HLOOKUP(INDIRECT(ADDRESS(2,COLUMN())),OFFSET($M$2,0,0,ROW()-1,7),ROW()-1,FALSE))</f>
        <v/>
      </c>
      <c r="L114">
        <f ca="1">IF(AND(ISNUMBER($L$363),$B$242=1),$L$363,HLOOKUP(INDIRECT(ADDRESS(2,COLUMN())),OFFSET($M$2,0,0,ROW()-1,7),ROW()-1,FALSE))</f>
        <v>23.7</v>
      </c>
      <c r="M114">
        <f>22</f>
        <v>22</v>
      </c>
      <c r="N114">
        <f>24.1</f>
        <v>24.1</v>
      </c>
      <c r="O114">
        <f>23.8</f>
        <v>23.8</v>
      </c>
      <c r="P114">
        <f>22.1</f>
        <v>22.1</v>
      </c>
      <c r="Q114">
        <f>21.8</f>
        <v>21.8</v>
      </c>
      <c r="R114" t="str">
        <f>""</f>
        <v/>
      </c>
      <c r="S114">
        <f>23.7</f>
        <v>23.7</v>
      </c>
    </row>
    <row r="115" spans="1:19" x14ac:dyDescent="0.25">
      <c r="A115" t="str">
        <f>"        Infosys Ltd"</f>
        <v xml:space="preserve">        Infosys Ltd</v>
      </c>
      <c r="B115" t="str">
        <f>"INFY US Equity"</f>
        <v>INFY US Equity</v>
      </c>
      <c r="C115" t="str">
        <f>"M0020"</f>
        <v>M0020</v>
      </c>
      <c r="D115" t="str">
        <f>"TOP_10_CLIENTS_CONTRIB_TO_REV"</f>
        <v>TOP_10_CLIENTS_CONTRIB_TO_REV</v>
      </c>
      <c r="E115" t="str">
        <f>"Dynamic"</f>
        <v>Dynamic</v>
      </c>
      <c r="F115" t="str">
        <f ca="1">IF(AND(ISNUMBER($F$364),$B$242=1),$F$364,HLOOKUP(INDIRECT(ADDRESS(2,COLUMN())),OFFSET($M$2,0,0,ROW()-1,7),ROW()-1,FALSE))</f>
        <v/>
      </c>
      <c r="G115" t="str">
        <f ca="1">IF(AND(ISNUMBER($G$364),$B$242=1),$G$364,HLOOKUP(INDIRECT(ADDRESS(2,COLUMN())),OFFSET($M$2,0,0,ROW()-1,7),ROW()-1,FALSE))</f>
        <v/>
      </c>
      <c r="H115">
        <f ca="1">IF(AND(ISNUMBER($H$364),$B$242=1),$H$364,HLOOKUP(INDIRECT(ADDRESS(2,COLUMN())),OFFSET($M$2,0,0,ROW()-1,7),ROW()-1,FALSE))</f>
        <v>19.3</v>
      </c>
      <c r="I115">
        <f ca="1">IF(AND(ISNUMBER($I$364),$B$242=1),$I$364,HLOOKUP(INDIRECT(ADDRESS(2,COLUMN())),OFFSET($M$2,0,0,ROW()-1,7),ROW()-1,FALSE))</f>
        <v>21</v>
      </c>
      <c r="J115">
        <f ca="1">IF(AND(ISNUMBER($J$364),$B$242=1),$J$364,HLOOKUP(INDIRECT(ADDRESS(2,COLUMN())),OFFSET($M$2,0,0,ROW()-1,7),ROW()-1,FALSE))</f>
        <v>22.5</v>
      </c>
      <c r="K115">
        <f ca="1">IF(AND(ISNUMBER($K$364),$B$242=1),$K$364,HLOOKUP(INDIRECT(ADDRESS(2,COLUMN())),OFFSET($M$2,0,0,ROW()-1,7),ROW()-1,FALSE))</f>
        <v>22.7</v>
      </c>
      <c r="L115">
        <f ca="1">IF(AND(ISNUMBER($L$364),$B$242=1),$L$364,HLOOKUP(INDIRECT(ADDRESS(2,COLUMN())),OFFSET($M$2,0,0,ROW()-1,7),ROW()-1,FALSE))</f>
        <v>23.8</v>
      </c>
      <c r="M115" t="str">
        <f>""</f>
        <v/>
      </c>
      <c r="N115" t="str">
        <f>""</f>
        <v/>
      </c>
      <c r="O115">
        <f>19.3</f>
        <v>19.3</v>
      </c>
      <c r="P115">
        <f>21</f>
        <v>21</v>
      </c>
      <c r="Q115">
        <f>22.5</f>
        <v>22.5</v>
      </c>
      <c r="R115">
        <f>22.7</f>
        <v>22.7</v>
      </c>
      <c r="S115">
        <f>23.8</f>
        <v>23.8</v>
      </c>
    </row>
    <row r="116" spans="1:19" x14ac:dyDescent="0.25">
      <c r="A116" t="str">
        <f>"        Tata Consultancy Services Ltd"</f>
        <v xml:space="preserve">        Tata Consultancy Services Ltd</v>
      </c>
      <c r="B116" t="str">
        <f>"TCS IN Equity"</f>
        <v>TCS IN Equity</v>
      </c>
      <c r="C116" t="str">
        <f>"M0020"</f>
        <v>M0020</v>
      </c>
      <c r="D116" t="str">
        <f>"TOP_10_CLIENTS_CONTRIB_TO_REV"</f>
        <v>TOP_10_CLIENTS_CONTRIB_TO_REV</v>
      </c>
      <c r="E116" t="str">
        <f>"Dynamic"</f>
        <v>Dynamic</v>
      </c>
      <c r="F116" t="str">
        <f ca="1">IF(AND(ISNUMBER($F$365),$B$242=1),$F$365,HLOOKUP(INDIRECT(ADDRESS(2,COLUMN())),OFFSET($M$2,0,0,ROW()-1,7),ROW()-1,FALSE))</f>
        <v/>
      </c>
      <c r="G116" t="str">
        <f ca="1">IF(AND(ISNUMBER($G$365),$B$242=1),$G$365,HLOOKUP(INDIRECT(ADDRESS(2,COLUMN())),OFFSET($M$2,0,0,ROW()-1,7),ROW()-1,FALSE))</f>
        <v/>
      </c>
      <c r="H116" t="str">
        <f ca="1">IF(AND(ISNUMBER($H$365),$B$242=1),$H$365,HLOOKUP(INDIRECT(ADDRESS(2,COLUMN())),OFFSET($M$2,0,0,ROW()-1,7),ROW()-1,FALSE))</f>
        <v/>
      </c>
      <c r="I116" t="str">
        <f ca="1">IF(AND(ISNUMBER($I$365),$B$242=1),$I$365,HLOOKUP(INDIRECT(ADDRESS(2,COLUMN())),OFFSET($M$2,0,0,ROW()-1,7),ROW()-1,FALSE))</f>
        <v/>
      </c>
      <c r="J116" t="str">
        <f ca="1">IF(AND(ISNUMBER($J$365),$B$242=1),$J$365,HLOOKUP(INDIRECT(ADDRESS(2,COLUMN())),OFFSET($M$2,0,0,ROW()-1,7),ROW()-1,FALSE))</f>
        <v/>
      </c>
      <c r="K116" t="str">
        <f ca="1">IF(AND(ISNUMBER($K$365),$B$242=1),$K$365,HLOOKUP(INDIRECT(ADDRESS(2,COLUMN())),OFFSET($M$2,0,0,ROW()-1,7),ROW()-1,FALSE))</f>
        <v/>
      </c>
      <c r="L116" t="str">
        <f ca="1">IF(AND(ISNUMBER($L$365),$B$242=1),$L$365,HLOOKUP(INDIRECT(ADDRESS(2,COLUMN())),OFFSET($M$2,0,0,ROW()-1,7),ROW()-1,FALSE))</f>
        <v/>
      </c>
      <c r="M116" t="str">
        <f>""</f>
        <v/>
      </c>
      <c r="N116" t="str">
        <f>""</f>
        <v/>
      </c>
      <c r="O116" t="str">
        <f>""</f>
        <v/>
      </c>
      <c r="P116" t="str">
        <f>""</f>
        <v/>
      </c>
      <c r="Q116" t="str">
        <f>""</f>
        <v/>
      </c>
      <c r="R116" t="str">
        <f>""</f>
        <v/>
      </c>
      <c r="S116" t="str">
        <f>""</f>
        <v/>
      </c>
    </row>
    <row r="117" spans="1:19" x14ac:dyDescent="0.25">
      <c r="A117" t="str">
        <f>"        Wipro Ltd"</f>
        <v xml:space="preserve">        Wipro Ltd</v>
      </c>
      <c r="B117" t="str">
        <f>"WIT US Equity"</f>
        <v>WIT US Equity</v>
      </c>
      <c r="C117" t="str">
        <f>"M0020"</f>
        <v>M0020</v>
      </c>
      <c r="D117" t="str">
        <f>"TOP_10_CLIENTS_CONTRIB_TO_REV"</f>
        <v>TOP_10_CLIENTS_CONTRIB_TO_REV</v>
      </c>
      <c r="E117" t="str">
        <f>"Dynamic"</f>
        <v>Dynamic</v>
      </c>
      <c r="F117">
        <f ca="1">IF(AND(ISNUMBER($F$366),$B$242=1),$F$366,HLOOKUP(INDIRECT(ADDRESS(2,COLUMN())),OFFSET($M$2,0,0,ROW()-1,7),ROW()-1,FALSE))</f>
        <v>19.7</v>
      </c>
      <c r="G117">
        <f ca="1">IF(AND(ISNUMBER($G$366),$B$242=1),$G$366,HLOOKUP(INDIRECT(ADDRESS(2,COLUMN())),OFFSET($M$2,0,0,ROW()-1,7),ROW()-1,FALSE))</f>
        <v>19.5</v>
      </c>
      <c r="H117">
        <f ca="1">IF(AND(ISNUMBER($H$366),$B$242=1),$H$366,HLOOKUP(INDIRECT(ADDRESS(2,COLUMN())),OFFSET($M$2,0,0,ROW()-1,7),ROW()-1,FALSE))</f>
        <v>17.8</v>
      </c>
      <c r="I117">
        <f ca="1">IF(AND(ISNUMBER($I$366),$B$242=1),$I$366,HLOOKUP(INDIRECT(ADDRESS(2,COLUMN())),OFFSET($M$2,0,0,ROW()-1,7),ROW()-1,FALSE))</f>
        <v>17.100000000000001</v>
      </c>
      <c r="J117">
        <f ca="1">IF(AND(ISNUMBER($J$366),$B$242=1),$J$366,HLOOKUP(INDIRECT(ADDRESS(2,COLUMN())),OFFSET($M$2,0,0,ROW()-1,7),ROW()-1,FALSE))</f>
        <v>19.3</v>
      </c>
      <c r="K117">
        <f ca="1">IF(AND(ISNUMBER($K$366),$B$242=1),$K$366,HLOOKUP(INDIRECT(ADDRESS(2,COLUMN())),OFFSET($M$2,0,0,ROW()-1,7),ROW()-1,FALSE))</f>
        <v>22.7</v>
      </c>
      <c r="L117">
        <f ca="1">IF(AND(ISNUMBER($L$366),$B$242=1),$L$366,HLOOKUP(INDIRECT(ADDRESS(2,COLUMN())),OFFSET($M$2,0,0,ROW()-1,7),ROW()-1,FALSE))</f>
        <v>22.7</v>
      </c>
      <c r="M117">
        <f>19.7</f>
        <v>19.7</v>
      </c>
      <c r="N117">
        <f>19.5</f>
        <v>19.5</v>
      </c>
      <c r="O117">
        <f>17.8</f>
        <v>17.8</v>
      </c>
      <c r="P117">
        <f>17.1</f>
        <v>17.100000000000001</v>
      </c>
      <c r="Q117">
        <f>19.3</f>
        <v>19.3</v>
      </c>
      <c r="R117">
        <f>22.7</f>
        <v>22.7</v>
      </c>
      <c r="S117">
        <f>22.7</f>
        <v>22.7</v>
      </c>
    </row>
    <row r="118" spans="1:19" x14ac:dyDescent="0.25">
      <c r="A118" t="str">
        <f>"Client Concentration"</f>
        <v>Client Concentration</v>
      </c>
      <c r="B118" t="str">
        <f>""</f>
        <v/>
      </c>
      <c r="E118" t="str">
        <f>"Static"</f>
        <v>Static</v>
      </c>
      <c r="F118" t="str">
        <f t="shared" ref="F118:L118" ca="1" si="22">HLOOKUP(INDIRECT(ADDRESS(2,COLUMN())),OFFSET($M$2,0,0,ROW()-1,7),ROW()-1,FALSE)</f>
        <v/>
      </c>
      <c r="G118" t="str">
        <f t="shared" ca="1" si="22"/>
        <v/>
      </c>
      <c r="H118" t="str">
        <f t="shared" ca="1" si="22"/>
        <v/>
      </c>
      <c r="I118" t="str">
        <f t="shared" ca="1" si="22"/>
        <v/>
      </c>
      <c r="J118" t="str">
        <f t="shared" ca="1" si="22"/>
        <v/>
      </c>
      <c r="K118" t="str">
        <f t="shared" ca="1" si="22"/>
        <v/>
      </c>
      <c r="L118" t="str">
        <f t="shared" ca="1" si="22"/>
        <v/>
      </c>
      <c r="M118" t="str">
        <f>""</f>
        <v/>
      </c>
      <c r="N118" t="str">
        <f>""</f>
        <v/>
      </c>
      <c r="O118" t="str">
        <f>""</f>
        <v/>
      </c>
      <c r="P118" t="str">
        <f>""</f>
        <v/>
      </c>
      <c r="Q118" t="str">
        <f>""</f>
        <v/>
      </c>
      <c r="R118" t="str">
        <f>""</f>
        <v/>
      </c>
      <c r="S118" t="str">
        <f>""</f>
        <v/>
      </c>
    </row>
    <row r="119" spans="1:19" x14ac:dyDescent="0.25">
      <c r="A119" t="str">
        <f>"    # of Clients $0mn-$5mn"</f>
        <v xml:space="preserve">    # of Clients $0mn-$5mn</v>
      </c>
      <c r="B119" t="str">
        <f>""</f>
        <v/>
      </c>
      <c r="E119" t="str">
        <f>"Sum"</f>
        <v>Sum</v>
      </c>
      <c r="F119">
        <f ca="1">IF(ISERROR(IF(SUM($F$120:$F$124) = 0, "", SUM($F$120:$F$124))), "", (IF(SUM($F$120:$F$124) = 0, "", SUM($F$120:$F$124))))</f>
        <v>3496</v>
      </c>
      <c r="G119">
        <f ca="1">IF(ISERROR(IF(SUM($G$120:$G$124) = 0, "", SUM($G$120:$G$124))), "", (IF(SUM($G$120:$G$124) = 0, "", SUM($G$120:$G$124))))</f>
        <v>2195</v>
      </c>
      <c r="H119">
        <f ca="1">IF(ISERROR(IF(SUM($H$120:$H$124) = 0, "", SUM($H$120:$H$124))), "", (IF(SUM($H$120:$H$124) = 0, "", SUM($H$120:$H$124))))</f>
        <v>3158</v>
      </c>
      <c r="I119">
        <f ca="1">IF(ISERROR(IF(SUM($I$120:$I$124) = 0, "", SUM($I$120:$I$124))), "", (IF(SUM($I$120:$I$124) = 0, "", SUM($I$120:$I$124))))</f>
        <v>2957</v>
      </c>
      <c r="J119">
        <f ca="1">IF(ISERROR(IF(SUM($J$120:$J$124) = 0, "", SUM($J$120:$J$124))), "", (IF(SUM($J$120:$J$124) = 0, "", SUM($J$120:$J$124))))</f>
        <v>1921</v>
      </c>
      <c r="K119">
        <f ca="1">IF(ISERROR(IF(SUM($K$120:$K$124) = 0, "", SUM($K$120:$K$124))), "", (IF(SUM($K$120:$K$124) = 0, "", SUM($K$120:$K$124))))</f>
        <v>1382</v>
      </c>
      <c r="L119">
        <f ca="1">IF(ISERROR(IF(SUM($L$120:$L$124) = 0, "", SUM($L$120:$L$124))), "", (IF(SUM($L$120:$L$124) = 0, "", SUM($L$120:$L$124))))</f>
        <v>1709</v>
      </c>
      <c r="M119">
        <f>3496</f>
        <v>3496</v>
      </c>
      <c r="N119">
        <f>2195</f>
        <v>2195</v>
      </c>
      <c r="O119">
        <f>3158</f>
        <v>3158</v>
      </c>
      <c r="P119">
        <f>2957</f>
        <v>2957</v>
      </c>
      <c r="Q119">
        <f>1921</f>
        <v>1921</v>
      </c>
      <c r="R119">
        <f>1382</f>
        <v>1382</v>
      </c>
      <c r="S119">
        <f>1709</f>
        <v>1709</v>
      </c>
    </row>
    <row r="120" spans="1:19" x14ac:dyDescent="0.25">
      <c r="A120" t="str">
        <f>"        Cognizant Technology Solutions Corp"</f>
        <v xml:space="preserve">        Cognizant Technology Solutions Corp</v>
      </c>
      <c r="B120" t="str">
        <f>"CTSH US Equity"</f>
        <v>CTSH US Equity</v>
      </c>
      <c r="C120" t="str">
        <f>"M0010"</f>
        <v>M0010</v>
      </c>
      <c r="D120" t="str">
        <f>"NUMBER_OF_CLIENTS_0_TO_5MM"</f>
        <v>NUMBER_OF_CLIENTS_0_TO_5MM</v>
      </c>
      <c r="E120" t="str">
        <f>"Dynamic"</f>
        <v>Dynamic</v>
      </c>
      <c r="F120" t="str">
        <f ca="1">IF(AND(ISNUMBER($F$367),$B$242=1),$F$367,HLOOKUP(INDIRECT(ADDRESS(2,COLUMN())),OFFSET($M$2,0,0,ROW()-1,7),ROW()-1,FALSE))</f>
        <v/>
      </c>
      <c r="G120" t="str">
        <f ca="1">IF(AND(ISNUMBER($G$367),$B$242=1),$G$367,HLOOKUP(INDIRECT(ADDRESS(2,COLUMN())),OFFSET($M$2,0,0,ROW()-1,7),ROW()-1,FALSE))</f>
        <v/>
      </c>
      <c r="H120" t="str">
        <f ca="1">IF(AND(ISNUMBER($H$367),$B$242=1),$H$367,HLOOKUP(INDIRECT(ADDRESS(2,COLUMN())),OFFSET($M$2,0,0,ROW()-1,7),ROW()-1,FALSE))</f>
        <v/>
      </c>
      <c r="I120" t="str">
        <f ca="1">IF(AND(ISNUMBER($I$367),$B$242=1),$I$367,HLOOKUP(INDIRECT(ADDRESS(2,COLUMN())),OFFSET($M$2,0,0,ROW()-1,7),ROW()-1,FALSE))</f>
        <v/>
      </c>
      <c r="J120" t="str">
        <f ca="1">IF(AND(ISNUMBER($J$367),$B$242=1),$J$367,HLOOKUP(INDIRECT(ADDRESS(2,COLUMN())),OFFSET($M$2,0,0,ROW()-1,7),ROW()-1,FALSE))</f>
        <v/>
      </c>
      <c r="K120" t="str">
        <f ca="1">IF(AND(ISNUMBER($K$367),$B$242=1),$K$367,HLOOKUP(INDIRECT(ADDRESS(2,COLUMN())),OFFSET($M$2,0,0,ROW()-1,7),ROW()-1,FALSE))</f>
        <v/>
      </c>
      <c r="L120" t="str">
        <f ca="1">IF(AND(ISNUMBER($L$367),$B$242=1),$L$367,HLOOKUP(INDIRECT(ADDRESS(2,COLUMN())),OFFSET($M$2,0,0,ROW()-1,7),ROW()-1,FALSE))</f>
        <v/>
      </c>
      <c r="M120" t="str">
        <f>""</f>
        <v/>
      </c>
      <c r="N120" t="str">
        <f>""</f>
        <v/>
      </c>
      <c r="O120" t="str">
        <f>""</f>
        <v/>
      </c>
      <c r="P120" t="str">
        <f>""</f>
        <v/>
      </c>
      <c r="Q120" t="str">
        <f>""</f>
        <v/>
      </c>
      <c r="R120" t="str">
        <f>""</f>
        <v/>
      </c>
      <c r="S120" t="str">
        <f>""</f>
        <v/>
      </c>
    </row>
    <row r="121" spans="1:19" x14ac:dyDescent="0.25">
      <c r="A121" t="str">
        <f>"        HCL Technologies Ltd"</f>
        <v xml:space="preserve">        HCL Technologies Ltd</v>
      </c>
      <c r="B121" t="str">
        <f>"HCLT IN Equity"</f>
        <v>HCLT IN Equity</v>
      </c>
      <c r="C121" t="str">
        <f>"M0010"</f>
        <v>M0010</v>
      </c>
      <c r="D121" t="str">
        <f>"NUMBER_OF_CLIENTS_0_TO_5MM"</f>
        <v>NUMBER_OF_CLIENTS_0_TO_5MM</v>
      </c>
      <c r="E121" t="str">
        <f>"Dynamic"</f>
        <v>Dynamic</v>
      </c>
      <c r="F121">
        <f ca="1">IF(AND(ISNUMBER($F$368),$B$242=1),$F$368,HLOOKUP(INDIRECT(ADDRESS(2,COLUMN())),OFFSET($M$2,0,0,ROW()-1,7),ROW()-1,FALSE))</f>
        <v>791</v>
      </c>
      <c r="G121">
        <f ca="1">IF(AND(ISNUMBER($G$368),$B$242=1),$G$368,HLOOKUP(INDIRECT(ADDRESS(2,COLUMN())),OFFSET($M$2,0,0,ROW()-1,7),ROW()-1,FALSE))</f>
        <v>623</v>
      </c>
      <c r="H121">
        <f ca="1">IF(AND(ISNUMBER($H$368),$B$242=1),$H$368,HLOOKUP(INDIRECT(ADDRESS(2,COLUMN())),OFFSET($M$2,0,0,ROW()-1,7),ROW()-1,FALSE))</f>
        <v>561</v>
      </c>
      <c r="I121">
        <f ca="1">IF(AND(ISNUMBER($I$368),$B$242=1),$I$368,HLOOKUP(INDIRECT(ADDRESS(2,COLUMN())),OFFSET($M$2,0,0,ROW()-1,7),ROW()-1,FALSE))</f>
        <v>506</v>
      </c>
      <c r="J121">
        <f ca="1">IF(AND(ISNUMBER($J$368),$B$242=1),$J$368,HLOOKUP(INDIRECT(ADDRESS(2,COLUMN())),OFFSET($M$2,0,0,ROW()-1,7),ROW()-1,FALSE))</f>
        <v>482</v>
      </c>
      <c r="K121" t="str">
        <f ca="1">IF(AND(ISNUMBER($K$368),$B$242=1),$K$368,HLOOKUP(INDIRECT(ADDRESS(2,COLUMN())),OFFSET($M$2,0,0,ROW()-1,7),ROW()-1,FALSE))</f>
        <v/>
      </c>
      <c r="L121">
        <f ca="1">IF(AND(ISNUMBER($L$368),$B$242=1),$L$368,HLOOKUP(INDIRECT(ADDRESS(2,COLUMN())),OFFSET($M$2,0,0,ROW()-1,7),ROW()-1,FALSE))</f>
        <v>429</v>
      </c>
      <c r="M121">
        <f>791</f>
        <v>791</v>
      </c>
      <c r="N121">
        <f>623</f>
        <v>623</v>
      </c>
      <c r="O121">
        <f>561</f>
        <v>561</v>
      </c>
      <c r="P121">
        <f>506</f>
        <v>506</v>
      </c>
      <c r="Q121">
        <f>482</f>
        <v>482</v>
      </c>
      <c r="R121" t="str">
        <f>""</f>
        <v/>
      </c>
      <c r="S121">
        <f>429</f>
        <v>429</v>
      </c>
    </row>
    <row r="122" spans="1:19" x14ac:dyDescent="0.25">
      <c r="A122" t="str">
        <f>"        Infosys Ltd"</f>
        <v xml:space="preserve">        Infosys Ltd</v>
      </c>
      <c r="B122" t="str">
        <f>"INFY US Equity"</f>
        <v>INFY US Equity</v>
      </c>
      <c r="C122" t="str">
        <f>"M0010"</f>
        <v>M0010</v>
      </c>
      <c r="D122" t="str">
        <f>"NUMBER_OF_CLIENTS_0_TO_5MM"</f>
        <v>NUMBER_OF_CLIENTS_0_TO_5MM</v>
      </c>
      <c r="E122" t="str">
        <f>"Dynamic"</f>
        <v>Dynamic</v>
      </c>
      <c r="F122">
        <f ca="1">IF(AND(ISNUMBER($F$369),$B$242=1),$F$369,HLOOKUP(INDIRECT(ADDRESS(2,COLUMN())),OFFSET($M$2,0,0,ROW()-1,7),ROW()-1,FALSE))</f>
        <v>718</v>
      </c>
      <c r="G122">
        <f ca="1">IF(AND(ISNUMBER($G$369),$B$242=1),$G$369,HLOOKUP(INDIRECT(ADDRESS(2,COLUMN())),OFFSET($M$2,0,0,ROW()-1,7),ROW()-1,FALSE))</f>
        <v>662</v>
      </c>
      <c r="H122">
        <f ca="1">IF(AND(ISNUMBER($H$369),$B$242=1),$H$369,HLOOKUP(INDIRECT(ADDRESS(2,COLUMN())),OFFSET($M$2,0,0,ROW()-1,7),ROW()-1,FALSE))</f>
        <v>634</v>
      </c>
      <c r="I122">
        <f ca="1">IF(AND(ISNUMBER($I$369),$B$242=1),$I$369,HLOOKUP(INDIRECT(ADDRESS(2,COLUMN())),OFFSET($M$2,0,0,ROW()-1,7),ROW()-1,FALSE))</f>
        <v>598</v>
      </c>
      <c r="J122">
        <f ca="1">IF(AND(ISNUMBER($J$369),$B$242=1),$J$369,HLOOKUP(INDIRECT(ADDRESS(2,COLUMN())),OFFSET($M$2,0,0,ROW()-1,7),ROW()-1,FALSE))</f>
        <v>558</v>
      </c>
      <c r="K122">
        <f ca="1">IF(AND(ISNUMBER($K$369),$B$242=1),$K$369,HLOOKUP(INDIRECT(ADDRESS(2,COLUMN())),OFFSET($M$2,0,0,ROW()-1,7),ROW()-1,FALSE))</f>
        <v>529</v>
      </c>
      <c r="L122">
        <f ca="1">IF(AND(ISNUMBER($L$369),$B$242=1),$L$369,HLOOKUP(INDIRECT(ADDRESS(2,COLUMN())),OFFSET($M$2,0,0,ROW()-1,7),ROW()-1,FALSE))</f>
        <v>501</v>
      </c>
      <c r="M122">
        <f>718</f>
        <v>718</v>
      </c>
      <c r="N122">
        <f>662</f>
        <v>662</v>
      </c>
      <c r="O122">
        <f>634</f>
        <v>634</v>
      </c>
      <c r="P122">
        <f>598</f>
        <v>598</v>
      </c>
      <c r="Q122">
        <f>558</f>
        <v>558</v>
      </c>
      <c r="R122">
        <f>529</f>
        <v>529</v>
      </c>
      <c r="S122">
        <f>501</f>
        <v>501</v>
      </c>
    </row>
    <row r="123" spans="1:19" x14ac:dyDescent="0.25">
      <c r="A123" t="str">
        <f>"        Tata Consultancy Services Ltd"</f>
        <v xml:space="preserve">        Tata Consultancy Services Ltd</v>
      </c>
      <c r="B123" t="str">
        <f>"TCS IN Equity"</f>
        <v>TCS IN Equity</v>
      </c>
      <c r="C123" t="str">
        <f>"M0010"</f>
        <v>M0010</v>
      </c>
      <c r="D123" t="str">
        <f>"NUMBER_OF_CLIENTS_0_TO_5MM"</f>
        <v>NUMBER_OF_CLIENTS_0_TO_5MM</v>
      </c>
      <c r="E123" t="str">
        <f>"Dynamic"</f>
        <v>Dynamic</v>
      </c>
      <c r="F123">
        <f ca="1">IF(AND(ISNUMBER($F$370),$B$242=1),$F$370,HLOOKUP(INDIRECT(ADDRESS(2,COLUMN())),OFFSET($M$2,0,0,ROW()-1,7),ROW()-1,FALSE))</f>
        <v>1072</v>
      </c>
      <c r="G123" t="str">
        <f ca="1">IF(AND(ISNUMBER($G$370),$B$242=1),$G$370,HLOOKUP(INDIRECT(ADDRESS(2,COLUMN())),OFFSET($M$2,0,0,ROW()-1,7),ROW()-1,FALSE))</f>
        <v/>
      </c>
      <c r="H123">
        <f ca="1">IF(AND(ISNUMBER($H$370),$B$242=1),$H$370,HLOOKUP(INDIRECT(ADDRESS(2,COLUMN())),OFFSET($M$2,0,0,ROW()-1,7),ROW()-1,FALSE))</f>
        <v>963</v>
      </c>
      <c r="I123">
        <f ca="1">IF(AND(ISNUMBER($I$370),$B$242=1),$I$370,HLOOKUP(INDIRECT(ADDRESS(2,COLUMN())),OFFSET($M$2,0,0,ROW()-1,7),ROW()-1,FALSE))</f>
        <v>897</v>
      </c>
      <c r="J123" t="str">
        <f ca="1">IF(AND(ISNUMBER($J$370),$B$242=1),$J$370,HLOOKUP(INDIRECT(ADDRESS(2,COLUMN())),OFFSET($M$2,0,0,ROW()-1,7),ROW()-1,FALSE))</f>
        <v/>
      </c>
      <c r="K123" t="str">
        <f ca="1">IF(AND(ISNUMBER($K$370),$B$242=1),$K$370,HLOOKUP(INDIRECT(ADDRESS(2,COLUMN())),OFFSET($M$2,0,0,ROW()-1,7),ROW()-1,FALSE))</f>
        <v/>
      </c>
      <c r="L123" t="str">
        <f ca="1">IF(AND(ISNUMBER($L$370),$B$242=1),$L$370,HLOOKUP(INDIRECT(ADDRESS(2,COLUMN())),OFFSET($M$2,0,0,ROW()-1,7),ROW()-1,FALSE))</f>
        <v/>
      </c>
      <c r="M123">
        <f>1072</f>
        <v>1072</v>
      </c>
      <c r="N123" t="str">
        <f>""</f>
        <v/>
      </c>
      <c r="O123">
        <f>963</f>
        <v>963</v>
      </c>
      <c r="P123">
        <f>897</f>
        <v>897</v>
      </c>
      <c r="Q123" t="str">
        <f>""</f>
        <v/>
      </c>
      <c r="R123" t="str">
        <f>""</f>
        <v/>
      </c>
      <c r="S123" t="str">
        <f>""</f>
        <v/>
      </c>
    </row>
    <row r="124" spans="1:19" x14ac:dyDescent="0.25">
      <c r="A124" t="str">
        <f>"        Wipro Ltd"</f>
        <v xml:space="preserve">        Wipro Ltd</v>
      </c>
      <c r="B124" t="str">
        <f>"WIT US Equity"</f>
        <v>WIT US Equity</v>
      </c>
      <c r="C124" t="str">
        <f>"M0010"</f>
        <v>M0010</v>
      </c>
      <c r="D124" t="str">
        <f>"NUMBER_OF_CLIENTS_0_TO_5MM"</f>
        <v>NUMBER_OF_CLIENTS_0_TO_5MM</v>
      </c>
      <c r="E124" t="str">
        <f>"Dynamic"</f>
        <v>Dynamic</v>
      </c>
      <c r="F124">
        <f ca="1">IF(AND(ISNUMBER($F$371),$B$242=1),$F$371,HLOOKUP(INDIRECT(ADDRESS(2,COLUMN())),OFFSET($M$2,0,0,ROW()-1,7),ROW()-1,FALSE))</f>
        <v>915</v>
      </c>
      <c r="G124">
        <f ca="1">IF(AND(ISNUMBER($G$371),$B$242=1),$G$371,HLOOKUP(INDIRECT(ADDRESS(2,COLUMN())),OFFSET($M$2,0,0,ROW()-1,7),ROW()-1,FALSE))</f>
        <v>910</v>
      </c>
      <c r="H124">
        <f ca="1">IF(AND(ISNUMBER($H$371),$B$242=1),$H$371,HLOOKUP(INDIRECT(ADDRESS(2,COLUMN())),OFFSET($M$2,0,0,ROW()-1,7),ROW()-1,FALSE))</f>
        <v>1000</v>
      </c>
      <c r="I124">
        <f ca="1">IF(AND(ISNUMBER($I$371),$B$242=1),$I$371,HLOOKUP(INDIRECT(ADDRESS(2,COLUMN())),OFFSET($M$2,0,0,ROW()-1,7),ROW()-1,FALSE))</f>
        <v>956</v>
      </c>
      <c r="J124">
        <f ca="1">IF(AND(ISNUMBER($J$371),$B$242=1),$J$371,HLOOKUP(INDIRECT(ADDRESS(2,COLUMN())),OFFSET($M$2,0,0,ROW()-1,7),ROW()-1,FALSE))</f>
        <v>881</v>
      </c>
      <c r="K124">
        <f ca="1">IF(AND(ISNUMBER($K$371),$B$242=1),$K$371,HLOOKUP(INDIRECT(ADDRESS(2,COLUMN())),OFFSET($M$2,0,0,ROW()-1,7),ROW()-1,FALSE))</f>
        <v>853</v>
      </c>
      <c r="L124">
        <f ca="1">IF(AND(ISNUMBER($L$371),$B$242=1),$L$371,HLOOKUP(INDIRECT(ADDRESS(2,COLUMN())),OFFSET($M$2,0,0,ROW()-1,7),ROW()-1,FALSE))</f>
        <v>779</v>
      </c>
      <c r="M124">
        <f>915</f>
        <v>915</v>
      </c>
      <c r="N124">
        <f>910</f>
        <v>910</v>
      </c>
      <c r="O124">
        <f>1000</f>
        <v>1000</v>
      </c>
      <c r="P124">
        <f>956</f>
        <v>956</v>
      </c>
      <c r="Q124">
        <f>881</f>
        <v>881</v>
      </c>
      <c r="R124">
        <f>853</f>
        <v>853</v>
      </c>
      <c r="S124">
        <f>779</f>
        <v>779</v>
      </c>
    </row>
    <row r="125" spans="1:19" x14ac:dyDescent="0.25">
      <c r="A125" t="str">
        <f>"    # of Clients $5M-$10M"</f>
        <v xml:space="preserve">    # of Clients $5M-$10M</v>
      </c>
      <c r="B125" t="str">
        <f>""</f>
        <v/>
      </c>
      <c r="E125" t="str">
        <f>"Sum"</f>
        <v>Sum</v>
      </c>
      <c r="F125">
        <f ca="1">IF(ISERROR(IF(SUM($F$126:$F$130) = 0, "", SUM($F$126:$F$130))), "", (IF(SUM($F$126:$F$130) = 0, "", SUM($F$126:$F$130))))</f>
        <v>1133</v>
      </c>
      <c r="G125">
        <f ca="1">IF(ISERROR(IF(SUM($G$126:$G$130) = 0, "", SUM($G$126:$G$130))), "", (IF(SUM($G$126:$G$130) = 0, "", SUM($G$126:$G$130))))</f>
        <v>545</v>
      </c>
      <c r="H125">
        <f ca="1">IF(ISERROR(IF(SUM($H$126:$H$130) = 0, "", SUM($H$126:$H$130))), "", (IF(SUM($H$126:$H$130) = 0, "", SUM($H$126:$H$130))))</f>
        <v>1331</v>
      </c>
      <c r="I125">
        <f ca="1">IF(ISERROR(IF(SUM($I$126:$I$130) = 0, "", SUM($I$126:$I$130))), "", (IF(SUM($I$126:$I$130) = 0, "", SUM($I$126:$I$130))))</f>
        <v>1255</v>
      </c>
      <c r="J125">
        <f ca="1">IF(ISERROR(IF(SUM($J$126:$J$130) = 0, "", SUM($J$126:$J$130))), "", (IF(SUM($J$126:$J$130) = 0, "", SUM($J$126:$J$130))))</f>
        <v>749</v>
      </c>
      <c r="K125">
        <f ca="1">IF(ISERROR(IF(SUM($K$126:$K$130) = 0, "", SUM($K$126:$K$130))), "", (IF(SUM($K$126:$K$130) = 0, "", SUM($K$126:$K$130))))</f>
        <v>475</v>
      </c>
      <c r="L125">
        <f ca="1">IF(ISERROR(IF(SUM($L$126:$L$130) = 0, "", SUM($L$126:$L$130))), "", (IF(SUM($L$126:$L$130) = 0, "", SUM($L$126:$L$130))))</f>
        <v>639</v>
      </c>
      <c r="M125">
        <f>1133</f>
        <v>1133</v>
      </c>
      <c r="N125">
        <f>545</f>
        <v>545</v>
      </c>
      <c r="O125">
        <f>1331</f>
        <v>1331</v>
      </c>
      <c r="P125">
        <f>1255</f>
        <v>1255</v>
      </c>
      <c r="Q125">
        <f>749</f>
        <v>749</v>
      </c>
      <c r="R125">
        <f>475</f>
        <v>475</v>
      </c>
      <c r="S125">
        <f>639</f>
        <v>639</v>
      </c>
    </row>
    <row r="126" spans="1:19" x14ac:dyDescent="0.25">
      <c r="A126" t="str">
        <f>"        Cognizant Technology Solutions Corp"</f>
        <v xml:space="preserve">        Cognizant Technology Solutions Corp</v>
      </c>
      <c r="B126" t="str">
        <f>"CTSH US Equity"</f>
        <v>CTSH US Equity</v>
      </c>
      <c r="C126" t="str">
        <f>"M0011"</f>
        <v>M0011</v>
      </c>
      <c r="D126" t="str">
        <f>"NUM_CLIENTS_5MM_TO_10MM"</f>
        <v>NUM_CLIENTS_5MM_TO_10MM</v>
      </c>
      <c r="E126" t="str">
        <f>"Dynamic"</f>
        <v>Dynamic</v>
      </c>
      <c r="F126" t="str">
        <f ca="1">IF(AND(ISNUMBER($F$372),$B$242=1),$F$372,HLOOKUP(INDIRECT(ADDRESS(2,COLUMN())),OFFSET($M$2,0,0,ROW()-1,7),ROW()-1,FALSE))</f>
        <v/>
      </c>
      <c r="G126" t="str">
        <f ca="1">IF(AND(ISNUMBER($G$372),$B$242=1),$G$372,HLOOKUP(INDIRECT(ADDRESS(2,COLUMN())),OFFSET($M$2,0,0,ROW()-1,7),ROW()-1,FALSE))</f>
        <v/>
      </c>
      <c r="H126" t="str">
        <f ca="1">IF(AND(ISNUMBER($H$372),$B$242=1),$H$372,HLOOKUP(INDIRECT(ADDRESS(2,COLUMN())),OFFSET($M$2,0,0,ROW()-1,7),ROW()-1,FALSE))</f>
        <v/>
      </c>
      <c r="I126" t="str">
        <f ca="1">IF(AND(ISNUMBER($I$372),$B$242=1),$I$372,HLOOKUP(INDIRECT(ADDRESS(2,COLUMN())),OFFSET($M$2,0,0,ROW()-1,7),ROW()-1,FALSE))</f>
        <v/>
      </c>
      <c r="J126" t="str">
        <f ca="1">IF(AND(ISNUMBER($J$372),$B$242=1),$J$372,HLOOKUP(INDIRECT(ADDRESS(2,COLUMN())),OFFSET($M$2,0,0,ROW()-1,7),ROW()-1,FALSE))</f>
        <v/>
      </c>
      <c r="K126" t="str">
        <f ca="1">IF(AND(ISNUMBER($K$372),$B$242=1),$K$372,HLOOKUP(INDIRECT(ADDRESS(2,COLUMN())),OFFSET($M$2,0,0,ROW()-1,7),ROW()-1,FALSE))</f>
        <v/>
      </c>
      <c r="L126" t="str">
        <f ca="1">IF(AND(ISNUMBER($L$372),$B$242=1),$L$372,HLOOKUP(INDIRECT(ADDRESS(2,COLUMN())),OFFSET($M$2,0,0,ROW()-1,7),ROW()-1,FALSE))</f>
        <v/>
      </c>
      <c r="M126" t="str">
        <f>""</f>
        <v/>
      </c>
      <c r="N126" t="str">
        <f>""</f>
        <v/>
      </c>
      <c r="O126" t="str">
        <f>""</f>
        <v/>
      </c>
      <c r="P126" t="str">
        <f>""</f>
        <v/>
      </c>
      <c r="Q126" t="str">
        <f>""</f>
        <v/>
      </c>
      <c r="R126" t="str">
        <f>""</f>
        <v/>
      </c>
      <c r="S126" t="str">
        <f>""</f>
        <v/>
      </c>
    </row>
    <row r="127" spans="1:19" x14ac:dyDescent="0.25">
      <c r="A127" t="str">
        <f>"        HCL Technologies Ltd"</f>
        <v xml:space="preserve">        HCL Technologies Ltd</v>
      </c>
      <c r="B127" t="str">
        <f>"HCLT IN Equity"</f>
        <v>HCLT IN Equity</v>
      </c>
      <c r="C127" t="str">
        <f>"M0011"</f>
        <v>M0011</v>
      </c>
      <c r="D127" t="str">
        <f>"NUM_CLIENTS_5MM_TO_10MM"</f>
        <v>NUM_CLIENTS_5MM_TO_10MM</v>
      </c>
      <c r="E127" t="str">
        <f>"Dynamic"</f>
        <v>Dynamic</v>
      </c>
      <c r="F127">
        <f ca="1">IF(AND(ISNUMBER($F$373),$B$242=1),$F$373,HLOOKUP(INDIRECT(ADDRESS(2,COLUMN())),OFFSET($M$2,0,0,ROW()-1,7),ROW()-1,FALSE))</f>
        <v>308</v>
      </c>
      <c r="G127">
        <f ca="1">IF(AND(ISNUMBER($G$373),$B$242=1),$G$373,HLOOKUP(INDIRECT(ADDRESS(2,COLUMN())),OFFSET($M$2,0,0,ROW()-1,7),ROW()-1,FALSE))</f>
        <v>283</v>
      </c>
      <c r="H127">
        <f ca="1">IF(AND(ISNUMBER($H$373),$B$242=1),$H$373,HLOOKUP(INDIRECT(ADDRESS(2,COLUMN())),OFFSET($M$2,0,0,ROW()-1,7),ROW()-1,FALSE))</f>
        <v>264</v>
      </c>
      <c r="I127">
        <f ca="1">IF(AND(ISNUMBER($I$373),$B$242=1),$I$373,HLOOKUP(INDIRECT(ADDRESS(2,COLUMN())),OFFSET($M$2,0,0,ROW()-1,7),ROW()-1,FALSE))</f>
        <v>246</v>
      </c>
      <c r="J127">
        <f ca="1">IF(AND(ISNUMBER($J$373),$B$242=1),$J$373,HLOOKUP(INDIRECT(ADDRESS(2,COLUMN())),OFFSET($M$2,0,0,ROW()-1,7),ROW()-1,FALSE))</f>
        <v>233</v>
      </c>
      <c r="K127" t="str">
        <f ca="1">IF(AND(ISNUMBER($K$373),$B$242=1),$K$373,HLOOKUP(INDIRECT(ADDRESS(2,COLUMN())),OFFSET($M$2,0,0,ROW()-1,7),ROW()-1,FALSE))</f>
        <v/>
      </c>
      <c r="L127">
        <f ca="1">IF(AND(ISNUMBER($L$373),$B$242=1),$L$373,HLOOKUP(INDIRECT(ADDRESS(2,COLUMN())),OFFSET($M$2,0,0,ROW()-1,7),ROW()-1,FALSE))</f>
        <v>187</v>
      </c>
      <c r="M127">
        <f>308</f>
        <v>308</v>
      </c>
      <c r="N127">
        <f>283</f>
        <v>283</v>
      </c>
      <c r="O127">
        <f>264</f>
        <v>264</v>
      </c>
      <c r="P127">
        <f>246</f>
        <v>246</v>
      </c>
      <c r="Q127">
        <f>233</f>
        <v>233</v>
      </c>
      <c r="R127" t="str">
        <f>""</f>
        <v/>
      </c>
      <c r="S127">
        <f>187</f>
        <v>187</v>
      </c>
    </row>
    <row r="128" spans="1:19" x14ac:dyDescent="0.25">
      <c r="A128" t="str">
        <f>"        Infosys Ltd"</f>
        <v xml:space="preserve">        Infosys Ltd</v>
      </c>
      <c r="B128" t="str">
        <f>"INFY US Equity"</f>
        <v>INFY US Equity</v>
      </c>
      <c r="C128" t="str">
        <f>"M0011"</f>
        <v>M0011</v>
      </c>
      <c r="D128" t="str">
        <f>"NUM_CLIENTS_5MM_TO_10MM"</f>
        <v>NUM_CLIENTS_5MM_TO_10MM</v>
      </c>
      <c r="E128" t="str">
        <f>"Dynamic"</f>
        <v>Dynamic</v>
      </c>
      <c r="F128" t="str">
        <f ca="1">IF(AND(ISNUMBER($F$374),$B$242=1),$F$374,HLOOKUP(INDIRECT(ADDRESS(2,COLUMN())),OFFSET($M$2,0,0,ROW()-1,7),ROW()-1,FALSE))</f>
        <v/>
      </c>
      <c r="G128" t="str">
        <f ca="1">IF(AND(ISNUMBER($G$374),$B$242=1),$G$374,HLOOKUP(INDIRECT(ADDRESS(2,COLUMN())),OFFSET($M$2,0,0,ROW()-1,7),ROW()-1,FALSE))</f>
        <v/>
      </c>
      <c r="H128">
        <f ca="1">IF(AND(ISNUMBER($H$374),$B$242=1),$H$374,HLOOKUP(INDIRECT(ADDRESS(2,COLUMN())),OFFSET($M$2,0,0,ROW()-1,7),ROW()-1,FALSE))</f>
        <v>295</v>
      </c>
      <c r="I128">
        <f ca="1">IF(AND(ISNUMBER($I$374),$B$242=1),$I$374,HLOOKUP(INDIRECT(ADDRESS(2,COLUMN())),OFFSET($M$2,0,0,ROW()-1,7),ROW()-1,FALSE))</f>
        <v>282</v>
      </c>
      <c r="J128">
        <f ca="1">IF(AND(ISNUMBER($J$374),$B$242=1),$J$374,HLOOKUP(INDIRECT(ADDRESS(2,COLUMN())),OFFSET($M$2,0,0,ROW()-1,7),ROW()-1,FALSE))</f>
        <v>268</v>
      </c>
      <c r="K128">
        <f ca="1">IF(AND(ISNUMBER($K$374),$B$242=1),$K$374,HLOOKUP(INDIRECT(ADDRESS(2,COLUMN())),OFFSET($M$2,0,0,ROW()-1,7),ROW()-1,FALSE))</f>
        <v>244</v>
      </c>
      <c r="L128">
        <f ca="1">IF(AND(ISNUMBER($L$374),$B$242=1),$L$374,HLOOKUP(INDIRECT(ADDRESS(2,COLUMN())),OFFSET($M$2,0,0,ROW()-1,7),ROW()-1,FALSE))</f>
        <v>232</v>
      </c>
      <c r="M128" t="str">
        <f>""</f>
        <v/>
      </c>
      <c r="N128" t="str">
        <f>""</f>
        <v/>
      </c>
      <c r="O128">
        <f>295</f>
        <v>295</v>
      </c>
      <c r="P128">
        <f>282</f>
        <v>282</v>
      </c>
      <c r="Q128">
        <f>268</f>
        <v>268</v>
      </c>
      <c r="R128">
        <f>244</f>
        <v>244</v>
      </c>
      <c r="S128">
        <f>232</f>
        <v>232</v>
      </c>
    </row>
    <row r="129" spans="1:19" x14ac:dyDescent="0.25">
      <c r="A129" t="str">
        <f>"        Tata Consultancy Services Ltd"</f>
        <v xml:space="preserve">        Tata Consultancy Services Ltd</v>
      </c>
      <c r="B129" t="str">
        <f>"TCS IN Equity"</f>
        <v>TCS IN Equity</v>
      </c>
      <c r="C129" t="str">
        <f>"M0011"</f>
        <v>M0011</v>
      </c>
      <c r="D129" t="str">
        <f>"NUM_CLIENTS_5MM_TO_10MM"</f>
        <v>NUM_CLIENTS_5MM_TO_10MM</v>
      </c>
      <c r="E129" t="str">
        <f>"Dynamic"</f>
        <v>Dynamic</v>
      </c>
      <c r="F129">
        <f ca="1">IF(AND(ISNUMBER($F$375),$B$242=1),$F$375,HLOOKUP(INDIRECT(ADDRESS(2,COLUMN())),OFFSET($M$2,0,0,ROW()-1,7),ROW()-1,FALSE))</f>
        <v>565</v>
      </c>
      <c r="G129" t="str">
        <f ca="1">IF(AND(ISNUMBER($G$375),$B$242=1),$G$375,HLOOKUP(INDIRECT(ADDRESS(2,COLUMN())),OFFSET($M$2,0,0,ROW()-1,7),ROW()-1,FALSE))</f>
        <v/>
      </c>
      <c r="H129">
        <f ca="1">IF(AND(ISNUMBER($H$375),$B$242=1),$H$375,HLOOKUP(INDIRECT(ADDRESS(2,COLUMN())),OFFSET($M$2,0,0,ROW()-1,7),ROW()-1,FALSE))</f>
        <v>495</v>
      </c>
      <c r="I129">
        <f ca="1">IF(AND(ISNUMBER($I$375),$B$242=1),$I$375,HLOOKUP(INDIRECT(ADDRESS(2,COLUMN())),OFFSET($M$2,0,0,ROW()-1,7),ROW()-1,FALSE))</f>
        <v>459</v>
      </c>
      <c r="J129" t="str">
        <f ca="1">IF(AND(ISNUMBER($J$375),$B$242=1),$J$375,HLOOKUP(INDIRECT(ADDRESS(2,COLUMN())),OFFSET($M$2,0,0,ROW()-1,7),ROW()-1,FALSE))</f>
        <v/>
      </c>
      <c r="K129" t="str">
        <f ca="1">IF(AND(ISNUMBER($K$375),$B$242=1),$K$375,HLOOKUP(INDIRECT(ADDRESS(2,COLUMN())),OFFSET($M$2,0,0,ROW()-1,7),ROW()-1,FALSE))</f>
        <v/>
      </c>
      <c r="L129" t="str">
        <f ca="1">IF(AND(ISNUMBER($L$375),$B$242=1),$L$375,HLOOKUP(INDIRECT(ADDRESS(2,COLUMN())),OFFSET($M$2,0,0,ROW()-1,7),ROW()-1,FALSE))</f>
        <v/>
      </c>
      <c r="M129">
        <f>565</f>
        <v>565</v>
      </c>
      <c r="N129" t="str">
        <f>""</f>
        <v/>
      </c>
      <c r="O129">
        <f>495</f>
        <v>495</v>
      </c>
      <c r="P129">
        <f>459</f>
        <v>459</v>
      </c>
      <c r="Q129" t="str">
        <f>""</f>
        <v/>
      </c>
      <c r="R129" t="str">
        <f>""</f>
        <v/>
      </c>
      <c r="S129" t="str">
        <f>""</f>
        <v/>
      </c>
    </row>
    <row r="130" spans="1:19" x14ac:dyDescent="0.25">
      <c r="A130" t="str">
        <f>"        Wipro Ltd"</f>
        <v xml:space="preserve">        Wipro Ltd</v>
      </c>
      <c r="B130" t="str">
        <f>"WIT US Equity"</f>
        <v>WIT US Equity</v>
      </c>
      <c r="C130" t="str">
        <f>"M0011"</f>
        <v>M0011</v>
      </c>
      <c r="D130" t="str">
        <f>"NUM_CLIENTS_5MM_TO_10MM"</f>
        <v>NUM_CLIENTS_5MM_TO_10MM</v>
      </c>
      <c r="E130" t="str">
        <f>"Dynamic"</f>
        <v>Dynamic</v>
      </c>
      <c r="F130">
        <f ca="1">IF(AND(ISNUMBER($F$376),$B$242=1),$F$376,HLOOKUP(INDIRECT(ADDRESS(2,COLUMN())),OFFSET($M$2,0,0,ROW()-1,7),ROW()-1,FALSE))</f>
        <v>260</v>
      </c>
      <c r="G130">
        <f ca="1">IF(AND(ISNUMBER($G$376),$B$242=1),$G$376,HLOOKUP(INDIRECT(ADDRESS(2,COLUMN())),OFFSET($M$2,0,0,ROW()-1,7),ROW()-1,FALSE))</f>
        <v>262</v>
      </c>
      <c r="H130">
        <f ca="1">IF(AND(ISNUMBER($H$376),$B$242=1),$H$376,HLOOKUP(INDIRECT(ADDRESS(2,COLUMN())),OFFSET($M$2,0,0,ROW()-1,7),ROW()-1,FALSE))</f>
        <v>277</v>
      </c>
      <c r="I130">
        <f ca="1">IF(AND(ISNUMBER($I$376),$B$242=1),$I$376,HLOOKUP(INDIRECT(ADDRESS(2,COLUMN())),OFFSET($M$2,0,0,ROW()-1,7),ROW()-1,FALSE))</f>
        <v>268</v>
      </c>
      <c r="J130">
        <f ca="1">IF(AND(ISNUMBER($J$376),$B$242=1),$J$376,HLOOKUP(INDIRECT(ADDRESS(2,COLUMN())),OFFSET($M$2,0,0,ROW()-1,7),ROW()-1,FALSE))</f>
        <v>248</v>
      </c>
      <c r="K130">
        <f ca="1">IF(AND(ISNUMBER($K$376),$B$242=1),$K$376,HLOOKUP(INDIRECT(ADDRESS(2,COLUMN())),OFFSET($M$2,0,0,ROW()-1,7),ROW()-1,FALSE))</f>
        <v>231</v>
      </c>
      <c r="L130">
        <f ca="1">IF(AND(ISNUMBER($L$376),$B$242=1),$L$376,HLOOKUP(INDIRECT(ADDRESS(2,COLUMN())),OFFSET($M$2,0,0,ROW()-1,7),ROW()-1,FALSE))</f>
        <v>220</v>
      </c>
      <c r="M130">
        <f>260</f>
        <v>260</v>
      </c>
      <c r="N130">
        <f>262</f>
        <v>262</v>
      </c>
      <c r="O130">
        <f>277</f>
        <v>277</v>
      </c>
      <c r="P130">
        <f>268</f>
        <v>268</v>
      </c>
      <c r="Q130">
        <f>248</f>
        <v>248</v>
      </c>
      <c r="R130">
        <f>231</f>
        <v>231</v>
      </c>
      <c r="S130">
        <f>220</f>
        <v>220</v>
      </c>
    </row>
    <row r="131" spans="1:19" x14ac:dyDescent="0.25">
      <c r="A131" t="str">
        <f>"    # of Clients $10mn-$20mn"</f>
        <v xml:space="preserve">    # of Clients $10mn-$20mn</v>
      </c>
      <c r="B131" t="str">
        <f>""</f>
        <v/>
      </c>
      <c r="E131" t="str">
        <f>"Sum"</f>
        <v>Sum</v>
      </c>
      <c r="F131">
        <f ca="1">IF(ISERROR(IF(SUM($F$132:$F$136) = 0, "", SUM($F$132:$F$136))), "", (IF(SUM($F$132:$F$136) = 0, "", SUM($F$132:$F$136))))</f>
        <v>962</v>
      </c>
      <c r="G131">
        <f ca="1">IF(ISERROR(IF(SUM($G$132:$G$136) = 0, "", SUM($G$132:$G$136))), "", (IF(SUM($G$132:$G$136) = 0, "", SUM($G$132:$G$136))))</f>
        <v>560</v>
      </c>
      <c r="H131">
        <f ca="1">IF(ISERROR(IF(SUM($H$132:$H$136) = 0, "", SUM($H$132:$H$136))), "", (IF(SUM($H$132:$H$136) = 0, "", SUM($H$132:$H$136))))</f>
        <v>879</v>
      </c>
      <c r="I131">
        <f ca="1">IF(ISERROR(IF(SUM($I$132:$I$136) = 0, "", SUM($I$132:$I$136))), "", (IF(SUM($I$132:$I$136) = 0, "", SUM($I$132:$I$136))))</f>
        <v>815</v>
      </c>
      <c r="J131">
        <f ca="1">IF(ISERROR(IF(SUM($J$132:$J$136) = 0, "", SUM($J$132:$J$136))), "", (IF(SUM($J$132:$J$136) = 0, "", SUM($J$132:$J$136))))</f>
        <v>481</v>
      </c>
      <c r="K131">
        <f ca="1">IF(ISERROR(IF(SUM($K$132:$K$136) = 0, "", SUM($K$132:$K$136))), "", (IF(SUM($K$132:$K$136) = 0, "", SUM($K$132:$K$136))))</f>
        <v>309</v>
      </c>
      <c r="L131">
        <f ca="1">IF(ISERROR(IF(SUM($L$132:$L$136) = 0, "", SUM($L$132:$L$136))), "", (IF(SUM($L$132:$L$136) = 0, "", SUM($L$132:$L$136))))</f>
        <v>405</v>
      </c>
      <c r="M131">
        <f>962</f>
        <v>962</v>
      </c>
      <c r="N131">
        <f>560</f>
        <v>560</v>
      </c>
      <c r="O131">
        <f>879</f>
        <v>879</v>
      </c>
      <c r="P131">
        <f>815</f>
        <v>815</v>
      </c>
      <c r="Q131">
        <f>481</f>
        <v>481</v>
      </c>
      <c r="R131">
        <f>309</f>
        <v>309</v>
      </c>
      <c r="S131">
        <f>405</f>
        <v>405</v>
      </c>
    </row>
    <row r="132" spans="1:19" x14ac:dyDescent="0.25">
      <c r="A132" t="str">
        <f>"        Cognizant Technology Solutions Corp"</f>
        <v xml:space="preserve">        Cognizant Technology Solutions Corp</v>
      </c>
      <c r="B132" t="str">
        <f>"CTSH US Equity"</f>
        <v>CTSH US Equity</v>
      </c>
      <c r="C132" t="str">
        <f>"M0012"</f>
        <v>M0012</v>
      </c>
      <c r="D132" t="str">
        <f>"NUM_CLIENTS_10MM_TO_20MM"</f>
        <v>NUM_CLIENTS_10MM_TO_20MM</v>
      </c>
      <c r="E132" t="str">
        <f>"Dynamic"</f>
        <v>Dynamic</v>
      </c>
      <c r="F132" t="str">
        <f ca="1">IF(AND(ISNUMBER($F$377),$B$242=1),$F$377,HLOOKUP(INDIRECT(ADDRESS(2,COLUMN())),OFFSET($M$2,0,0,ROW()-1,7),ROW()-1,FALSE))</f>
        <v/>
      </c>
      <c r="G132" t="str">
        <f ca="1">IF(AND(ISNUMBER($G$377),$B$242=1),$G$377,HLOOKUP(INDIRECT(ADDRESS(2,COLUMN())),OFFSET($M$2,0,0,ROW()-1,7),ROW()-1,FALSE))</f>
        <v/>
      </c>
      <c r="H132" t="str">
        <f ca="1">IF(AND(ISNUMBER($H$377),$B$242=1),$H$377,HLOOKUP(INDIRECT(ADDRESS(2,COLUMN())),OFFSET($M$2,0,0,ROW()-1,7),ROW()-1,FALSE))</f>
        <v/>
      </c>
      <c r="I132" t="str">
        <f ca="1">IF(AND(ISNUMBER($I$377),$B$242=1),$I$377,HLOOKUP(INDIRECT(ADDRESS(2,COLUMN())),OFFSET($M$2,0,0,ROW()-1,7),ROW()-1,FALSE))</f>
        <v/>
      </c>
      <c r="J132" t="str">
        <f ca="1">IF(AND(ISNUMBER($J$377),$B$242=1),$J$377,HLOOKUP(INDIRECT(ADDRESS(2,COLUMN())),OFFSET($M$2,0,0,ROW()-1,7),ROW()-1,FALSE))</f>
        <v/>
      </c>
      <c r="K132" t="str">
        <f ca="1">IF(AND(ISNUMBER($K$377),$B$242=1),$K$377,HLOOKUP(INDIRECT(ADDRESS(2,COLUMN())),OFFSET($M$2,0,0,ROW()-1,7),ROW()-1,FALSE))</f>
        <v/>
      </c>
      <c r="L132" t="str">
        <f ca="1">IF(AND(ISNUMBER($L$377),$B$242=1),$L$377,HLOOKUP(INDIRECT(ADDRESS(2,COLUMN())),OFFSET($M$2,0,0,ROW()-1,7),ROW()-1,FALSE))</f>
        <v/>
      </c>
      <c r="M132" t="str">
        <f>""</f>
        <v/>
      </c>
      <c r="N132" t="str">
        <f>""</f>
        <v/>
      </c>
      <c r="O132" t="str">
        <f>""</f>
        <v/>
      </c>
      <c r="P132" t="str">
        <f>""</f>
        <v/>
      </c>
      <c r="Q132" t="str">
        <f>""</f>
        <v/>
      </c>
      <c r="R132" t="str">
        <f>""</f>
        <v/>
      </c>
      <c r="S132" t="str">
        <f>""</f>
        <v/>
      </c>
    </row>
    <row r="133" spans="1:19" x14ac:dyDescent="0.25">
      <c r="A133" t="str">
        <f>"        HCL Technologies Ltd"</f>
        <v xml:space="preserve">        HCL Technologies Ltd</v>
      </c>
      <c r="B133" t="str">
        <f>"HCLT IN Equity"</f>
        <v>HCLT IN Equity</v>
      </c>
      <c r="C133" t="str">
        <f>"M0012"</f>
        <v>M0012</v>
      </c>
      <c r="D133" t="str">
        <f>"NUM_CLIENTS_10MM_TO_20MM"</f>
        <v>NUM_CLIENTS_10MM_TO_20MM</v>
      </c>
      <c r="E133" t="str">
        <f>"Dynamic"</f>
        <v>Dynamic</v>
      </c>
      <c r="F133">
        <f ca="1">IF(AND(ISNUMBER($F$378),$B$242=1),$F$378,HLOOKUP(INDIRECT(ADDRESS(2,COLUMN())),OFFSET($M$2,0,0,ROW()-1,7),ROW()-1,FALSE))</f>
        <v>171</v>
      </c>
      <c r="G133">
        <f ca="1">IF(AND(ISNUMBER($G$378),$B$242=1),$G$378,HLOOKUP(INDIRECT(ADDRESS(2,COLUMN())),OFFSET($M$2,0,0,ROW()-1,7),ROW()-1,FALSE))</f>
        <v>166</v>
      </c>
      <c r="H133">
        <f ca="1">IF(AND(ISNUMBER($H$378),$B$242=1),$H$378,HLOOKUP(INDIRECT(ADDRESS(2,COLUMN())),OFFSET($M$2,0,0,ROW()-1,7),ROW()-1,FALSE))</f>
        <v>160</v>
      </c>
      <c r="I133">
        <f ca="1">IF(AND(ISNUMBER($I$378),$B$242=1),$I$378,HLOOKUP(INDIRECT(ADDRESS(2,COLUMN())),OFFSET($M$2,0,0,ROW()-1,7),ROW()-1,FALSE))</f>
        <v>153</v>
      </c>
      <c r="J133">
        <f ca="1">IF(AND(ISNUMBER($J$378),$B$242=1),$J$378,HLOOKUP(INDIRECT(ADDRESS(2,COLUMN())),OFFSET($M$2,0,0,ROW()-1,7),ROW()-1,FALSE))</f>
        <v>144</v>
      </c>
      <c r="K133" t="str">
        <f ca="1">IF(AND(ISNUMBER($K$378),$B$242=1),$K$378,HLOOKUP(INDIRECT(ADDRESS(2,COLUMN())),OFFSET($M$2,0,0,ROW()-1,7),ROW()-1,FALSE))</f>
        <v/>
      </c>
      <c r="L133">
        <f ca="1">IF(AND(ISNUMBER($L$378),$B$242=1),$L$378,HLOOKUP(INDIRECT(ADDRESS(2,COLUMN())),OFFSET($M$2,0,0,ROW()-1,7),ROW()-1,FALSE))</f>
        <v>114</v>
      </c>
      <c r="M133">
        <f>171</f>
        <v>171</v>
      </c>
      <c r="N133">
        <f>166</f>
        <v>166</v>
      </c>
      <c r="O133">
        <f>160</f>
        <v>160</v>
      </c>
      <c r="P133">
        <f>153</f>
        <v>153</v>
      </c>
      <c r="Q133">
        <f>144</f>
        <v>144</v>
      </c>
      <c r="R133" t="str">
        <f>""</f>
        <v/>
      </c>
      <c r="S133">
        <f>114</f>
        <v>114</v>
      </c>
    </row>
    <row r="134" spans="1:19" x14ac:dyDescent="0.25">
      <c r="A134" t="str">
        <f>"        Infosys Ltd"</f>
        <v xml:space="preserve">        Infosys Ltd</v>
      </c>
      <c r="B134" t="str">
        <f>"INFY US Equity"</f>
        <v>INFY US Equity</v>
      </c>
      <c r="C134" t="str">
        <f>"M0012"</f>
        <v>M0012</v>
      </c>
      <c r="D134" t="str">
        <f>"NUM_CLIENTS_10MM_TO_20MM"</f>
        <v>NUM_CLIENTS_10MM_TO_20MM</v>
      </c>
      <c r="E134" t="str">
        <f>"Dynamic"</f>
        <v>Dynamic</v>
      </c>
      <c r="F134">
        <f ca="1">IF(AND(ISNUMBER($F$379),$B$242=1),$F$379,HLOOKUP(INDIRECT(ADDRESS(2,COLUMN())),OFFSET($M$2,0,0,ROW()-1,7),ROW()-1,FALSE))</f>
        <v>234</v>
      </c>
      <c r="G134">
        <f ca="1">IF(AND(ISNUMBER($G$379),$B$242=1),$G$379,HLOOKUP(INDIRECT(ADDRESS(2,COLUMN())),OFFSET($M$2,0,0,ROW()-1,7),ROW()-1,FALSE))</f>
        <v>222</v>
      </c>
      <c r="H134">
        <f ca="1">IF(AND(ISNUMBER($H$379),$B$242=1),$H$379,HLOOKUP(INDIRECT(ADDRESS(2,COLUMN())),OFFSET($M$2,0,0,ROW()-1,7),ROW()-1,FALSE))</f>
        <v>198</v>
      </c>
      <c r="I134">
        <f ca="1">IF(AND(ISNUMBER($I$379),$B$242=1),$I$379,HLOOKUP(INDIRECT(ADDRESS(2,COLUMN())),OFFSET($M$2,0,0,ROW()-1,7),ROW()-1,FALSE))</f>
        <v>189</v>
      </c>
      <c r="J134">
        <f ca="1">IF(AND(ISNUMBER($J$379),$B$242=1),$J$379,HLOOKUP(INDIRECT(ADDRESS(2,COLUMN())),OFFSET($M$2,0,0,ROW()-1,7),ROW()-1,FALSE))</f>
        <v>177</v>
      </c>
      <c r="K134">
        <f ca="1">IF(AND(ISNUMBER($K$379),$B$242=1),$K$379,HLOOKUP(INDIRECT(ADDRESS(2,COLUMN())),OFFSET($M$2,0,0,ROW()-1,7),ROW()-1,FALSE))</f>
        <v>159</v>
      </c>
      <c r="L134">
        <f ca="1">IF(AND(ISNUMBER($L$379),$B$242=1),$L$379,HLOOKUP(INDIRECT(ADDRESS(2,COLUMN())),OFFSET($M$2,0,0,ROW()-1,7),ROW()-1,FALSE))</f>
        <v>148</v>
      </c>
      <c r="M134">
        <f>234</f>
        <v>234</v>
      </c>
      <c r="N134">
        <f>222</f>
        <v>222</v>
      </c>
      <c r="O134">
        <f>198</f>
        <v>198</v>
      </c>
      <c r="P134">
        <f>189</f>
        <v>189</v>
      </c>
      <c r="Q134">
        <f>177</f>
        <v>177</v>
      </c>
      <c r="R134">
        <f>159</f>
        <v>159</v>
      </c>
      <c r="S134">
        <f>148</f>
        <v>148</v>
      </c>
    </row>
    <row r="135" spans="1:19" x14ac:dyDescent="0.25">
      <c r="A135" t="str">
        <f>"        Tata Consultancy Services Ltd"</f>
        <v xml:space="preserve">        Tata Consultancy Services Ltd</v>
      </c>
      <c r="B135" t="str">
        <f>"TCS IN Equity"</f>
        <v>TCS IN Equity</v>
      </c>
      <c r="C135" t="str">
        <f>"M0012"</f>
        <v>M0012</v>
      </c>
      <c r="D135" t="str">
        <f>"NUM_CLIENTS_10MM_TO_20MM"</f>
        <v>NUM_CLIENTS_10MM_TO_20MM</v>
      </c>
      <c r="E135" t="str">
        <f>"Dynamic"</f>
        <v>Dynamic</v>
      </c>
      <c r="F135">
        <f ca="1">IF(AND(ISNUMBER($F$380),$B$242=1),$F$380,HLOOKUP(INDIRECT(ADDRESS(2,COLUMN())),OFFSET($M$2,0,0,ROW()-1,7),ROW()-1,FALSE))</f>
        <v>391</v>
      </c>
      <c r="G135" t="str">
        <f ca="1">IF(AND(ISNUMBER($G$380),$B$242=1),$G$380,HLOOKUP(INDIRECT(ADDRESS(2,COLUMN())),OFFSET($M$2,0,0,ROW()-1,7),ROW()-1,FALSE))</f>
        <v/>
      </c>
      <c r="H135">
        <f ca="1">IF(AND(ISNUMBER($H$380),$B$242=1),$H$380,HLOOKUP(INDIRECT(ADDRESS(2,COLUMN())),OFFSET($M$2,0,0,ROW()-1,7),ROW()-1,FALSE))</f>
        <v>350</v>
      </c>
      <c r="I135">
        <f ca="1">IF(AND(ISNUMBER($I$380),$B$242=1),$I$380,HLOOKUP(INDIRECT(ADDRESS(2,COLUMN())),OFFSET($M$2,0,0,ROW()-1,7),ROW()-1,FALSE))</f>
        <v>310</v>
      </c>
      <c r="J135" t="str">
        <f ca="1">IF(AND(ISNUMBER($J$380),$B$242=1),$J$380,HLOOKUP(INDIRECT(ADDRESS(2,COLUMN())),OFFSET($M$2,0,0,ROW()-1,7),ROW()-1,FALSE))</f>
        <v/>
      </c>
      <c r="K135" t="str">
        <f ca="1">IF(AND(ISNUMBER($K$380),$B$242=1),$K$380,HLOOKUP(INDIRECT(ADDRESS(2,COLUMN())),OFFSET($M$2,0,0,ROW()-1,7),ROW()-1,FALSE))</f>
        <v/>
      </c>
      <c r="L135" t="str">
        <f ca="1">IF(AND(ISNUMBER($L$380),$B$242=1),$L$380,HLOOKUP(INDIRECT(ADDRESS(2,COLUMN())),OFFSET($M$2,0,0,ROW()-1,7),ROW()-1,FALSE))</f>
        <v/>
      </c>
      <c r="M135">
        <f>391</f>
        <v>391</v>
      </c>
      <c r="N135" t="str">
        <f>""</f>
        <v/>
      </c>
      <c r="O135">
        <f>350</f>
        <v>350</v>
      </c>
      <c r="P135">
        <f>310</f>
        <v>310</v>
      </c>
      <c r="Q135" t="str">
        <f>""</f>
        <v/>
      </c>
      <c r="R135" t="str">
        <f>""</f>
        <v/>
      </c>
      <c r="S135" t="str">
        <f>""</f>
        <v/>
      </c>
    </row>
    <row r="136" spans="1:19" x14ac:dyDescent="0.25">
      <c r="A136" t="str">
        <f>"        Wipro Ltd"</f>
        <v xml:space="preserve">        Wipro Ltd</v>
      </c>
      <c r="B136" t="str">
        <f>"WIT US Equity"</f>
        <v>WIT US Equity</v>
      </c>
      <c r="C136" t="str">
        <f>"M0012"</f>
        <v>M0012</v>
      </c>
      <c r="D136" t="str">
        <f>"NUM_CLIENTS_10MM_TO_20MM"</f>
        <v>NUM_CLIENTS_10MM_TO_20MM</v>
      </c>
      <c r="E136" t="str">
        <f>"Dynamic"</f>
        <v>Dynamic</v>
      </c>
      <c r="F136">
        <f ca="1">IF(AND(ISNUMBER($F$381),$B$242=1),$F$381,HLOOKUP(INDIRECT(ADDRESS(2,COLUMN())),OFFSET($M$2,0,0,ROW()-1,7),ROW()-1,FALSE))</f>
        <v>166</v>
      </c>
      <c r="G136">
        <f ca="1">IF(AND(ISNUMBER($G$381),$B$242=1),$G$381,HLOOKUP(INDIRECT(ADDRESS(2,COLUMN())),OFFSET($M$2,0,0,ROW()-1,7),ROW()-1,FALSE))</f>
        <v>172</v>
      </c>
      <c r="H136">
        <f ca="1">IF(AND(ISNUMBER($H$381),$B$242=1),$H$381,HLOOKUP(INDIRECT(ADDRESS(2,COLUMN())),OFFSET($M$2,0,0,ROW()-1,7),ROW()-1,FALSE))</f>
        <v>171</v>
      </c>
      <c r="I136">
        <f ca="1">IF(AND(ISNUMBER($I$381),$B$242=1),$I$381,HLOOKUP(INDIRECT(ADDRESS(2,COLUMN())),OFFSET($M$2,0,0,ROW()-1,7),ROW()-1,FALSE))</f>
        <v>163</v>
      </c>
      <c r="J136">
        <f ca="1">IF(AND(ISNUMBER($J$381),$B$242=1),$J$381,HLOOKUP(INDIRECT(ADDRESS(2,COLUMN())),OFFSET($M$2,0,0,ROW()-1,7),ROW()-1,FALSE))</f>
        <v>160</v>
      </c>
      <c r="K136">
        <f ca="1">IF(AND(ISNUMBER($K$381),$B$242=1),$K$381,HLOOKUP(INDIRECT(ADDRESS(2,COLUMN())),OFFSET($M$2,0,0,ROW()-1,7),ROW()-1,FALSE))</f>
        <v>150</v>
      </c>
      <c r="L136">
        <f ca="1">IF(AND(ISNUMBER($L$381),$B$242=1),$L$381,HLOOKUP(INDIRECT(ADDRESS(2,COLUMN())),OFFSET($M$2,0,0,ROW()-1,7),ROW()-1,FALSE))</f>
        <v>143</v>
      </c>
      <c r="M136">
        <f>166</f>
        <v>166</v>
      </c>
      <c r="N136">
        <f>172</f>
        <v>172</v>
      </c>
      <c r="O136">
        <f>171</f>
        <v>171</v>
      </c>
      <c r="P136">
        <f>163</f>
        <v>163</v>
      </c>
      <c r="Q136">
        <f>160</f>
        <v>160</v>
      </c>
      <c r="R136">
        <f>150</f>
        <v>150</v>
      </c>
      <c r="S136">
        <f>143</f>
        <v>143</v>
      </c>
    </row>
    <row r="137" spans="1:19" x14ac:dyDescent="0.25">
      <c r="A137" t="str">
        <f>"    # of Clients $20mn-$30mn"</f>
        <v xml:space="preserve">    # of Clients $20mn-$30mn</v>
      </c>
      <c r="B137" t="str">
        <f>""</f>
        <v/>
      </c>
      <c r="E137" t="str">
        <f>"Sum"</f>
        <v>Sum</v>
      </c>
      <c r="F137">
        <f ca="1">IF(ISERROR(IF(SUM($F$138:$F$142) = 0, "", SUM($F$138:$F$142))), "", (IF(SUM($F$138:$F$142) = 0, "", SUM($F$138:$F$142))))</f>
        <v>432</v>
      </c>
      <c r="G137">
        <f ca="1">IF(ISERROR(IF(SUM($G$138:$G$142) = 0, "", SUM($G$138:$G$142))), "", (IF(SUM($G$138:$G$142) = 0, "", SUM($G$138:$G$142))))</f>
        <v>191</v>
      </c>
      <c r="H137">
        <f ca="1">IF(ISERROR(IF(SUM($H$138:$H$142) = 0, "", SUM($H$138:$H$142))), "", (IF(SUM($H$138:$H$142) = 0, "", SUM($H$138:$H$142))))</f>
        <v>494</v>
      </c>
      <c r="I137">
        <f ca="1">IF(ISERROR(IF(SUM($I$138:$I$142) = 0, "", SUM($I$138:$I$142))), "", (IF(SUM($I$138:$I$142) = 0, "", SUM($I$138:$I$142))))</f>
        <v>457</v>
      </c>
      <c r="J137">
        <f ca="1">IF(ISERROR(IF(SUM($J$138:$J$142) = 0, "", SUM($J$138:$J$142))), "", (IF(SUM($J$138:$J$142) = 0, "", SUM($J$138:$J$142))))</f>
        <v>252</v>
      </c>
      <c r="K137">
        <f ca="1">IF(ISERROR(IF(SUM($K$138:$K$142) = 0, "", SUM($K$138:$K$142))), "", (IF(SUM($K$138:$K$142) = 0, "", SUM($K$138:$K$142))))</f>
        <v>169</v>
      </c>
      <c r="L137">
        <f ca="1">IF(ISERROR(IF(SUM($L$138:$L$142) = 0, "", SUM($L$138:$L$142))), "", (IF(SUM($L$138:$L$142) = 0, "", SUM($L$138:$L$142))))</f>
        <v>240</v>
      </c>
      <c r="M137">
        <f>432</f>
        <v>432</v>
      </c>
      <c r="N137">
        <f>191</f>
        <v>191</v>
      </c>
      <c r="O137">
        <f>494</f>
        <v>494</v>
      </c>
      <c r="P137">
        <f>457</f>
        <v>457</v>
      </c>
      <c r="Q137">
        <f>252</f>
        <v>252</v>
      </c>
      <c r="R137">
        <f>169</f>
        <v>169</v>
      </c>
      <c r="S137">
        <f>240</f>
        <v>240</v>
      </c>
    </row>
    <row r="138" spans="1:19" x14ac:dyDescent="0.25">
      <c r="A138" t="str">
        <f>"        Cognizant Technology Solutions Corp"</f>
        <v xml:space="preserve">        Cognizant Technology Solutions Corp</v>
      </c>
      <c r="B138" t="str">
        <f>"CTSH US Equity"</f>
        <v>CTSH US Equity</v>
      </c>
      <c r="C138" t="str">
        <f>"M0013"</f>
        <v>M0013</v>
      </c>
      <c r="D138" t="str">
        <f>"NUM_CLIENTS_20MM_TO_30MM"</f>
        <v>NUM_CLIENTS_20MM_TO_30MM</v>
      </c>
      <c r="E138" t="str">
        <f>"Dynamic"</f>
        <v>Dynamic</v>
      </c>
      <c r="F138" t="str">
        <f ca="1">IF(AND(ISNUMBER($F$382),$B$242=1),$F$382,HLOOKUP(INDIRECT(ADDRESS(2,COLUMN())),OFFSET($M$2,0,0,ROW()-1,7),ROW()-1,FALSE))</f>
        <v/>
      </c>
      <c r="G138" t="str">
        <f ca="1">IF(AND(ISNUMBER($G$382),$B$242=1),$G$382,HLOOKUP(INDIRECT(ADDRESS(2,COLUMN())),OFFSET($M$2,0,0,ROW()-1,7),ROW()-1,FALSE))</f>
        <v/>
      </c>
      <c r="H138" t="str">
        <f ca="1">IF(AND(ISNUMBER($H$382),$B$242=1),$H$382,HLOOKUP(INDIRECT(ADDRESS(2,COLUMN())),OFFSET($M$2,0,0,ROW()-1,7),ROW()-1,FALSE))</f>
        <v/>
      </c>
      <c r="I138" t="str">
        <f ca="1">IF(AND(ISNUMBER($I$382),$B$242=1),$I$382,HLOOKUP(INDIRECT(ADDRESS(2,COLUMN())),OFFSET($M$2,0,0,ROW()-1,7),ROW()-1,FALSE))</f>
        <v/>
      </c>
      <c r="J138" t="str">
        <f ca="1">IF(AND(ISNUMBER($J$382),$B$242=1),$J$382,HLOOKUP(INDIRECT(ADDRESS(2,COLUMN())),OFFSET($M$2,0,0,ROW()-1,7),ROW()-1,FALSE))</f>
        <v/>
      </c>
      <c r="K138" t="str">
        <f ca="1">IF(AND(ISNUMBER($K$382),$B$242=1),$K$382,HLOOKUP(INDIRECT(ADDRESS(2,COLUMN())),OFFSET($M$2,0,0,ROW()-1,7),ROW()-1,FALSE))</f>
        <v/>
      </c>
      <c r="L138" t="str">
        <f ca="1">IF(AND(ISNUMBER($L$382),$B$242=1),$L$382,HLOOKUP(INDIRECT(ADDRESS(2,COLUMN())),OFFSET($M$2,0,0,ROW()-1,7),ROW()-1,FALSE))</f>
        <v/>
      </c>
      <c r="M138" t="str">
        <f>""</f>
        <v/>
      </c>
      <c r="N138" t="str">
        <f>""</f>
        <v/>
      </c>
      <c r="O138" t="str">
        <f>""</f>
        <v/>
      </c>
      <c r="P138" t="str">
        <f>""</f>
        <v/>
      </c>
      <c r="Q138" t="str">
        <f>""</f>
        <v/>
      </c>
      <c r="R138" t="str">
        <f>""</f>
        <v/>
      </c>
      <c r="S138" t="str">
        <f>""</f>
        <v/>
      </c>
    </row>
    <row r="139" spans="1:19" x14ac:dyDescent="0.25">
      <c r="A139" t="str">
        <f>"        HCL Technologies Ltd"</f>
        <v xml:space="preserve">        HCL Technologies Ltd</v>
      </c>
      <c r="B139" t="str">
        <f>"HCLT IN Equity"</f>
        <v>HCLT IN Equity</v>
      </c>
      <c r="C139" t="str">
        <f>"M0013"</f>
        <v>M0013</v>
      </c>
      <c r="D139" t="str">
        <f>"NUM_CLIENTS_20MM_TO_30MM"</f>
        <v>NUM_CLIENTS_20MM_TO_30MM</v>
      </c>
      <c r="E139" t="str">
        <f>"Dynamic"</f>
        <v>Dynamic</v>
      </c>
      <c r="F139">
        <f ca="1">IF(AND(ISNUMBER($F$383),$B$242=1),$F$383,HLOOKUP(INDIRECT(ADDRESS(2,COLUMN())),OFFSET($M$2,0,0,ROW()-1,7),ROW()-1,FALSE))</f>
        <v>96</v>
      </c>
      <c r="G139">
        <f ca="1">IF(AND(ISNUMBER($G$383),$B$242=1),$G$383,HLOOKUP(INDIRECT(ADDRESS(2,COLUMN())),OFFSET($M$2,0,0,ROW()-1,7),ROW()-1,FALSE))</f>
        <v>95</v>
      </c>
      <c r="H139">
        <f ca="1">IF(AND(ISNUMBER($H$383),$B$242=1),$H$383,HLOOKUP(INDIRECT(ADDRESS(2,COLUMN())),OFFSET($M$2,0,0,ROW()-1,7),ROW()-1,FALSE))</f>
        <v>87</v>
      </c>
      <c r="I139">
        <f ca="1">IF(AND(ISNUMBER($I$383),$B$242=1),$I$383,HLOOKUP(INDIRECT(ADDRESS(2,COLUMN())),OFFSET($M$2,0,0,ROW()-1,7),ROW()-1,FALSE))</f>
        <v>85</v>
      </c>
      <c r="J139">
        <f ca="1">IF(AND(ISNUMBER($J$383),$B$242=1),$J$383,HLOOKUP(INDIRECT(ADDRESS(2,COLUMN())),OFFSET($M$2,0,0,ROW()-1,7),ROW()-1,FALSE))</f>
        <v>75</v>
      </c>
      <c r="K139" t="str">
        <f ca="1">IF(AND(ISNUMBER($K$383),$B$242=1),$K$383,HLOOKUP(INDIRECT(ADDRESS(2,COLUMN())),OFFSET($M$2,0,0,ROW()-1,7),ROW()-1,FALSE))</f>
        <v/>
      </c>
      <c r="L139">
        <f ca="1">IF(AND(ISNUMBER($L$383),$B$242=1),$L$383,HLOOKUP(INDIRECT(ADDRESS(2,COLUMN())),OFFSET($M$2,0,0,ROW()-1,7),ROW()-1,FALSE))</f>
        <v>67</v>
      </c>
      <c r="M139">
        <f>96</f>
        <v>96</v>
      </c>
      <c r="N139">
        <f>95</f>
        <v>95</v>
      </c>
      <c r="O139">
        <f>87</f>
        <v>87</v>
      </c>
      <c r="P139">
        <f>85</f>
        <v>85</v>
      </c>
      <c r="Q139">
        <f>75</f>
        <v>75</v>
      </c>
      <c r="R139" t="str">
        <f>""</f>
        <v/>
      </c>
      <c r="S139">
        <f>67</f>
        <v>67</v>
      </c>
    </row>
    <row r="140" spans="1:19" x14ac:dyDescent="0.25">
      <c r="A140" t="str">
        <f>"        Infosys Ltd"</f>
        <v xml:space="preserve">        Infosys Ltd</v>
      </c>
      <c r="B140" t="str">
        <f>"INFY US Equity"</f>
        <v>INFY US Equity</v>
      </c>
      <c r="C140" t="str">
        <f>"M0013"</f>
        <v>M0013</v>
      </c>
      <c r="D140" t="str">
        <f>"NUM_CLIENTS_20MM_TO_30MM"</f>
        <v>NUM_CLIENTS_20MM_TO_30MM</v>
      </c>
      <c r="E140" t="str">
        <f>"Dynamic"</f>
        <v>Dynamic</v>
      </c>
      <c r="F140" t="str">
        <f ca="1">IF(AND(ISNUMBER($F$384),$B$242=1),$F$384,HLOOKUP(INDIRECT(ADDRESS(2,COLUMN())),OFFSET($M$2,0,0,ROW()-1,7),ROW()-1,FALSE))</f>
        <v/>
      </c>
      <c r="G140" t="str">
        <f ca="1">IF(AND(ISNUMBER($G$384),$B$242=1),$G$384,HLOOKUP(INDIRECT(ADDRESS(2,COLUMN())),OFFSET($M$2,0,0,ROW()-1,7),ROW()-1,FALSE))</f>
        <v/>
      </c>
      <c r="H140">
        <f ca="1">IF(AND(ISNUMBER($H$384),$B$242=1),$H$384,HLOOKUP(INDIRECT(ADDRESS(2,COLUMN())),OFFSET($M$2,0,0,ROW()-1,7),ROW()-1,FALSE))</f>
        <v>105</v>
      </c>
      <c r="I140">
        <f ca="1">IF(AND(ISNUMBER($I$384),$B$242=1),$I$384,HLOOKUP(INDIRECT(ADDRESS(2,COLUMN())),OFFSET($M$2,0,0,ROW()-1,7),ROW()-1,FALSE))</f>
        <v>91</v>
      </c>
      <c r="J140">
        <f ca="1">IF(AND(ISNUMBER($J$384),$B$242=1),$J$384,HLOOKUP(INDIRECT(ADDRESS(2,COLUMN())),OFFSET($M$2,0,0,ROW()-1,7),ROW()-1,FALSE))</f>
        <v>88</v>
      </c>
      <c r="K140">
        <f ca="1">IF(AND(ISNUMBER($K$384),$B$242=1),$K$384,HLOOKUP(INDIRECT(ADDRESS(2,COLUMN())),OFFSET($M$2,0,0,ROW()-1,7),ROW()-1,FALSE))</f>
        <v>83</v>
      </c>
      <c r="L140">
        <f ca="1">IF(AND(ISNUMBER($L$384),$B$242=1),$L$384,HLOOKUP(INDIRECT(ADDRESS(2,COLUMN())),OFFSET($M$2,0,0,ROW()-1,7),ROW()-1,FALSE))</f>
        <v>91</v>
      </c>
      <c r="M140" t="str">
        <f>""</f>
        <v/>
      </c>
      <c r="N140" t="str">
        <f>""</f>
        <v/>
      </c>
      <c r="O140">
        <f>105</f>
        <v>105</v>
      </c>
      <c r="P140">
        <f>91</f>
        <v>91</v>
      </c>
      <c r="Q140">
        <f>88</f>
        <v>88</v>
      </c>
      <c r="R140">
        <f>83</f>
        <v>83</v>
      </c>
      <c r="S140">
        <f>91</f>
        <v>91</v>
      </c>
    </row>
    <row r="141" spans="1:19" x14ac:dyDescent="0.25">
      <c r="A141" t="str">
        <f>"        Tata Consultancy Services Ltd"</f>
        <v xml:space="preserve">        Tata Consultancy Services Ltd</v>
      </c>
      <c r="B141" t="str">
        <f>"TCS IN Equity"</f>
        <v>TCS IN Equity</v>
      </c>
      <c r="C141" t="str">
        <f>"M0013"</f>
        <v>M0013</v>
      </c>
      <c r="D141" t="str">
        <f>"NUM_CLIENTS_20MM_TO_30MM"</f>
        <v>NUM_CLIENTS_20MM_TO_30MM</v>
      </c>
      <c r="E141" t="str">
        <f>"Dynamic"</f>
        <v>Dynamic</v>
      </c>
      <c r="F141">
        <f ca="1">IF(AND(ISNUMBER($F$385),$B$242=1),$F$385,HLOOKUP(INDIRECT(ADDRESS(2,COLUMN())),OFFSET($M$2,0,0,ROW()-1,7),ROW()-1,FALSE))</f>
        <v>240</v>
      </c>
      <c r="G141" t="str">
        <f ca="1">IF(AND(ISNUMBER($G$385),$B$242=1),$G$385,HLOOKUP(INDIRECT(ADDRESS(2,COLUMN())),OFFSET($M$2,0,0,ROW()-1,7),ROW()-1,FALSE))</f>
        <v/>
      </c>
      <c r="H141">
        <f ca="1">IF(AND(ISNUMBER($H$385),$B$242=1),$H$385,HLOOKUP(INDIRECT(ADDRESS(2,COLUMN())),OFFSET($M$2,0,0,ROW()-1,7),ROW()-1,FALSE))</f>
        <v>207</v>
      </c>
      <c r="I141">
        <f ca="1">IF(AND(ISNUMBER($I$385),$B$242=1),$I$385,HLOOKUP(INDIRECT(ADDRESS(2,COLUMN())),OFFSET($M$2,0,0,ROW()-1,7),ROW()-1,FALSE))</f>
        <v>190</v>
      </c>
      <c r="J141" t="str">
        <f ca="1">IF(AND(ISNUMBER($J$385),$B$242=1),$J$385,HLOOKUP(INDIRECT(ADDRESS(2,COLUMN())),OFFSET($M$2,0,0,ROW()-1,7),ROW()-1,FALSE))</f>
        <v/>
      </c>
      <c r="K141" t="str">
        <f ca="1">IF(AND(ISNUMBER($K$385),$B$242=1),$K$385,HLOOKUP(INDIRECT(ADDRESS(2,COLUMN())),OFFSET($M$2,0,0,ROW()-1,7),ROW()-1,FALSE))</f>
        <v/>
      </c>
      <c r="L141" t="str">
        <f ca="1">IF(AND(ISNUMBER($L$385),$B$242=1),$L$385,HLOOKUP(INDIRECT(ADDRESS(2,COLUMN())),OFFSET($M$2,0,0,ROW()-1,7),ROW()-1,FALSE))</f>
        <v/>
      </c>
      <c r="M141">
        <f>240</f>
        <v>240</v>
      </c>
      <c r="N141" t="str">
        <f>""</f>
        <v/>
      </c>
      <c r="O141">
        <f>207</f>
        <v>207</v>
      </c>
      <c r="P141">
        <f>190</f>
        <v>190</v>
      </c>
      <c r="Q141" t="str">
        <f>""</f>
        <v/>
      </c>
      <c r="R141" t="str">
        <f>""</f>
        <v/>
      </c>
      <c r="S141" t="str">
        <f>""</f>
        <v/>
      </c>
    </row>
    <row r="142" spans="1:19" x14ac:dyDescent="0.25">
      <c r="A142" t="str">
        <f>"        Wipro Ltd"</f>
        <v xml:space="preserve">        Wipro Ltd</v>
      </c>
      <c r="B142" t="str">
        <f>"WIT US Equity"</f>
        <v>WIT US Equity</v>
      </c>
      <c r="C142" t="str">
        <f>"M0013"</f>
        <v>M0013</v>
      </c>
      <c r="D142" t="str">
        <f>"NUM_CLIENTS_20MM_TO_30MM"</f>
        <v>NUM_CLIENTS_20MM_TO_30MM</v>
      </c>
      <c r="E142" t="str">
        <f>"Dynamic"</f>
        <v>Dynamic</v>
      </c>
      <c r="F142">
        <f ca="1">IF(AND(ISNUMBER($F$386),$B$242=1),$F$386,HLOOKUP(INDIRECT(ADDRESS(2,COLUMN())),OFFSET($M$2,0,0,ROW()-1,7),ROW()-1,FALSE))</f>
        <v>96</v>
      </c>
      <c r="G142">
        <f ca="1">IF(AND(ISNUMBER($G$386),$B$242=1),$G$386,HLOOKUP(INDIRECT(ADDRESS(2,COLUMN())),OFFSET($M$2,0,0,ROW()-1,7),ROW()-1,FALSE))</f>
        <v>96</v>
      </c>
      <c r="H142">
        <f ca="1">IF(AND(ISNUMBER($H$386),$B$242=1),$H$386,HLOOKUP(INDIRECT(ADDRESS(2,COLUMN())),OFFSET($M$2,0,0,ROW()-1,7),ROW()-1,FALSE))</f>
        <v>95</v>
      </c>
      <c r="I142">
        <f ca="1">IF(AND(ISNUMBER($I$386),$B$242=1),$I$386,HLOOKUP(INDIRECT(ADDRESS(2,COLUMN())),OFFSET($M$2,0,0,ROW()-1,7),ROW()-1,FALSE))</f>
        <v>91</v>
      </c>
      <c r="J142">
        <f ca="1">IF(AND(ISNUMBER($J$386),$B$242=1),$J$386,HLOOKUP(INDIRECT(ADDRESS(2,COLUMN())),OFFSET($M$2,0,0,ROW()-1,7),ROW()-1,FALSE))</f>
        <v>89</v>
      </c>
      <c r="K142">
        <f ca="1">IF(AND(ISNUMBER($K$386),$B$242=1),$K$386,HLOOKUP(INDIRECT(ADDRESS(2,COLUMN())),OFFSET($M$2,0,0,ROW()-1,7),ROW()-1,FALSE))</f>
        <v>86</v>
      </c>
      <c r="L142">
        <f ca="1">IF(AND(ISNUMBER($L$386),$B$242=1),$L$386,HLOOKUP(INDIRECT(ADDRESS(2,COLUMN())),OFFSET($M$2,0,0,ROW()-1,7),ROW()-1,FALSE))</f>
        <v>82</v>
      </c>
      <c r="M142">
        <f>96</f>
        <v>96</v>
      </c>
      <c r="N142">
        <f>96</f>
        <v>96</v>
      </c>
      <c r="O142">
        <f>95</f>
        <v>95</v>
      </c>
      <c r="P142">
        <f>91</f>
        <v>91</v>
      </c>
      <c r="Q142">
        <f>89</f>
        <v>89</v>
      </c>
      <c r="R142">
        <f>86</f>
        <v>86</v>
      </c>
      <c r="S142">
        <f>82</f>
        <v>82</v>
      </c>
    </row>
    <row r="143" spans="1:19" x14ac:dyDescent="0.25">
      <c r="A143" t="str">
        <f>"    # of Clients $30mn-$40mn"</f>
        <v xml:space="preserve">    # of Clients $30mn-$40mn</v>
      </c>
      <c r="B143" t="str">
        <f>""</f>
        <v/>
      </c>
      <c r="E143" t="str">
        <f>"Sum"</f>
        <v>Sum</v>
      </c>
      <c r="F143" t="str">
        <f ca="1">IF(ISERROR(IF(SUM($F$144:$F$148) = 0, "", SUM($F$144:$F$148))), "", (IF(SUM($F$144:$F$148) = 0, "", SUM($F$144:$F$148))))</f>
        <v/>
      </c>
      <c r="G143" t="str">
        <f ca="1">IF(ISERROR(IF(SUM($G$144:$G$148) = 0, "", SUM($G$144:$G$148))), "", (IF(SUM($G$144:$G$148) = 0, "", SUM($G$144:$G$148))))</f>
        <v/>
      </c>
      <c r="H143">
        <f ca="1">IF(ISERROR(IF(SUM($H$144:$H$148) = 0, "", SUM($H$144:$H$148))), "", (IF(SUM($H$144:$H$148) = 0, "", SUM($H$144:$H$148))))</f>
        <v>58</v>
      </c>
      <c r="I143">
        <f ca="1">IF(ISERROR(IF(SUM($I$144:$I$148) = 0, "", SUM($I$144:$I$148))), "", (IF(SUM($I$144:$I$148) = 0, "", SUM($I$144:$I$148))))</f>
        <v>49</v>
      </c>
      <c r="J143">
        <f ca="1">IF(ISERROR(IF(SUM($J$144:$J$148) = 0, "", SUM($J$144:$J$148))), "", (IF(SUM($J$144:$J$148) = 0, "", SUM($J$144:$J$148))))</f>
        <v>43</v>
      </c>
      <c r="K143" t="str">
        <f ca="1">IF(ISERROR(IF(SUM($K$144:$K$148) = 0, "", SUM($K$144:$K$148))), "", (IF(SUM($K$144:$K$148) = 0, "", SUM($K$144:$K$148))))</f>
        <v/>
      </c>
      <c r="L143">
        <f ca="1">IF(ISERROR(IF(SUM($L$144:$L$148) = 0, "", SUM($L$144:$L$148))), "", (IF(SUM($L$144:$L$148) = 0, "", SUM($L$144:$L$148))))</f>
        <v>107</v>
      </c>
      <c r="M143" t="str">
        <f>""</f>
        <v/>
      </c>
      <c r="N143" t="str">
        <f>""</f>
        <v/>
      </c>
      <c r="O143">
        <f>58</f>
        <v>58</v>
      </c>
      <c r="P143">
        <f>49</f>
        <v>49</v>
      </c>
      <c r="Q143">
        <f>43</f>
        <v>43</v>
      </c>
      <c r="R143" t="str">
        <f>""</f>
        <v/>
      </c>
      <c r="S143">
        <f>107</f>
        <v>107</v>
      </c>
    </row>
    <row r="144" spans="1:19" x14ac:dyDescent="0.25">
      <c r="A144" t="str">
        <f>"        Cognizant Technology Solutions Corp"</f>
        <v xml:space="preserve">        Cognizant Technology Solutions Corp</v>
      </c>
      <c r="B144" t="str">
        <f>"CTSH US Equity"</f>
        <v>CTSH US Equity</v>
      </c>
      <c r="C144" t="str">
        <f>"M0014"</f>
        <v>M0014</v>
      </c>
      <c r="D144" t="str">
        <f>"NUM_CLIENTS_30MM_TO_40MM"</f>
        <v>NUM_CLIENTS_30MM_TO_40MM</v>
      </c>
      <c r="E144" t="str">
        <f>"Dynamic"</f>
        <v>Dynamic</v>
      </c>
      <c r="F144" t="str">
        <f ca="1">IF(AND(ISNUMBER($F$387),$B$242=1),$F$387,HLOOKUP(INDIRECT(ADDRESS(2,COLUMN())),OFFSET($M$2,0,0,ROW()-1,7),ROW()-1,FALSE))</f>
        <v/>
      </c>
      <c r="G144" t="str">
        <f ca="1">IF(AND(ISNUMBER($G$387),$B$242=1),$G$387,HLOOKUP(INDIRECT(ADDRESS(2,COLUMN())),OFFSET($M$2,0,0,ROW()-1,7),ROW()-1,FALSE))</f>
        <v/>
      </c>
      <c r="H144" t="str">
        <f ca="1">IF(AND(ISNUMBER($H$387),$B$242=1),$H$387,HLOOKUP(INDIRECT(ADDRESS(2,COLUMN())),OFFSET($M$2,0,0,ROW()-1,7),ROW()-1,FALSE))</f>
        <v/>
      </c>
      <c r="I144" t="str">
        <f ca="1">IF(AND(ISNUMBER($I$387),$B$242=1),$I$387,HLOOKUP(INDIRECT(ADDRESS(2,COLUMN())),OFFSET($M$2,0,0,ROW()-1,7),ROW()-1,FALSE))</f>
        <v/>
      </c>
      <c r="J144" t="str">
        <f ca="1">IF(AND(ISNUMBER($J$387),$B$242=1),$J$387,HLOOKUP(INDIRECT(ADDRESS(2,COLUMN())),OFFSET($M$2,0,0,ROW()-1,7),ROW()-1,FALSE))</f>
        <v/>
      </c>
      <c r="K144" t="str">
        <f ca="1">IF(AND(ISNUMBER($K$387),$B$242=1),$K$387,HLOOKUP(INDIRECT(ADDRESS(2,COLUMN())),OFFSET($M$2,0,0,ROW()-1,7),ROW()-1,FALSE))</f>
        <v/>
      </c>
      <c r="L144" t="str">
        <f ca="1">IF(AND(ISNUMBER($L$387),$B$242=1),$L$387,HLOOKUP(INDIRECT(ADDRESS(2,COLUMN())),OFFSET($M$2,0,0,ROW()-1,7),ROW()-1,FALSE))</f>
        <v/>
      </c>
      <c r="M144" t="str">
        <f>""</f>
        <v/>
      </c>
      <c r="N144" t="str">
        <f>""</f>
        <v/>
      </c>
      <c r="O144" t="str">
        <f>""</f>
        <v/>
      </c>
      <c r="P144" t="str">
        <f>""</f>
        <v/>
      </c>
      <c r="Q144" t="str">
        <f>""</f>
        <v/>
      </c>
      <c r="R144" t="str">
        <f>""</f>
        <v/>
      </c>
      <c r="S144" t="str">
        <f>""</f>
        <v/>
      </c>
    </row>
    <row r="145" spans="1:19" x14ac:dyDescent="0.25">
      <c r="A145" t="str">
        <f>"        HCL Technologies Ltd"</f>
        <v xml:space="preserve">        HCL Technologies Ltd</v>
      </c>
      <c r="B145" t="str">
        <f>"HCLT IN Equity"</f>
        <v>HCLT IN Equity</v>
      </c>
      <c r="C145" t="str">
        <f>"M0014"</f>
        <v>M0014</v>
      </c>
      <c r="D145" t="str">
        <f>"NUM_CLIENTS_30MM_TO_40MM"</f>
        <v>NUM_CLIENTS_30MM_TO_40MM</v>
      </c>
      <c r="E145" t="str">
        <f>"Dynamic"</f>
        <v>Dynamic</v>
      </c>
      <c r="F145" t="str">
        <f ca="1">IF(AND(ISNUMBER($F$388),$B$242=1),$F$388,HLOOKUP(INDIRECT(ADDRESS(2,COLUMN())),OFFSET($M$2,0,0,ROW()-1,7),ROW()-1,FALSE))</f>
        <v/>
      </c>
      <c r="G145" t="str">
        <f ca="1">IF(AND(ISNUMBER($G$388),$B$242=1),$G$388,HLOOKUP(INDIRECT(ADDRESS(2,COLUMN())),OFFSET($M$2,0,0,ROW()-1,7),ROW()-1,FALSE))</f>
        <v/>
      </c>
      <c r="H145">
        <f ca="1">IF(AND(ISNUMBER($H$388),$B$242=1),$H$388,HLOOKUP(INDIRECT(ADDRESS(2,COLUMN())),OFFSET($M$2,0,0,ROW()-1,7),ROW()-1,FALSE))</f>
        <v>58</v>
      </c>
      <c r="I145">
        <f ca="1">IF(AND(ISNUMBER($I$388),$B$242=1),$I$388,HLOOKUP(INDIRECT(ADDRESS(2,COLUMN())),OFFSET($M$2,0,0,ROW()-1,7),ROW()-1,FALSE))</f>
        <v>49</v>
      </c>
      <c r="J145">
        <f ca="1">IF(AND(ISNUMBER($J$388),$B$242=1),$J$388,HLOOKUP(INDIRECT(ADDRESS(2,COLUMN())),OFFSET($M$2,0,0,ROW()-1,7),ROW()-1,FALSE))</f>
        <v>43</v>
      </c>
      <c r="K145" t="str">
        <f ca="1">IF(AND(ISNUMBER($K$388),$B$242=1),$K$388,HLOOKUP(INDIRECT(ADDRESS(2,COLUMN())),OFFSET($M$2,0,0,ROW()-1,7),ROW()-1,FALSE))</f>
        <v/>
      </c>
      <c r="L145">
        <f ca="1">IF(AND(ISNUMBER($L$388),$B$242=1),$L$388,HLOOKUP(INDIRECT(ADDRESS(2,COLUMN())),OFFSET($M$2,0,0,ROW()-1,7),ROW()-1,FALSE))</f>
        <v>37</v>
      </c>
      <c r="M145" t="str">
        <f>""</f>
        <v/>
      </c>
      <c r="N145" t="str">
        <f>""</f>
        <v/>
      </c>
      <c r="O145">
        <f>58</f>
        <v>58</v>
      </c>
      <c r="P145">
        <f>49</f>
        <v>49</v>
      </c>
      <c r="Q145">
        <f>43</f>
        <v>43</v>
      </c>
      <c r="R145" t="str">
        <f>""</f>
        <v/>
      </c>
      <c r="S145">
        <f>37</f>
        <v>37</v>
      </c>
    </row>
    <row r="146" spans="1:19" x14ac:dyDescent="0.25">
      <c r="A146" t="str">
        <f>"        Infosys Ltd"</f>
        <v xml:space="preserve">        Infosys Ltd</v>
      </c>
      <c r="B146" t="str">
        <f>"INFY US Equity"</f>
        <v>INFY US Equity</v>
      </c>
      <c r="C146" t="str">
        <f>"M0014"</f>
        <v>M0014</v>
      </c>
      <c r="D146" t="str">
        <f>"NUM_CLIENTS_30MM_TO_40MM"</f>
        <v>NUM_CLIENTS_30MM_TO_40MM</v>
      </c>
      <c r="E146" t="str">
        <f>"Dynamic"</f>
        <v>Dynamic</v>
      </c>
      <c r="F146" t="str">
        <f ca="1">IF(AND(ISNUMBER($F$389),$B$242=1),$F$389,HLOOKUP(INDIRECT(ADDRESS(2,COLUMN())),OFFSET($M$2,0,0,ROW()-1,7),ROW()-1,FALSE))</f>
        <v/>
      </c>
      <c r="G146" t="str">
        <f ca="1">IF(AND(ISNUMBER($G$389),$B$242=1),$G$389,HLOOKUP(INDIRECT(ADDRESS(2,COLUMN())),OFFSET($M$2,0,0,ROW()-1,7),ROW()-1,FALSE))</f>
        <v/>
      </c>
      <c r="H146" t="str">
        <f ca="1">IF(AND(ISNUMBER($H$389),$B$242=1),$H$389,HLOOKUP(INDIRECT(ADDRESS(2,COLUMN())),OFFSET($M$2,0,0,ROW()-1,7),ROW()-1,FALSE))</f>
        <v/>
      </c>
      <c r="I146" t="str">
        <f ca="1">IF(AND(ISNUMBER($I$389),$B$242=1),$I$389,HLOOKUP(INDIRECT(ADDRESS(2,COLUMN())),OFFSET($M$2,0,0,ROW()-1,7),ROW()-1,FALSE))</f>
        <v/>
      </c>
      <c r="J146" t="str">
        <f ca="1">IF(AND(ISNUMBER($J$389),$B$242=1),$J$389,HLOOKUP(INDIRECT(ADDRESS(2,COLUMN())),OFFSET($M$2,0,0,ROW()-1,7),ROW()-1,FALSE))</f>
        <v/>
      </c>
      <c r="K146" t="str">
        <f ca="1">IF(AND(ISNUMBER($K$389),$B$242=1),$K$389,HLOOKUP(INDIRECT(ADDRESS(2,COLUMN())),OFFSET($M$2,0,0,ROW()-1,7),ROW()-1,FALSE))</f>
        <v/>
      </c>
      <c r="L146">
        <f ca="1">IF(AND(ISNUMBER($L$389),$B$242=1),$L$389,HLOOKUP(INDIRECT(ADDRESS(2,COLUMN())),OFFSET($M$2,0,0,ROW()-1,7),ROW()-1,FALSE))</f>
        <v>70</v>
      </c>
      <c r="M146" t="str">
        <f>""</f>
        <v/>
      </c>
      <c r="N146" t="str">
        <f>""</f>
        <v/>
      </c>
      <c r="O146" t="str">
        <f>""</f>
        <v/>
      </c>
      <c r="P146" t="str">
        <f>""</f>
        <v/>
      </c>
      <c r="Q146" t="str">
        <f>""</f>
        <v/>
      </c>
      <c r="R146" t="str">
        <f>""</f>
        <v/>
      </c>
      <c r="S146">
        <f>70</f>
        <v>70</v>
      </c>
    </row>
    <row r="147" spans="1:19" x14ac:dyDescent="0.25">
      <c r="A147" t="str">
        <f>"        Tata Consultancy Services Ltd"</f>
        <v xml:space="preserve">        Tata Consultancy Services Ltd</v>
      </c>
      <c r="B147" t="str">
        <f>"TCS IN Equity"</f>
        <v>TCS IN Equity</v>
      </c>
      <c r="C147" t="str">
        <f>"M0014"</f>
        <v>M0014</v>
      </c>
      <c r="D147" t="str">
        <f>"NUM_CLIENTS_30MM_TO_40MM"</f>
        <v>NUM_CLIENTS_30MM_TO_40MM</v>
      </c>
      <c r="E147" t="str">
        <f>"Dynamic"</f>
        <v>Dynamic</v>
      </c>
      <c r="F147" t="str">
        <f ca="1">IF(AND(ISNUMBER($F$390),$B$242=1),$F$390,HLOOKUP(INDIRECT(ADDRESS(2,COLUMN())),OFFSET($M$2,0,0,ROW()-1,7),ROW()-1,FALSE))</f>
        <v/>
      </c>
      <c r="G147" t="str">
        <f ca="1">IF(AND(ISNUMBER($G$390),$B$242=1),$G$390,HLOOKUP(INDIRECT(ADDRESS(2,COLUMN())),OFFSET($M$2,0,0,ROW()-1,7),ROW()-1,FALSE))</f>
        <v/>
      </c>
      <c r="H147" t="str">
        <f ca="1">IF(AND(ISNUMBER($H$390),$B$242=1),$H$390,HLOOKUP(INDIRECT(ADDRESS(2,COLUMN())),OFFSET($M$2,0,0,ROW()-1,7),ROW()-1,FALSE))</f>
        <v/>
      </c>
      <c r="I147" t="str">
        <f ca="1">IF(AND(ISNUMBER($I$390),$B$242=1),$I$390,HLOOKUP(INDIRECT(ADDRESS(2,COLUMN())),OFFSET($M$2,0,0,ROW()-1,7),ROW()-1,FALSE))</f>
        <v/>
      </c>
      <c r="J147" t="str">
        <f ca="1">IF(AND(ISNUMBER($J$390),$B$242=1),$J$390,HLOOKUP(INDIRECT(ADDRESS(2,COLUMN())),OFFSET($M$2,0,0,ROW()-1,7),ROW()-1,FALSE))</f>
        <v/>
      </c>
      <c r="K147" t="str">
        <f ca="1">IF(AND(ISNUMBER($K$390),$B$242=1),$K$390,HLOOKUP(INDIRECT(ADDRESS(2,COLUMN())),OFFSET($M$2,0,0,ROW()-1,7),ROW()-1,FALSE))</f>
        <v/>
      </c>
      <c r="L147" t="str">
        <f ca="1">IF(AND(ISNUMBER($L$390),$B$242=1),$L$390,HLOOKUP(INDIRECT(ADDRESS(2,COLUMN())),OFFSET($M$2,0,0,ROW()-1,7),ROW()-1,FALSE))</f>
        <v/>
      </c>
      <c r="M147" t="str">
        <f>""</f>
        <v/>
      </c>
      <c r="N147" t="str">
        <f>""</f>
        <v/>
      </c>
      <c r="O147" t="str">
        <f>""</f>
        <v/>
      </c>
      <c r="P147" t="str">
        <f>""</f>
        <v/>
      </c>
      <c r="Q147" t="str">
        <f>""</f>
        <v/>
      </c>
      <c r="R147" t="str">
        <f>""</f>
        <v/>
      </c>
      <c r="S147" t="str">
        <f>""</f>
        <v/>
      </c>
    </row>
    <row r="148" spans="1:19" x14ac:dyDescent="0.25">
      <c r="A148" t="str">
        <f>"        Wipro Ltd"</f>
        <v xml:space="preserve">        Wipro Ltd</v>
      </c>
      <c r="B148" t="str">
        <f>"WIT US Equity"</f>
        <v>WIT US Equity</v>
      </c>
      <c r="C148" t="str">
        <f>"M0014"</f>
        <v>M0014</v>
      </c>
      <c r="D148" t="str">
        <f>"NUM_CLIENTS_30MM_TO_40MM"</f>
        <v>NUM_CLIENTS_30MM_TO_40MM</v>
      </c>
      <c r="E148" t="str">
        <f>"Dynamic"</f>
        <v>Dynamic</v>
      </c>
      <c r="F148" t="str">
        <f ca="1">IF(AND(ISNUMBER($F$391),$B$242=1),$F$391,HLOOKUP(INDIRECT(ADDRESS(2,COLUMN())),OFFSET($M$2,0,0,ROW()-1,7),ROW()-1,FALSE))</f>
        <v/>
      </c>
      <c r="G148" t="str">
        <f ca="1">IF(AND(ISNUMBER($G$391),$B$242=1),$G$391,HLOOKUP(INDIRECT(ADDRESS(2,COLUMN())),OFFSET($M$2,0,0,ROW()-1,7),ROW()-1,FALSE))</f>
        <v/>
      </c>
      <c r="H148" t="str">
        <f ca="1">IF(AND(ISNUMBER($H$391),$B$242=1),$H$391,HLOOKUP(INDIRECT(ADDRESS(2,COLUMN())),OFFSET($M$2,0,0,ROW()-1,7),ROW()-1,FALSE))</f>
        <v/>
      </c>
      <c r="I148" t="str">
        <f ca="1">IF(AND(ISNUMBER($I$391),$B$242=1),$I$391,HLOOKUP(INDIRECT(ADDRESS(2,COLUMN())),OFFSET($M$2,0,0,ROW()-1,7),ROW()-1,FALSE))</f>
        <v/>
      </c>
      <c r="J148" t="str">
        <f ca="1">IF(AND(ISNUMBER($J$391),$B$242=1),$J$391,HLOOKUP(INDIRECT(ADDRESS(2,COLUMN())),OFFSET($M$2,0,0,ROW()-1,7),ROW()-1,FALSE))</f>
        <v/>
      </c>
      <c r="K148" t="str">
        <f ca="1">IF(AND(ISNUMBER($K$391),$B$242=1),$K$391,HLOOKUP(INDIRECT(ADDRESS(2,COLUMN())),OFFSET($M$2,0,0,ROW()-1,7),ROW()-1,FALSE))</f>
        <v/>
      </c>
      <c r="L148" t="str">
        <f ca="1">IF(AND(ISNUMBER($L$391),$B$242=1),$L$391,HLOOKUP(INDIRECT(ADDRESS(2,COLUMN())),OFFSET($M$2,0,0,ROW()-1,7),ROW()-1,FALSE))</f>
        <v/>
      </c>
      <c r="M148" t="str">
        <f>""</f>
        <v/>
      </c>
      <c r="N148" t="str">
        <f>""</f>
        <v/>
      </c>
      <c r="O148" t="str">
        <f>""</f>
        <v/>
      </c>
      <c r="P148" t="str">
        <f>""</f>
        <v/>
      </c>
      <c r="Q148" t="str">
        <f>""</f>
        <v/>
      </c>
      <c r="R148" t="str">
        <f>""</f>
        <v/>
      </c>
      <c r="S148" t="str">
        <f>""</f>
        <v/>
      </c>
    </row>
    <row r="149" spans="1:19" x14ac:dyDescent="0.25">
      <c r="A149" t="str">
        <f>"    # of Clients $40mn-$50mn"</f>
        <v xml:space="preserve">    # of Clients $40mn-$50mn</v>
      </c>
      <c r="B149" t="str">
        <f>""</f>
        <v/>
      </c>
      <c r="E149" t="str">
        <f>"Sum"</f>
        <v>Sum</v>
      </c>
      <c r="F149" t="str">
        <f ca="1">IF(ISERROR(IF(SUM($F$150:$F$154) = 0, "", SUM($F$150:$F$154))), "", (IF(SUM($F$150:$F$154) = 0, "", SUM($F$150:$F$154))))</f>
        <v/>
      </c>
      <c r="G149" t="str">
        <f ca="1">IF(ISERROR(IF(SUM($G$150:$G$154) = 0, "", SUM($G$150:$G$154))), "", (IF(SUM($G$150:$G$154) = 0, "", SUM($G$150:$G$154))))</f>
        <v/>
      </c>
      <c r="H149">
        <f ca="1">IF(ISERROR(IF(SUM($H$150:$H$154) = 0, "", SUM($H$150:$H$154))), "", (IF(SUM($H$150:$H$154) = 0, "", SUM($H$150:$H$154))))</f>
        <v>40</v>
      </c>
      <c r="I149">
        <f ca="1">IF(ISERROR(IF(SUM($I$150:$I$154) = 0, "", SUM($I$150:$I$154))), "", (IF(SUM($I$150:$I$154) = 0, "", SUM($I$150:$I$154))))</f>
        <v>34</v>
      </c>
      <c r="J149">
        <f ca="1">IF(ISERROR(IF(SUM($J$150:$J$154) = 0, "", SUM($J$150:$J$154))), "", (IF(SUM($J$150:$J$154) = 0, "", SUM($J$150:$J$154))))</f>
        <v>29</v>
      </c>
      <c r="K149" t="str">
        <f ca="1">IF(ISERROR(IF(SUM($K$150:$K$154) = 0, "", SUM($K$150:$K$154))), "", (IF(SUM($K$150:$K$154) = 0, "", SUM($K$150:$K$154))))</f>
        <v/>
      </c>
      <c r="L149">
        <f ca="1">IF(ISERROR(IF(SUM($L$150:$L$154) = 0, "", SUM($L$150:$L$154))), "", (IF(SUM($L$150:$L$154) = 0, "", SUM($L$150:$L$154))))</f>
        <v>75</v>
      </c>
      <c r="M149" t="str">
        <f>""</f>
        <v/>
      </c>
      <c r="N149" t="str">
        <f>""</f>
        <v/>
      </c>
      <c r="O149">
        <f>40</f>
        <v>40</v>
      </c>
      <c r="P149">
        <f>34</f>
        <v>34</v>
      </c>
      <c r="Q149">
        <f>29</f>
        <v>29</v>
      </c>
      <c r="R149" t="str">
        <f>""</f>
        <v/>
      </c>
      <c r="S149">
        <f>75</f>
        <v>75</v>
      </c>
    </row>
    <row r="150" spans="1:19" x14ac:dyDescent="0.25">
      <c r="A150" t="str">
        <f>"        Cognizant Technology Solutions Corp"</f>
        <v xml:space="preserve">        Cognizant Technology Solutions Corp</v>
      </c>
      <c r="B150" t="str">
        <f>"CTSH US Equity"</f>
        <v>CTSH US Equity</v>
      </c>
      <c r="C150" t="str">
        <f>"M0015"</f>
        <v>M0015</v>
      </c>
      <c r="D150" t="str">
        <f>"NUM_CLIENTS_40MM_TO_50MM"</f>
        <v>NUM_CLIENTS_40MM_TO_50MM</v>
      </c>
      <c r="E150" t="str">
        <f>"Dynamic"</f>
        <v>Dynamic</v>
      </c>
      <c r="F150" t="str">
        <f ca="1">IF(AND(ISNUMBER($F$392),$B$242=1),$F$392,HLOOKUP(INDIRECT(ADDRESS(2,COLUMN())),OFFSET($M$2,0,0,ROW()-1,7),ROW()-1,FALSE))</f>
        <v/>
      </c>
      <c r="G150" t="str">
        <f ca="1">IF(AND(ISNUMBER($G$392),$B$242=1),$G$392,HLOOKUP(INDIRECT(ADDRESS(2,COLUMN())),OFFSET($M$2,0,0,ROW()-1,7),ROW()-1,FALSE))</f>
        <v/>
      </c>
      <c r="H150" t="str">
        <f ca="1">IF(AND(ISNUMBER($H$392),$B$242=1),$H$392,HLOOKUP(INDIRECT(ADDRESS(2,COLUMN())),OFFSET($M$2,0,0,ROW()-1,7),ROW()-1,FALSE))</f>
        <v/>
      </c>
      <c r="I150" t="str">
        <f ca="1">IF(AND(ISNUMBER($I$392),$B$242=1),$I$392,HLOOKUP(INDIRECT(ADDRESS(2,COLUMN())),OFFSET($M$2,0,0,ROW()-1,7),ROW()-1,FALSE))</f>
        <v/>
      </c>
      <c r="J150" t="str">
        <f ca="1">IF(AND(ISNUMBER($J$392),$B$242=1),$J$392,HLOOKUP(INDIRECT(ADDRESS(2,COLUMN())),OFFSET($M$2,0,0,ROW()-1,7),ROW()-1,FALSE))</f>
        <v/>
      </c>
      <c r="K150" t="str">
        <f ca="1">IF(AND(ISNUMBER($K$392),$B$242=1),$K$392,HLOOKUP(INDIRECT(ADDRESS(2,COLUMN())),OFFSET($M$2,0,0,ROW()-1,7),ROW()-1,FALSE))</f>
        <v/>
      </c>
      <c r="L150" t="str">
        <f ca="1">IF(AND(ISNUMBER($L$392),$B$242=1),$L$392,HLOOKUP(INDIRECT(ADDRESS(2,COLUMN())),OFFSET($M$2,0,0,ROW()-1,7),ROW()-1,FALSE))</f>
        <v/>
      </c>
      <c r="M150" t="str">
        <f>""</f>
        <v/>
      </c>
      <c r="N150" t="str">
        <f>""</f>
        <v/>
      </c>
      <c r="O150" t="str">
        <f>""</f>
        <v/>
      </c>
      <c r="P150" t="str">
        <f>""</f>
        <v/>
      </c>
      <c r="Q150" t="str">
        <f>""</f>
        <v/>
      </c>
      <c r="R150" t="str">
        <f>""</f>
        <v/>
      </c>
      <c r="S150" t="str">
        <f>""</f>
        <v/>
      </c>
    </row>
    <row r="151" spans="1:19" x14ac:dyDescent="0.25">
      <c r="A151" t="str">
        <f>"        HCL Technologies Ltd"</f>
        <v xml:space="preserve">        HCL Technologies Ltd</v>
      </c>
      <c r="B151" t="str">
        <f>"HCLT IN Equity"</f>
        <v>HCLT IN Equity</v>
      </c>
      <c r="C151" t="str">
        <f>"M0015"</f>
        <v>M0015</v>
      </c>
      <c r="D151" t="str">
        <f>"NUM_CLIENTS_40MM_TO_50MM"</f>
        <v>NUM_CLIENTS_40MM_TO_50MM</v>
      </c>
      <c r="E151" t="str">
        <f>"Dynamic"</f>
        <v>Dynamic</v>
      </c>
      <c r="F151" t="str">
        <f ca="1">IF(AND(ISNUMBER($F$393),$B$242=1),$F$393,HLOOKUP(INDIRECT(ADDRESS(2,COLUMN())),OFFSET($M$2,0,0,ROW()-1,7),ROW()-1,FALSE))</f>
        <v/>
      </c>
      <c r="G151" t="str">
        <f ca="1">IF(AND(ISNUMBER($G$393),$B$242=1),$G$393,HLOOKUP(INDIRECT(ADDRESS(2,COLUMN())),OFFSET($M$2,0,0,ROW()-1,7),ROW()-1,FALSE))</f>
        <v/>
      </c>
      <c r="H151">
        <f ca="1">IF(AND(ISNUMBER($H$393),$B$242=1),$H$393,HLOOKUP(INDIRECT(ADDRESS(2,COLUMN())),OFFSET($M$2,0,0,ROW()-1,7),ROW()-1,FALSE))</f>
        <v>40</v>
      </c>
      <c r="I151">
        <f ca="1">IF(AND(ISNUMBER($I$393),$B$242=1),$I$393,HLOOKUP(INDIRECT(ADDRESS(2,COLUMN())),OFFSET($M$2,0,0,ROW()-1,7),ROW()-1,FALSE))</f>
        <v>34</v>
      </c>
      <c r="J151">
        <f ca="1">IF(AND(ISNUMBER($J$393),$B$242=1),$J$393,HLOOKUP(INDIRECT(ADDRESS(2,COLUMN())),OFFSET($M$2,0,0,ROW()-1,7),ROW()-1,FALSE))</f>
        <v>29</v>
      </c>
      <c r="K151" t="str">
        <f ca="1">IF(AND(ISNUMBER($K$393),$B$242=1),$K$393,HLOOKUP(INDIRECT(ADDRESS(2,COLUMN())),OFFSET($M$2,0,0,ROW()-1,7),ROW()-1,FALSE))</f>
        <v/>
      </c>
      <c r="L151">
        <f ca="1">IF(AND(ISNUMBER($L$393),$B$242=1),$L$393,HLOOKUP(INDIRECT(ADDRESS(2,COLUMN())),OFFSET($M$2,0,0,ROW()-1,7),ROW()-1,FALSE))</f>
        <v>18</v>
      </c>
      <c r="M151" t="str">
        <f>""</f>
        <v/>
      </c>
      <c r="N151" t="str">
        <f>""</f>
        <v/>
      </c>
      <c r="O151">
        <f>40</f>
        <v>40</v>
      </c>
      <c r="P151">
        <f>34</f>
        <v>34</v>
      </c>
      <c r="Q151">
        <f>29</f>
        <v>29</v>
      </c>
      <c r="R151" t="str">
        <f>""</f>
        <v/>
      </c>
      <c r="S151">
        <f>18</f>
        <v>18</v>
      </c>
    </row>
    <row r="152" spans="1:19" x14ac:dyDescent="0.25">
      <c r="A152" t="str">
        <f>"        Infosys Ltd"</f>
        <v xml:space="preserve">        Infosys Ltd</v>
      </c>
      <c r="B152" t="str">
        <f>"INFY US Equity"</f>
        <v>INFY US Equity</v>
      </c>
      <c r="C152" t="str">
        <f>"M0015"</f>
        <v>M0015</v>
      </c>
      <c r="D152" t="str">
        <f>"NUM_CLIENTS_40MM_TO_50MM"</f>
        <v>NUM_CLIENTS_40MM_TO_50MM</v>
      </c>
      <c r="E152" t="str">
        <f>"Dynamic"</f>
        <v>Dynamic</v>
      </c>
      <c r="F152" t="str">
        <f ca="1">IF(AND(ISNUMBER($F$394),$B$242=1),$F$394,HLOOKUP(INDIRECT(ADDRESS(2,COLUMN())),OFFSET($M$2,0,0,ROW()-1,7),ROW()-1,FALSE))</f>
        <v/>
      </c>
      <c r="G152" t="str">
        <f ca="1">IF(AND(ISNUMBER($G$394),$B$242=1),$G$394,HLOOKUP(INDIRECT(ADDRESS(2,COLUMN())),OFFSET($M$2,0,0,ROW()-1,7),ROW()-1,FALSE))</f>
        <v/>
      </c>
      <c r="H152" t="str">
        <f ca="1">IF(AND(ISNUMBER($H$394),$B$242=1),$H$394,HLOOKUP(INDIRECT(ADDRESS(2,COLUMN())),OFFSET($M$2,0,0,ROW()-1,7),ROW()-1,FALSE))</f>
        <v/>
      </c>
      <c r="I152" t="str">
        <f ca="1">IF(AND(ISNUMBER($I$394),$B$242=1),$I$394,HLOOKUP(INDIRECT(ADDRESS(2,COLUMN())),OFFSET($M$2,0,0,ROW()-1,7),ROW()-1,FALSE))</f>
        <v/>
      </c>
      <c r="J152" t="str">
        <f ca="1">IF(AND(ISNUMBER($J$394),$B$242=1),$J$394,HLOOKUP(INDIRECT(ADDRESS(2,COLUMN())),OFFSET($M$2,0,0,ROW()-1,7),ROW()-1,FALSE))</f>
        <v/>
      </c>
      <c r="K152" t="str">
        <f ca="1">IF(AND(ISNUMBER($K$394),$B$242=1),$K$394,HLOOKUP(INDIRECT(ADDRESS(2,COLUMN())),OFFSET($M$2,0,0,ROW()-1,7),ROW()-1,FALSE))</f>
        <v/>
      </c>
      <c r="L152">
        <f ca="1">IF(AND(ISNUMBER($L$394),$B$242=1),$L$394,HLOOKUP(INDIRECT(ADDRESS(2,COLUMN())),OFFSET($M$2,0,0,ROW()-1,7),ROW()-1,FALSE))</f>
        <v>57</v>
      </c>
      <c r="M152" t="str">
        <f>""</f>
        <v/>
      </c>
      <c r="N152" t="str">
        <f>""</f>
        <v/>
      </c>
      <c r="O152" t="str">
        <f>""</f>
        <v/>
      </c>
      <c r="P152" t="str">
        <f>""</f>
        <v/>
      </c>
      <c r="Q152" t="str">
        <f>""</f>
        <v/>
      </c>
      <c r="R152" t="str">
        <f>""</f>
        <v/>
      </c>
      <c r="S152">
        <f>57</f>
        <v>57</v>
      </c>
    </row>
    <row r="153" spans="1:19" x14ac:dyDescent="0.25">
      <c r="A153" t="str">
        <f>"        Tata Consultancy Services Ltd"</f>
        <v xml:space="preserve">        Tata Consultancy Services Ltd</v>
      </c>
      <c r="B153" t="str">
        <f>"TCS IN Equity"</f>
        <v>TCS IN Equity</v>
      </c>
      <c r="C153" t="str">
        <f>"M0015"</f>
        <v>M0015</v>
      </c>
      <c r="D153" t="str">
        <f>"NUM_CLIENTS_40MM_TO_50MM"</f>
        <v>NUM_CLIENTS_40MM_TO_50MM</v>
      </c>
      <c r="E153" t="str">
        <f>"Dynamic"</f>
        <v>Dynamic</v>
      </c>
      <c r="F153" t="str">
        <f ca="1">IF(AND(ISNUMBER($F$395),$B$242=1),$F$395,HLOOKUP(INDIRECT(ADDRESS(2,COLUMN())),OFFSET($M$2,0,0,ROW()-1,7),ROW()-1,FALSE))</f>
        <v/>
      </c>
      <c r="G153" t="str">
        <f ca="1">IF(AND(ISNUMBER($G$395),$B$242=1),$G$395,HLOOKUP(INDIRECT(ADDRESS(2,COLUMN())),OFFSET($M$2,0,0,ROW()-1,7),ROW()-1,FALSE))</f>
        <v/>
      </c>
      <c r="H153" t="str">
        <f ca="1">IF(AND(ISNUMBER($H$395),$B$242=1),$H$395,HLOOKUP(INDIRECT(ADDRESS(2,COLUMN())),OFFSET($M$2,0,0,ROW()-1,7),ROW()-1,FALSE))</f>
        <v/>
      </c>
      <c r="I153" t="str">
        <f ca="1">IF(AND(ISNUMBER($I$395),$B$242=1),$I$395,HLOOKUP(INDIRECT(ADDRESS(2,COLUMN())),OFFSET($M$2,0,0,ROW()-1,7),ROW()-1,FALSE))</f>
        <v/>
      </c>
      <c r="J153" t="str">
        <f ca="1">IF(AND(ISNUMBER($J$395),$B$242=1),$J$395,HLOOKUP(INDIRECT(ADDRESS(2,COLUMN())),OFFSET($M$2,0,0,ROW()-1,7),ROW()-1,FALSE))</f>
        <v/>
      </c>
      <c r="K153" t="str">
        <f ca="1">IF(AND(ISNUMBER($K$395),$B$242=1),$K$395,HLOOKUP(INDIRECT(ADDRESS(2,COLUMN())),OFFSET($M$2,0,0,ROW()-1,7),ROW()-1,FALSE))</f>
        <v/>
      </c>
      <c r="L153" t="str">
        <f ca="1">IF(AND(ISNUMBER($L$395),$B$242=1),$L$395,HLOOKUP(INDIRECT(ADDRESS(2,COLUMN())),OFFSET($M$2,0,0,ROW()-1,7),ROW()-1,FALSE))</f>
        <v/>
      </c>
      <c r="M153" t="str">
        <f>""</f>
        <v/>
      </c>
      <c r="N153" t="str">
        <f>""</f>
        <v/>
      </c>
      <c r="O153" t="str">
        <f>""</f>
        <v/>
      </c>
      <c r="P153" t="str">
        <f>""</f>
        <v/>
      </c>
      <c r="Q153" t="str">
        <f>""</f>
        <v/>
      </c>
      <c r="R153" t="str">
        <f>""</f>
        <v/>
      </c>
      <c r="S153" t="str">
        <f>""</f>
        <v/>
      </c>
    </row>
    <row r="154" spans="1:19" x14ac:dyDescent="0.25">
      <c r="A154" t="str">
        <f>"        Wipro Ltd"</f>
        <v xml:space="preserve">        Wipro Ltd</v>
      </c>
      <c r="B154" t="str">
        <f>"WIT US Equity"</f>
        <v>WIT US Equity</v>
      </c>
      <c r="C154" t="str">
        <f>"M0015"</f>
        <v>M0015</v>
      </c>
      <c r="D154" t="str">
        <f>"NUM_CLIENTS_40MM_TO_50MM"</f>
        <v>NUM_CLIENTS_40MM_TO_50MM</v>
      </c>
      <c r="E154" t="str">
        <f>"Dynamic"</f>
        <v>Dynamic</v>
      </c>
      <c r="F154" t="str">
        <f ca="1">IF(AND(ISNUMBER($F$396),$B$242=1),$F$396,HLOOKUP(INDIRECT(ADDRESS(2,COLUMN())),OFFSET($M$2,0,0,ROW()-1,7),ROW()-1,FALSE))</f>
        <v/>
      </c>
      <c r="G154" t="str">
        <f ca="1">IF(AND(ISNUMBER($G$396),$B$242=1),$G$396,HLOOKUP(INDIRECT(ADDRESS(2,COLUMN())),OFFSET($M$2,0,0,ROW()-1,7),ROW()-1,FALSE))</f>
        <v/>
      </c>
      <c r="H154" t="str">
        <f ca="1">IF(AND(ISNUMBER($H$396),$B$242=1),$H$396,HLOOKUP(INDIRECT(ADDRESS(2,COLUMN())),OFFSET($M$2,0,0,ROW()-1,7),ROW()-1,FALSE))</f>
        <v/>
      </c>
      <c r="I154" t="str">
        <f ca="1">IF(AND(ISNUMBER($I$396),$B$242=1),$I$396,HLOOKUP(INDIRECT(ADDRESS(2,COLUMN())),OFFSET($M$2,0,0,ROW()-1,7),ROW()-1,FALSE))</f>
        <v/>
      </c>
      <c r="J154" t="str">
        <f ca="1">IF(AND(ISNUMBER($J$396),$B$242=1),$J$396,HLOOKUP(INDIRECT(ADDRESS(2,COLUMN())),OFFSET($M$2,0,0,ROW()-1,7),ROW()-1,FALSE))</f>
        <v/>
      </c>
      <c r="K154" t="str">
        <f ca="1">IF(AND(ISNUMBER($K$396),$B$242=1),$K$396,HLOOKUP(INDIRECT(ADDRESS(2,COLUMN())),OFFSET($M$2,0,0,ROW()-1,7),ROW()-1,FALSE))</f>
        <v/>
      </c>
      <c r="L154" t="str">
        <f ca="1">IF(AND(ISNUMBER($L$396),$B$242=1),$L$396,HLOOKUP(INDIRECT(ADDRESS(2,COLUMN())),OFFSET($M$2,0,0,ROW()-1,7),ROW()-1,FALSE))</f>
        <v/>
      </c>
      <c r="M154" t="str">
        <f>""</f>
        <v/>
      </c>
      <c r="N154" t="str">
        <f>""</f>
        <v/>
      </c>
      <c r="O154" t="str">
        <f>""</f>
        <v/>
      </c>
      <c r="P154" t="str">
        <f>""</f>
        <v/>
      </c>
      <c r="Q154" t="str">
        <f>""</f>
        <v/>
      </c>
      <c r="R154" t="str">
        <f>""</f>
        <v/>
      </c>
      <c r="S154" t="str">
        <f>""</f>
        <v/>
      </c>
    </row>
    <row r="155" spans="1:19" x14ac:dyDescent="0.25">
      <c r="A155" t="str">
        <f>"    # of Clients $50mn-$100mn"</f>
        <v xml:space="preserve">    # of Clients $50mn-$100mn</v>
      </c>
      <c r="B155" t="str">
        <f>""</f>
        <v/>
      </c>
      <c r="E155" t="str">
        <f>"Sum"</f>
        <v>Sum</v>
      </c>
      <c r="F155">
        <f ca="1">IF(ISERROR(IF(SUM($F$156:$F$160) = 0, "", SUM($F$156:$F$160))), "", (IF(SUM($F$156:$F$160) = 0, "", SUM($F$156:$F$160))))</f>
        <v>258</v>
      </c>
      <c r="G155">
        <f ca="1">IF(ISERROR(IF(SUM($G$156:$G$160) = 0, "", SUM($G$156:$G$160))), "", (IF(SUM($G$156:$G$160) = 0, "", SUM($G$156:$G$160))))</f>
        <v>152</v>
      </c>
      <c r="H155">
        <f ca="1">IF(ISERROR(IF(SUM($H$156:$H$160) = 0, "", SUM($H$156:$H$160))), "", (IF(SUM($H$156:$H$160) = 0, "", SUM($H$156:$H$160))))</f>
        <v>276</v>
      </c>
      <c r="I155">
        <f ca="1">IF(ISERROR(IF(SUM($I$156:$I$160) = 0, "", SUM($I$156:$I$160))), "", (IF(SUM($I$156:$I$160) = 0, "", SUM($I$156:$I$160))))</f>
        <v>248</v>
      </c>
      <c r="J155">
        <f ca="1">IF(ISERROR(IF(SUM($J$156:$J$160) = 0, "", SUM($J$156:$J$160))), "", (IF(SUM($J$156:$J$160) = 0, "", SUM($J$156:$J$160))))</f>
        <v>153</v>
      </c>
      <c r="K155">
        <f ca="1">IF(ISERROR(IF(SUM($K$156:$K$160) = 0, "", SUM($K$156:$K$160))), "", (IF(SUM($K$156:$K$160) = 0, "", SUM($K$156:$K$160))))</f>
        <v>122</v>
      </c>
      <c r="L155">
        <f ca="1">IF(ISERROR(IF(SUM($L$156:$L$160) = 0, "", SUM($L$156:$L$160))), "", (IF(SUM($L$156:$L$160) = 0, "", SUM($L$156:$L$160))))</f>
        <v>205</v>
      </c>
      <c r="M155">
        <f>258</f>
        <v>258</v>
      </c>
      <c r="N155">
        <f>152</f>
        <v>152</v>
      </c>
      <c r="O155">
        <f>276</f>
        <v>276</v>
      </c>
      <c r="P155">
        <f>248</f>
        <v>248</v>
      </c>
      <c r="Q155">
        <f>153</f>
        <v>153</v>
      </c>
      <c r="R155">
        <f>122</f>
        <v>122</v>
      </c>
      <c r="S155">
        <f>205</f>
        <v>205</v>
      </c>
    </row>
    <row r="156" spans="1:19" x14ac:dyDescent="0.25">
      <c r="A156" t="str">
        <f>"        Cognizant Technology Solutions Corp"</f>
        <v xml:space="preserve">        Cognizant Technology Solutions Corp</v>
      </c>
      <c r="B156" t="str">
        <f>"CTSH US Equity"</f>
        <v>CTSH US Equity</v>
      </c>
      <c r="C156" t="str">
        <f>"M0016"</f>
        <v>M0016</v>
      </c>
      <c r="D156" t="str">
        <f>"NUM_CLIENTS_50MM_TO_100MM"</f>
        <v>NUM_CLIENTS_50MM_TO_100MM</v>
      </c>
      <c r="E156" t="str">
        <f>"Dynamic"</f>
        <v>Dynamic</v>
      </c>
      <c r="F156" t="str">
        <f ca="1">IF(AND(ISNUMBER($F$397),$B$242=1),$F$397,HLOOKUP(INDIRECT(ADDRESS(2,COLUMN())),OFFSET($M$2,0,0,ROW()-1,7),ROW()-1,FALSE))</f>
        <v/>
      </c>
      <c r="G156" t="str">
        <f ca="1">IF(AND(ISNUMBER($G$397),$B$242=1),$G$397,HLOOKUP(INDIRECT(ADDRESS(2,COLUMN())),OFFSET($M$2,0,0,ROW()-1,7),ROW()-1,FALSE))</f>
        <v/>
      </c>
      <c r="H156" t="str">
        <f ca="1">IF(AND(ISNUMBER($H$397),$B$242=1),$H$397,HLOOKUP(INDIRECT(ADDRESS(2,COLUMN())),OFFSET($M$2,0,0,ROW()-1,7),ROW()-1,FALSE))</f>
        <v/>
      </c>
      <c r="I156" t="str">
        <f ca="1">IF(AND(ISNUMBER($I$397),$B$242=1),$I$397,HLOOKUP(INDIRECT(ADDRESS(2,COLUMN())),OFFSET($M$2,0,0,ROW()-1,7),ROW()-1,FALSE))</f>
        <v/>
      </c>
      <c r="J156" t="str">
        <f ca="1">IF(AND(ISNUMBER($J$397),$B$242=1),$J$397,HLOOKUP(INDIRECT(ADDRESS(2,COLUMN())),OFFSET($M$2,0,0,ROW()-1,7),ROW()-1,FALSE))</f>
        <v/>
      </c>
      <c r="K156" t="str">
        <f ca="1">IF(AND(ISNUMBER($K$397),$B$242=1),$K$397,HLOOKUP(INDIRECT(ADDRESS(2,COLUMN())),OFFSET($M$2,0,0,ROW()-1,7),ROW()-1,FALSE))</f>
        <v/>
      </c>
      <c r="L156" t="str">
        <f ca="1">IF(AND(ISNUMBER($L$397),$B$242=1),$L$397,HLOOKUP(INDIRECT(ADDRESS(2,COLUMN())),OFFSET($M$2,0,0,ROW()-1,7),ROW()-1,FALSE))</f>
        <v/>
      </c>
      <c r="M156" t="str">
        <f>""</f>
        <v/>
      </c>
      <c r="N156" t="str">
        <f>""</f>
        <v/>
      </c>
      <c r="O156" t="str">
        <f>""</f>
        <v/>
      </c>
      <c r="P156" t="str">
        <f>""</f>
        <v/>
      </c>
      <c r="Q156" t="str">
        <f>""</f>
        <v/>
      </c>
      <c r="R156" t="str">
        <f>""</f>
        <v/>
      </c>
      <c r="S156" t="str">
        <f>""</f>
        <v/>
      </c>
    </row>
    <row r="157" spans="1:19" x14ac:dyDescent="0.25">
      <c r="A157" t="str">
        <f>"        HCL Technologies Ltd"</f>
        <v xml:space="preserve">        HCL Technologies Ltd</v>
      </c>
      <c r="B157" t="str">
        <f>"HCLT IN Equity"</f>
        <v>HCLT IN Equity</v>
      </c>
      <c r="C157" t="str">
        <f>"M0016"</f>
        <v>M0016</v>
      </c>
      <c r="D157" t="str">
        <f>"NUM_CLIENTS_50MM_TO_100MM"</f>
        <v>NUM_CLIENTS_50MM_TO_100MM</v>
      </c>
      <c r="E157" t="str">
        <f>"Dynamic"</f>
        <v>Dynamic</v>
      </c>
      <c r="F157">
        <f ca="1">IF(AND(ISNUMBER($F$398),$B$242=1),$F$398,HLOOKUP(INDIRECT(ADDRESS(2,COLUMN())),OFFSET($M$2,0,0,ROW()-1,7),ROW()-1,FALSE))</f>
        <v>30</v>
      </c>
      <c r="G157">
        <f ca="1">IF(AND(ISNUMBER($G$398),$B$242=1),$G$398,HLOOKUP(INDIRECT(ADDRESS(2,COLUMN())),OFFSET($M$2,0,0,ROW()-1,7),ROW()-1,FALSE))</f>
        <v>29</v>
      </c>
      <c r="H157">
        <f ca="1">IF(AND(ISNUMBER($H$398),$B$242=1),$H$398,HLOOKUP(INDIRECT(ADDRESS(2,COLUMN())),OFFSET($M$2,0,0,ROW()-1,7),ROW()-1,FALSE))</f>
        <v>28</v>
      </c>
      <c r="I157">
        <f ca="1">IF(AND(ISNUMBER($I$398),$B$242=1),$I$398,HLOOKUP(INDIRECT(ADDRESS(2,COLUMN())),OFFSET($M$2,0,0,ROW()-1,7),ROW()-1,FALSE))</f>
        <v>25</v>
      </c>
      <c r="J157">
        <f ca="1">IF(AND(ISNUMBER($J$398),$B$242=1),$J$398,HLOOKUP(INDIRECT(ADDRESS(2,COLUMN())),OFFSET($M$2,0,0,ROW()-1,7),ROW()-1,FALSE))</f>
        <v>19</v>
      </c>
      <c r="K157" t="str">
        <f ca="1">IF(AND(ISNUMBER($K$398),$B$242=1),$K$398,HLOOKUP(INDIRECT(ADDRESS(2,COLUMN())),OFFSET($M$2,0,0,ROW()-1,7),ROW()-1,FALSE))</f>
        <v/>
      </c>
      <c r="L157">
        <f ca="1">IF(AND(ISNUMBER($L$398),$B$242=1),$L$398,HLOOKUP(INDIRECT(ADDRESS(2,COLUMN())),OFFSET($M$2,0,0,ROW()-1,7),ROW()-1,FALSE))</f>
        <v>15</v>
      </c>
      <c r="M157">
        <f>30</f>
        <v>30</v>
      </c>
      <c r="N157">
        <f>29</f>
        <v>29</v>
      </c>
      <c r="O157">
        <f>28</f>
        <v>28</v>
      </c>
      <c r="P157">
        <f>25</f>
        <v>25</v>
      </c>
      <c r="Q157">
        <f>19</f>
        <v>19</v>
      </c>
      <c r="R157" t="str">
        <f>""</f>
        <v/>
      </c>
      <c r="S157">
        <f>15</f>
        <v>15</v>
      </c>
    </row>
    <row r="158" spans="1:19" x14ac:dyDescent="0.25">
      <c r="A158" t="str">
        <f>"        Infosys Ltd"</f>
        <v xml:space="preserve">        Infosys Ltd</v>
      </c>
      <c r="B158" t="str">
        <f>"INFY US Equity"</f>
        <v>INFY US Equity</v>
      </c>
      <c r="C158" t="str">
        <f>"M0016"</f>
        <v>M0016</v>
      </c>
      <c r="D158" t="str">
        <f>"NUM_CLIENTS_50MM_TO_100MM"</f>
        <v>NUM_CLIENTS_50MM_TO_100MM</v>
      </c>
      <c r="E158" t="str">
        <f>"Dynamic"</f>
        <v>Dynamic</v>
      </c>
      <c r="F158">
        <f ca="1">IF(AND(ISNUMBER($F$399),$B$242=1),$F$399,HLOOKUP(INDIRECT(ADDRESS(2,COLUMN())),OFFSET($M$2,0,0,ROW()-1,7),ROW()-1,FALSE))</f>
        <v>61</v>
      </c>
      <c r="G158">
        <f ca="1">IF(AND(ISNUMBER($G$399),$B$242=1),$G$399,HLOOKUP(INDIRECT(ADDRESS(2,COLUMN())),OFFSET($M$2,0,0,ROW()-1,7),ROW()-1,FALSE))</f>
        <v>60</v>
      </c>
      <c r="H158">
        <f ca="1">IF(AND(ISNUMBER($H$399),$B$242=1),$H$399,HLOOKUP(INDIRECT(ADDRESS(2,COLUMN())),OFFSET($M$2,0,0,ROW()-1,7),ROW()-1,FALSE))</f>
        <v>92</v>
      </c>
      <c r="I158">
        <f ca="1">IF(AND(ISNUMBER($I$399),$B$242=1),$I$399,HLOOKUP(INDIRECT(ADDRESS(2,COLUMN())),OFFSET($M$2,0,0,ROW()-1,7),ROW()-1,FALSE))</f>
        <v>87</v>
      </c>
      <c r="J158">
        <f ca="1">IF(AND(ISNUMBER($J$399),$B$242=1),$J$399,HLOOKUP(INDIRECT(ADDRESS(2,COLUMN())),OFFSET($M$2,0,0,ROW()-1,7),ROW()-1,FALSE))</f>
        <v>83</v>
      </c>
      <c r="K158">
        <f ca="1">IF(AND(ISNUMBER($K$399),$B$242=1),$K$399,HLOOKUP(INDIRECT(ADDRESS(2,COLUMN())),OFFSET($M$2,0,0,ROW()-1,7),ROW()-1,FALSE))</f>
        <v>76</v>
      </c>
      <c r="L158">
        <f ca="1">IF(AND(ISNUMBER($L$399),$B$242=1),$L$399,HLOOKUP(INDIRECT(ADDRESS(2,COLUMN())),OFFSET($M$2,0,0,ROW()-1,7),ROW()-1,FALSE))</f>
        <v>147</v>
      </c>
      <c r="M158">
        <f>61</f>
        <v>61</v>
      </c>
      <c r="N158">
        <f>60</f>
        <v>60</v>
      </c>
      <c r="O158">
        <f>92</f>
        <v>92</v>
      </c>
      <c r="P158">
        <f>87</f>
        <v>87</v>
      </c>
      <c r="Q158">
        <f>83</f>
        <v>83</v>
      </c>
      <c r="R158">
        <f>76</f>
        <v>76</v>
      </c>
      <c r="S158">
        <f>147</f>
        <v>147</v>
      </c>
    </row>
    <row r="159" spans="1:19" x14ac:dyDescent="0.25">
      <c r="A159" t="str">
        <f>"        Tata Consultancy Services Ltd"</f>
        <v xml:space="preserve">        Tata Consultancy Services Ltd</v>
      </c>
      <c r="B159" t="str">
        <f>"TCS IN Equity"</f>
        <v>TCS IN Equity</v>
      </c>
      <c r="C159" t="str">
        <f>"M0016"</f>
        <v>M0016</v>
      </c>
      <c r="D159" t="str">
        <f>"NUM_CLIENTS_50MM_TO_100MM"</f>
        <v>NUM_CLIENTS_50MM_TO_100MM</v>
      </c>
      <c r="E159" t="str">
        <f>"Dynamic"</f>
        <v>Dynamic</v>
      </c>
      <c r="F159">
        <f ca="1">IF(AND(ISNUMBER($F$400),$B$242=1),$F$400,HLOOKUP(INDIRECT(ADDRESS(2,COLUMN())),OFFSET($M$2,0,0,ROW()-1,7),ROW()-1,FALSE))</f>
        <v>105</v>
      </c>
      <c r="G159" t="str">
        <f ca="1">IF(AND(ISNUMBER($G$400),$B$242=1),$G$400,HLOOKUP(INDIRECT(ADDRESS(2,COLUMN())),OFFSET($M$2,0,0,ROW()-1,7),ROW()-1,FALSE))</f>
        <v/>
      </c>
      <c r="H159">
        <f ca="1">IF(AND(ISNUMBER($H$400),$B$242=1),$H$400,HLOOKUP(INDIRECT(ADDRESS(2,COLUMN())),OFFSET($M$2,0,0,ROW()-1,7),ROW()-1,FALSE))</f>
        <v>97</v>
      </c>
      <c r="I159">
        <f ca="1">IF(AND(ISNUMBER($I$400),$B$242=1),$I$400,HLOOKUP(INDIRECT(ADDRESS(2,COLUMN())),OFFSET($M$2,0,0,ROW()-1,7),ROW()-1,FALSE))</f>
        <v>84</v>
      </c>
      <c r="J159" t="str">
        <f ca="1">IF(AND(ISNUMBER($J$400),$B$242=1),$J$400,HLOOKUP(INDIRECT(ADDRESS(2,COLUMN())),OFFSET($M$2,0,0,ROW()-1,7),ROW()-1,FALSE))</f>
        <v/>
      </c>
      <c r="K159" t="str">
        <f ca="1">IF(AND(ISNUMBER($K$400),$B$242=1),$K$400,HLOOKUP(INDIRECT(ADDRESS(2,COLUMN())),OFFSET($M$2,0,0,ROW()-1,7),ROW()-1,FALSE))</f>
        <v/>
      </c>
      <c r="L159" t="str">
        <f ca="1">IF(AND(ISNUMBER($L$400),$B$242=1),$L$400,HLOOKUP(INDIRECT(ADDRESS(2,COLUMN())),OFFSET($M$2,0,0,ROW()-1,7),ROW()-1,FALSE))</f>
        <v/>
      </c>
      <c r="M159">
        <f>105</f>
        <v>105</v>
      </c>
      <c r="N159" t="str">
        <f>""</f>
        <v/>
      </c>
      <c r="O159">
        <f>97</f>
        <v>97</v>
      </c>
      <c r="P159">
        <f>84</f>
        <v>84</v>
      </c>
      <c r="Q159" t="str">
        <f>""</f>
        <v/>
      </c>
      <c r="R159" t="str">
        <f>""</f>
        <v/>
      </c>
      <c r="S159" t="str">
        <f>""</f>
        <v/>
      </c>
    </row>
    <row r="160" spans="1:19" x14ac:dyDescent="0.25">
      <c r="A160" t="str">
        <f>"        Wipro Ltd"</f>
        <v xml:space="preserve">        Wipro Ltd</v>
      </c>
      <c r="B160" t="str">
        <f>"WIT US Equity"</f>
        <v>WIT US Equity</v>
      </c>
      <c r="C160" t="str">
        <f>"M0016"</f>
        <v>M0016</v>
      </c>
      <c r="D160" t="str">
        <f>"NUM_CLIENTS_50MM_TO_100MM"</f>
        <v>NUM_CLIENTS_50MM_TO_100MM</v>
      </c>
      <c r="E160" t="str">
        <f>"Dynamic"</f>
        <v>Dynamic</v>
      </c>
      <c r="F160">
        <f ca="1">IF(AND(ISNUMBER($F$401),$B$242=1),$F$401,HLOOKUP(INDIRECT(ADDRESS(2,COLUMN())),OFFSET($M$2,0,0,ROW()-1,7),ROW()-1,FALSE))</f>
        <v>62</v>
      </c>
      <c r="G160">
        <f ca="1">IF(AND(ISNUMBER($G$401),$B$242=1),$G$401,HLOOKUP(INDIRECT(ADDRESS(2,COLUMN())),OFFSET($M$2,0,0,ROW()-1,7),ROW()-1,FALSE))</f>
        <v>63</v>
      </c>
      <c r="H160">
        <f ca="1">IF(AND(ISNUMBER($H$401),$B$242=1),$H$401,HLOOKUP(INDIRECT(ADDRESS(2,COLUMN())),OFFSET($M$2,0,0,ROW()-1,7),ROW()-1,FALSE))</f>
        <v>59</v>
      </c>
      <c r="I160">
        <f ca="1">IF(AND(ISNUMBER($I$401),$B$242=1),$I$401,HLOOKUP(INDIRECT(ADDRESS(2,COLUMN())),OFFSET($M$2,0,0,ROW()-1,7),ROW()-1,FALSE))</f>
        <v>52</v>
      </c>
      <c r="J160">
        <f ca="1">IF(AND(ISNUMBER($J$401),$B$242=1),$J$401,HLOOKUP(INDIRECT(ADDRESS(2,COLUMN())),OFFSET($M$2,0,0,ROW()-1,7),ROW()-1,FALSE))</f>
        <v>51</v>
      </c>
      <c r="K160">
        <f ca="1">IF(AND(ISNUMBER($K$401),$B$242=1),$K$401,HLOOKUP(INDIRECT(ADDRESS(2,COLUMN())),OFFSET($M$2,0,0,ROW()-1,7),ROW()-1,FALSE))</f>
        <v>46</v>
      </c>
      <c r="L160">
        <f ca="1">IF(AND(ISNUMBER($L$401),$B$242=1),$L$401,HLOOKUP(INDIRECT(ADDRESS(2,COLUMN())),OFFSET($M$2,0,0,ROW()-1,7),ROW()-1,FALSE))</f>
        <v>43</v>
      </c>
      <c r="M160">
        <f>62</f>
        <v>62</v>
      </c>
      <c r="N160">
        <f>63</f>
        <v>63</v>
      </c>
      <c r="O160">
        <f>59</f>
        <v>59</v>
      </c>
      <c r="P160">
        <f>52</f>
        <v>52</v>
      </c>
      <c r="Q160">
        <f>51</f>
        <v>51</v>
      </c>
      <c r="R160">
        <f>46</f>
        <v>46</v>
      </c>
      <c r="S160">
        <f>43</f>
        <v>43</v>
      </c>
    </row>
    <row r="161" spans="1:19" x14ac:dyDescent="0.25">
      <c r="A161" t="str">
        <f>"    # of Clients $100mn+"</f>
        <v xml:space="preserve">    # of Clients $100mn+</v>
      </c>
      <c r="B161" t="str">
        <f>""</f>
        <v/>
      </c>
      <c r="E161" t="str">
        <f>"Sum"</f>
        <v>Sum</v>
      </c>
      <c r="F161">
        <f ca="1">IF(ISERROR(IF(SUM($F$162:$F$166) = 0, "", SUM($F$162:$F$166))), "", (IF(SUM($F$162:$F$166) = 0, "", SUM($F$162:$F$166))))</f>
        <v>107</v>
      </c>
      <c r="G161">
        <f ca="1">IF(ISERROR(IF(SUM($G$162:$G$166) = 0, "", SUM($G$162:$G$166))), "", (IF(SUM($G$162:$G$166) = 0, "", SUM($G$162:$G$166))))</f>
        <v>45</v>
      </c>
      <c r="H161">
        <f ca="1">IF(ISERROR(IF(SUM($H$162:$H$166) = 0, "", SUM($H$162:$H$166))), "", (IF(SUM($H$162:$H$166) = 0, "", SUM($H$162:$H$166))))</f>
        <v>74</v>
      </c>
      <c r="I161">
        <f ca="1">IF(ISERROR(IF(SUM($I$162:$I$166) = 0, "", SUM($I$162:$I$166))), "", (IF(SUM($I$162:$I$166) = 0, "", SUM($I$162:$I$166))))</f>
        <v>78</v>
      </c>
      <c r="J161">
        <f ca="1">IF(ISERROR(IF(SUM($J$162:$J$166) = 0, "", SUM($J$162:$J$166))), "", (IF(SUM($J$162:$J$166) = 0, "", SUM($J$162:$J$166))))</f>
        <v>38</v>
      </c>
      <c r="K161">
        <f ca="1">IF(ISERROR(IF(SUM($K$162:$K$166) = 0, "", SUM($K$162:$K$166))), "", (IF(SUM($K$162:$K$166) = 0, "", SUM($K$162:$K$166))))</f>
        <v>30</v>
      </c>
      <c r="L161">
        <f ca="1">IF(ISERROR(IF(SUM($L$162:$L$166) = 0, "", SUM($L$162:$L$166))), "", (IF(SUM($L$162:$L$166) = 0, "", SUM($L$162:$L$166))))</f>
        <v>33</v>
      </c>
      <c r="M161">
        <f>107</f>
        <v>107</v>
      </c>
      <c r="N161">
        <f>45</f>
        <v>45</v>
      </c>
      <c r="O161">
        <f>74</f>
        <v>74</v>
      </c>
      <c r="P161">
        <f>78</f>
        <v>78</v>
      </c>
      <c r="Q161">
        <f>38</f>
        <v>38</v>
      </c>
      <c r="R161">
        <f>30</f>
        <v>30</v>
      </c>
      <c r="S161">
        <f>33</f>
        <v>33</v>
      </c>
    </row>
    <row r="162" spans="1:19" x14ac:dyDescent="0.25">
      <c r="A162" t="str">
        <f>"        Cognizant Technology Solutions Corp"</f>
        <v xml:space="preserve">        Cognizant Technology Solutions Corp</v>
      </c>
      <c r="B162" t="str">
        <f>"CTSH US Equity"</f>
        <v>CTSH US Equity</v>
      </c>
      <c r="C162" t="str">
        <f>"M0017"</f>
        <v>M0017</v>
      </c>
      <c r="D162" t="str">
        <f>"NUM_OF_CLIENTS_OVER_100MM"</f>
        <v>NUM_OF_CLIENTS_OVER_100MM</v>
      </c>
      <c r="E162" t="str">
        <f>"Dynamic"</f>
        <v>Dynamic</v>
      </c>
      <c r="F162" t="str">
        <f ca="1">IF(AND(ISNUMBER($F$402),$B$242=1),$F$402,HLOOKUP(INDIRECT(ADDRESS(2,COLUMN())),OFFSET($M$2,0,0,ROW()-1,7),ROW()-1,FALSE))</f>
        <v/>
      </c>
      <c r="G162" t="str">
        <f ca="1">IF(AND(ISNUMBER($G$402),$B$242=1),$G$402,HLOOKUP(INDIRECT(ADDRESS(2,COLUMN())),OFFSET($M$2,0,0,ROW()-1,7),ROW()-1,FALSE))</f>
        <v/>
      </c>
      <c r="H162" t="str">
        <f ca="1">IF(AND(ISNUMBER($H$402),$B$242=1),$H$402,HLOOKUP(INDIRECT(ADDRESS(2,COLUMN())),OFFSET($M$2,0,0,ROW()-1,7),ROW()-1,FALSE))</f>
        <v/>
      </c>
      <c r="I162" t="str">
        <f ca="1">IF(AND(ISNUMBER($I$402),$B$242=1),$I$402,HLOOKUP(INDIRECT(ADDRESS(2,COLUMN())),OFFSET($M$2,0,0,ROW()-1,7),ROW()-1,FALSE))</f>
        <v/>
      </c>
      <c r="J162" t="str">
        <f ca="1">IF(AND(ISNUMBER($J$402),$B$242=1),$J$402,HLOOKUP(INDIRECT(ADDRESS(2,COLUMN())),OFFSET($M$2,0,0,ROW()-1,7),ROW()-1,FALSE))</f>
        <v/>
      </c>
      <c r="K162" t="str">
        <f ca="1">IF(AND(ISNUMBER($K$402),$B$242=1),$K$402,HLOOKUP(INDIRECT(ADDRESS(2,COLUMN())),OFFSET($M$2,0,0,ROW()-1,7),ROW()-1,FALSE))</f>
        <v/>
      </c>
      <c r="L162" t="str">
        <f ca="1">IF(AND(ISNUMBER($L$402),$B$242=1),$L$402,HLOOKUP(INDIRECT(ADDRESS(2,COLUMN())),OFFSET($M$2,0,0,ROW()-1,7),ROW()-1,FALSE))</f>
        <v/>
      </c>
      <c r="M162" t="str">
        <f>""</f>
        <v/>
      </c>
      <c r="N162" t="str">
        <f>""</f>
        <v/>
      </c>
      <c r="O162" t="str">
        <f>""</f>
        <v/>
      </c>
      <c r="P162" t="str">
        <f>""</f>
        <v/>
      </c>
      <c r="Q162" t="str">
        <f>""</f>
        <v/>
      </c>
      <c r="R162" t="str">
        <f>""</f>
        <v/>
      </c>
      <c r="S162" t="str">
        <f>""</f>
        <v/>
      </c>
    </row>
    <row r="163" spans="1:19" x14ac:dyDescent="0.25">
      <c r="A163" t="str">
        <f>"        HCL Technologies Ltd"</f>
        <v xml:space="preserve">        HCL Technologies Ltd</v>
      </c>
      <c r="B163" t="str">
        <f>"HCLT IN Equity"</f>
        <v>HCLT IN Equity</v>
      </c>
      <c r="C163" t="str">
        <f>"M0017"</f>
        <v>M0017</v>
      </c>
      <c r="D163" t="str">
        <f>"NUM_OF_CLIENTS_OVER_100MM"</f>
        <v>NUM_OF_CLIENTS_OVER_100MM</v>
      </c>
      <c r="E163" t="str">
        <f>"Dynamic"</f>
        <v>Dynamic</v>
      </c>
      <c r="F163">
        <f ca="1">IF(AND(ISNUMBER($F$403),$B$242=1),$F$403,HLOOKUP(INDIRECT(ADDRESS(2,COLUMN())),OFFSET($M$2,0,0,ROW()-1,7),ROW()-1,FALSE))</f>
        <v>15</v>
      </c>
      <c r="G163">
        <f ca="1">IF(AND(ISNUMBER($G$403),$B$242=1),$G$403,HLOOKUP(INDIRECT(ADDRESS(2,COLUMN())),OFFSET($M$2,0,0,ROW()-1,7),ROW()-1,FALSE))</f>
        <v>10</v>
      </c>
      <c r="H163">
        <f ca="1">IF(AND(ISNUMBER($H$403),$B$242=1),$H$403,HLOOKUP(INDIRECT(ADDRESS(2,COLUMN())),OFFSET($M$2,0,0,ROW()-1,7),ROW()-1,FALSE))</f>
        <v>8</v>
      </c>
      <c r="I163">
        <f ca="1">IF(AND(ISNUMBER($I$403),$B$242=1),$I$403,HLOOKUP(INDIRECT(ADDRESS(2,COLUMN())),OFFSET($M$2,0,0,ROW()-1,7),ROW()-1,FALSE))</f>
        <v>8</v>
      </c>
      <c r="J163">
        <f ca="1">IF(AND(ISNUMBER($J$403),$B$242=1),$J$403,HLOOKUP(INDIRECT(ADDRESS(2,COLUMN())),OFFSET($M$2,0,0,ROW()-1,7),ROW()-1,FALSE))</f>
        <v>8</v>
      </c>
      <c r="K163" t="str">
        <f ca="1">IF(AND(ISNUMBER($K$403),$B$242=1),$K$403,HLOOKUP(INDIRECT(ADDRESS(2,COLUMN())),OFFSET($M$2,0,0,ROW()-1,7),ROW()-1,FALSE))</f>
        <v/>
      </c>
      <c r="L163">
        <f ca="1">IF(AND(ISNUMBER($L$403),$B$242=1),$L$403,HLOOKUP(INDIRECT(ADDRESS(2,COLUMN())),OFFSET($M$2,0,0,ROW()-1,7),ROW()-1,FALSE))</f>
        <v>6</v>
      </c>
      <c r="M163">
        <f>15</f>
        <v>15</v>
      </c>
      <c r="N163">
        <f>10</f>
        <v>10</v>
      </c>
      <c r="O163">
        <f>8</f>
        <v>8</v>
      </c>
      <c r="P163">
        <f>8</f>
        <v>8</v>
      </c>
      <c r="Q163">
        <f>8</f>
        <v>8</v>
      </c>
      <c r="R163" t="str">
        <f>""</f>
        <v/>
      </c>
      <c r="S163">
        <f>6</f>
        <v>6</v>
      </c>
    </row>
    <row r="164" spans="1:19" x14ac:dyDescent="0.25">
      <c r="A164" t="str">
        <f>"        Infosys Ltd"</f>
        <v xml:space="preserve">        Infosys Ltd</v>
      </c>
      <c r="B164" t="str">
        <f>"INFY US Equity"</f>
        <v>INFY US Equity</v>
      </c>
      <c r="C164" t="str">
        <f>"M0017"</f>
        <v>M0017</v>
      </c>
      <c r="D164" t="str">
        <f>"NUM_OF_CLIENTS_OVER_100MM"</f>
        <v>NUM_OF_CLIENTS_OVER_100MM</v>
      </c>
      <c r="E164" t="str">
        <f>"Dynamic"</f>
        <v>Dynamic</v>
      </c>
      <c r="F164">
        <f ca="1">IF(AND(ISNUMBER($F$404),$B$242=1),$F$404,HLOOKUP(INDIRECT(ADDRESS(2,COLUMN())),OFFSET($M$2,0,0,ROW()-1,7),ROW()-1,FALSE))</f>
        <v>28</v>
      </c>
      <c r="G164">
        <f ca="1">IF(AND(ISNUMBER($G$404),$B$242=1),$G$404,HLOOKUP(INDIRECT(ADDRESS(2,COLUMN())),OFFSET($M$2,0,0,ROW()-1,7),ROW()-1,FALSE))</f>
        <v>25</v>
      </c>
      <c r="H164">
        <f ca="1">IF(AND(ISNUMBER($H$404),$B$242=1),$H$404,HLOOKUP(INDIRECT(ADDRESS(2,COLUMN())),OFFSET($M$2,0,0,ROW()-1,7),ROW()-1,FALSE))</f>
        <v>20</v>
      </c>
      <c r="I164">
        <f ca="1">IF(AND(ISNUMBER($I$404),$B$242=1),$I$404,HLOOKUP(INDIRECT(ADDRESS(2,COLUMN())),OFFSET($M$2,0,0,ROW()-1,7),ROW()-1,FALSE))</f>
        <v>26</v>
      </c>
      <c r="J164">
        <f ca="1">IF(AND(ISNUMBER($J$404),$B$242=1),$J$404,HLOOKUP(INDIRECT(ADDRESS(2,COLUMN())),OFFSET($M$2,0,0,ROW()-1,7),ROW()-1,FALSE))</f>
        <v>21</v>
      </c>
      <c r="K164">
        <f ca="1">IF(AND(ISNUMBER($K$404),$B$242=1),$K$404,HLOOKUP(INDIRECT(ADDRESS(2,COLUMN())),OFFSET($M$2,0,0,ROW()-1,7),ROW()-1,FALSE))</f>
        <v>19</v>
      </c>
      <c r="L164">
        <f ca="1">IF(AND(ISNUMBER($L$404),$B$242=1),$L$404,HLOOKUP(INDIRECT(ADDRESS(2,COLUMN())),OFFSET($M$2,0,0,ROW()-1,7),ROW()-1,FALSE))</f>
        <v>17</v>
      </c>
      <c r="M164">
        <f>28</f>
        <v>28</v>
      </c>
      <c r="N164">
        <f>25</f>
        <v>25</v>
      </c>
      <c r="O164">
        <f>20</f>
        <v>20</v>
      </c>
      <c r="P164">
        <f>26</f>
        <v>26</v>
      </c>
      <c r="Q164">
        <f>21</f>
        <v>21</v>
      </c>
      <c r="R164">
        <f>19</f>
        <v>19</v>
      </c>
      <c r="S164">
        <f>17</f>
        <v>17</v>
      </c>
    </row>
    <row r="165" spans="1:19" x14ac:dyDescent="0.25">
      <c r="A165" t="str">
        <f>"        Tata Consultancy Services Ltd"</f>
        <v xml:space="preserve">        Tata Consultancy Services Ltd</v>
      </c>
      <c r="B165" t="str">
        <f>"TCS IN Equity"</f>
        <v>TCS IN Equity</v>
      </c>
      <c r="C165" t="str">
        <f>"M0017"</f>
        <v>M0017</v>
      </c>
      <c r="D165" t="str">
        <f>"NUM_OF_CLIENTS_OVER_100MM"</f>
        <v>NUM_OF_CLIENTS_OVER_100MM</v>
      </c>
      <c r="E165" t="str">
        <f>"Dynamic"</f>
        <v>Dynamic</v>
      </c>
      <c r="F165">
        <f ca="1">IF(AND(ISNUMBER($F$405),$B$242=1),$F$405,HLOOKUP(INDIRECT(ADDRESS(2,COLUMN())),OFFSET($M$2,0,0,ROW()-1,7),ROW()-1,FALSE))</f>
        <v>49</v>
      </c>
      <c r="G165" t="str">
        <f ca="1">IF(AND(ISNUMBER($G$405),$B$242=1),$G$405,HLOOKUP(INDIRECT(ADDRESS(2,COLUMN())),OFFSET($M$2,0,0,ROW()-1,7),ROW()-1,FALSE))</f>
        <v/>
      </c>
      <c r="H165">
        <f ca="1">IF(AND(ISNUMBER($H$405),$B$242=1),$H$405,HLOOKUP(INDIRECT(ADDRESS(2,COLUMN())),OFFSET($M$2,0,0,ROW()-1,7),ROW()-1,FALSE))</f>
        <v>38</v>
      </c>
      <c r="I165">
        <f ca="1">IF(AND(ISNUMBER($I$405),$B$242=1),$I$405,HLOOKUP(INDIRECT(ADDRESS(2,COLUMN())),OFFSET($M$2,0,0,ROW()-1,7),ROW()-1,FALSE))</f>
        <v>35</v>
      </c>
      <c r="J165" t="str">
        <f ca="1">IF(AND(ISNUMBER($J$405),$B$242=1),$J$405,HLOOKUP(INDIRECT(ADDRESS(2,COLUMN())),OFFSET($M$2,0,0,ROW()-1,7),ROW()-1,FALSE))</f>
        <v/>
      </c>
      <c r="K165" t="str">
        <f ca="1">IF(AND(ISNUMBER($K$405),$B$242=1),$K$405,HLOOKUP(INDIRECT(ADDRESS(2,COLUMN())),OFFSET($M$2,0,0,ROW()-1,7),ROW()-1,FALSE))</f>
        <v/>
      </c>
      <c r="L165" t="str">
        <f ca="1">IF(AND(ISNUMBER($L$405),$B$242=1),$L$405,HLOOKUP(INDIRECT(ADDRESS(2,COLUMN())),OFFSET($M$2,0,0,ROW()-1,7),ROW()-1,FALSE))</f>
        <v/>
      </c>
      <c r="M165">
        <f>49</f>
        <v>49</v>
      </c>
      <c r="N165" t="str">
        <f>""</f>
        <v/>
      </c>
      <c r="O165">
        <f>38</f>
        <v>38</v>
      </c>
      <c r="P165">
        <f>35</f>
        <v>35</v>
      </c>
      <c r="Q165" t="str">
        <f>""</f>
        <v/>
      </c>
      <c r="R165" t="str">
        <f>""</f>
        <v/>
      </c>
      <c r="S165" t="str">
        <f>""</f>
        <v/>
      </c>
    </row>
    <row r="166" spans="1:19" x14ac:dyDescent="0.25">
      <c r="A166" t="str">
        <f>"        Wipro Ltd"</f>
        <v xml:space="preserve">        Wipro Ltd</v>
      </c>
      <c r="B166" t="str">
        <f>"WIT US Equity"</f>
        <v>WIT US Equity</v>
      </c>
      <c r="C166" t="str">
        <f>"M0017"</f>
        <v>M0017</v>
      </c>
      <c r="D166" t="str">
        <f>"NUM_OF_CLIENTS_OVER_100MM"</f>
        <v>NUM_OF_CLIENTS_OVER_100MM</v>
      </c>
      <c r="E166" t="str">
        <f>"Dynamic"</f>
        <v>Dynamic</v>
      </c>
      <c r="F166">
        <f ca="1">IF(AND(ISNUMBER($F$406),$B$242=1),$F$406,HLOOKUP(INDIRECT(ADDRESS(2,COLUMN())),OFFSET($M$2,0,0,ROW()-1,7),ROW()-1,FALSE))</f>
        <v>15</v>
      </c>
      <c r="G166">
        <f ca="1">IF(AND(ISNUMBER($G$406),$B$242=1),$G$406,HLOOKUP(INDIRECT(ADDRESS(2,COLUMN())),OFFSET($M$2,0,0,ROW()-1,7),ROW()-1,FALSE))</f>
        <v>10</v>
      </c>
      <c r="H166">
        <f ca="1">IF(AND(ISNUMBER($H$406),$B$242=1),$H$406,HLOOKUP(INDIRECT(ADDRESS(2,COLUMN())),OFFSET($M$2,0,0,ROW()-1,7),ROW()-1,FALSE))</f>
        <v>8</v>
      </c>
      <c r="I166">
        <f ca="1">IF(AND(ISNUMBER($I$406),$B$242=1),$I$406,HLOOKUP(INDIRECT(ADDRESS(2,COLUMN())),OFFSET($M$2,0,0,ROW()-1,7),ROW()-1,FALSE))</f>
        <v>9</v>
      </c>
      <c r="J166">
        <f ca="1">IF(AND(ISNUMBER($J$406),$B$242=1),$J$406,HLOOKUP(INDIRECT(ADDRESS(2,COLUMN())),OFFSET($M$2,0,0,ROW()-1,7),ROW()-1,FALSE))</f>
        <v>9</v>
      </c>
      <c r="K166">
        <f ca="1">IF(AND(ISNUMBER($K$406),$B$242=1),$K$406,HLOOKUP(INDIRECT(ADDRESS(2,COLUMN())),OFFSET($M$2,0,0,ROW()-1,7),ROW()-1,FALSE))</f>
        <v>11</v>
      </c>
      <c r="L166">
        <f ca="1">IF(AND(ISNUMBER($L$406),$B$242=1),$L$406,HLOOKUP(INDIRECT(ADDRESS(2,COLUMN())),OFFSET($M$2,0,0,ROW()-1,7),ROW()-1,FALSE))</f>
        <v>10</v>
      </c>
      <c r="M166">
        <f>15</f>
        <v>15</v>
      </c>
      <c r="N166">
        <f>10</f>
        <v>10</v>
      </c>
      <c r="O166">
        <f>8</f>
        <v>8</v>
      </c>
      <c r="P166">
        <f>9</f>
        <v>9</v>
      </c>
      <c r="Q166">
        <f>9</f>
        <v>9</v>
      </c>
      <c r="R166">
        <f>11</f>
        <v>11</v>
      </c>
      <c r="S166">
        <f>10</f>
        <v>10</v>
      </c>
    </row>
    <row r="167" spans="1:19" x14ac:dyDescent="0.25">
      <c r="A167" t="str">
        <f>"Contract Metrics:"</f>
        <v>Contract Metrics:</v>
      </c>
      <c r="B167" t="str">
        <f>""</f>
        <v/>
      </c>
      <c r="E167" t="str">
        <f>"Heading"</f>
        <v>Heading</v>
      </c>
      <c r="M167" t="str">
        <f>""</f>
        <v/>
      </c>
      <c r="N167" t="str">
        <f>""</f>
        <v/>
      </c>
      <c r="O167" t="str">
        <f>""</f>
        <v/>
      </c>
      <c r="P167" t="str">
        <f>""</f>
        <v/>
      </c>
      <c r="Q167" t="str">
        <f>""</f>
        <v/>
      </c>
      <c r="R167" t="str">
        <f>""</f>
        <v/>
      </c>
      <c r="S167" t="str">
        <f>""</f>
        <v/>
      </c>
    </row>
    <row r="168" spans="1:19" x14ac:dyDescent="0.25">
      <c r="A168" t="str">
        <f>"Fixed Price (% of Total)"</f>
        <v>Fixed Price (% of Total)</v>
      </c>
      <c r="B168" t="str">
        <f>""</f>
        <v/>
      </c>
      <c r="E168" t="str">
        <f>"Average"</f>
        <v>Average</v>
      </c>
      <c r="F168">
        <f ca="1">IF(ISERROR(IF(AVERAGE($F$169:$F$173) = 0, "", AVERAGE($F$169:$F$173))), "", (IF(AVERAGE($F$169:$F$173) = 0, "", AVERAGE($F$169:$F$173))))</f>
        <v>65.349999999999994</v>
      </c>
      <c r="G168">
        <f ca="1">IF(ISERROR(IF(AVERAGE($G$169:$G$173) = 0, "", AVERAGE($G$169:$G$173))), "", (IF(AVERAGE($G$169:$G$173) = 0, "", AVERAGE($G$169:$G$173))))</f>
        <v>61.05</v>
      </c>
      <c r="H168">
        <f ca="1">IF(ISERROR(IF(AVERAGE($H$169:$H$173) = 0, "", AVERAGE($H$169:$H$173))), "", (IF(AVERAGE($H$169:$H$173) = 0, "", AVERAGE($H$169:$H$173))))</f>
        <v>56.433333333333337</v>
      </c>
      <c r="I168">
        <f ca="1">IF(ISERROR(IF(AVERAGE($I$169:$I$173) = 0, "", AVERAGE($I$169:$I$173))), "", (IF(AVERAGE($I$169:$I$173) = 0, "", AVERAGE($I$169:$I$173))))</f>
        <v>51.199999999999996</v>
      </c>
      <c r="J168">
        <f ca="1">IF(ISERROR(IF(AVERAGE($J$169:$J$173) = 0, "", AVERAGE($J$169:$J$173))), "", (IF(AVERAGE($J$169:$J$173) = 0, "", AVERAGE($J$169:$J$173))))</f>
        <v>48.125</v>
      </c>
      <c r="K168">
        <f ca="1">IF(ISERROR(IF(AVERAGE($K$169:$K$173) = 0, "", AVERAGE($K$169:$K$173))), "", (IF(AVERAGE($K$169:$K$173) = 0, "", AVERAGE($K$169:$K$173))))</f>
        <v>43.866666666666667</v>
      </c>
      <c r="L168">
        <f ca="1">IF(ISERROR(IF(AVERAGE($L$169:$L$173) = 0, "", AVERAGE($L$169:$L$173))), "", (IF(AVERAGE($L$169:$L$173) = 0, "", AVERAGE($L$169:$L$173))))</f>
        <v>45.650000000000006</v>
      </c>
      <c r="M168">
        <f>65.35</f>
        <v>65.349999999999994</v>
      </c>
      <c r="N168">
        <f>61.05</f>
        <v>61.05</v>
      </c>
      <c r="O168">
        <f>56.43333333</f>
        <v>56.433333330000004</v>
      </c>
      <c r="P168">
        <f>51.2</f>
        <v>51.2</v>
      </c>
      <c r="Q168">
        <f>48.125</f>
        <v>48.125</v>
      </c>
      <c r="R168">
        <f>43.86666667</f>
        <v>43.866666670000001</v>
      </c>
      <c r="S168">
        <f>45.65</f>
        <v>45.65</v>
      </c>
    </row>
    <row r="169" spans="1:19" x14ac:dyDescent="0.25">
      <c r="A169" t="str">
        <f>"    Cognizant Technology Solutions Corp"</f>
        <v xml:space="preserve">    Cognizant Technology Solutions Corp</v>
      </c>
      <c r="B169" t="str">
        <f>"CTSH US Equity"</f>
        <v>CTSH US Equity</v>
      </c>
      <c r="C169" t="str">
        <f>"M0021"</f>
        <v>M0021</v>
      </c>
      <c r="D169" t="str">
        <f>"FIXED_PRICE_PROJECTS"</f>
        <v>FIXED_PRICE_PROJECTS</v>
      </c>
      <c r="E169" t="str">
        <f>"Dynamic"</f>
        <v>Dynamic</v>
      </c>
      <c r="F169" t="str">
        <f ca="1">IF(AND(ISNUMBER($F$407),$B$242=1),$F$407,HLOOKUP(INDIRECT(ADDRESS(2,COLUMN())),OFFSET($M$2,0,0,ROW()-1,7),ROW()-1,FALSE))</f>
        <v/>
      </c>
      <c r="G169" t="str">
        <f ca="1">IF(AND(ISNUMBER($G$407),$B$242=1),$G$407,HLOOKUP(INDIRECT(ADDRESS(2,COLUMN())),OFFSET($M$2,0,0,ROW()-1,7),ROW()-1,FALSE))</f>
        <v/>
      </c>
      <c r="H169" t="str">
        <f ca="1">IF(AND(ISNUMBER($H$407),$B$242=1),$H$407,HLOOKUP(INDIRECT(ADDRESS(2,COLUMN())),OFFSET($M$2,0,0,ROW()-1,7),ROW()-1,FALSE))</f>
        <v/>
      </c>
      <c r="I169">
        <f ca="1">IF(AND(ISNUMBER($I$407),$B$242=1),$I$407,HLOOKUP(INDIRECT(ADDRESS(2,COLUMN())),OFFSET($M$2,0,0,ROW()-1,7),ROW()-1,FALSE))</f>
        <v>37.9</v>
      </c>
      <c r="J169">
        <f ca="1">IF(AND(ISNUMBER($J$407),$B$242=1),$J$407,HLOOKUP(INDIRECT(ADDRESS(2,COLUMN())),OFFSET($M$2,0,0,ROW()-1,7),ROW()-1,FALSE))</f>
        <v>36.5</v>
      </c>
      <c r="K169">
        <f ca="1">IF(AND(ISNUMBER($K$407),$B$242=1),$K$407,HLOOKUP(INDIRECT(ADDRESS(2,COLUMN())),OFFSET($M$2,0,0,ROW()-1,7),ROW()-1,FALSE))</f>
        <v>35.5</v>
      </c>
      <c r="L169">
        <f ca="1">IF(AND(ISNUMBER($L$407),$B$242=1),$L$407,HLOOKUP(INDIRECT(ADDRESS(2,COLUMN())),OFFSET($M$2,0,0,ROW()-1,7),ROW()-1,FALSE))</f>
        <v>34</v>
      </c>
      <c r="M169" t="str">
        <f>""</f>
        <v/>
      </c>
      <c r="N169" t="str">
        <f>""</f>
        <v/>
      </c>
      <c r="O169" t="str">
        <f>""</f>
        <v/>
      </c>
      <c r="P169">
        <f>37.9</f>
        <v>37.9</v>
      </c>
      <c r="Q169">
        <f>36.5</f>
        <v>36.5</v>
      </c>
      <c r="R169">
        <f>35.5</f>
        <v>35.5</v>
      </c>
      <c r="S169">
        <f>34</f>
        <v>34</v>
      </c>
    </row>
    <row r="170" spans="1:19" x14ac:dyDescent="0.25">
      <c r="A170" t="str">
        <f>"    HCL Technologies Ltd"</f>
        <v xml:space="preserve">    HCL Technologies Ltd</v>
      </c>
      <c r="B170" t="str">
        <f>"HCLT IN Equity"</f>
        <v>HCLT IN Equity</v>
      </c>
      <c r="C170" t="str">
        <f>"M0021"</f>
        <v>M0021</v>
      </c>
      <c r="D170" t="str">
        <f>"FIXED_PRICE_PROJECTS"</f>
        <v>FIXED_PRICE_PROJECTS</v>
      </c>
      <c r="E170" t="str">
        <f>"Dynamic"</f>
        <v>Dynamic</v>
      </c>
      <c r="F170">
        <f ca="1">IF(AND(ISNUMBER($F$408),$B$242=1),$F$408,HLOOKUP(INDIRECT(ADDRESS(2,COLUMN())),OFFSET($M$2,0,0,ROW()-1,7),ROW()-1,FALSE))</f>
        <v>68.3</v>
      </c>
      <c r="G170">
        <f ca="1">IF(AND(ISNUMBER($G$408),$B$242=1),$G$408,HLOOKUP(INDIRECT(ADDRESS(2,COLUMN())),OFFSET($M$2,0,0,ROW()-1,7),ROW()-1,FALSE))</f>
        <v>62.7</v>
      </c>
      <c r="H170">
        <f ca="1">IF(AND(ISNUMBER($H$408),$B$242=1),$H$408,HLOOKUP(INDIRECT(ADDRESS(2,COLUMN())),OFFSET($M$2,0,0,ROW()-1,7),ROW()-1,FALSE))</f>
        <v>60.7</v>
      </c>
      <c r="I170">
        <f ca="1">IF(AND(ISNUMBER($I$408),$B$242=1),$I$408,HLOOKUP(INDIRECT(ADDRESS(2,COLUMN())),OFFSET($M$2,0,0,ROW()-1,7),ROW()-1,FALSE))</f>
        <v>61.8</v>
      </c>
      <c r="J170">
        <f ca="1">IF(AND(ISNUMBER($J$408),$B$242=1),$J$408,HLOOKUP(INDIRECT(ADDRESS(2,COLUMN())),OFFSET($M$2,0,0,ROW()-1,7),ROW()-1,FALSE))</f>
        <v>56.8</v>
      </c>
      <c r="K170" t="str">
        <f ca="1">IF(AND(ISNUMBER($K$408),$B$242=1),$K$408,HLOOKUP(INDIRECT(ADDRESS(2,COLUMN())),OFFSET($M$2,0,0,ROW()-1,7),ROW()-1,FALSE))</f>
        <v/>
      </c>
      <c r="L170">
        <f ca="1">IF(AND(ISNUMBER($L$408),$B$242=1),$L$408,HLOOKUP(INDIRECT(ADDRESS(2,COLUMN())),OFFSET($M$2,0,0,ROW()-1,7),ROW()-1,FALSE))</f>
        <v>56.5</v>
      </c>
      <c r="M170">
        <f>68.3</f>
        <v>68.3</v>
      </c>
      <c r="N170">
        <f>62.7</f>
        <v>62.7</v>
      </c>
      <c r="O170">
        <f>60.7</f>
        <v>60.7</v>
      </c>
      <c r="P170">
        <f>61.8</f>
        <v>61.8</v>
      </c>
      <c r="Q170">
        <f>56.8</f>
        <v>56.8</v>
      </c>
      <c r="R170" t="str">
        <f>""</f>
        <v/>
      </c>
      <c r="S170">
        <f>56.5</f>
        <v>56.5</v>
      </c>
    </row>
    <row r="171" spans="1:19" x14ac:dyDescent="0.25">
      <c r="A171" t="str">
        <f>"    Infosys Ltd"</f>
        <v xml:space="preserve">    Infosys Ltd</v>
      </c>
      <c r="B171" t="str">
        <f>"INFY US Equity"</f>
        <v>INFY US Equity</v>
      </c>
      <c r="C171" t="str">
        <f>"M0021"</f>
        <v>M0021</v>
      </c>
      <c r="D171" t="str">
        <f>"FIXED_PRICE_PROJECTS"</f>
        <v>FIXED_PRICE_PROJECTS</v>
      </c>
      <c r="E171" t="str">
        <f>"Dynamic"</f>
        <v>Dynamic</v>
      </c>
      <c r="F171" t="str">
        <f ca="1">IF(AND(ISNUMBER($F$409),$B$242=1),$F$409,HLOOKUP(INDIRECT(ADDRESS(2,COLUMN())),OFFSET($M$2,0,0,ROW()-1,7),ROW()-1,FALSE))</f>
        <v/>
      </c>
      <c r="G171" t="str">
        <f ca="1">IF(AND(ISNUMBER($G$409),$B$242=1),$G$409,HLOOKUP(INDIRECT(ADDRESS(2,COLUMN())),OFFSET($M$2,0,0,ROW()-1,7),ROW()-1,FALSE))</f>
        <v/>
      </c>
      <c r="H171">
        <f ca="1">IF(AND(ISNUMBER($H$409),$B$242=1),$H$409,HLOOKUP(INDIRECT(ADDRESS(2,COLUMN())),OFFSET($M$2,0,0,ROW()-1,7),ROW()-1,FALSE))</f>
        <v>50.5</v>
      </c>
      <c r="I171">
        <f ca="1">IF(AND(ISNUMBER($I$409),$B$242=1),$I$409,HLOOKUP(INDIRECT(ADDRESS(2,COLUMN())),OFFSET($M$2,0,0,ROW()-1,7),ROW()-1,FALSE))</f>
        <v>48</v>
      </c>
      <c r="J171">
        <f ca="1">IF(AND(ISNUMBER($J$409),$B$242=1),$J$409,HLOOKUP(INDIRECT(ADDRESS(2,COLUMN())),OFFSET($M$2,0,0,ROW()-1,7),ROW()-1,FALSE))</f>
        <v>44</v>
      </c>
      <c r="K171">
        <f ca="1">IF(AND(ISNUMBER($K$409),$B$242=1),$K$409,HLOOKUP(INDIRECT(ADDRESS(2,COLUMN())),OFFSET($M$2,0,0,ROW()-1,7),ROW()-1,FALSE))</f>
        <v>42.1</v>
      </c>
      <c r="L171">
        <f ca="1">IF(AND(ISNUMBER($L$409),$B$242=1),$L$409,HLOOKUP(INDIRECT(ADDRESS(2,COLUMN())),OFFSET($M$2,0,0,ROW()-1,7),ROW()-1,FALSE))</f>
        <v>40.799999999999997</v>
      </c>
      <c r="M171" t="str">
        <f>""</f>
        <v/>
      </c>
      <c r="N171" t="str">
        <f>""</f>
        <v/>
      </c>
      <c r="O171">
        <f>50.5</f>
        <v>50.5</v>
      </c>
      <c r="P171">
        <f>48</f>
        <v>48</v>
      </c>
      <c r="Q171">
        <f>44</f>
        <v>44</v>
      </c>
      <c r="R171">
        <f>42.1</f>
        <v>42.1</v>
      </c>
      <c r="S171">
        <f>40.8</f>
        <v>40.799999999999997</v>
      </c>
    </row>
    <row r="172" spans="1:19" x14ac:dyDescent="0.25">
      <c r="A172" t="str">
        <f>"    Tata Consultancy Services Ltd"</f>
        <v xml:space="preserve">    Tata Consultancy Services Ltd</v>
      </c>
      <c r="B172" t="str">
        <f>"TCS IN Equity"</f>
        <v>TCS IN Equity</v>
      </c>
      <c r="C172" t="str">
        <f>"M0021"</f>
        <v>M0021</v>
      </c>
      <c r="D172" t="str">
        <f>"FIXED_PRICE_PROJECTS"</f>
        <v>FIXED_PRICE_PROJECTS</v>
      </c>
      <c r="E172" t="str">
        <f>"Dynamic"</f>
        <v>Dynamic</v>
      </c>
      <c r="F172" t="str">
        <f ca="1">IF(AND(ISNUMBER($F$410),$B$242=1),$F$410,HLOOKUP(INDIRECT(ADDRESS(2,COLUMN())),OFFSET($M$2,0,0,ROW()-1,7),ROW()-1,FALSE))</f>
        <v/>
      </c>
      <c r="G172" t="str">
        <f ca="1">IF(AND(ISNUMBER($G$410),$B$242=1),$G$410,HLOOKUP(INDIRECT(ADDRESS(2,COLUMN())),OFFSET($M$2,0,0,ROW()-1,7),ROW()-1,FALSE))</f>
        <v/>
      </c>
      <c r="H172" t="str">
        <f ca="1">IF(AND(ISNUMBER($H$410),$B$242=1),$H$410,HLOOKUP(INDIRECT(ADDRESS(2,COLUMN())),OFFSET($M$2,0,0,ROW()-1,7),ROW()-1,FALSE))</f>
        <v/>
      </c>
      <c r="I172" t="str">
        <f ca="1">IF(AND(ISNUMBER($I$410),$B$242=1),$I$410,HLOOKUP(INDIRECT(ADDRESS(2,COLUMN())),OFFSET($M$2,0,0,ROW()-1,7),ROW()-1,FALSE))</f>
        <v/>
      </c>
      <c r="J172" t="str">
        <f ca="1">IF(AND(ISNUMBER($J$410),$B$242=1),$J$410,HLOOKUP(INDIRECT(ADDRESS(2,COLUMN())),OFFSET($M$2,0,0,ROW()-1,7),ROW()-1,FALSE))</f>
        <v/>
      </c>
      <c r="K172" t="str">
        <f ca="1">IF(AND(ISNUMBER($K$410),$B$242=1),$K$410,HLOOKUP(INDIRECT(ADDRESS(2,COLUMN())),OFFSET($M$2,0,0,ROW()-1,7),ROW()-1,FALSE))</f>
        <v/>
      </c>
      <c r="L172" t="str">
        <f ca="1">IF(AND(ISNUMBER($L$410),$B$242=1),$L$410,HLOOKUP(INDIRECT(ADDRESS(2,COLUMN())),OFFSET($M$2,0,0,ROW()-1,7),ROW()-1,FALSE))</f>
        <v/>
      </c>
      <c r="M172" t="str">
        <f>""</f>
        <v/>
      </c>
      <c r="N172" t="str">
        <f>""</f>
        <v/>
      </c>
      <c r="O172" t="str">
        <f>""</f>
        <v/>
      </c>
      <c r="P172" t="str">
        <f>""</f>
        <v/>
      </c>
      <c r="Q172" t="str">
        <f>""</f>
        <v/>
      </c>
      <c r="R172" t="str">
        <f>""</f>
        <v/>
      </c>
      <c r="S172" t="str">
        <f>""</f>
        <v/>
      </c>
    </row>
    <row r="173" spans="1:19" x14ac:dyDescent="0.25">
      <c r="A173" t="str">
        <f>"    Wipro Ltd"</f>
        <v xml:space="preserve">    Wipro Ltd</v>
      </c>
      <c r="B173" t="str">
        <f>"WIT US Equity"</f>
        <v>WIT US Equity</v>
      </c>
      <c r="C173" t="str">
        <f>"M0021"</f>
        <v>M0021</v>
      </c>
      <c r="D173" t="str">
        <f>"FIXED_PRICE_PROJECTS"</f>
        <v>FIXED_PRICE_PROJECTS</v>
      </c>
      <c r="E173" t="str">
        <f>"Dynamic"</f>
        <v>Dynamic</v>
      </c>
      <c r="F173">
        <f ca="1">IF(AND(ISNUMBER($F$411),$B$242=1),$F$411,HLOOKUP(INDIRECT(ADDRESS(2,COLUMN())),OFFSET($M$2,0,0,ROW()-1,7),ROW()-1,FALSE))</f>
        <v>62.4</v>
      </c>
      <c r="G173">
        <f ca="1">IF(AND(ISNUMBER($G$411),$B$242=1),$G$411,HLOOKUP(INDIRECT(ADDRESS(2,COLUMN())),OFFSET($M$2,0,0,ROW()-1,7),ROW()-1,FALSE))</f>
        <v>59.4</v>
      </c>
      <c r="H173">
        <f ca="1">IF(AND(ISNUMBER($H$411),$B$242=1),$H$411,HLOOKUP(INDIRECT(ADDRESS(2,COLUMN())),OFFSET($M$2,0,0,ROW()-1,7),ROW()-1,FALSE))</f>
        <v>58.1</v>
      </c>
      <c r="I173">
        <f ca="1">IF(AND(ISNUMBER($I$411),$B$242=1),$I$411,HLOOKUP(INDIRECT(ADDRESS(2,COLUMN())),OFFSET($M$2,0,0,ROW()-1,7),ROW()-1,FALSE))</f>
        <v>57.1</v>
      </c>
      <c r="J173">
        <f ca="1">IF(AND(ISNUMBER($J$411),$B$242=1),$J$411,HLOOKUP(INDIRECT(ADDRESS(2,COLUMN())),OFFSET($M$2,0,0,ROW()-1,7),ROW()-1,FALSE))</f>
        <v>55.2</v>
      </c>
      <c r="K173">
        <f ca="1">IF(AND(ISNUMBER($K$411),$B$242=1),$K$411,HLOOKUP(INDIRECT(ADDRESS(2,COLUMN())),OFFSET($M$2,0,0,ROW()-1,7),ROW()-1,FALSE))</f>
        <v>54</v>
      </c>
      <c r="L173">
        <f ca="1">IF(AND(ISNUMBER($L$411),$B$242=1),$L$411,HLOOKUP(INDIRECT(ADDRESS(2,COLUMN())),OFFSET($M$2,0,0,ROW()-1,7),ROW()-1,FALSE))</f>
        <v>51.3</v>
      </c>
      <c r="M173">
        <f>62.4</f>
        <v>62.4</v>
      </c>
      <c r="N173">
        <f>59.4</f>
        <v>59.4</v>
      </c>
      <c r="O173">
        <f>58.1</f>
        <v>58.1</v>
      </c>
      <c r="P173">
        <f>57.1</f>
        <v>57.1</v>
      </c>
      <c r="Q173">
        <f>55.2</f>
        <v>55.2</v>
      </c>
      <c r="R173">
        <f>54</f>
        <v>54</v>
      </c>
      <c r="S173">
        <f>51.3</f>
        <v>51.3</v>
      </c>
    </row>
    <row r="174" spans="1:19" x14ac:dyDescent="0.25">
      <c r="A174" t="str">
        <f>"Time &amp; Materials (% of Total)"</f>
        <v>Time &amp; Materials (% of Total)</v>
      </c>
      <c r="B174" t="str">
        <f>""</f>
        <v/>
      </c>
      <c r="E174" t="str">
        <f>"Average"</f>
        <v>Average</v>
      </c>
      <c r="F174">
        <f ca="1">IF(ISERROR(IF(AVERAGE($F$175:$F$179) = 0, "", AVERAGE($F$175:$F$179))), "", (IF(AVERAGE($F$175:$F$179) = 0, "", AVERAGE($F$175:$F$179))))</f>
        <v>31.7</v>
      </c>
      <c r="G174">
        <f ca="1">IF(ISERROR(IF(AVERAGE($G$175:$G$179) = 0, "", AVERAGE($G$175:$G$179))), "", (IF(AVERAGE($G$175:$G$179) = 0, "", AVERAGE($G$175:$G$179))))</f>
        <v>36.299999999999997</v>
      </c>
      <c r="H174">
        <f ca="1">IF(ISERROR(IF(AVERAGE($H$175:$H$179) = 0, "", AVERAGE($H$175:$H$179))), "", (IF(AVERAGE($H$175:$H$179) = 0, "", AVERAGE($H$175:$H$179))))</f>
        <v>44.4</v>
      </c>
      <c r="I174">
        <f ca="1">IF(ISERROR(IF(AVERAGE($I$175:$I$179) = 0, "", AVERAGE($I$175:$I$179))), "", (IF(AVERAGE($I$175:$I$179) = 0, "", AVERAGE($I$175:$I$179))))</f>
        <v>42.699999999999996</v>
      </c>
      <c r="J174">
        <f ca="1">IF(ISERROR(IF(AVERAGE($J$175:$J$179) = 0, "", AVERAGE($J$175:$J$179))), "", (IF(AVERAGE($J$175:$J$179) = 0, "", AVERAGE($J$175:$J$179))))</f>
        <v>45.233333333333327</v>
      </c>
      <c r="K174">
        <f ca="1">IF(ISERROR(IF(AVERAGE($K$175:$K$179) = 0, "", AVERAGE($K$175:$K$179))), "", (IF(AVERAGE($K$175:$K$179) = 0, "", AVERAGE($K$175:$K$179))))</f>
        <v>46.7</v>
      </c>
      <c r="L174">
        <f ca="1">IF(ISERROR(IF(AVERAGE($L$175:$L$179) = 0, "", AVERAGE($L$175:$L$179))), "", (IF(AVERAGE($L$175:$L$179) = 0, "", AVERAGE($L$175:$L$179))))</f>
        <v>45.566666666666663</v>
      </c>
      <c r="M174">
        <f>31.7</f>
        <v>31.7</v>
      </c>
      <c r="N174">
        <f>36.3</f>
        <v>36.299999999999997</v>
      </c>
      <c r="O174">
        <f>44.4</f>
        <v>44.4</v>
      </c>
      <c r="P174">
        <f>42.7</f>
        <v>42.7</v>
      </c>
      <c r="Q174">
        <f>45.23333333</f>
        <v>45.233333330000001</v>
      </c>
      <c r="R174">
        <f>46.7</f>
        <v>46.7</v>
      </c>
      <c r="S174">
        <f>45.56666667</f>
        <v>45.566666669999996</v>
      </c>
    </row>
    <row r="175" spans="1:19" x14ac:dyDescent="0.25">
      <c r="A175" t="str">
        <f>"    Cognizant Technology Solutions Corp"</f>
        <v xml:space="preserve">    Cognizant Technology Solutions Corp</v>
      </c>
      <c r="B175" t="str">
        <f>"CTSH US Equity"</f>
        <v>CTSH US Equity</v>
      </c>
      <c r="C175" t="str">
        <f>"M0022"</f>
        <v>M0022</v>
      </c>
      <c r="D175" t="str">
        <f>"TIME_&amp;_MATERIALS_PROJECTS"</f>
        <v>TIME_&amp;_MATERIALS_PROJECTS</v>
      </c>
      <c r="E175" t="str">
        <f>"Dynamic"</f>
        <v>Dynamic</v>
      </c>
      <c r="F175" t="str">
        <f ca="1">IF(AND(ISNUMBER($F$412),$B$242=1),$F$412,HLOOKUP(INDIRECT(ADDRESS(2,COLUMN())),OFFSET($M$2,0,0,ROW()-1,7),ROW()-1,FALSE))</f>
        <v/>
      </c>
      <c r="G175" t="str">
        <f ca="1">IF(AND(ISNUMBER($G$412),$B$242=1),$G$412,HLOOKUP(INDIRECT(ADDRESS(2,COLUMN())),OFFSET($M$2,0,0,ROW()-1,7),ROW()-1,FALSE))</f>
        <v/>
      </c>
      <c r="H175" t="str">
        <f ca="1">IF(AND(ISNUMBER($H$412),$B$242=1),$H$412,HLOOKUP(INDIRECT(ADDRESS(2,COLUMN())),OFFSET($M$2,0,0,ROW()-1,7),ROW()-1,FALSE))</f>
        <v/>
      </c>
      <c r="I175">
        <f ca="1">IF(AND(ISNUMBER($I$412),$B$242=1),$I$412,HLOOKUP(INDIRECT(ADDRESS(2,COLUMN())),OFFSET($M$2,0,0,ROW()-1,7),ROW()-1,FALSE))</f>
        <v>37.9</v>
      </c>
      <c r="J175">
        <f ca="1">IF(AND(ISNUMBER($J$412),$B$242=1),$J$412,HLOOKUP(INDIRECT(ADDRESS(2,COLUMN())),OFFSET($M$2,0,0,ROW()-1,7),ROW()-1,FALSE))</f>
        <v>36.5</v>
      </c>
      <c r="K175">
        <f ca="1">IF(AND(ISNUMBER($K$412),$B$242=1),$K$412,HLOOKUP(INDIRECT(ADDRESS(2,COLUMN())),OFFSET($M$2,0,0,ROW()-1,7),ROW()-1,FALSE))</f>
        <v>35.5</v>
      </c>
      <c r="L175">
        <f ca="1">IF(AND(ISNUMBER($L$412),$B$242=1),$L$412,HLOOKUP(INDIRECT(ADDRESS(2,COLUMN())),OFFSET($M$2,0,0,ROW()-1,7),ROW()-1,FALSE))</f>
        <v>34</v>
      </c>
      <c r="M175" t="str">
        <f>""</f>
        <v/>
      </c>
      <c r="N175" t="str">
        <f>""</f>
        <v/>
      </c>
      <c r="O175" t="str">
        <f>""</f>
        <v/>
      </c>
      <c r="P175">
        <f>37.9</f>
        <v>37.9</v>
      </c>
      <c r="Q175">
        <f>36.5</f>
        <v>36.5</v>
      </c>
      <c r="R175">
        <f>35.5</f>
        <v>35.5</v>
      </c>
      <c r="S175">
        <f>34</f>
        <v>34</v>
      </c>
    </row>
    <row r="176" spans="1:19" x14ac:dyDescent="0.25">
      <c r="A176" t="str">
        <f>"    HCL Technologies Ltd"</f>
        <v xml:space="preserve">    HCL Technologies Ltd</v>
      </c>
      <c r="B176" t="str">
        <f>"HCLT IN Equity"</f>
        <v>HCLT IN Equity</v>
      </c>
      <c r="C176" t="str">
        <f>"M0022"</f>
        <v>M0022</v>
      </c>
      <c r="D176" t="str">
        <f>"TIME_&amp;_MATERIALS_PROJECTS"</f>
        <v>TIME_&amp;_MATERIALS_PROJECTS</v>
      </c>
      <c r="E176" t="str">
        <f>"Dynamic"</f>
        <v>Dynamic</v>
      </c>
      <c r="F176">
        <f ca="1">IF(AND(ISNUMBER($F$413),$B$242=1),$F$413,HLOOKUP(INDIRECT(ADDRESS(2,COLUMN())),OFFSET($M$2,0,0,ROW()-1,7),ROW()-1,FALSE))</f>
        <v>31.7</v>
      </c>
      <c r="G176">
        <f ca="1">IF(AND(ISNUMBER($G$413),$B$242=1),$G$413,HLOOKUP(INDIRECT(ADDRESS(2,COLUMN())),OFFSET($M$2,0,0,ROW()-1,7),ROW()-1,FALSE))</f>
        <v>36.299999999999997</v>
      </c>
      <c r="H176">
        <f ca="1">IF(AND(ISNUMBER($H$413),$B$242=1),$H$413,HLOOKUP(INDIRECT(ADDRESS(2,COLUMN())),OFFSET($M$2,0,0,ROW()-1,7),ROW()-1,FALSE))</f>
        <v>39.299999999999997</v>
      </c>
      <c r="I176">
        <f ca="1">IF(AND(ISNUMBER($I$413),$B$242=1),$I$413,HLOOKUP(INDIRECT(ADDRESS(2,COLUMN())),OFFSET($M$2,0,0,ROW()-1,7),ROW()-1,FALSE))</f>
        <v>38.200000000000003</v>
      </c>
      <c r="J176">
        <f ca="1">IF(AND(ISNUMBER($J$413),$B$242=1),$J$413,HLOOKUP(INDIRECT(ADDRESS(2,COLUMN())),OFFSET($M$2,0,0,ROW()-1,7),ROW()-1,FALSE))</f>
        <v>43.2</v>
      </c>
      <c r="K176" t="str">
        <f ca="1">IF(AND(ISNUMBER($K$413),$B$242=1),$K$413,HLOOKUP(INDIRECT(ADDRESS(2,COLUMN())),OFFSET($M$2,0,0,ROW()-1,7),ROW()-1,FALSE))</f>
        <v/>
      </c>
      <c r="L176">
        <f ca="1">IF(AND(ISNUMBER($L$413),$B$242=1),$L$413,HLOOKUP(INDIRECT(ADDRESS(2,COLUMN())),OFFSET($M$2,0,0,ROW()-1,7),ROW()-1,FALSE))</f>
        <v>43.5</v>
      </c>
      <c r="M176">
        <f>31.7</f>
        <v>31.7</v>
      </c>
      <c r="N176">
        <f>36.3</f>
        <v>36.299999999999997</v>
      </c>
      <c r="O176">
        <f>39.3</f>
        <v>39.299999999999997</v>
      </c>
      <c r="P176">
        <f>38.2</f>
        <v>38.200000000000003</v>
      </c>
      <c r="Q176">
        <f>43.2</f>
        <v>43.2</v>
      </c>
      <c r="R176" t="str">
        <f>""</f>
        <v/>
      </c>
      <c r="S176">
        <f>43.5</f>
        <v>43.5</v>
      </c>
    </row>
    <row r="177" spans="1:19" x14ac:dyDescent="0.25">
      <c r="A177" t="str">
        <f>"    Infosys Ltd"</f>
        <v xml:space="preserve">    Infosys Ltd</v>
      </c>
      <c r="B177" t="str">
        <f>"INFY US Equity"</f>
        <v>INFY US Equity</v>
      </c>
      <c r="C177" t="str">
        <f>"M0022"</f>
        <v>M0022</v>
      </c>
      <c r="D177" t="str">
        <f>"TIME_&amp;_MATERIALS_PROJECTS"</f>
        <v>TIME_&amp;_MATERIALS_PROJECTS</v>
      </c>
      <c r="E177" t="str">
        <f>"Dynamic"</f>
        <v>Dynamic</v>
      </c>
      <c r="F177" t="str">
        <f ca="1">IF(AND(ISNUMBER($F$414),$B$242=1),$F$414,HLOOKUP(INDIRECT(ADDRESS(2,COLUMN())),OFFSET($M$2,0,0,ROW()-1,7),ROW()-1,FALSE))</f>
        <v/>
      </c>
      <c r="G177" t="str">
        <f ca="1">IF(AND(ISNUMBER($G$414),$B$242=1),$G$414,HLOOKUP(INDIRECT(ADDRESS(2,COLUMN())),OFFSET($M$2,0,0,ROW()-1,7),ROW()-1,FALSE))</f>
        <v/>
      </c>
      <c r="H177">
        <f ca="1">IF(AND(ISNUMBER($H$414),$B$242=1),$H$414,HLOOKUP(INDIRECT(ADDRESS(2,COLUMN())),OFFSET($M$2,0,0,ROW()-1,7),ROW()-1,FALSE))</f>
        <v>49.5</v>
      </c>
      <c r="I177">
        <f ca="1">IF(AND(ISNUMBER($I$414),$B$242=1),$I$414,HLOOKUP(INDIRECT(ADDRESS(2,COLUMN())),OFFSET($M$2,0,0,ROW()-1,7),ROW()-1,FALSE))</f>
        <v>52</v>
      </c>
      <c r="J177">
        <f ca="1">IF(AND(ISNUMBER($J$414),$B$242=1),$J$414,HLOOKUP(INDIRECT(ADDRESS(2,COLUMN())),OFFSET($M$2,0,0,ROW()-1,7),ROW()-1,FALSE))</f>
        <v>56</v>
      </c>
      <c r="K177">
        <f ca="1">IF(AND(ISNUMBER($K$414),$B$242=1),$K$414,HLOOKUP(INDIRECT(ADDRESS(2,COLUMN())),OFFSET($M$2,0,0,ROW()-1,7),ROW()-1,FALSE))</f>
        <v>57.9</v>
      </c>
      <c r="L177">
        <f ca="1">IF(AND(ISNUMBER($L$414),$B$242=1),$L$414,HLOOKUP(INDIRECT(ADDRESS(2,COLUMN())),OFFSET($M$2,0,0,ROW()-1,7),ROW()-1,FALSE))</f>
        <v>59.2</v>
      </c>
      <c r="M177" t="str">
        <f>""</f>
        <v/>
      </c>
      <c r="N177" t="str">
        <f>""</f>
        <v/>
      </c>
      <c r="O177">
        <f>49.5</f>
        <v>49.5</v>
      </c>
      <c r="P177">
        <f>52</f>
        <v>52</v>
      </c>
      <c r="Q177">
        <f>56</f>
        <v>56</v>
      </c>
      <c r="R177">
        <f>57.9</f>
        <v>57.9</v>
      </c>
      <c r="S177">
        <f>59.2</f>
        <v>59.2</v>
      </c>
    </row>
    <row r="178" spans="1:19" x14ac:dyDescent="0.25">
      <c r="A178" t="str">
        <f>"    Tata Consultancy Services Ltd"</f>
        <v xml:space="preserve">    Tata Consultancy Services Ltd</v>
      </c>
      <c r="B178" t="str">
        <f>"TCS IN Equity"</f>
        <v>TCS IN Equity</v>
      </c>
      <c r="C178" t="str">
        <f>"M0022"</f>
        <v>M0022</v>
      </c>
      <c r="D178" t="str">
        <f>"TIME_&amp;_MATERIALS_PROJECTS"</f>
        <v>TIME_&amp;_MATERIALS_PROJECTS</v>
      </c>
      <c r="E178" t="str">
        <f>"Dynamic"</f>
        <v>Dynamic</v>
      </c>
      <c r="F178" t="str">
        <f ca="1">IF(AND(ISNUMBER($F$415),$B$242=1),$F$415,HLOOKUP(INDIRECT(ADDRESS(2,COLUMN())),OFFSET($M$2,0,0,ROW()-1,7),ROW()-1,FALSE))</f>
        <v/>
      </c>
      <c r="G178" t="str">
        <f ca="1">IF(AND(ISNUMBER($G$415),$B$242=1),$G$415,HLOOKUP(INDIRECT(ADDRESS(2,COLUMN())),OFFSET($M$2,0,0,ROW()-1,7),ROW()-1,FALSE))</f>
        <v/>
      </c>
      <c r="H178" t="str">
        <f ca="1">IF(AND(ISNUMBER($H$415),$B$242=1),$H$415,HLOOKUP(INDIRECT(ADDRESS(2,COLUMN())),OFFSET($M$2,0,0,ROW()-1,7),ROW()-1,FALSE))</f>
        <v/>
      </c>
      <c r="I178" t="str">
        <f ca="1">IF(AND(ISNUMBER($I$415),$B$242=1),$I$415,HLOOKUP(INDIRECT(ADDRESS(2,COLUMN())),OFFSET($M$2,0,0,ROW()-1,7),ROW()-1,FALSE))</f>
        <v/>
      </c>
      <c r="J178" t="str">
        <f ca="1">IF(AND(ISNUMBER($J$415),$B$242=1),$J$415,HLOOKUP(INDIRECT(ADDRESS(2,COLUMN())),OFFSET($M$2,0,0,ROW()-1,7),ROW()-1,FALSE))</f>
        <v/>
      </c>
      <c r="K178" t="str">
        <f ca="1">IF(AND(ISNUMBER($K$415),$B$242=1),$K$415,HLOOKUP(INDIRECT(ADDRESS(2,COLUMN())),OFFSET($M$2,0,0,ROW()-1,7),ROW()-1,FALSE))</f>
        <v/>
      </c>
      <c r="L178" t="str">
        <f ca="1">IF(AND(ISNUMBER($L$415),$B$242=1),$L$415,HLOOKUP(INDIRECT(ADDRESS(2,COLUMN())),OFFSET($M$2,0,0,ROW()-1,7),ROW()-1,FALSE))</f>
        <v/>
      </c>
      <c r="M178" t="str">
        <f>""</f>
        <v/>
      </c>
      <c r="N178" t="str">
        <f>""</f>
        <v/>
      </c>
      <c r="O178" t="str">
        <f>""</f>
        <v/>
      </c>
      <c r="P178" t="str">
        <f>""</f>
        <v/>
      </c>
      <c r="Q178" t="str">
        <f>""</f>
        <v/>
      </c>
      <c r="R178" t="str">
        <f>""</f>
        <v/>
      </c>
      <c r="S178" t="str">
        <f>""</f>
        <v/>
      </c>
    </row>
    <row r="179" spans="1:19" x14ac:dyDescent="0.25">
      <c r="A179" t="str">
        <f>"    Wipro Ltd"</f>
        <v xml:space="preserve">    Wipro Ltd</v>
      </c>
      <c r="B179" t="str">
        <f>"WIT US Equity"</f>
        <v>WIT US Equity</v>
      </c>
      <c r="C179" t="str">
        <f>"M0022"</f>
        <v>M0022</v>
      </c>
      <c r="D179" t="str">
        <f>"TIME_&amp;_MATERIALS_PROJECTS"</f>
        <v>TIME_&amp;_MATERIALS_PROJECTS</v>
      </c>
      <c r="E179" t="str">
        <f>"Dynamic"</f>
        <v>Dynamic</v>
      </c>
      <c r="F179" t="str">
        <f ca="1">IF(AND(ISNUMBER($F$416),$B$242=1),$F$416,HLOOKUP(INDIRECT(ADDRESS(2,COLUMN())),OFFSET($M$2,0,0,ROW()-1,7),ROW()-1,FALSE))</f>
        <v/>
      </c>
      <c r="G179" t="str">
        <f ca="1">IF(AND(ISNUMBER($G$416),$B$242=1),$G$416,HLOOKUP(INDIRECT(ADDRESS(2,COLUMN())),OFFSET($M$2,0,0,ROW()-1,7),ROW()-1,FALSE))</f>
        <v/>
      </c>
      <c r="H179" t="str">
        <f ca="1">IF(AND(ISNUMBER($H$416),$B$242=1),$H$416,HLOOKUP(INDIRECT(ADDRESS(2,COLUMN())),OFFSET($M$2,0,0,ROW()-1,7),ROW()-1,FALSE))</f>
        <v/>
      </c>
      <c r="I179" t="str">
        <f ca="1">IF(AND(ISNUMBER($I$416),$B$242=1),$I$416,HLOOKUP(INDIRECT(ADDRESS(2,COLUMN())),OFFSET($M$2,0,0,ROW()-1,7),ROW()-1,FALSE))</f>
        <v/>
      </c>
      <c r="J179" t="str">
        <f ca="1">IF(AND(ISNUMBER($J$416),$B$242=1),$J$416,HLOOKUP(INDIRECT(ADDRESS(2,COLUMN())),OFFSET($M$2,0,0,ROW()-1,7),ROW()-1,FALSE))</f>
        <v/>
      </c>
      <c r="K179" t="str">
        <f ca="1">IF(AND(ISNUMBER($K$416),$B$242=1),$K$416,HLOOKUP(INDIRECT(ADDRESS(2,COLUMN())),OFFSET($M$2,0,0,ROW()-1,7),ROW()-1,FALSE))</f>
        <v/>
      </c>
      <c r="L179" t="str">
        <f ca="1">IF(AND(ISNUMBER($L$416),$B$242=1),$L$416,HLOOKUP(INDIRECT(ADDRESS(2,COLUMN())),OFFSET($M$2,0,0,ROW()-1,7),ROW()-1,FALSE))</f>
        <v/>
      </c>
      <c r="M179" t="str">
        <f>""</f>
        <v/>
      </c>
      <c r="N179" t="str">
        <f>""</f>
        <v/>
      </c>
      <c r="O179" t="str">
        <f>""</f>
        <v/>
      </c>
      <c r="P179" t="str">
        <f>""</f>
        <v/>
      </c>
      <c r="Q179" t="str">
        <f>""</f>
        <v/>
      </c>
      <c r="R179" t="str">
        <f>""</f>
        <v/>
      </c>
      <c r="S179" t="str">
        <f>""</f>
        <v/>
      </c>
    </row>
    <row r="180" spans="1:19" x14ac:dyDescent="0.25">
      <c r="A180" t="str">
        <f>"Revenue by Geography"</f>
        <v>Revenue by Geography</v>
      </c>
      <c r="B180" t="str">
        <f>""</f>
        <v/>
      </c>
      <c r="E180" t="str">
        <f>"Static"</f>
        <v>Static</v>
      </c>
      <c r="F180" t="str">
        <f t="shared" ref="F180:L180" ca="1" si="23">HLOOKUP(INDIRECT(ADDRESS(2,COLUMN())),OFFSET($M$2,0,0,ROW()-1,7),ROW()-1,FALSE)</f>
        <v/>
      </c>
      <c r="G180" t="str">
        <f t="shared" ca="1" si="23"/>
        <v/>
      </c>
      <c r="H180" t="str">
        <f t="shared" ca="1" si="23"/>
        <v/>
      </c>
      <c r="I180" t="str">
        <f t="shared" ca="1" si="23"/>
        <v/>
      </c>
      <c r="J180" t="str">
        <f t="shared" ca="1" si="23"/>
        <v/>
      </c>
      <c r="K180" t="str">
        <f t="shared" ca="1" si="23"/>
        <v/>
      </c>
      <c r="L180" t="str">
        <f t="shared" ca="1" si="23"/>
        <v/>
      </c>
      <c r="M180" t="str">
        <f>""</f>
        <v/>
      </c>
      <c r="N180" t="str">
        <f>""</f>
        <v/>
      </c>
      <c r="O180" t="str">
        <f>""</f>
        <v/>
      </c>
      <c r="P180" t="str">
        <f>""</f>
        <v/>
      </c>
      <c r="Q180" t="str">
        <f>""</f>
        <v/>
      </c>
      <c r="R180" t="str">
        <f>""</f>
        <v/>
      </c>
      <c r="S180" t="str">
        <f>""</f>
        <v/>
      </c>
    </row>
    <row r="181" spans="1:19" x14ac:dyDescent="0.25">
      <c r="A181" t="str">
        <f>"    North America"</f>
        <v xml:space="preserve">    North America</v>
      </c>
      <c r="B181" t="str">
        <f>""</f>
        <v/>
      </c>
      <c r="E181" t="str">
        <f>"Sum"</f>
        <v>Sum</v>
      </c>
      <c r="F181">
        <f ca="1">IF(ISERROR(IF(SUM($F$182:$F$189) = 0, "", SUM($F$182:$F$189))), "", (IF(SUM($F$182:$F$189) = 0, "", SUM($F$182:$F$189))))</f>
        <v>93412.932560000001</v>
      </c>
      <c r="G181">
        <f ca="1">IF(ISERROR(IF(SUM($G$182:$G$189) = 0, "", SUM($G$182:$G$189))), "", (IF(SUM($G$182:$G$189) = 0, "", SUM($G$182:$G$189))))</f>
        <v>89559.516973999984</v>
      </c>
      <c r="H181">
        <f ca="1">IF(ISERROR(IF(SUM($H$182:$H$189) = 0, "", SUM($H$182:$H$189))), "", (IF(SUM($H$182:$H$189) = 0, "", SUM($H$182:$H$189))))</f>
        <v>86089.592843999999</v>
      </c>
      <c r="I181">
        <f ca="1">IF(ISERROR(IF(SUM($I$182:$I$189) = 0, "", SUM($I$182:$I$189))), "", (IF(SUM($I$182:$I$189) = 0, "", SUM($I$182:$I$189))))</f>
        <v>84245.954841999992</v>
      </c>
      <c r="J181">
        <f ca="1">IF(ISERROR(IF(SUM($J$182:$J$189) = 0, "", SUM($J$182:$J$189))), "", (IF(SUM($J$182:$J$189) = 0, "", SUM($J$182:$J$189))))</f>
        <v>81562.873418999996</v>
      </c>
      <c r="K181">
        <f ca="1">IF(ISERROR(IF(SUM($K$182:$K$189) = 0, "", SUM($K$182:$K$189))), "", (IF(SUM($K$182:$K$189) = 0, "", SUM($K$182:$K$189))))</f>
        <v>79532.529924000002</v>
      </c>
      <c r="L181">
        <f ca="1">IF(ISERROR(IF(SUM($L$182:$L$189) = 0, "", SUM($L$182:$L$189))), "", (IF(SUM($L$182:$L$189) = 0, "", SUM($L$182:$L$189))))</f>
        <v>82476.899517999991</v>
      </c>
      <c r="M181">
        <f>93412.93256</f>
        <v>93412.932560000001</v>
      </c>
      <c r="N181">
        <f>89559.51697</f>
        <v>89559.516969999997</v>
      </c>
      <c r="O181">
        <f>86089.59285</f>
        <v>86089.592850000001</v>
      </c>
      <c r="P181">
        <f>84245.95484</f>
        <v>84245.954840000006</v>
      </c>
      <c r="Q181">
        <f>81562.87342</f>
        <v>81562.873420000004</v>
      </c>
      <c r="R181">
        <f>79532.52992</f>
        <v>79532.529920000001</v>
      </c>
      <c r="S181">
        <f>82476.89952</f>
        <v>82476.899520000006</v>
      </c>
    </row>
    <row r="182" spans="1:19" x14ac:dyDescent="0.25">
      <c r="A182" t="str">
        <f>"        International Business Machine"</f>
        <v xml:space="preserve">        International Business Machine</v>
      </c>
      <c r="B182" t="str">
        <f>"IBM US Equity"</f>
        <v>IBM US Equity</v>
      </c>
      <c r="C182" t="str">
        <f t="shared" ref="C182:C188" si="24">"BI047"</f>
        <v>BI047</v>
      </c>
      <c r="D182" t="str">
        <f t="shared" ref="D182:D188" si="25">"BICS_SEGMENT_DATA"</f>
        <v>BICS_SEGMENT_DATA</v>
      </c>
      <c r="E182" t="str">
        <f t="shared" ref="E182:E188" si="26">"Dynamic"</f>
        <v>Dynamic</v>
      </c>
      <c r="F182">
        <f ca="1">IF(AND(ISNUMBER($F$417),$B$242=1),$F$417,HLOOKUP(INDIRECT(ADDRESS(2,COLUMN())),OFFSET($M$2,0,0,ROW()-1,7),ROW()-1,FALSE))</f>
        <v>36274</v>
      </c>
      <c r="G182">
        <f ca="1">IF(AND(ISNUMBER($G$417),$B$242=1),$G$417,HLOOKUP(INDIRECT(ADDRESS(2,COLUMN())),OFFSET($M$2,0,0,ROW()-1,7),ROW()-1,FALSE))</f>
        <v>36994</v>
      </c>
      <c r="H182">
        <f ca="1">IF(AND(ISNUMBER($H$417),$B$242=1),$H$417,HLOOKUP(INDIRECT(ADDRESS(2,COLUMN())),OFFSET($M$2,0,0,ROW()-1,7),ROW()-1,FALSE))</f>
        <v>37479</v>
      </c>
      <c r="I182">
        <f ca="1">IF(AND(ISNUMBER($I$417),$B$242=1),$I$417,HLOOKUP(INDIRECT(ADDRESS(2,COLUMN())),OFFSET($M$2,0,0,ROW()-1,7),ROW()-1,FALSE))</f>
        <v>37513</v>
      </c>
      <c r="J182">
        <f ca="1">IF(AND(ISNUMBER($J$417),$B$242=1),$J$417,HLOOKUP(INDIRECT(ADDRESS(2,COLUMN())),OFFSET($M$2,0,0,ROW()-1,7),ROW()-1,FALSE))</f>
        <v>38486</v>
      </c>
      <c r="K182">
        <f ca="1">IF(AND(ISNUMBER($K$417),$B$242=1),$K$417,HLOOKUP(INDIRECT(ADDRESS(2,COLUMN())),OFFSET($M$2,0,0,ROW()-1,7),ROW()-1,FALSE))</f>
        <v>41410</v>
      </c>
      <c r="L182">
        <f ca="1">IF(AND(ISNUMBER($L$417),$B$242=1),$L$417,HLOOKUP(INDIRECT(ADDRESS(2,COLUMN())),OFFSET($M$2,0,0,ROW()-1,7),ROW()-1,FALSE))</f>
        <v>43249</v>
      </c>
      <c r="M182">
        <f>36274</f>
        <v>36274</v>
      </c>
      <c r="N182">
        <f>36994</f>
        <v>36994</v>
      </c>
      <c r="O182">
        <f>37479</f>
        <v>37479</v>
      </c>
      <c r="P182">
        <f>37513</f>
        <v>37513</v>
      </c>
      <c r="Q182">
        <f>38486</f>
        <v>38486</v>
      </c>
      <c r="R182">
        <f>41410</f>
        <v>41410</v>
      </c>
      <c r="S182">
        <f>43249</f>
        <v>43249</v>
      </c>
    </row>
    <row r="183" spans="1:19" x14ac:dyDescent="0.25">
      <c r="A183" t="str">
        <f>"        Accenture PLC"</f>
        <v xml:space="preserve">        Accenture PLC</v>
      </c>
      <c r="B183" t="str">
        <f>"ACN US Equity"</f>
        <v>ACN US Equity</v>
      </c>
      <c r="C183" t="str">
        <f t="shared" si="24"/>
        <v>BI047</v>
      </c>
      <c r="D183" t="str">
        <f t="shared" si="25"/>
        <v>BICS_SEGMENT_DATA</v>
      </c>
      <c r="E183" t="str">
        <f t="shared" si="26"/>
        <v>Dynamic</v>
      </c>
      <c r="F183">
        <f ca="1">IF(AND(ISNUMBER($F$418),$B$242=1),$F$418,HLOOKUP(INDIRECT(ADDRESS(2,COLUMN())),OFFSET($M$2,0,0,ROW()-1,7),ROW()-1,FALSE))</f>
        <v>19986.135999999999</v>
      </c>
      <c r="G183">
        <f ca="1">IF(AND(ISNUMBER($G$418),$B$242=1),$G$418,HLOOKUP(INDIRECT(ADDRESS(2,COLUMN())),OFFSET($M$2,0,0,ROW()-1,7),ROW()-1,FALSE))</f>
        <v>17849</v>
      </c>
      <c r="H183">
        <f ca="1">IF(AND(ISNUMBER($H$418),$B$242=1),$H$418,HLOOKUP(INDIRECT(ADDRESS(2,COLUMN())),OFFSET($M$2,0,0,ROW()-1,7),ROW()-1,FALSE))</f>
        <v>16291</v>
      </c>
      <c r="I183">
        <f ca="1">IF(AND(ISNUMBER($I$418),$B$242=1),$I$418,HLOOKUP(INDIRECT(ADDRESS(2,COLUMN())),OFFSET($M$2,0,0,ROW()-1,7),ROW()-1,FALSE))</f>
        <v>15653.29</v>
      </c>
      <c r="J183">
        <f ca="1">IF(AND(ISNUMBER($J$418),$B$242=1),$J$418,HLOOKUP(INDIRECT(ADDRESS(2,COLUMN())),OFFSET($M$2,0,0,ROW()-1,7),ROW()-1,FALSE))</f>
        <v>14209.387000000001</v>
      </c>
      <c r="K183">
        <f ca="1">IF(AND(ISNUMBER($K$418),$B$242=1),$K$418,HLOOKUP(INDIRECT(ADDRESS(2,COLUMN())),OFFSET($M$2,0,0,ROW()-1,7),ROW()-1,FALSE))</f>
        <v>12796.846</v>
      </c>
      <c r="L183">
        <f ca="1">IF(AND(ISNUMBER($L$418),$B$242=1),$L$418,HLOOKUP(INDIRECT(ADDRESS(2,COLUMN())),OFFSET($M$2,0,0,ROW()-1,7),ROW()-1,FALSE))</f>
        <v>13518.623</v>
      </c>
      <c r="M183">
        <f>19986.136</f>
        <v>19986.135999999999</v>
      </c>
      <c r="N183">
        <f>17849</f>
        <v>17849</v>
      </c>
      <c r="O183">
        <f>16291</f>
        <v>16291</v>
      </c>
      <c r="P183">
        <f>15653.29</f>
        <v>15653.29</v>
      </c>
      <c r="Q183">
        <f>14209.387</f>
        <v>14209.387000000001</v>
      </c>
      <c r="R183">
        <f>12796.846</f>
        <v>12796.846</v>
      </c>
      <c r="S183">
        <f>13518.623</f>
        <v>13518.623</v>
      </c>
    </row>
    <row r="184" spans="1:19" x14ac:dyDescent="0.25">
      <c r="A184" t="str">
        <f>"        Tata Consultancy Services Ltd"</f>
        <v xml:space="preserve">        Tata Consultancy Services Ltd</v>
      </c>
      <c r="B184" t="str">
        <f>"TCS IN Equity"</f>
        <v>TCS IN Equity</v>
      </c>
      <c r="C184" t="str">
        <f t="shared" si="24"/>
        <v>BI047</v>
      </c>
      <c r="D184" t="str">
        <f t="shared" si="25"/>
        <v>BICS_SEGMENT_DATA</v>
      </c>
      <c r="E184" t="str">
        <f t="shared" si="26"/>
        <v>Dynamic</v>
      </c>
      <c r="F184">
        <f ca="1">IF(AND(ISNUMBER($F$419),$B$242=1),$F$419,HLOOKUP(INDIRECT(ADDRESS(2,COLUMN())),OFFSET($M$2,0,0,ROW()-1,7),ROW()-1,FALSE))</f>
        <v>11581.67619</v>
      </c>
      <c r="G184">
        <f ca="1">IF(AND(ISNUMBER($G$419),$B$242=1),$G$419,HLOOKUP(INDIRECT(ADDRESS(2,COLUMN())),OFFSET($M$2,0,0,ROW()-1,7),ROW()-1,FALSE))</f>
        <v>11105.56691</v>
      </c>
      <c r="H184">
        <f ca="1">IF(AND(ISNUMBER($H$419),$B$242=1),$H$419,HLOOKUP(INDIRECT(ADDRESS(2,COLUMN())),OFFSET($M$2,0,0,ROW()-1,7),ROW()-1,FALSE))</f>
        <v>10254.11529</v>
      </c>
      <c r="I184">
        <f ca="1">IF(AND(ISNUMBER($I$419),$B$242=1),$I$419,HLOOKUP(INDIRECT(ADDRESS(2,COLUMN())),OFFSET($M$2,0,0,ROW()-1,7),ROW()-1,FALSE))</f>
        <v>9871.4766469999995</v>
      </c>
      <c r="J184">
        <f ca="1">IF(AND(ISNUMBER($J$419),$B$242=1),$J$419,HLOOKUP(INDIRECT(ADDRESS(2,COLUMN())),OFFSET($M$2,0,0,ROW()-1,7),ROW()-1,FALSE))</f>
        <v>9169.8668369999996</v>
      </c>
      <c r="K184">
        <f ca="1">IF(AND(ISNUMBER($K$419),$B$242=1),$K$419,HLOOKUP(INDIRECT(ADDRESS(2,COLUMN())),OFFSET($M$2,0,0,ROW()-1,7),ROW()-1,FALSE))</f>
        <v>8361.6576760000007</v>
      </c>
      <c r="L184">
        <f ca="1">IF(AND(ISNUMBER($L$419),$B$242=1),$L$419,HLOOKUP(INDIRECT(ADDRESS(2,COLUMN())),OFFSET($M$2,0,0,ROW()-1,7),ROW()-1,FALSE))</f>
        <v>7496.0403919999999</v>
      </c>
      <c r="M184">
        <f>11581.67619</f>
        <v>11581.67619</v>
      </c>
      <c r="N184">
        <f>11105.56691</f>
        <v>11105.56691</v>
      </c>
      <c r="O184">
        <f>10254.11529</f>
        <v>10254.11529</v>
      </c>
      <c r="P184">
        <f>9871.476647</f>
        <v>9871.4766469999995</v>
      </c>
      <c r="Q184">
        <f>9169.866837</f>
        <v>9169.8668369999996</v>
      </c>
      <c r="R184">
        <f>8361.657676</f>
        <v>8361.6576760000007</v>
      </c>
      <c r="S184">
        <f>7496.040392</f>
        <v>7496.0403919999999</v>
      </c>
    </row>
    <row r="185" spans="1:19" x14ac:dyDescent="0.25">
      <c r="A185" t="str">
        <f>"        Cognizant Technology Solutions"</f>
        <v xml:space="preserve">        Cognizant Technology Solutions</v>
      </c>
      <c r="B185" t="str">
        <f>"CTSH US Equity"</f>
        <v>CTSH US Equity</v>
      </c>
      <c r="C185" t="str">
        <f t="shared" si="24"/>
        <v>BI047</v>
      </c>
      <c r="D185" t="str">
        <f t="shared" si="25"/>
        <v>BICS_SEGMENT_DATA</v>
      </c>
      <c r="E185" t="str">
        <f t="shared" si="26"/>
        <v>Dynamic</v>
      </c>
      <c r="F185">
        <f ca="1">IF(AND(ISNUMBER($F$420),$B$242=1),$F$420,HLOOKUP(INDIRECT(ADDRESS(2,COLUMN())),OFFSET($M$2,0,0,ROW()-1,7),ROW()-1,FALSE))</f>
        <v>12726</v>
      </c>
      <c r="G185">
        <f ca="1">IF(AND(ISNUMBER($G$420),$B$242=1),$G$420,HLOOKUP(INDIRECT(ADDRESS(2,COLUMN())),OFFSET($M$2,0,0,ROW()-1,7),ROW()-1,FALSE))</f>
        <v>12293</v>
      </c>
      <c r="H185">
        <f ca="1">IF(AND(ISNUMBER($H$420),$B$242=1),$H$420,HLOOKUP(INDIRECT(ADDRESS(2,COLUMN())),OFFSET($M$2,0,0,ROW()-1,7),ROW()-1,FALSE))</f>
        <v>11450</v>
      </c>
      <c r="I185">
        <f ca="1">IF(AND(ISNUMBER($I$420),$B$242=1),$I$420,HLOOKUP(INDIRECT(ADDRESS(2,COLUMN())),OFFSET($M$2,0,0,ROW()-1,7),ROW()-1,FALSE))</f>
        <v>10546</v>
      </c>
      <c r="J185">
        <f ca="1">IF(AND(ISNUMBER($J$420),$B$242=1),$J$420,HLOOKUP(INDIRECT(ADDRESS(2,COLUMN())),OFFSET($M$2,0,0,ROW()-1,7),ROW()-1,FALSE))</f>
        <v>9759</v>
      </c>
      <c r="K185">
        <f ca="1">IF(AND(ISNUMBER($K$420),$B$242=1),$K$420,HLOOKUP(INDIRECT(ADDRESS(2,COLUMN())),OFFSET($M$2,0,0,ROW()-1,7),ROW()-1,FALSE))</f>
        <v>7879.8</v>
      </c>
      <c r="L185">
        <f ca="1">IF(AND(ISNUMBER($L$420),$B$242=1),$L$420,HLOOKUP(INDIRECT(ADDRESS(2,COLUMN())),OFFSET($M$2,0,0,ROW()-1,7),ROW()-1,FALSE))</f>
        <v>6860.067</v>
      </c>
      <c r="M185">
        <f>12726</f>
        <v>12726</v>
      </c>
      <c r="N185">
        <f>12293</f>
        <v>12293</v>
      </c>
      <c r="O185">
        <f>11450</f>
        <v>11450</v>
      </c>
      <c r="P185">
        <f>10546</f>
        <v>10546</v>
      </c>
      <c r="Q185">
        <f>9759</f>
        <v>9759</v>
      </c>
      <c r="R185">
        <f>7879.8</f>
        <v>7879.8</v>
      </c>
      <c r="S185">
        <f>6860.067</f>
        <v>6860.067</v>
      </c>
    </row>
    <row r="186" spans="1:19" x14ac:dyDescent="0.25">
      <c r="A186" t="str">
        <f>"        Infosys Ltd"</f>
        <v xml:space="preserve">        Infosys Ltd</v>
      </c>
      <c r="B186" t="str">
        <f>"INFY US Equity"</f>
        <v>INFY US Equity</v>
      </c>
      <c r="C186" t="str">
        <f t="shared" si="24"/>
        <v>BI047</v>
      </c>
      <c r="D186" t="str">
        <f t="shared" si="25"/>
        <v>BICS_SEGMENT_DATA</v>
      </c>
      <c r="E186" t="str">
        <f t="shared" si="26"/>
        <v>Dynamic</v>
      </c>
      <c r="F186">
        <f ca="1">IF(AND(ISNUMBER($F$421),$B$242=1),$F$421,HLOOKUP(INDIRECT(ADDRESS(2,COLUMN())),OFFSET($M$2,0,0,ROW()-1,7),ROW()-1,FALSE))</f>
        <v>7874.0805579999997</v>
      </c>
      <c r="G186">
        <f ca="1">IF(AND(ISNUMBER($G$421),$B$242=1),$G$421,HLOOKUP(INDIRECT(ADDRESS(2,COLUMN())),OFFSET($M$2,0,0,ROW()-1,7),ROW()-1,FALSE))</f>
        <v>7158.7448009999998</v>
      </c>
      <c r="H186">
        <f ca="1">IF(AND(ISNUMBER($H$421),$B$242=1),$H$421,HLOOKUP(INDIRECT(ADDRESS(2,COLUMN())),OFFSET($M$2,0,0,ROW()-1,7),ROW()-1,FALSE))</f>
        <v>6603.9899299999997</v>
      </c>
      <c r="I186">
        <f ca="1">IF(AND(ISNUMBER($I$421),$B$242=1),$I$421,HLOOKUP(INDIRECT(ADDRESS(2,COLUMN())),OFFSET($M$2,0,0,ROW()-1,7),ROW()-1,FALSE))</f>
        <v>6325.7234129999997</v>
      </c>
      <c r="J186">
        <f ca="1">IF(AND(ISNUMBER($J$421),$B$242=1),$J$421,HLOOKUP(INDIRECT(ADDRESS(2,COLUMN())),OFFSET($M$2,0,0,ROW()-1,7),ROW()-1,FALSE))</f>
        <v>5984.3790710000003</v>
      </c>
      <c r="K186">
        <f ca="1">IF(AND(ISNUMBER($K$421),$B$242=1),$K$421,HLOOKUP(INDIRECT(ADDRESS(2,COLUMN())),OFFSET($M$2,0,0,ROW()-1,7),ROW()-1,FALSE))</f>
        <v>5365.1230679999999</v>
      </c>
      <c r="L186">
        <f ca="1">IF(AND(ISNUMBER($L$421),$B$242=1),$L$421,HLOOKUP(INDIRECT(ADDRESS(2,COLUMN())),OFFSET($M$2,0,0,ROW()-1,7),ROW()-1,FALSE))</f>
        <v>5037.1177109999999</v>
      </c>
      <c r="M186">
        <f>7874.080558</f>
        <v>7874.0805579999997</v>
      </c>
      <c r="N186">
        <f>7158.744801</f>
        <v>7158.7448009999998</v>
      </c>
      <c r="O186">
        <f>6603.98993</f>
        <v>6603.9899299999997</v>
      </c>
      <c r="P186">
        <f>6325.723413</f>
        <v>6325.7234129999997</v>
      </c>
      <c r="Q186">
        <f>5984.379071</f>
        <v>5984.3790710000003</v>
      </c>
      <c r="R186">
        <f>5365.123068</f>
        <v>5365.1230679999999</v>
      </c>
      <c r="S186">
        <f>5037.117711</f>
        <v>5037.1177109999999</v>
      </c>
    </row>
    <row r="187" spans="1:19" x14ac:dyDescent="0.25">
      <c r="A187" t="str">
        <f>"        Wipro Ltd"</f>
        <v xml:space="preserve">        Wipro Ltd</v>
      </c>
      <c r="B187" t="str">
        <f>"WIT US Equity"</f>
        <v>WIT US Equity</v>
      </c>
      <c r="C187" t="str">
        <f t="shared" si="24"/>
        <v>BI047</v>
      </c>
      <c r="D187" t="str">
        <f t="shared" si="25"/>
        <v>BICS_SEGMENT_DATA</v>
      </c>
      <c r="E187" t="str">
        <f t="shared" si="26"/>
        <v>Dynamic</v>
      </c>
      <c r="F187">
        <f ca="1">IF(AND(ISNUMBER($F$422),$B$242=1),$F$422,HLOOKUP(INDIRECT(ADDRESS(2,COLUMN())),OFFSET($M$2,0,0,ROW()-1,7),ROW()-1,FALSE))</f>
        <v>4971.039812</v>
      </c>
      <c r="G187">
        <f ca="1">IF(AND(ISNUMBER($G$422),$B$242=1),$G$422,HLOOKUP(INDIRECT(ADDRESS(2,COLUMN())),OFFSET($M$2,0,0,ROW()-1,7),ROW()-1,FALSE))</f>
        <v>4159.2052629999998</v>
      </c>
      <c r="H187">
        <f ca="1">IF(AND(ISNUMBER($H$422),$B$242=1),$H$422,HLOOKUP(INDIRECT(ADDRESS(2,COLUMN())),OFFSET($M$2,0,0,ROW()-1,7),ROW()-1,FALSE))</f>
        <v>4011.4876239999999</v>
      </c>
      <c r="I187">
        <f ca="1">IF(AND(ISNUMBER($I$422),$B$242=1),$I$422,HLOOKUP(INDIRECT(ADDRESS(2,COLUMN())),OFFSET($M$2,0,0,ROW()-1,7),ROW()-1,FALSE))</f>
        <v>4336.464782</v>
      </c>
      <c r="J187">
        <f ca="1">IF(AND(ISNUMBER($J$422),$B$242=1),$J$422,HLOOKUP(INDIRECT(ADDRESS(2,COLUMN())),OFFSET($M$2,0,0,ROW()-1,7),ROW()-1,FALSE))</f>
        <v>3954.240511</v>
      </c>
      <c r="K187">
        <f ca="1">IF(AND(ISNUMBER($K$422),$B$242=1),$K$422,HLOOKUP(INDIRECT(ADDRESS(2,COLUMN())),OFFSET($M$2,0,0,ROW()-1,7),ROW()-1,FALSE))</f>
        <v>3719.1031800000001</v>
      </c>
      <c r="L187">
        <f ca="1">IF(AND(ISNUMBER($L$422),$B$242=1),$L$422,HLOOKUP(INDIRECT(ADDRESS(2,COLUMN())),OFFSET($M$2,0,0,ROW()-1,7),ROW()-1,FALSE))</f>
        <v>3318.1576089999999</v>
      </c>
      <c r="M187">
        <f>4971.039812</f>
        <v>4971.039812</v>
      </c>
      <c r="N187">
        <f>4159.205263</f>
        <v>4159.2052629999998</v>
      </c>
      <c r="O187">
        <f>4011.487624</f>
        <v>4011.4876239999999</v>
      </c>
      <c r="P187">
        <f>4336.464782</f>
        <v>4336.464782</v>
      </c>
      <c r="Q187">
        <f>3954.240511</f>
        <v>3954.240511</v>
      </c>
      <c r="R187">
        <f>3719.10318</f>
        <v>3719.1031800000001</v>
      </c>
      <c r="S187">
        <f>3318.157609</f>
        <v>3318.1576089999999</v>
      </c>
    </row>
    <row r="188" spans="1:19" x14ac:dyDescent="0.25">
      <c r="A188" t="str">
        <f>"        HCL Technologies Ltd"</f>
        <v xml:space="preserve">        HCL Technologies Ltd</v>
      </c>
      <c r="B188" t="str">
        <f>"HCLT IN Equity"</f>
        <v>HCLT IN Equity</v>
      </c>
      <c r="C188" t="str">
        <f t="shared" si="24"/>
        <v>BI047</v>
      </c>
      <c r="D188" t="str">
        <f t="shared" si="25"/>
        <v>BICS_SEGMENT_DATA</v>
      </c>
      <c r="E188" t="str">
        <f t="shared" si="26"/>
        <v>Dynamic</v>
      </c>
      <c r="F188" t="str">
        <f ca="1">IF(AND(ISNUMBER($F$423),$B$242=1),$F$423,HLOOKUP(INDIRECT(ADDRESS(2,COLUMN())),OFFSET($M$2,0,0,ROW()-1,7),ROW()-1,FALSE))</f>
        <v/>
      </c>
      <c r="G188" t="str">
        <f ca="1">IF(AND(ISNUMBER($G$423),$B$242=1),$G$423,HLOOKUP(INDIRECT(ADDRESS(2,COLUMN())),OFFSET($M$2,0,0,ROW()-1,7),ROW()-1,FALSE))</f>
        <v/>
      </c>
      <c r="H188" t="str">
        <f ca="1">IF(AND(ISNUMBER($H$423),$B$242=1),$H$423,HLOOKUP(INDIRECT(ADDRESS(2,COLUMN())),OFFSET($M$2,0,0,ROW()-1,7),ROW()-1,FALSE))</f>
        <v/>
      </c>
      <c r="I188" t="str">
        <f ca="1">IF(AND(ISNUMBER($I$423),$B$242=1),$I$423,HLOOKUP(INDIRECT(ADDRESS(2,COLUMN())),OFFSET($M$2,0,0,ROW()-1,7),ROW()-1,FALSE))</f>
        <v/>
      </c>
      <c r="J188" t="str">
        <f ca="1">IF(AND(ISNUMBER($J$423),$B$242=1),$J$423,HLOOKUP(INDIRECT(ADDRESS(2,COLUMN())),OFFSET($M$2,0,0,ROW()-1,7),ROW()-1,FALSE))</f>
        <v/>
      </c>
      <c r="K188" t="str">
        <f ca="1">IF(AND(ISNUMBER($K$423),$B$242=1),$K$423,HLOOKUP(INDIRECT(ADDRESS(2,COLUMN())),OFFSET($M$2,0,0,ROW()-1,7),ROW()-1,FALSE))</f>
        <v/>
      </c>
      <c r="L188">
        <f ca="1">IF(AND(ISNUMBER($L$423),$B$242=1),$L$423,HLOOKUP(INDIRECT(ADDRESS(2,COLUMN())),OFFSET($M$2,0,0,ROW()-1,7),ROW()-1,FALSE))</f>
        <v>2997.893806</v>
      </c>
      <c r="M188" t="str">
        <f>""</f>
        <v/>
      </c>
      <c r="N188" t="str">
        <f>""</f>
        <v/>
      </c>
      <c r="O188" t="str">
        <f>""</f>
        <v/>
      </c>
      <c r="P188" t="str">
        <f>""</f>
        <v/>
      </c>
      <c r="Q188" t="str">
        <f>""</f>
        <v/>
      </c>
      <c r="R188" t="str">
        <f>""</f>
        <v/>
      </c>
      <c r="S188">
        <f>2997.893806</f>
        <v>2997.893806</v>
      </c>
    </row>
    <row r="189" spans="1:19" x14ac:dyDescent="0.25">
      <c r="A189" t="str">
        <f>"        "</f>
        <v xml:space="preserve">        </v>
      </c>
      <c r="B189" t="str">
        <f>""</f>
        <v/>
      </c>
      <c r="E189" t="str">
        <f>"Static"</f>
        <v>Static</v>
      </c>
      <c r="F189" t="str">
        <f t="shared" ref="F189:L189" ca="1" si="27">HLOOKUP(INDIRECT(ADDRESS(2,COLUMN())),OFFSET($M$2,0,0,ROW()-1,7),ROW()-1,FALSE)</f>
        <v/>
      </c>
      <c r="G189" t="str">
        <f t="shared" ca="1" si="27"/>
        <v/>
      </c>
      <c r="H189" t="str">
        <f t="shared" ca="1" si="27"/>
        <v/>
      </c>
      <c r="I189" t="str">
        <f t="shared" ca="1" si="27"/>
        <v/>
      </c>
      <c r="J189" t="str">
        <f t="shared" ca="1" si="27"/>
        <v/>
      </c>
      <c r="K189" t="str">
        <f t="shared" ca="1" si="27"/>
        <v/>
      </c>
      <c r="L189" t="str">
        <f t="shared" ca="1" si="27"/>
        <v/>
      </c>
      <c r="M189" t="str">
        <f>""</f>
        <v/>
      </c>
      <c r="N189" t="str">
        <f>""</f>
        <v/>
      </c>
      <c r="O189" t="str">
        <f>""</f>
        <v/>
      </c>
      <c r="P189" t="str">
        <f>""</f>
        <v/>
      </c>
      <c r="Q189" t="str">
        <f>""</f>
        <v/>
      </c>
      <c r="R189" t="str">
        <f>""</f>
        <v/>
      </c>
      <c r="S189" t="str">
        <f>""</f>
        <v/>
      </c>
    </row>
    <row r="190" spans="1:19" x14ac:dyDescent="0.25">
      <c r="A190" t="str">
        <f>"    Europe"</f>
        <v xml:space="preserve">    Europe</v>
      </c>
      <c r="B190" t="str">
        <f>""</f>
        <v/>
      </c>
      <c r="E190" t="str">
        <f>"Sum"</f>
        <v>Sum</v>
      </c>
      <c r="F190" t="str">
        <f ca="1">IF(ISERROR(IF(SUM($F$191:$F$202) = 0, "", SUM($F$191:$F$202))), "", (IF(SUM($F$191:$F$202) = 0, "", SUM($F$191:$F$202))))</f>
        <v/>
      </c>
      <c r="G190">
        <f ca="1">IF(ISERROR(IF(SUM($G$191:$G$202) = 0, "", SUM($G$191:$G$202))), "", (IF(SUM($G$191:$G$202) = 0, "", SUM($G$191:$G$202))))</f>
        <v>63984.768227000008</v>
      </c>
      <c r="H190">
        <f ca="1">IF(ISERROR(IF(SUM($H$191:$H$202) = 0, "", SUM($H$191:$H$202))), "", (IF(SUM($H$191:$H$202) = 0, "", SUM($H$191:$H$202))))</f>
        <v>57748.904397999999</v>
      </c>
      <c r="I190">
        <f ca="1">IF(ISERROR(IF(SUM($I$191:$I$202) = 0, "", SUM($I$191:$I$202))), "", (IF(SUM($I$191:$I$202) = 0, "", SUM($I$191:$I$202))))</f>
        <v>55288.363975</v>
      </c>
      <c r="J190">
        <f ca="1">IF(ISERROR(IF(SUM($J$191:$J$202) = 0, "", SUM($J$191:$J$202))), "", (IF(SUM($J$191:$J$202) = 0, "", SUM($J$191:$J$202))))</f>
        <v>52266.253587999992</v>
      </c>
      <c r="K190">
        <f ca="1">IF(ISERROR(IF(SUM($K$191:$K$202) = 0, "", SUM($K$191:$K$202))), "", (IF(SUM($K$191:$K$202) = 0, "", SUM($K$191:$K$202))))</f>
        <v>64933.132611000001</v>
      </c>
      <c r="L190">
        <f ca="1">IF(ISERROR(IF(SUM($L$191:$L$202) = 0, "", SUM($L$191:$L$202))), "", (IF(SUM($L$191:$L$202) = 0, "", SUM($L$191:$L$202))))</f>
        <v>75210.062690000006</v>
      </c>
      <c r="M190">
        <f>65613.82345</f>
        <v>65613.823449999996</v>
      </c>
      <c r="N190">
        <f>63984.76823</f>
        <v>63984.768230000001</v>
      </c>
      <c r="O190">
        <f>57748.9044</f>
        <v>57748.904399999999</v>
      </c>
      <c r="P190">
        <f>55288.36398</f>
        <v>55288.363980000002</v>
      </c>
      <c r="Q190">
        <f>52266.25359</f>
        <v>52266.25359</v>
      </c>
      <c r="R190">
        <f>64933.13261</f>
        <v>64933.132610000001</v>
      </c>
      <c r="S190">
        <f>75210.06269</f>
        <v>75210.062690000006</v>
      </c>
    </row>
    <row r="191" spans="1:19" x14ac:dyDescent="0.25">
      <c r="A191" t="str">
        <f>"        International Business Machine"</f>
        <v xml:space="preserve">        International Business Machine</v>
      </c>
      <c r="B191" t="str">
        <f>"IBM US Equity"</f>
        <v>IBM US Equity</v>
      </c>
      <c r="C191" t="str">
        <f>"BI047"</f>
        <v>BI047</v>
      </c>
      <c r="D191" t="str">
        <f>"BICS_SEGMENT_DATA"</f>
        <v>BICS_SEGMENT_DATA</v>
      </c>
      <c r="E191" t="str">
        <f>"Dynamic"</f>
        <v>Dynamic</v>
      </c>
      <c r="F191">
        <f ca="1">IF(AND(ISNUMBER($F$424),$B$242=1),$F$424,HLOOKUP(INDIRECT(ADDRESS(2,COLUMN())),OFFSET($M$2,0,0,ROW()-1,7),ROW()-1,FALSE))</f>
        <v>24443</v>
      </c>
      <c r="G191">
        <f ca="1">IF(AND(ISNUMBER($G$424),$B$242=1),$G$424,HLOOKUP(INDIRECT(ADDRESS(2,COLUMN())),OFFSET($M$2,0,0,ROW()-1,7),ROW()-1,FALSE))</f>
        <v>25491</v>
      </c>
      <c r="H191">
        <f ca="1">IF(AND(ISNUMBER($H$424),$B$242=1),$H$424,HLOOKUP(INDIRECT(ADDRESS(2,COLUMN())),OFFSET($M$2,0,0,ROW()-1,7),ROW()-1,FALSE))</f>
        <v>24345</v>
      </c>
      <c r="I191">
        <f ca="1">IF(AND(ISNUMBER($I$424),$B$242=1),$I$424,HLOOKUP(INDIRECT(ADDRESS(2,COLUMN())),OFFSET($M$2,0,0,ROW()-1,7),ROW()-1,FALSE))</f>
        <v>24769</v>
      </c>
      <c r="J191">
        <f ca="1">IF(AND(ISNUMBER($J$424),$B$242=1),$J$424,HLOOKUP(INDIRECT(ADDRESS(2,COLUMN())),OFFSET($M$2,0,0,ROW()-1,7),ROW()-1,FALSE))</f>
        <v>26073</v>
      </c>
      <c r="K191">
        <f ca="1">IF(AND(ISNUMBER($K$424),$B$242=1),$K$424,HLOOKUP(INDIRECT(ADDRESS(2,COLUMN())),OFFSET($M$2,0,0,ROW()-1,7),ROW()-1,FALSE))</f>
        <v>30700</v>
      </c>
      <c r="L191">
        <f ca="1">IF(AND(ISNUMBER($L$424),$B$242=1),$L$424,HLOOKUP(INDIRECT(ADDRESS(2,COLUMN())),OFFSET($M$2,0,0,ROW()-1,7),ROW()-1,FALSE))</f>
        <v>31628</v>
      </c>
      <c r="M191">
        <f>24443</f>
        <v>24443</v>
      </c>
      <c r="N191">
        <f>25491</f>
        <v>25491</v>
      </c>
      <c r="O191">
        <f>24345</f>
        <v>24345</v>
      </c>
      <c r="P191">
        <f>24769</f>
        <v>24769</v>
      </c>
      <c r="Q191">
        <f>26073</f>
        <v>26073</v>
      </c>
      <c r="R191">
        <f>30700</f>
        <v>30700</v>
      </c>
      <c r="S191">
        <f>31628</f>
        <v>31628</v>
      </c>
    </row>
    <row r="192" spans="1:19" x14ac:dyDescent="0.25">
      <c r="A192" t="str">
        <f>"        Accenture PLC"</f>
        <v xml:space="preserve">        Accenture PLC</v>
      </c>
      <c r="B192" t="str">
        <f>"ACN US Equity"</f>
        <v>ACN US Equity</v>
      </c>
      <c r="C192" t="str">
        <f>"BI047"</f>
        <v>BI047</v>
      </c>
      <c r="D192" t="str">
        <f>"BICS_SEGMENT_DATA"</f>
        <v>BICS_SEGMENT_DATA</v>
      </c>
      <c r="E192" t="str">
        <f>"Dynamic"</f>
        <v>Dynamic</v>
      </c>
      <c r="F192">
        <f ca="1">IF(AND(ISNUMBER($F$425),$B$242=1),$F$425,HLOOKUP(INDIRECT(ADDRESS(2,COLUMN())),OFFSET($M$2,0,0,ROW()-1,7),ROW()-1,FALSE))</f>
        <v>14680.739</v>
      </c>
      <c r="G192">
        <f ca="1">IF(AND(ISNUMBER($G$425),$B$242=1),$G$425,HLOOKUP(INDIRECT(ADDRESS(2,COLUMN())),OFFSET($M$2,0,0,ROW()-1,7),ROW()-1,FALSE))</f>
        <v>14112</v>
      </c>
      <c r="H192">
        <f ca="1">IF(AND(ISNUMBER($H$425),$B$242=1),$H$425,HLOOKUP(INDIRECT(ADDRESS(2,COLUMN())),OFFSET($M$2,0,0,ROW()-1,7),ROW()-1,FALSE))</f>
        <v>12002</v>
      </c>
      <c r="I192">
        <f ca="1">IF(AND(ISNUMBER($I$425),$B$242=1),$I$425,HLOOKUP(INDIRECT(ADDRESS(2,COLUMN())),OFFSET($M$2,0,0,ROW()-1,7),ROW()-1,FALSE))</f>
        <v>11448.361000000001</v>
      </c>
      <c r="J192">
        <f ca="1">IF(AND(ISNUMBER($J$425),$B$242=1),$J$425,HLOOKUP(INDIRECT(ADDRESS(2,COLUMN())),OFFSET($M$2,0,0,ROW()-1,7),ROW()-1,FALSE))</f>
        <v>10929.572</v>
      </c>
      <c r="K192">
        <f ca="1">IF(AND(ISNUMBER($K$425),$B$242=1),$K$425,HLOOKUP(INDIRECT(ADDRESS(2,COLUMN())),OFFSET($M$2,0,0,ROW()-1,7),ROW()-1,FALSE))</f>
        <v>11254.953</v>
      </c>
      <c r="L192">
        <f ca="1">IF(AND(ISNUMBER($L$425),$B$242=1),$L$425,HLOOKUP(INDIRECT(ADDRESS(2,COLUMN())),OFFSET($M$2,0,0,ROW()-1,7),ROW()-1,FALSE))</f>
        <v>11047.416999999999</v>
      </c>
      <c r="M192">
        <f>14680.739</f>
        <v>14680.739</v>
      </c>
      <c r="N192">
        <f>14112</f>
        <v>14112</v>
      </c>
      <c r="O192">
        <f>12002</f>
        <v>12002</v>
      </c>
      <c r="P192">
        <f>11448.361</f>
        <v>11448.361000000001</v>
      </c>
      <c r="Q192">
        <f>10929.572</f>
        <v>10929.572</v>
      </c>
      <c r="R192">
        <f>11254.953</f>
        <v>11254.953</v>
      </c>
      <c r="S192">
        <f>11047.417</f>
        <v>11047.416999999999</v>
      </c>
    </row>
    <row r="193" spans="1:19" x14ac:dyDescent="0.25">
      <c r="A193" t="str">
        <f>"        AtoS"</f>
        <v xml:space="preserve">        AtoS</v>
      </c>
      <c r="B193" t="str">
        <f>"ATO FP Equity"</f>
        <v>ATO FP Equity</v>
      </c>
      <c r="E193" t="str">
        <f>"Expression"</f>
        <v>Expression</v>
      </c>
      <c r="F193" t="e">
        <f ca="1">IF(AND($B$242=1,LEN($F$281) * LEN($F$282) * LEN($F$283) * LEN($F$284) * LEN($F$285) * LEN($F$286)&gt;0),$F$281+$F$282+$F$283+$F$284+$F$285+$F$286,HLOOKUP(INDIRECT(ADDRESS(2,COLUMN())),OFFSET($M$2,0,0,ROW()-1,7),ROW()-1,FALSE))</f>
        <v>#NAME?</v>
      </c>
      <c r="G193" t="str">
        <f ca="1">IF(AND($B$242=1,LEN($G$281) * LEN($G$282) * LEN($G$283) * LEN($G$284) * LEN($G$285) * LEN($G$286)&gt;0),$G$281+$G$282+$G$283+$G$284+$G$285+$G$286,HLOOKUP(INDIRECT(ADDRESS(2,COLUMN())),OFFSET($M$2,0,0,ROW()-1,7),ROW()-1,FALSE))</f>
        <v/>
      </c>
      <c r="H193" t="str">
        <f ca="1">IF(AND($B$242=1,LEN($H$281) * LEN($H$282) * LEN($H$283) * LEN($H$284) * LEN($H$285) * LEN($H$286)&gt;0),$H$281+$H$282+$H$283+$H$284+$H$285+$H$286,HLOOKUP(INDIRECT(ADDRESS(2,COLUMN())),OFFSET($M$2,0,0,ROW()-1,7),ROW()-1,FALSE))</f>
        <v/>
      </c>
      <c r="I193" t="str">
        <f ca="1">IF(AND($B$242=1,LEN($I$281) * LEN($I$282) * LEN($I$283) * LEN($I$284) * LEN($I$285) * LEN($I$286)&gt;0),$I$281+$I$282+$I$283+$I$284+$I$285+$I$286,HLOOKUP(INDIRECT(ADDRESS(2,COLUMN())),OFFSET($M$2,0,0,ROW()-1,7),ROW()-1,FALSE))</f>
        <v/>
      </c>
      <c r="J193" t="str">
        <f ca="1">IF(AND($B$242=1,LEN($J$281) * LEN($J$282) * LEN($J$283) * LEN($J$284) * LEN($J$285) * LEN($J$286)&gt;0),$J$281+$J$282+$J$283+$J$284+$J$285+$J$286,HLOOKUP(INDIRECT(ADDRESS(2,COLUMN())),OFFSET($M$2,0,0,ROW()-1,7),ROW()-1,FALSE))</f>
        <v/>
      </c>
      <c r="K193" t="str">
        <f ca="1">IF(AND($B$242=1,LEN($K$281) * LEN($K$282) * LEN($K$283) * LEN($K$284) * LEN($K$285) * LEN($K$286)&gt;0),$K$281+$K$282+$K$283+$K$284+$K$285+$K$286,HLOOKUP(INDIRECT(ADDRESS(2,COLUMN())),OFFSET($M$2,0,0,ROW()-1,7),ROW()-1,FALSE))</f>
        <v/>
      </c>
      <c r="L193">
        <f ca="1">IF(AND($B$242=1,LEN($L$281) * LEN($L$282) * LEN($L$283) * LEN($L$284) * LEN($L$285) * LEN($L$286)&gt;0),$L$281+$L$282+$L$283+$L$284+$L$285+$L$286,HLOOKUP(INDIRECT(ADDRESS(2,COLUMN())),OFFSET($M$2,0,0,ROW()-1,7),ROW()-1,FALSE))</f>
        <v>9536.3462980000004</v>
      </c>
      <c r="M193" t="str">
        <f>""</f>
        <v/>
      </c>
      <c r="N193" t="str">
        <f>""</f>
        <v/>
      </c>
      <c r="O193" t="str">
        <f>""</f>
        <v/>
      </c>
      <c r="P193" t="str">
        <f>""</f>
        <v/>
      </c>
      <c r="Q193" t="str">
        <f>""</f>
        <v/>
      </c>
      <c r="R193" t="str">
        <f>""</f>
        <v/>
      </c>
      <c r="S193">
        <f>9536.346298</f>
        <v>9536.3462980000004</v>
      </c>
    </row>
    <row r="194" spans="1:19" x14ac:dyDescent="0.25">
      <c r="A194" t="str">
        <f>"        Cap Gemini SA"</f>
        <v xml:space="preserve">        Cap Gemini SA</v>
      </c>
      <c r="B194" t="str">
        <f>"CAP FP Equity"</f>
        <v>CAP FP Equity</v>
      </c>
      <c r="E194" t="str">
        <f>"Expression"</f>
        <v>Expression</v>
      </c>
      <c r="F194" t="e">
        <f ca="1">IF(AND($B$242=1,LEN($F$287) * LEN($F$288) * LEN($F$289)&gt;0),$F$287+$F$288+$F$289,HLOOKUP(INDIRECT(ADDRESS(2,COLUMN())),OFFSET($M$2,0,0,ROW()-1,7),ROW()-1,FALSE))</f>
        <v>#NAME?</v>
      </c>
      <c r="G194" t="str">
        <f ca="1">IF(AND($B$242=1,LEN($G$287) * LEN($G$288) * LEN($G$289)&gt;0),$G$287+$G$288+$G$289,HLOOKUP(INDIRECT(ADDRESS(2,COLUMN())),OFFSET($M$2,0,0,ROW()-1,7),ROW()-1,FALSE))</f>
        <v/>
      </c>
      <c r="H194" t="str">
        <f ca="1">IF(AND($B$242=1,LEN($H$287) * LEN($H$288) * LEN($H$289)&gt;0),$H$287+$H$288+$H$289,HLOOKUP(INDIRECT(ADDRESS(2,COLUMN())),OFFSET($M$2,0,0,ROW()-1,7),ROW()-1,FALSE))</f>
        <v/>
      </c>
      <c r="I194" t="str">
        <f ca="1">IF(AND($B$242=1,LEN($I$287) * LEN($I$288) * LEN($I$289)&gt;0),$I$287+$I$288+$I$289,HLOOKUP(INDIRECT(ADDRESS(2,COLUMN())),OFFSET($M$2,0,0,ROW()-1,7),ROW()-1,FALSE))</f>
        <v/>
      </c>
      <c r="J194" t="str">
        <f ca="1">IF(AND($B$242=1,LEN($J$287) * LEN($J$288) * LEN($J$289)&gt;0),$J$287+$J$288+$J$289,HLOOKUP(INDIRECT(ADDRESS(2,COLUMN())),OFFSET($M$2,0,0,ROW()-1,7),ROW()-1,FALSE))</f>
        <v/>
      </c>
      <c r="K194">
        <f ca="1">IF(AND($B$242=1,LEN($K$287) * LEN($K$288) * LEN($K$289)&gt;0),$K$287+$K$288+$K$289,HLOOKUP(INDIRECT(ADDRESS(2,COLUMN())),OFFSET($M$2,0,0,ROW()-1,7),ROW()-1,FALSE))</f>
        <v>7456.7908209999996</v>
      </c>
      <c r="L194">
        <f ca="1">IF(AND($B$242=1,LEN($L$287) * LEN($L$288) * LEN($L$289)&gt;0),$L$287+$L$288+$L$289,HLOOKUP(INDIRECT(ADDRESS(2,COLUMN())),OFFSET($M$2,0,0,ROW()-1,7),ROW()-1,FALSE))</f>
        <v>7005.514518</v>
      </c>
      <c r="M194" t="str">
        <f>""</f>
        <v/>
      </c>
      <c r="N194" t="str">
        <f>""</f>
        <v/>
      </c>
      <c r="O194" t="str">
        <f>""</f>
        <v/>
      </c>
      <c r="P194" t="str">
        <f>""</f>
        <v/>
      </c>
      <c r="Q194" t="str">
        <f>""</f>
        <v/>
      </c>
      <c r="R194">
        <f>7456.790821</f>
        <v>7456.7908209999996</v>
      </c>
      <c r="S194">
        <f>7005.514518</f>
        <v>7005.514518</v>
      </c>
    </row>
    <row r="195" spans="1:19" x14ac:dyDescent="0.25">
      <c r="A195" t="str">
        <f>"        Computacenter PLC"</f>
        <v xml:space="preserve">        Computacenter PLC</v>
      </c>
      <c r="B195" t="str">
        <f>"CCC LN Equity"</f>
        <v>CCC LN Equity</v>
      </c>
      <c r="C195" t="str">
        <f>"IS010"</f>
        <v>IS010</v>
      </c>
      <c r="D195" t="str">
        <f>"SALES_REV_TURN"</f>
        <v>SALES_REV_TURN</v>
      </c>
      <c r="E195" t="str">
        <f>"Dynamic"</f>
        <v>Dynamic</v>
      </c>
      <c r="F195">
        <f ca="1">IF(AND(ISNUMBER($F$426),$B$242=1),$F$426,HLOOKUP(INDIRECT(ADDRESS(2,COLUMN())),OFFSET($M$2,0,0,ROW()-1,7),ROW()-1,FALSE))</f>
        <v>6451.0690889999996</v>
      </c>
      <c r="G195">
        <f ca="1">IF(AND(ISNUMBER($G$426),$B$242=1),$G$426,HLOOKUP(INDIRECT(ADDRESS(2,COLUMN())),OFFSET($M$2,0,0,ROW()-1,7),ROW()-1,FALSE))</f>
        <v>5811.0322409999999</v>
      </c>
      <c r="H195">
        <f ca="1">IF(AND(ISNUMBER($H$426),$B$242=1),$H$426,HLOOKUP(INDIRECT(ADDRESS(2,COLUMN())),OFFSET($M$2,0,0,ROW()-1,7),ROW()-1,FALSE))</f>
        <v>4888.1111709999996</v>
      </c>
      <c r="I195">
        <f ca="1">IF(AND(ISNUMBER($I$426),$B$242=1),$I$426,HLOOKUP(INDIRECT(ADDRESS(2,COLUMN())),OFFSET($M$2,0,0,ROW()-1,7),ROW()-1,FALSE))</f>
        <v>4398.7554499999997</v>
      </c>
      <c r="J195">
        <f ca="1">IF(AND(ISNUMBER($J$426),$B$242=1),$J$426,HLOOKUP(INDIRECT(ADDRESS(2,COLUMN())),OFFSET($M$2,0,0,ROW()-1,7),ROW()-1,FALSE))</f>
        <v>4673.0792339999998</v>
      </c>
      <c r="K195">
        <f ca="1">IF(AND(ISNUMBER($K$426),$B$242=1),$K$426,HLOOKUP(INDIRECT(ADDRESS(2,COLUMN())),OFFSET($M$2,0,0,ROW()-1,7),ROW()-1,FALSE))</f>
        <v>5119.6211450000001</v>
      </c>
      <c r="L195">
        <f ca="1">IF(AND(ISNUMBER($L$426),$B$242=1),$L$426,HLOOKUP(INDIRECT(ADDRESS(2,COLUMN())),OFFSET($M$2,0,0,ROW()-1,7),ROW()-1,FALSE))</f>
        <v>4807.1172219999999</v>
      </c>
      <c r="M195">
        <f>6451.069089</f>
        <v>6451.0690889999996</v>
      </c>
      <c r="N195">
        <f>5811.032241</f>
        <v>5811.0322409999999</v>
      </c>
      <c r="O195">
        <f>4888.111171</f>
        <v>4888.1111709999996</v>
      </c>
      <c r="P195">
        <f>4398.75545</f>
        <v>4398.7554499999997</v>
      </c>
      <c r="Q195">
        <f>4673.079234</f>
        <v>4673.0792339999998</v>
      </c>
      <c r="R195">
        <f>5119.621145</f>
        <v>5119.6211450000001</v>
      </c>
      <c r="S195">
        <f>4807.117222</f>
        <v>4807.1172219999999</v>
      </c>
    </row>
    <row r="196" spans="1:19" x14ac:dyDescent="0.25">
      <c r="A196" t="str">
        <f>"        Indra Sistemas SA"</f>
        <v xml:space="preserve">        Indra Sistemas SA</v>
      </c>
      <c r="B196" t="str">
        <f>"IDR SM Equity"</f>
        <v>IDR SM Equity</v>
      </c>
      <c r="E196" t="str">
        <f>"Expression"</f>
        <v>Expression</v>
      </c>
      <c r="F196" t="e">
        <f ca="1">IF(AND($B$242=1,LEN($F$290) * LEN($F$291) * LEN($F$292)&gt;0),$F$290+$F$291+$F$292,HLOOKUP(INDIRECT(ADDRESS(2,COLUMN())),OFFSET($M$2,0,0,ROW()-1,7),ROW()-1,FALSE))</f>
        <v>#NAME?</v>
      </c>
      <c r="G196">
        <f ca="1">IF(AND($B$242=1,LEN($G$290) * LEN($G$291) * LEN($G$292)&gt;0),$G$290+$G$291+$G$292,HLOOKUP(INDIRECT(ADDRESS(2,COLUMN())),OFFSET($M$2,0,0,ROW()-1,7),ROW()-1,FALSE))</f>
        <v>2433.1018899999999</v>
      </c>
      <c r="H196">
        <f ca="1">IF(AND($B$242=1,LEN($H$290) * LEN($H$291) * LEN($H$292)&gt;0),$H$290+$H$291+$H$292,HLOOKUP(INDIRECT(ADDRESS(2,COLUMN())),OFFSET($M$2,0,0,ROW()-1,7),ROW()-1,FALSE))</f>
        <v>2121.9690529999998</v>
      </c>
      <c r="I196">
        <f ca="1">IF(AND($B$242=1,LEN($I$290) * LEN($I$291) * LEN($I$292)&gt;0),$I$290+$I$291+$I$292,HLOOKUP(INDIRECT(ADDRESS(2,COLUMN())),OFFSET($M$2,0,0,ROW()-1,7),ROW()-1,FALSE))</f>
        <v>1868.734121</v>
      </c>
      <c r="J196" t="str">
        <f ca="1">IF(AND($B$242=1,LEN($J$290) * LEN($J$291) * LEN($J$292)&gt;0),$J$290+$J$291+$J$292,HLOOKUP(INDIRECT(ADDRESS(2,COLUMN())),OFFSET($M$2,0,0,ROW()-1,7),ROW()-1,FALSE))</f>
        <v/>
      </c>
      <c r="K196" t="str">
        <f ca="1">IF(AND($B$242=1,LEN($K$290) * LEN($K$291) * LEN($K$292)&gt;0),$K$290+$K$291+$K$292,HLOOKUP(INDIRECT(ADDRESS(2,COLUMN())),OFFSET($M$2,0,0,ROW()-1,7),ROW()-1,FALSE))</f>
        <v/>
      </c>
      <c r="L196" t="str">
        <f ca="1">IF(AND($B$242=1,LEN($L$290) * LEN($L$291) * LEN($L$292)&gt;0),$L$290+$L$291+$L$292,HLOOKUP(INDIRECT(ADDRESS(2,COLUMN())),OFFSET($M$2,0,0,ROW()-1,7),ROW()-1,FALSE))</f>
        <v/>
      </c>
      <c r="M196">
        <f>2395.635621</f>
        <v>2395.6356209999999</v>
      </c>
      <c r="N196">
        <f>2433.10189</f>
        <v>2433.1018899999999</v>
      </c>
      <c r="O196">
        <f>2121.969053</f>
        <v>2121.9690529999998</v>
      </c>
      <c r="P196">
        <f>1868.734121</f>
        <v>1868.734121</v>
      </c>
      <c r="Q196" t="str">
        <f>""</f>
        <v/>
      </c>
      <c r="R196" t="str">
        <f>""</f>
        <v/>
      </c>
      <c r="S196" t="str">
        <f>""</f>
        <v/>
      </c>
    </row>
    <row r="197" spans="1:19" x14ac:dyDescent="0.25">
      <c r="A197" t="str">
        <f>"        Tata Consultancy Services Ltd"</f>
        <v xml:space="preserve">        Tata Consultancy Services Ltd</v>
      </c>
      <c r="B197" t="str">
        <f>"TCS IN Equity"</f>
        <v>TCS IN Equity</v>
      </c>
      <c r="C197" t="str">
        <f>"BI047"</f>
        <v>BI047</v>
      </c>
      <c r="D197" t="str">
        <f>"BICS_SEGMENT_DATA"</f>
        <v>BICS_SEGMENT_DATA</v>
      </c>
      <c r="E197" t="str">
        <f>"Dynamic"</f>
        <v>Dynamic</v>
      </c>
      <c r="F197">
        <f ca="1">IF(AND(ISNUMBER($F$427),$B$242=1),$F$427,HLOOKUP(INDIRECT(ADDRESS(2,COLUMN())),OFFSET($M$2,0,0,ROW()-1,7),ROW()-1,FALSE))</f>
        <v>6776.2770840000003</v>
      </c>
      <c r="G197">
        <f ca="1">IF(AND(ISNUMBER($G$427),$B$242=1),$G$427,HLOOKUP(INDIRECT(ADDRESS(2,COLUMN())),OFFSET($M$2,0,0,ROW()-1,7),ROW()-1,FALSE))</f>
        <v>6223.30825</v>
      </c>
      <c r="H197">
        <f ca="1">IF(AND(ISNUMBER($H$427),$B$242=1),$H$427,HLOOKUP(INDIRECT(ADDRESS(2,COLUMN())),OFFSET($M$2,0,0,ROW()-1,7),ROW()-1,FALSE))</f>
        <v>5289.3667329999998</v>
      </c>
      <c r="I197">
        <f ca="1">IF(AND(ISNUMBER($I$427),$B$242=1),$I$427,HLOOKUP(INDIRECT(ADDRESS(2,COLUMN())),OFFSET($M$2,0,0,ROW()-1,7),ROW()-1,FALSE))</f>
        <v>4469.4386240000003</v>
      </c>
      <c r="J197">
        <f ca="1">IF(AND(ISNUMBER($J$427),$B$242=1),$J$427,HLOOKUP(INDIRECT(ADDRESS(2,COLUMN())),OFFSET($M$2,0,0,ROW()-1,7),ROW()-1,FALSE))</f>
        <v>4452.0367980000001</v>
      </c>
      <c r="K197">
        <f ca="1">IF(AND(ISNUMBER($K$427),$B$242=1),$K$427,HLOOKUP(INDIRECT(ADDRESS(2,COLUMN())),OFFSET($M$2,0,0,ROW()-1,7),ROW()-1,FALSE))</f>
        <v>4382.1279480000003</v>
      </c>
      <c r="L197">
        <f ca="1">IF(AND(ISNUMBER($L$427),$B$242=1),$L$427,HLOOKUP(INDIRECT(ADDRESS(2,COLUMN())),OFFSET($M$2,0,0,ROW()-1,7),ROW()-1,FALSE))</f>
        <v>3881.0136510000002</v>
      </c>
      <c r="M197">
        <f>6776.277084</f>
        <v>6776.2770840000003</v>
      </c>
      <c r="N197">
        <f>6223.30825</f>
        <v>6223.30825</v>
      </c>
      <c r="O197">
        <f>5289.366733</f>
        <v>5289.3667329999998</v>
      </c>
      <c r="P197">
        <f>4469.438624</f>
        <v>4469.4386240000003</v>
      </c>
      <c r="Q197">
        <f>4452.036798</f>
        <v>4452.0367980000001</v>
      </c>
      <c r="R197">
        <f>4382.127948</f>
        <v>4382.1279480000003</v>
      </c>
      <c r="S197">
        <f>3881.013651</f>
        <v>3881.0136510000002</v>
      </c>
    </row>
    <row r="198" spans="1:19" x14ac:dyDescent="0.25">
      <c r="A198" t="str">
        <f>"        Wipro Ltd"</f>
        <v xml:space="preserve">        Wipro Ltd</v>
      </c>
      <c r="B198" t="str">
        <f>"WIT US Equity"</f>
        <v>WIT US Equity</v>
      </c>
      <c r="C198" t="str">
        <f>"BI047"</f>
        <v>BI047</v>
      </c>
      <c r="D198" t="str">
        <f>"BICS_SEGMENT_DATA"</f>
        <v>BICS_SEGMENT_DATA</v>
      </c>
      <c r="E198" t="str">
        <f>"Dynamic"</f>
        <v>Dynamic</v>
      </c>
      <c r="F198">
        <f ca="1">IF(AND(ISNUMBER($F$428),$B$242=1),$F$428,HLOOKUP(INDIRECT(ADDRESS(2,COLUMN())),OFFSET($M$2,0,0,ROW()-1,7),ROW()-1,FALSE))</f>
        <v>2044.1258170000001</v>
      </c>
      <c r="G198">
        <f ca="1">IF(AND(ISNUMBER($G$428),$B$242=1),$G$428,HLOOKUP(INDIRECT(ADDRESS(2,COLUMN())),OFFSET($M$2,0,0,ROW()-1,7),ROW()-1,FALSE))</f>
        <v>1915.784719</v>
      </c>
      <c r="H198">
        <f ca="1">IF(AND(ISNUMBER($H$428),$B$242=1),$H$428,HLOOKUP(INDIRECT(ADDRESS(2,COLUMN())),OFFSET($M$2,0,0,ROW()-1,7),ROW()-1,FALSE))</f>
        <v>1960.9080329999999</v>
      </c>
      <c r="I198">
        <f ca="1">IF(AND(ISNUMBER($I$428),$B$242=1),$I$428,HLOOKUP(INDIRECT(ADDRESS(2,COLUMN())),OFFSET($M$2,0,0,ROW()-1,7),ROW()-1,FALSE))</f>
        <v>1997.432787</v>
      </c>
      <c r="J198">
        <f ca="1">IF(AND(ISNUMBER($J$428),$B$242=1),$J$428,HLOOKUP(INDIRECT(ADDRESS(2,COLUMN())),OFFSET($M$2,0,0,ROW()-1,7),ROW()-1,FALSE))</f>
        <v>1932.924319</v>
      </c>
      <c r="K198">
        <f ca="1">IF(AND(ISNUMBER($K$428),$B$242=1),$K$428,HLOOKUP(INDIRECT(ADDRESS(2,COLUMN())),OFFSET($M$2,0,0,ROW()-1,7),ROW()-1,FALSE))</f>
        <v>2037.205647</v>
      </c>
      <c r="L198">
        <f ca="1">IF(AND(ISNUMBER($L$428),$B$242=1),$L$428,HLOOKUP(INDIRECT(ADDRESS(2,COLUMN())),OFFSET($M$2,0,0,ROW()-1,7),ROW()-1,FALSE))</f>
        <v>2001.8621760000001</v>
      </c>
      <c r="M198">
        <f>2044.125817</f>
        <v>2044.1258170000001</v>
      </c>
      <c r="N198">
        <f>1915.784719</f>
        <v>1915.784719</v>
      </c>
      <c r="O198">
        <f>1960.908033</f>
        <v>1960.9080329999999</v>
      </c>
      <c r="P198">
        <f>1997.432787</f>
        <v>1997.432787</v>
      </c>
      <c r="Q198">
        <f>1932.924319</f>
        <v>1932.924319</v>
      </c>
      <c r="R198">
        <f>2037.205647</f>
        <v>2037.205647</v>
      </c>
      <c r="S198">
        <f>2001.862176</f>
        <v>2001.8621760000001</v>
      </c>
    </row>
    <row r="199" spans="1:19" x14ac:dyDescent="0.25">
      <c r="A199" t="str">
        <f>"        Cognizant Technology Solutions"</f>
        <v xml:space="preserve">        Cognizant Technology Solutions</v>
      </c>
      <c r="B199" t="str">
        <f>"CTSH US Equity"</f>
        <v>CTSH US Equity</v>
      </c>
      <c r="C199" t="str">
        <f>"BI047"</f>
        <v>BI047</v>
      </c>
      <c r="D199" t="str">
        <f>"BICS_SEGMENT_DATA"</f>
        <v>BICS_SEGMENT_DATA</v>
      </c>
      <c r="E199" t="str">
        <f>"Dynamic"</f>
        <v>Dynamic</v>
      </c>
      <c r="F199">
        <f ca="1">IF(AND(ISNUMBER($F$429),$B$242=1),$F$429,HLOOKUP(INDIRECT(ADDRESS(2,COLUMN())),OFFSET($M$2,0,0,ROW()-1,7),ROW()-1,FALSE))</f>
        <v>3004</v>
      </c>
      <c r="G199">
        <f ca="1">IF(AND(ISNUMBER($G$429),$B$242=1),$G$429,HLOOKUP(INDIRECT(ADDRESS(2,COLUMN())),OFFSET($M$2,0,0,ROW()-1,7),ROW()-1,FALSE))</f>
        <v>2837</v>
      </c>
      <c r="H199">
        <f ca="1">IF(AND(ISNUMBER($H$429),$B$242=1),$H$429,HLOOKUP(INDIRECT(ADDRESS(2,COLUMN())),OFFSET($M$2,0,0,ROW()-1,7),ROW()-1,FALSE))</f>
        <v>2398</v>
      </c>
      <c r="I199">
        <f ca="1">IF(AND(ISNUMBER($I$429),$B$242=1),$I$429,HLOOKUP(INDIRECT(ADDRESS(2,COLUMN())),OFFSET($M$2,0,0,ROW()-1,7),ROW()-1,FALSE))</f>
        <v>2145</v>
      </c>
      <c r="J199">
        <f ca="1">IF(AND(ISNUMBER($J$429),$B$242=1),$J$429,HLOOKUP(INDIRECT(ADDRESS(2,COLUMN())),OFFSET($M$2,0,0,ROW()-1,7),ROW()-1,FALSE))</f>
        <v>2008</v>
      </c>
      <c r="K199">
        <f ca="1">IF(AND(ISNUMBER($K$429),$B$242=1),$K$429,HLOOKUP(INDIRECT(ADDRESS(2,COLUMN())),OFFSET($M$2,0,0,ROW()-1,7),ROW()-1,FALSE))</f>
        <v>1883.6</v>
      </c>
      <c r="L199">
        <f ca="1">IF(AND(ISNUMBER($L$429),$B$242=1),$L$429,HLOOKUP(INDIRECT(ADDRESS(2,COLUMN())),OFFSET($M$2,0,0,ROW()-1,7),ROW()-1,FALSE))</f>
        <v>1579.2049999999999</v>
      </c>
      <c r="M199">
        <f>3004</f>
        <v>3004</v>
      </c>
      <c r="N199">
        <f>2837</f>
        <v>2837</v>
      </c>
      <c r="O199">
        <f>2398</f>
        <v>2398</v>
      </c>
      <c r="P199">
        <f>2145</f>
        <v>2145</v>
      </c>
      <c r="Q199">
        <f>2008</f>
        <v>2008</v>
      </c>
      <c r="R199">
        <f>1883.6</f>
        <v>1883.6</v>
      </c>
      <c r="S199">
        <f>1579.205</f>
        <v>1579.2049999999999</v>
      </c>
    </row>
    <row r="200" spans="1:19" x14ac:dyDescent="0.25">
      <c r="A200" t="str">
        <f>"        Infosys Ltd"</f>
        <v xml:space="preserve">        Infosys Ltd</v>
      </c>
      <c r="B200" t="str">
        <f>"INFY US Equity"</f>
        <v>INFY US Equity</v>
      </c>
      <c r="C200" t="str">
        <f>"BI047"</f>
        <v>BI047</v>
      </c>
      <c r="D200" t="str">
        <f>"BICS_SEGMENT_DATA"</f>
        <v>BICS_SEGMENT_DATA</v>
      </c>
      <c r="E200" t="str">
        <f>"Dynamic"</f>
        <v>Dynamic</v>
      </c>
      <c r="F200">
        <f ca="1">IF(AND(ISNUMBER($F$430),$B$242=1),$F$430,HLOOKUP(INDIRECT(ADDRESS(2,COLUMN())),OFFSET($M$2,0,0,ROW()-1,7),ROW()-1,FALSE))</f>
        <v>3092.2348360000001</v>
      </c>
      <c r="G200">
        <f ca="1">IF(AND(ISNUMBER($G$430),$B$242=1),$G$430,HLOOKUP(INDIRECT(ADDRESS(2,COLUMN())),OFFSET($M$2,0,0,ROW()-1,7),ROW()-1,FALSE))</f>
        <v>2853.0254770000001</v>
      </c>
      <c r="H200">
        <f ca="1">IF(AND(ISNUMBER($H$430),$B$242=1),$H$430,HLOOKUP(INDIRECT(ADDRESS(2,COLUMN())),OFFSET($M$2,0,0,ROW()-1,7),ROW()-1,FALSE))</f>
        <v>2596.3026060000002</v>
      </c>
      <c r="I200">
        <f ca="1">IF(AND(ISNUMBER($I$430),$B$242=1),$I$430,HLOOKUP(INDIRECT(ADDRESS(2,COLUMN())),OFFSET($M$2,0,0,ROW()-1,7),ROW()-1,FALSE))</f>
        <v>2295.9237589999998</v>
      </c>
      <c r="J200">
        <f ca="1">IF(AND(ISNUMBER($J$430),$B$242=1),$J$430,HLOOKUP(INDIRECT(ADDRESS(2,COLUMN())),OFFSET($M$2,0,0,ROW()-1,7),ROW()-1,FALSE))</f>
        <v>2197.6412369999998</v>
      </c>
      <c r="K200">
        <f ca="1">IF(AND(ISNUMBER($K$430),$B$242=1),$K$430,HLOOKUP(INDIRECT(ADDRESS(2,COLUMN())),OFFSET($M$2,0,0,ROW()-1,7),ROW()-1,FALSE))</f>
        <v>2098.8340499999999</v>
      </c>
      <c r="L200">
        <f ca="1">IF(AND(ISNUMBER($L$430),$B$242=1),$L$430,HLOOKUP(INDIRECT(ADDRESS(2,COLUMN())),OFFSET($M$2,0,0,ROW()-1,7),ROW()-1,FALSE))</f>
        <v>2028.8919860000001</v>
      </c>
      <c r="M200">
        <f>3092.234836</f>
        <v>3092.2348360000001</v>
      </c>
      <c r="N200">
        <f>2853.025477</f>
        <v>2853.0254770000001</v>
      </c>
      <c r="O200">
        <f>2596.302606</f>
        <v>2596.3026060000002</v>
      </c>
      <c r="P200">
        <f>2295.923759</f>
        <v>2295.9237589999998</v>
      </c>
      <c r="Q200">
        <f>2197.641237</f>
        <v>2197.6412369999998</v>
      </c>
      <c r="R200">
        <f>2098.83405</f>
        <v>2098.8340499999999</v>
      </c>
      <c r="S200">
        <f>2028.891986</f>
        <v>2028.8919860000001</v>
      </c>
    </row>
    <row r="201" spans="1:19" x14ac:dyDescent="0.25">
      <c r="A201" t="str">
        <f>"        HCL Technologies Ltd"</f>
        <v xml:space="preserve">        HCL Technologies Ltd</v>
      </c>
      <c r="B201" t="str">
        <f>"HCLT IN Equity"</f>
        <v>HCLT IN Equity</v>
      </c>
      <c r="C201" t="str">
        <f>"BI047"</f>
        <v>BI047</v>
      </c>
      <c r="D201" t="str">
        <f>"BICS_SEGMENT_DATA"</f>
        <v>BICS_SEGMENT_DATA</v>
      </c>
      <c r="E201" t="str">
        <f>"Dynamic"</f>
        <v>Dynamic</v>
      </c>
      <c r="F201">
        <f ca="1">IF(AND(ISNUMBER($F$431),$B$242=1),$F$431,HLOOKUP(INDIRECT(ADDRESS(2,COLUMN())),OFFSET($M$2,0,0,ROW()-1,7),ROW()-1,FALSE))</f>
        <v>2726.7420000000002</v>
      </c>
      <c r="G201">
        <f ca="1">IF(AND(ISNUMBER($G$431),$B$242=1),$G$431,HLOOKUP(INDIRECT(ADDRESS(2,COLUMN())),OFFSET($M$2,0,0,ROW()-1,7),ROW()-1,FALSE))</f>
        <v>2308.5156499999998</v>
      </c>
      <c r="H201">
        <f ca="1">IF(AND(ISNUMBER($H$431),$B$242=1),$H$431,HLOOKUP(INDIRECT(ADDRESS(2,COLUMN())),OFFSET($M$2,0,0,ROW()-1,7),ROW()-1,FALSE))</f>
        <v>2147.2468020000001</v>
      </c>
      <c r="I201">
        <f ca="1">IF(AND(ISNUMBER($I$431),$B$242=1),$I$431,HLOOKUP(INDIRECT(ADDRESS(2,COLUMN())),OFFSET($M$2,0,0,ROW()-1,7),ROW()-1,FALSE))</f>
        <v>1895.7182339999999</v>
      </c>
      <c r="J201" t="str">
        <f ca="1">IF(AND(ISNUMBER($J$431),$B$242=1),$J$431,HLOOKUP(INDIRECT(ADDRESS(2,COLUMN())),OFFSET($M$2,0,0,ROW()-1,7),ROW()-1,FALSE))</f>
        <v/>
      </c>
      <c r="K201" t="str">
        <f ca="1">IF(AND(ISNUMBER($K$431),$B$242=1),$K$431,HLOOKUP(INDIRECT(ADDRESS(2,COLUMN())),OFFSET($M$2,0,0,ROW()-1,7),ROW()-1,FALSE))</f>
        <v/>
      </c>
      <c r="L201">
        <f ca="1">IF(AND(ISNUMBER($L$431),$B$242=1),$L$431,HLOOKUP(INDIRECT(ADDRESS(2,COLUMN())),OFFSET($M$2,0,0,ROW()-1,7),ROW()-1,FALSE))</f>
        <v>1694.694839</v>
      </c>
      <c r="M201">
        <f>2726.742</f>
        <v>2726.7420000000002</v>
      </c>
      <c r="N201">
        <f>2308.51565</f>
        <v>2308.5156499999998</v>
      </c>
      <c r="O201">
        <f>2147.246802</f>
        <v>2147.2468020000001</v>
      </c>
      <c r="P201">
        <f>1895.718234</f>
        <v>1895.7182339999999</v>
      </c>
      <c r="Q201" t="str">
        <f>""</f>
        <v/>
      </c>
      <c r="R201" t="str">
        <f>""</f>
        <v/>
      </c>
      <c r="S201">
        <f>1694.694839</f>
        <v>1694.694839</v>
      </c>
    </row>
    <row r="202" spans="1:19" x14ac:dyDescent="0.25">
      <c r="A202" t="str">
        <f>"        "</f>
        <v xml:space="preserve">        </v>
      </c>
      <c r="B202" t="str">
        <f>""</f>
        <v/>
      </c>
      <c r="E202" t="str">
        <f>"Static"</f>
        <v>Static</v>
      </c>
      <c r="F202" t="str">
        <f t="shared" ref="F202:L202" ca="1" si="28">HLOOKUP(INDIRECT(ADDRESS(2,COLUMN())),OFFSET($M$2,0,0,ROW()-1,7),ROW()-1,FALSE)</f>
        <v/>
      </c>
      <c r="G202" t="str">
        <f t="shared" ca="1" si="28"/>
        <v/>
      </c>
      <c r="H202" t="str">
        <f t="shared" ca="1" si="28"/>
        <v/>
      </c>
      <c r="I202" t="str">
        <f t="shared" ca="1" si="28"/>
        <v/>
      </c>
      <c r="J202" t="str">
        <f t="shared" ca="1" si="28"/>
        <v/>
      </c>
      <c r="K202" t="str">
        <f t="shared" ca="1" si="28"/>
        <v/>
      </c>
      <c r="L202" t="str">
        <f t="shared" ca="1" si="28"/>
        <v/>
      </c>
      <c r="M202" t="str">
        <f>""</f>
        <v/>
      </c>
      <c r="N202" t="str">
        <f>""</f>
        <v/>
      </c>
      <c r="O202" t="str">
        <f>""</f>
        <v/>
      </c>
      <c r="P202" t="str">
        <f>""</f>
        <v/>
      </c>
      <c r="Q202" t="str">
        <f>""</f>
        <v/>
      </c>
      <c r="R202" t="str">
        <f>""</f>
        <v/>
      </c>
      <c r="S202" t="str">
        <f>""</f>
        <v/>
      </c>
    </row>
    <row r="203" spans="1:19" x14ac:dyDescent="0.25">
      <c r="A203" t="str">
        <f>"    Asia/Pacific and Others"</f>
        <v xml:space="preserve">    Asia/Pacific and Others</v>
      </c>
      <c r="B203" t="str">
        <f>""</f>
        <v/>
      </c>
      <c r="E203" t="str">
        <f>"Sum"</f>
        <v>Sum</v>
      </c>
      <c r="F203">
        <f ca="1">IF(ISERROR(IF(SUM($F$204:$F$208) = 0, "", SUM($F$204:$F$208))), "", (IF(SUM($F$204:$F$208) = 0, "", SUM($F$204:$F$208))))</f>
        <v>28251.687766999999</v>
      </c>
      <c r="G203">
        <f ca="1">IF(ISERROR(IF(SUM($G$204:$G$208) = 0, "", SUM($G$204:$G$208))), "", (IF(SUM($G$204:$G$208) = 0, "", SUM($G$204:$G$208))))</f>
        <v>27897.012433</v>
      </c>
      <c r="H203">
        <f ca="1">IF(ISERROR(IF(SUM($H$204:$H$208) = 0, "", SUM($H$204:$H$208))), "", (IF(SUM($H$204:$H$208) = 0, "", SUM($H$204:$H$208))))</f>
        <v>26618.658156999998</v>
      </c>
      <c r="I203">
        <f ca="1">IF(ISERROR(IF(SUM($I$204:$I$208) = 0, "", SUM($I$204:$I$208))), "", (IF(SUM($I$204:$I$208) = 0, "", SUM($I$204:$I$208))))</f>
        <v>26038.901795999998</v>
      </c>
      <c r="J203">
        <f ca="1">IF(ISERROR(IF(SUM($J$204:$J$208) = 0, "", SUM($J$204:$J$208))), "", (IF(SUM($J$204:$J$208) = 0, "", SUM($J$204:$J$208))))</f>
        <v>25579.856834000002</v>
      </c>
      <c r="K203">
        <f ca="1">IF(ISERROR(IF(SUM($K$204:$K$208) = 0, "", SUM($K$204:$K$208))), "", (IF(SUM($K$204:$K$208) = 0, "", SUM($K$204:$K$208))))</f>
        <v>28842.122028000002</v>
      </c>
      <c r="L203">
        <f ca="1">IF(ISERROR(IF(SUM($L$204:$L$208) = 0, "", SUM($L$204:$L$208))), "", (IF(SUM($L$204:$L$208) = 0, "", SUM($L$204:$L$208))))</f>
        <v>29061.007946000002</v>
      </c>
      <c r="M203">
        <f>28251.68777</f>
        <v>28251.68777</v>
      </c>
      <c r="N203">
        <f>27897.01243</f>
        <v>27897.012429999999</v>
      </c>
      <c r="O203">
        <f>26618.65816</f>
        <v>26618.658159999999</v>
      </c>
      <c r="P203">
        <f>26038.9018</f>
        <v>26038.9018</v>
      </c>
      <c r="Q203">
        <f>25579.85683</f>
        <v>25579.856830000001</v>
      </c>
      <c r="R203">
        <f>28842.12203</f>
        <v>28842.122029999999</v>
      </c>
      <c r="S203">
        <f>29061.0079499999</f>
        <v>29061.007949999901</v>
      </c>
    </row>
    <row r="204" spans="1:19" x14ac:dyDescent="0.25">
      <c r="A204" t="str">
        <f>"        International Business Machine"</f>
        <v xml:space="preserve">        International Business Machine</v>
      </c>
      <c r="B204" t="str">
        <f>"IBM US Equity"</f>
        <v>IBM US Equity</v>
      </c>
      <c r="C204" t="str">
        <f>"BI047"</f>
        <v>BI047</v>
      </c>
      <c r="D204" t="str">
        <f>"BICS_SEGMENT_DATA"</f>
        <v>BICS_SEGMENT_DATA</v>
      </c>
      <c r="E204" t="str">
        <f>"Dynamic"</f>
        <v>Dynamic</v>
      </c>
      <c r="F204">
        <f ca="1">IF(AND(ISNUMBER($F$432),$B$242=1),$F$432,HLOOKUP(INDIRECT(ADDRESS(2,COLUMN())),OFFSET($M$2,0,0,ROW()-1,7),ROW()-1,FALSE))</f>
        <v>16430</v>
      </c>
      <c r="G204">
        <f ca="1">IF(AND(ISNUMBER($G$432),$B$242=1),$G$432,HLOOKUP(INDIRECT(ADDRESS(2,COLUMN())),OFFSET($M$2,0,0,ROW()-1,7),ROW()-1,FALSE))</f>
        <v>17106</v>
      </c>
      <c r="H204">
        <f ca="1">IF(AND(ISNUMBER($H$432),$B$242=1),$H$432,HLOOKUP(INDIRECT(ADDRESS(2,COLUMN())),OFFSET($M$2,0,0,ROW()-1,7),ROW()-1,FALSE))</f>
        <v>16970</v>
      </c>
      <c r="I204">
        <f ca="1">IF(AND(ISNUMBER($I$432),$B$242=1),$I$432,HLOOKUP(INDIRECT(ADDRESS(2,COLUMN())),OFFSET($M$2,0,0,ROW()-1,7),ROW()-1,FALSE))</f>
        <v>17313</v>
      </c>
      <c r="J204">
        <f ca="1">IF(AND(ISNUMBER($J$432),$B$242=1),$J$432,HLOOKUP(INDIRECT(ADDRESS(2,COLUMN())),OFFSET($M$2,0,0,ROW()-1,7),ROW()-1,FALSE))</f>
        <v>16871</v>
      </c>
      <c r="K204">
        <f ca="1">IF(AND(ISNUMBER($K$432),$B$242=1),$K$432,HLOOKUP(INDIRECT(ADDRESS(2,COLUMN())),OFFSET($M$2,0,0,ROW()-1,7),ROW()-1,FALSE))</f>
        <v>20216</v>
      </c>
      <c r="L204">
        <f ca="1">IF(AND(ISNUMBER($L$432),$B$242=1),$L$432,HLOOKUP(INDIRECT(ADDRESS(2,COLUMN())),OFFSET($M$2,0,0,ROW()-1,7),ROW()-1,FALSE))</f>
        <v>22923</v>
      </c>
      <c r="M204">
        <f>16430</f>
        <v>16430</v>
      </c>
      <c r="N204">
        <f>17106</f>
        <v>17106</v>
      </c>
      <c r="O204">
        <f>16970</f>
        <v>16970</v>
      </c>
      <c r="P204">
        <f>17313</f>
        <v>17313</v>
      </c>
      <c r="Q204">
        <f>16871</f>
        <v>16871</v>
      </c>
      <c r="R204">
        <f>20216</f>
        <v>20216</v>
      </c>
      <c r="S204">
        <f>22923</f>
        <v>22923</v>
      </c>
    </row>
    <row r="205" spans="1:19" x14ac:dyDescent="0.25">
      <c r="A205" t="str">
        <f>"        Accenture PLC"</f>
        <v xml:space="preserve">        Accenture PLC</v>
      </c>
      <c r="B205" t="str">
        <f>"ACN US Equity"</f>
        <v>ACN US Equity</v>
      </c>
      <c r="C205" t="str">
        <f>"BI047"</f>
        <v>BI047</v>
      </c>
      <c r="D205" t="str">
        <f>"BICS_SEGMENT_DATA"</f>
        <v>BICS_SEGMENT_DATA</v>
      </c>
      <c r="E205" t="str">
        <f>"Dynamic"</f>
        <v>Dynamic</v>
      </c>
      <c r="F205">
        <f ca="1">IF(AND(ISNUMBER($F$433),$B$242=1),$F$433,HLOOKUP(INDIRECT(ADDRESS(2,COLUMN())),OFFSET($M$2,0,0,ROW()-1,7),ROW()-1,FALSE))</f>
        <v>8548.1380000000008</v>
      </c>
      <c r="G205">
        <f ca="1">IF(AND(ISNUMBER($G$433),$B$242=1),$G$433,HLOOKUP(INDIRECT(ADDRESS(2,COLUMN())),OFFSET($M$2,0,0,ROW()-1,7),ROW()-1,FALSE))</f>
        <v>7613</v>
      </c>
      <c r="H205">
        <f ca="1">IF(AND(ISNUMBER($H$433),$B$242=1),$H$433,HLOOKUP(INDIRECT(ADDRESS(2,COLUMN())),OFFSET($M$2,0,0,ROW()-1,7),ROW()-1,FALSE))</f>
        <v>6557</v>
      </c>
      <c r="I205">
        <f ca="1">IF(AND(ISNUMBER($I$433),$B$242=1),$I$433,HLOOKUP(INDIRECT(ADDRESS(2,COLUMN())),OFFSET($M$2,0,0,ROW()-1,7),ROW()-1,FALSE))</f>
        <v>5781.0720000000001</v>
      </c>
      <c r="J205">
        <f ca="1">IF(AND(ISNUMBER($J$433),$B$242=1),$J$433,HLOOKUP(INDIRECT(ADDRESS(2,COLUMN())),OFFSET($M$2,0,0,ROW()-1,7),ROW()-1,FALSE))</f>
        <v>5908.9719999999998</v>
      </c>
      <c r="K205">
        <f ca="1">IF(AND(ISNUMBER($K$433),$B$242=1),$K$433,HLOOKUP(INDIRECT(ADDRESS(2,COLUMN())),OFFSET($M$2,0,0,ROW()-1,7),ROW()-1,FALSE))</f>
        <v>5950.5950000000003</v>
      </c>
      <c r="L205">
        <f ca="1">IF(AND(ISNUMBER($L$433),$B$242=1),$L$433,HLOOKUP(INDIRECT(ADDRESS(2,COLUMN())),OFFSET($M$2,0,0,ROW()-1,7),ROW()-1,FALSE))</f>
        <v>3996.77</v>
      </c>
      <c r="M205">
        <f>8548.138</f>
        <v>8548.1380000000008</v>
      </c>
      <c r="N205">
        <f>7613</f>
        <v>7613</v>
      </c>
      <c r="O205">
        <f>6557</f>
        <v>6557</v>
      </c>
      <c r="P205">
        <f>5781.072</f>
        <v>5781.0720000000001</v>
      </c>
      <c r="Q205">
        <f>5908.972</f>
        <v>5908.9719999999998</v>
      </c>
      <c r="R205">
        <f>5950.595</f>
        <v>5950.5950000000003</v>
      </c>
      <c r="S205">
        <f>3996.77</f>
        <v>3996.77</v>
      </c>
    </row>
    <row r="206" spans="1:19" x14ac:dyDescent="0.25">
      <c r="A206" t="str">
        <f>"        Tata Consultancy Services Ltd"</f>
        <v xml:space="preserve">        Tata Consultancy Services Ltd</v>
      </c>
      <c r="B206" t="str">
        <f>"TCS IN Equity"</f>
        <v>TCS IN Equity</v>
      </c>
      <c r="C206" t="str">
        <f>"BI047"</f>
        <v>BI047</v>
      </c>
      <c r="D206" t="str">
        <f>"BICS_SEGMENT_DATA"</f>
        <v>BICS_SEGMENT_DATA</v>
      </c>
      <c r="E206" t="str">
        <f>"Dynamic"</f>
        <v>Dynamic</v>
      </c>
      <c r="F206">
        <f ca="1">IF(AND(ISNUMBER($F$434),$B$242=1),$F$434,HLOOKUP(INDIRECT(ADDRESS(2,COLUMN())),OFFSET($M$2,0,0,ROW()-1,7),ROW()-1,FALSE))</f>
        <v>2059.4567609999999</v>
      </c>
      <c r="G206">
        <f ca="1">IF(AND(ISNUMBER($G$434),$B$242=1),$G$434,HLOOKUP(INDIRECT(ADDRESS(2,COLUMN())),OFFSET($M$2,0,0,ROW()-1,7),ROW()-1,FALSE))</f>
        <v>1990.620484</v>
      </c>
      <c r="H206">
        <f ca="1">IF(AND(ISNUMBER($H$434),$B$242=1),$H$434,HLOOKUP(INDIRECT(ADDRESS(2,COLUMN())),OFFSET($M$2,0,0,ROW()-1,7),ROW()-1,FALSE))</f>
        <v>1852.2331160000001</v>
      </c>
      <c r="I206">
        <f ca="1">IF(AND(ISNUMBER($I$434),$B$242=1),$I$434,HLOOKUP(INDIRECT(ADDRESS(2,COLUMN())),OFFSET($M$2,0,0,ROW()-1,7),ROW()-1,FALSE))</f>
        <v>1706.8328610000001</v>
      </c>
      <c r="J206">
        <f ca="1">IF(AND(ISNUMBER($J$434),$B$242=1),$J$434,HLOOKUP(INDIRECT(ADDRESS(2,COLUMN())),OFFSET($M$2,0,0,ROW()-1,7),ROW()-1,FALSE))</f>
        <v>1578.1473719999999</v>
      </c>
      <c r="K206">
        <f ca="1">IF(AND(ISNUMBER($K$434),$B$242=1),$K$434,HLOOKUP(INDIRECT(ADDRESS(2,COLUMN())),OFFSET($M$2,0,0,ROW()-1,7),ROW()-1,FALSE))</f>
        <v>1440.063228</v>
      </c>
      <c r="L206">
        <f ca="1">IF(AND(ISNUMBER($L$434),$B$242=1),$L$434,HLOOKUP(INDIRECT(ADDRESS(2,COLUMN())),OFFSET($M$2,0,0,ROW()-1,7),ROW()-1,FALSE))</f>
        <v>978.85674300000005</v>
      </c>
      <c r="M206">
        <f>2059.456761</f>
        <v>2059.4567609999999</v>
      </c>
      <c r="N206">
        <f>1990.620484</f>
        <v>1990.620484</v>
      </c>
      <c r="O206">
        <f>1852.233116</f>
        <v>1852.2331160000001</v>
      </c>
      <c r="P206">
        <f>1706.832861</f>
        <v>1706.8328610000001</v>
      </c>
      <c r="Q206">
        <f>1578.147372</f>
        <v>1578.1473719999999</v>
      </c>
      <c r="R206">
        <f>1440.063228</f>
        <v>1440.063228</v>
      </c>
      <c r="S206">
        <f>978.856743</f>
        <v>978.85674300000005</v>
      </c>
    </row>
    <row r="207" spans="1:19" x14ac:dyDescent="0.25">
      <c r="A207" t="str">
        <f>"        Wipro Ltd"</f>
        <v xml:space="preserve">        Wipro Ltd</v>
      </c>
      <c r="B207" t="str">
        <f>"WIT US Equity"</f>
        <v>WIT US Equity</v>
      </c>
      <c r="C207" t="str">
        <f>"BI047"</f>
        <v>BI047</v>
      </c>
      <c r="D207" t="str">
        <f>"BICS_SEGMENT_DATA"</f>
        <v>BICS_SEGMENT_DATA</v>
      </c>
      <c r="E207" t="str">
        <f>"Dynamic"</f>
        <v>Dynamic</v>
      </c>
      <c r="F207">
        <f ca="1">IF(AND(ISNUMBER($F$435),$B$242=1),$F$435,HLOOKUP(INDIRECT(ADDRESS(2,COLUMN())),OFFSET($M$2,0,0,ROW()-1,7),ROW()-1,FALSE))</f>
        <v>1214.0930060000001</v>
      </c>
      <c r="G207">
        <f ca="1">IF(AND(ISNUMBER($G$435),$B$242=1),$G$435,HLOOKUP(INDIRECT(ADDRESS(2,COLUMN())),OFFSET($M$2,0,0,ROW()-1,7),ROW()-1,FALSE))</f>
        <v>1187.3919490000001</v>
      </c>
      <c r="H207">
        <f ca="1">IF(AND(ISNUMBER($H$435),$B$242=1),$H$435,HLOOKUP(INDIRECT(ADDRESS(2,COLUMN())),OFFSET($M$2,0,0,ROW()-1,7),ROW()-1,FALSE))</f>
        <v>1239.425041</v>
      </c>
      <c r="I207">
        <f ca="1">IF(AND(ISNUMBER($I$435),$B$242=1),$I$435,HLOOKUP(INDIRECT(ADDRESS(2,COLUMN())),OFFSET($M$2,0,0,ROW()-1,7),ROW()-1,FALSE))</f>
        <v>1237.9969349999999</v>
      </c>
      <c r="J207">
        <f ca="1">IF(AND(ISNUMBER($J$435),$B$242=1),$J$435,HLOOKUP(INDIRECT(ADDRESS(2,COLUMN())),OFFSET($M$2,0,0,ROW()-1,7),ROW()-1,FALSE))</f>
        <v>1221.7374620000001</v>
      </c>
      <c r="K207">
        <f ca="1">IF(AND(ISNUMBER($K$435),$B$242=1),$K$435,HLOOKUP(INDIRECT(ADDRESS(2,COLUMN())),OFFSET($M$2,0,0,ROW()-1,7),ROW()-1,FALSE))</f>
        <v>1235.4638</v>
      </c>
      <c r="L207">
        <f ca="1">IF(AND(ISNUMBER($L$435),$B$242=1),$L$435,HLOOKUP(INDIRECT(ADDRESS(2,COLUMN())),OFFSET($M$2,0,0,ROW()-1,7),ROW()-1,FALSE))</f>
        <v>1162.3812029999999</v>
      </c>
      <c r="M207">
        <f>1214.093006</f>
        <v>1214.0930060000001</v>
      </c>
      <c r="N207">
        <f>1187.391949</f>
        <v>1187.3919490000001</v>
      </c>
      <c r="O207">
        <f>1239.425041</f>
        <v>1239.425041</v>
      </c>
      <c r="P207">
        <f>1237.996935</f>
        <v>1237.9969349999999</v>
      </c>
      <c r="Q207">
        <f>1221.737462</f>
        <v>1221.7374620000001</v>
      </c>
      <c r="R207">
        <f>1235.4638</f>
        <v>1235.4638</v>
      </c>
      <c r="S207">
        <f>1162.381203</f>
        <v>1162.3812029999999</v>
      </c>
    </row>
    <row r="208" spans="1:19" x14ac:dyDescent="0.25">
      <c r="A208" t="str">
        <f>"        "</f>
        <v xml:space="preserve">        </v>
      </c>
      <c r="B208" t="str">
        <f>""</f>
        <v/>
      </c>
      <c r="E208" t="str">
        <f>"Static"</f>
        <v>Static</v>
      </c>
      <c r="F208" t="str">
        <f t="shared" ref="F208:L208" ca="1" si="29">HLOOKUP(INDIRECT(ADDRESS(2,COLUMN())),OFFSET($M$2,0,0,ROW()-1,7),ROW()-1,FALSE)</f>
        <v/>
      </c>
      <c r="G208" t="str">
        <f t="shared" ca="1" si="29"/>
        <v/>
      </c>
      <c r="H208" t="str">
        <f t="shared" ca="1" si="29"/>
        <v/>
      </c>
      <c r="I208" t="str">
        <f t="shared" ca="1" si="29"/>
        <v/>
      </c>
      <c r="J208" t="str">
        <f t="shared" ca="1" si="29"/>
        <v/>
      </c>
      <c r="K208" t="str">
        <f t="shared" ca="1" si="29"/>
        <v/>
      </c>
      <c r="L208" t="str">
        <f t="shared" ca="1" si="29"/>
        <v/>
      </c>
      <c r="M208" t="str">
        <f>""</f>
        <v/>
      </c>
      <c r="N208" t="str">
        <f>""</f>
        <v/>
      </c>
      <c r="O208" t="str">
        <f>""</f>
        <v/>
      </c>
      <c r="P208" t="str">
        <f>""</f>
        <v/>
      </c>
      <c r="Q208" t="str">
        <f>""</f>
        <v/>
      </c>
      <c r="R208" t="str">
        <f>""</f>
        <v/>
      </c>
      <c r="S208" t="str">
        <f>""</f>
        <v/>
      </c>
    </row>
    <row r="209" spans="1:19" x14ac:dyDescent="0.25">
      <c r="A209" t="str">
        <f>"    India"</f>
        <v xml:space="preserve">    India</v>
      </c>
      <c r="B209" t="str">
        <f>""</f>
        <v/>
      </c>
      <c r="E209" t="str">
        <f>"Sum"</f>
        <v>Sum</v>
      </c>
      <c r="F209">
        <f ca="1">IF(ISERROR(IF(SUM($F$210:$F$213) = 0, "", SUM($F$210:$F$213))), "", (IF(SUM($F$210:$F$213) = 0, "", SUM($F$210:$F$213))))</f>
        <v>2352.2198862999999</v>
      </c>
      <c r="G209">
        <f ca="1">IF(ISERROR(IF(SUM($G$210:$G$213) = 0, "", SUM($G$210:$G$213))), "", (IF(SUM($G$210:$G$213) = 0, "", SUM($G$210:$G$213))))</f>
        <v>2456.4304709999997</v>
      </c>
      <c r="H209">
        <f ca="1">IF(ISERROR(IF(SUM($H$210:$H$213) = 0, "", SUM($H$210:$H$213))), "", (IF(SUM($H$210:$H$213) = 0, "", SUM($H$210:$H$213))))</f>
        <v>2674.4423491000002</v>
      </c>
      <c r="I209">
        <f ca="1">IF(ISERROR(IF(SUM($I$210:$I$213) = 0, "", SUM($I$210:$I$213))), "", (IF(SUM($I$210:$I$213) = 0, "", SUM($I$210:$I$213))))</f>
        <v>2425.6001944</v>
      </c>
      <c r="J209">
        <f ca="1">IF(ISERROR(IF(SUM($J$210:$J$213) = 0, "", SUM($J$210:$J$213))), "", (IF(SUM($J$210:$J$213) = 0, "", SUM($J$210:$J$213))))</f>
        <v>2063.5725868</v>
      </c>
      <c r="K209">
        <f ca="1">IF(ISERROR(IF(SUM($K$210:$K$213) = 0, "", SUM($K$210:$K$213))), "", (IF(SUM($K$210:$K$213) = 0, "", SUM($K$210:$K$213))))</f>
        <v>1949.5971164999999</v>
      </c>
      <c r="L209">
        <f ca="1">IF(ISERROR(IF(SUM($L$210:$L$213) = 0, "", SUM($L$210:$L$213))), "", (IF(SUM($L$210:$L$213) = 0, "", SUM($L$210:$L$213))))</f>
        <v>1888.9895317</v>
      </c>
      <c r="M209">
        <f>2352.219886</f>
        <v>2352.2198859999999</v>
      </c>
      <c r="N209">
        <f>2456.430471</f>
        <v>2456.4304710000001</v>
      </c>
      <c r="O209">
        <f>2674.442349</f>
        <v>2674.4423489999999</v>
      </c>
      <c r="P209">
        <f>2425.600194</f>
        <v>2425.6001940000001</v>
      </c>
      <c r="Q209">
        <f>2063.572587</f>
        <v>2063.5725870000001</v>
      </c>
      <c r="R209">
        <f>1949.597117</f>
        <v>1949.597117</v>
      </c>
      <c r="S209">
        <f>1888.989532</f>
        <v>1888.9895320000001</v>
      </c>
    </row>
    <row r="210" spans="1:19" x14ac:dyDescent="0.25">
      <c r="A210" t="str">
        <f>"        Wipro Ltd"</f>
        <v xml:space="preserve">        Wipro Ltd</v>
      </c>
      <c r="B210" t="str">
        <f>"WIT US Equity"</f>
        <v>WIT US Equity</v>
      </c>
      <c r="C210" t="str">
        <f>"BI047"</f>
        <v>BI047</v>
      </c>
      <c r="D210" t="str">
        <f>"BICS_SEGMENT_DATA"</f>
        <v>BICS_SEGMENT_DATA</v>
      </c>
      <c r="E210" t="str">
        <f>"Dynamic"</f>
        <v>Dynamic</v>
      </c>
      <c r="F210">
        <f ca="1">IF(AND(ISNUMBER($F$436),$B$242=1),$F$436,HLOOKUP(INDIRECT(ADDRESS(2,COLUMN())),OFFSET($M$2,0,0,ROW()-1,7),ROW()-1,FALSE))</f>
        <v>425.51386289999999</v>
      </c>
      <c r="G210">
        <f ca="1">IF(AND(ISNUMBER($G$436),$B$242=1),$G$436,HLOOKUP(INDIRECT(ADDRESS(2,COLUMN())),OFFSET($M$2,0,0,ROW()-1,7),ROW()-1,FALSE))</f>
        <v>666.04453460000002</v>
      </c>
      <c r="H210">
        <f ca="1">IF(AND(ISNUMBER($H$436),$B$242=1),$H$436,HLOOKUP(INDIRECT(ADDRESS(2,COLUMN())),OFFSET($M$2,0,0,ROW()-1,7),ROW()-1,FALSE))</f>
        <v>796.83750250000003</v>
      </c>
      <c r="I210">
        <f ca="1">IF(AND(ISNUMBER($I$436),$B$242=1),$I$436,HLOOKUP(INDIRECT(ADDRESS(2,COLUMN())),OFFSET($M$2,0,0,ROW()-1,7),ROW()-1,FALSE))</f>
        <v>694.43042230000003</v>
      </c>
      <c r="J210">
        <f ca="1">IF(AND(ISNUMBER($J$436),$B$242=1),$J$436,HLOOKUP(INDIRECT(ADDRESS(2,COLUMN())),OFFSET($M$2,0,0,ROW()-1,7),ROW()-1,FALSE))</f>
        <v>785.46599879999997</v>
      </c>
      <c r="K210">
        <f ca="1">IF(AND(ISNUMBER($K$436),$B$242=1),$K$436,HLOOKUP(INDIRECT(ADDRESS(2,COLUMN())),OFFSET($M$2,0,0,ROW()-1,7),ROW()-1,FALSE))</f>
        <v>748.52252150000004</v>
      </c>
      <c r="L210">
        <f ca="1">IF(AND(ISNUMBER($L$436),$B$242=1),$L$436,HLOOKUP(INDIRECT(ADDRESS(2,COLUMN())),OFFSET($M$2,0,0,ROW()-1,7),ROW()-1,FALSE))</f>
        <v>765.76180369999997</v>
      </c>
      <c r="M210">
        <f>425.5138629</f>
        <v>425.51386289999999</v>
      </c>
      <c r="N210">
        <f>666.0445346</f>
        <v>666.04453460000002</v>
      </c>
      <c r="O210">
        <f>796.8375025</f>
        <v>796.83750250000003</v>
      </c>
      <c r="P210">
        <f>694.4304223</f>
        <v>694.43042230000003</v>
      </c>
      <c r="Q210">
        <f>785.4659988</f>
        <v>785.46599879999997</v>
      </c>
      <c r="R210">
        <f>748.5225215</f>
        <v>748.52252150000004</v>
      </c>
      <c r="S210">
        <f>765.7618037</f>
        <v>765.76180369999997</v>
      </c>
    </row>
    <row r="211" spans="1:19" x14ac:dyDescent="0.25">
      <c r="A211" t="str">
        <f>"        Tata Consultancy Services Ltd"</f>
        <v xml:space="preserve">        Tata Consultancy Services Ltd</v>
      </c>
      <c r="B211" t="str">
        <f>"TCS IN Equity"</f>
        <v>TCS IN Equity</v>
      </c>
      <c r="C211" t="str">
        <f>"BI047"</f>
        <v>BI047</v>
      </c>
      <c r="D211" t="str">
        <f>"BICS_SEGMENT_DATA"</f>
        <v>BICS_SEGMENT_DATA</v>
      </c>
      <c r="E211" t="str">
        <f>"Dynamic"</f>
        <v>Dynamic</v>
      </c>
      <c r="F211">
        <f ca="1">IF(AND(ISNUMBER($F$437),$B$242=1),$F$437,HLOOKUP(INDIRECT(ADDRESS(2,COLUMN())),OFFSET($M$2,0,0,ROW()-1,7),ROW()-1,FALSE))</f>
        <v>1262.2476919999999</v>
      </c>
      <c r="G211">
        <f ca="1">IF(AND(ISNUMBER($G$437),$B$242=1),$G$437,HLOOKUP(INDIRECT(ADDRESS(2,COLUMN())),OFFSET($M$2,0,0,ROW()-1,7),ROW()-1,FALSE))</f>
        <v>1194.37229</v>
      </c>
      <c r="H211">
        <f ca="1">IF(AND(ISNUMBER($H$437),$B$242=1),$H$437,HLOOKUP(INDIRECT(ADDRESS(2,COLUMN())),OFFSET($M$2,0,0,ROW()-1,7),ROW()-1,FALSE))</f>
        <v>1222.0919530000001</v>
      </c>
      <c r="I211">
        <f ca="1">IF(AND(ISNUMBER($I$437),$B$242=1),$I$437,HLOOKUP(INDIRECT(ADDRESS(2,COLUMN())),OFFSET($M$2,0,0,ROW()-1,7),ROW()-1,FALSE))</f>
        <v>1108.561549</v>
      </c>
      <c r="J211">
        <f ca="1">IF(AND(ISNUMBER($J$437),$B$242=1),$J$437,HLOOKUP(INDIRECT(ADDRESS(2,COLUMN())),OFFSET($M$2,0,0,ROW()-1,7),ROW()-1,FALSE))</f>
        <v>1029.948811</v>
      </c>
      <c r="K211">
        <f ca="1">IF(AND(ISNUMBER($K$437),$B$242=1),$K$437,HLOOKUP(INDIRECT(ADDRESS(2,COLUMN())),OFFSET($M$2,0,0,ROW()-1,7),ROW()-1,FALSE))</f>
        <v>991.0112292</v>
      </c>
      <c r="L211">
        <f ca="1">IF(AND(ISNUMBER($L$437),$B$242=1),$L$437,HLOOKUP(INDIRECT(ADDRESS(2,COLUMN())),OFFSET($M$2,0,0,ROW()-1,7),ROW()-1,FALSE))</f>
        <v>908.91048479999995</v>
      </c>
      <c r="M211">
        <f>1262.247692</f>
        <v>1262.2476919999999</v>
      </c>
      <c r="N211">
        <f>1194.37229</f>
        <v>1194.37229</v>
      </c>
      <c r="O211">
        <f>1222.091953</f>
        <v>1222.0919530000001</v>
      </c>
      <c r="P211">
        <f>1108.561549</f>
        <v>1108.561549</v>
      </c>
      <c r="Q211">
        <f>1029.948811</f>
        <v>1029.948811</v>
      </c>
      <c r="R211">
        <f>991.0112292</f>
        <v>991.0112292</v>
      </c>
      <c r="S211">
        <f>908.9104848</f>
        <v>908.91048479999995</v>
      </c>
    </row>
    <row r="212" spans="1:19" x14ac:dyDescent="0.25">
      <c r="A212" t="str">
        <f>"        HCL Technologies Ltd"</f>
        <v xml:space="preserve">        HCL Technologies Ltd</v>
      </c>
      <c r="B212" t="str">
        <f>"HCLT IN Equity"</f>
        <v>HCLT IN Equity</v>
      </c>
      <c r="C212" t="str">
        <f>"BI047"</f>
        <v>BI047</v>
      </c>
      <c r="D212" t="str">
        <f>"BICS_SEGMENT_DATA"</f>
        <v>BICS_SEGMENT_DATA</v>
      </c>
      <c r="E212" t="str">
        <f>"Dynamic"</f>
        <v>Dynamic</v>
      </c>
      <c r="F212">
        <f ca="1">IF(AND(ISNUMBER($F$438),$B$242=1),$F$438,HLOOKUP(INDIRECT(ADDRESS(2,COLUMN())),OFFSET($M$2,0,0,ROW()-1,7),ROW()-1,FALSE))</f>
        <v>330.76900000000001</v>
      </c>
      <c r="G212">
        <f ca="1">IF(AND(ISNUMBER($G$438),$B$242=1),$G$438,HLOOKUP(INDIRECT(ADDRESS(2,COLUMN())),OFFSET($M$2,0,0,ROW()-1,7),ROW()-1,FALSE))</f>
        <v>303.014139</v>
      </c>
      <c r="H212">
        <f ca="1">IF(AND(ISNUMBER($H$438),$B$242=1),$H$438,HLOOKUP(INDIRECT(ADDRESS(2,COLUMN())),OFFSET($M$2,0,0,ROW()-1,7),ROW()-1,FALSE))</f>
        <v>309.45296330000002</v>
      </c>
      <c r="I212">
        <f ca="1">IF(AND(ISNUMBER($I$438),$B$242=1),$I$438,HLOOKUP(INDIRECT(ADDRESS(2,COLUMN())),OFFSET($M$2,0,0,ROW()-1,7),ROW()-1,FALSE))</f>
        <v>297.43191109999998</v>
      </c>
      <c r="J212" t="str">
        <f ca="1">IF(AND(ISNUMBER($J$438),$B$242=1),$J$438,HLOOKUP(INDIRECT(ADDRESS(2,COLUMN())),OFFSET($M$2,0,0,ROW()-1,7),ROW()-1,FALSE))</f>
        <v/>
      </c>
      <c r="K212" t="str">
        <f ca="1">IF(AND(ISNUMBER($K$438),$B$242=1),$K$438,HLOOKUP(INDIRECT(ADDRESS(2,COLUMN())),OFFSET($M$2,0,0,ROW()-1,7),ROW()-1,FALSE))</f>
        <v/>
      </c>
      <c r="L212" t="str">
        <f ca="1">IF(AND(ISNUMBER($L$438),$B$242=1),$L$438,HLOOKUP(INDIRECT(ADDRESS(2,COLUMN())),OFFSET($M$2,0,0,ROW()-1,7),ROW()-1,FALSE))</f>
        <v/>
      </c>
      <c r="M212">
        <f>330.769</f>
        <v>330.76900000000001</v>
      </c>
      <c r="N212">
        <f>303.014139</f>
        <v>303.014139</v>
      </c>
      <c r="O212">
        <f>309.4529633</f>
        <v>309.45296330000002</v>
      </c>
      <c r="P212">
        <f>297.4319111</f>
        <v>297.43191109999998</v>
      </c>
      <c r="Q212" t="str">
        <f>""</f>
        <v/>
      </c>
      <c r="R212" t="str">
        <f>""</f>
        <v/>
      </c>
      <c r="S212" t="str">
        <f>""</f>
        <v/>
      </c>
    </row>
    <row r="213" spans="1:19" x14ac:dyDescent="0.25">
      <c r="A213" t="str">
        <f>"        Infosys Ltd"</f>
        <v xml:space="preserve">        Infosys Ltd</v>
      </c>
      <c r="B213" t="str">
        <f>"INFY US Equity"</f>
        <v>INFY US Equity</v>
      </c>
      <c r="C213" t="str">
        <f>"BI047"</f>
        <v>BI047</v>
      </c>
      <c r="D213" t="str">
        <f>"BICS_SEGMENT_DATA"</f>
        <v>BICS_SEGMENT_DATA</v>
      </c>
      <c r="E213" t="str">
        <f>"Dynamic"</f>
        <v>Dynamic</v>
      </c>
      <c r="F213">
        <f ca="1">IF(AND(ISNUMBER($F$439),$B$242=1),$F$439,HLOOKUP(INDIRECT(ADDRESS(2,COLUMN())),OFFSET($M$2,0,0,ROW()-1,7),ROW()-1,FALSE))</f>
        <v>333.68933140000001</v>
      </c>
      <c r="G213">
        <f ca="1">IF(AND(ISNUMBER($G$439),$B$242=1),$G$439,HLOOKUP(INDIRECT(ADDRESS(2,COLUMN())),OFFSET($M$2,0,0,ROW()-1,7),ROW()-1,FALSE))</f>
        <v>292.99950740000003</v>
      </c>
      <c r="H213">
        <f ca="1">IF(AND(ISNUMBER($H$439),$B$242=1),$H$439,HLOOKUP(INDIRECT(ADDRESS(2,COLUMN())),OFFSET($M$2,0,0,ROW()-1,7),ROW()-1,FALSE))</f>
        <v>346.05993030000002</v>
      </c>
      <c r="I213">
        <f ca="1">IF(AND(ISNUMBER($I$439),$B$242=1),$I$439,HLOOKUP(INDIRECT(ADDRESS(2,COLUMN())),OFFSET($M$2,0,0,ROW()-1,7),ROW()-1,FALSE))</f>
        <v>325.176312</v>
      </c>
      <c r="J213">
        <f ca="1">IF(AND(ISNUMBER($J$439),$B$242=1),$J$439,HLOOKUP(INDIRECT(ADDRESS(2,COLUMN())),OFFSET($M$2,0,0,ROW()-1,7),ROW()-1,FALSE))</f>
        <v>248.15777700000001</v>
      </c>
      <c r="K213">
        <f ca="1">IF(AND(ISNUMBER($K$439),$B$242=1),$K$439,HLOOKUP(INDIRECT(ADDRESS(2,COLUMN())),OFFSET($M$2,0,0,ROW()-1,7),ROW()-1,FALSE))</f>
        <v>210.06336580000001</v>
      </c>
      <c r="L213">
        <f ca="1">IF(AND(ISNUMBER($L$439),$B$242=1),$L$439,HLOOKUP(INDIRECT(ADDRESS(2,COLUMN())),OFFSET($M$2,0,0,ROW()-1,7),ROW()-1,FALSE))</f>
        <v>214.31724320000001</v>
      </c>
      <c r="M213">
        <f>333.6893314</f>
        <v>333.68933140000001</v>
      </c>
      <c r="N213">
        <f>292.9995074</f>
        <v>292.99950740000003</v>
      </c>
      <c r="O213">
        <f>346.0599303</f>
        <v>346.05993030000002</v>
      </c>
      <c r="P213">
        <f>325.176312</f>
        <v>325.176312</v>
      </c>
      <c r="Q213">
        <f>248.157777</f>
        <v>248.15777700000001</v>
      </c>
      <c r="R213">
        <f>210.0633658</f>
        <v>210.06336580000001</v>
      </c>
      <c r="S213">
        <f>214.3172432</f>
        <v>214.31724320000001</v>
      </c>
    </row>
    <row r="214" spans="1:19" x14ac:dyDescent="0.25">
      <c r="A214" t="str">
        <f>"Revenue by Vertical"</f>
        <v>Revenue by Vertical</v>
      </c>
      <c r="B214" t="str">
        <f>""</f>
        <v/>
      </c>
      <c r="E214" t="str">
        <f>"Static"</f>
        <v>Static</v>
      </c>
      <c r="F214" t="str">
        <f t="shared" ref="F214:L214" ca="1" si="30">HLOOKUP(INDIRECT(ADDRESS(2,COLUMN())),OFFSET($M$2,0,0,ROW()-1,7),ROW()-1,FALSE)</f>
        <v/>
      </c>
      <c r="G214" t="str">
        <f t="shared" ca="1" si="30"/>
        <v/>
      </c>
      <c r="H214" t="str">
        <f t="shared" ca="1" si="30"/>
        <v/>
      </c>
      <c r="I214" t="str">
        <f t="shared" ca="1" si="30"/>
        <v/>
      </c>
      <c r="J214" t="str">
        <f t="shared" ca="1" si="30"/>
        <v/>
      </c>
      <c r="K214" t="str">
        <f t="shared" ca="1" si="30"/>
        <v/>
      </c>
      <c r="L214" t="str">
        <f t="shared" ca="1" si="30"/>
        <v/>
      </c>
      <c r="M214" t="str">
        <f>""</f>
        <v/>
      </c>
      <c r="N214" t="str">
        <f>""</f>
        <v/>
      </c>
      <c r="O214" t="str">
        <f>""</f>
        <v/>
      </c>
      <c r="P214" t="str">
        <f>""</f>
        <v/>
      </c>
      <c r="Q214" t="str">
        <f>""</f>
        <v/>
      </c>
      <c r="R214" t="str">
        <f>""</f>
        <v/>
      </c>
      <c r="S214" t="str">
        <f>""</f>
        <v/>
      </c>
    </row>
    <row r="215" spans="1:19" x14ac:dyDescent="0.25">
      <c r="A215" t="str">
        <f>"    Financial Services (BFSI)"</f>
        <v xml:space="preserve">    Financial Services (BFSI)</v>
      </c>
      <c r="B215" t="str">
        <f>""</f>
        <v/>
      </c>
      <c r="E215" t="str">
        <f>"Sum"</f>
        <v>Sum</v>
      </c>
      <c r="F215">
        <f ca="1">IF(ISERROR(IF(SUM($F$216:$F$220) = 0, "", SUM($F$216:$F$220))), "", (IF(SUM($F$216:$F$220) = 0, "", SUM($F$216:$F$220))))</f>
        <v>11176.798473999999</v>
      </c>
      <c r="G215">
        <f ca="1">IF(ISERROR(IF(SUM($G$216:$G$220) = 0, "", SUM($G$216:$G$220))), "", (IF(SUM($G$216:$G$220) = 0, "", SUM($G$216:$G$220))))</f>
        <v>10827.853074000001</v>
      </c>
      <c r="H215">
        <f ca="1">IF(ISERROR(IF(SUM($H$216:$H$220) = 0, "", SUM($H$216:$H$220))), "", (IF(SUM($H$216:$H$220) = 0, "", SUM($H$216:$H$220))))</f>
        <v>9768.8801729999996</v>
      </c>
      <c r="I215">
        <f ca="1">IF(ISERROR(IF(SUM($I$216:$I$220) = 0, "", SUM($I$216:$I$220))), "", (IF(SUM($I$216:$I$220) = 0, "", SUM($I$216:$I$220))))</f>
        <v>9141.0193749999999</v>
      </c>
      <c r="J215">
        <f ca="1">IF(ISERROR(IF(SUM($J$216:$J$220) = 0, "", SUM($J$216:$J$220))), "", (IF(SUM($J$216:$J$220) = 0, "", SUM($J$216:$J$220))))</f>
        <v>8695.4395420000001</v>
      </c>
      <c r="K215">
        <f ca="1">IF(ISERROR(IF(SUM($K$216:$K$220) = 0, "", SUM($K$216:$K$220))), "", (IF(SUM($K$216:$K$220) = 0, "", SUM($K$216:$K$220))))</f>
        <v>8397.989012</v>
      </c>
      <c r="L215">
        <f ca="1">IF(ISERROR(IF(SUM($L$216:$L$220) = 0, "", SUM($L$216:$L$220))), "", (IF(SUM($L$216:$L$220) = 0, "", SUM($L$216:$L$220))))</f>
        <v>7925.7374639999998</v>
      </c>
      <c r="M215">
        <f>11176.79847</f>
        <v>11176.79847</v>
      </c>
      <c r="N215">
        <f>10827.85307</f>
        <v>10827.853069999999</v>
      </c>
      <c r="O215">
        <f>9768.880173</f>
        <v>9768.8801729999996</v>
      </c>
      <c r="P215">
        <f>9141.019375</f>
        <v>9141.0193749999999</v>
      </c>
      <c r="Q215">
        <f>8695.439542</f>
        <v>8695.4395420000001</v>
      </c>
      <c r="R215">
        <f>8397.989012</f>
        <v>8397.989012</v>
      </c>
      <c r="S215">
        <f>7925.737464</f>
        <v>7925.7374639999998</v>
      </c>
    </row>
    <row r="216" spans="1:19" x14ac:dyDescent="0.25">
      <c r="A216" t="str">
        <f>"        Accenture PLC"</f>
        <v xml:space="preserve">        Accenture PLC</v>
      </c>
      <c r="B216" t="str">
        <f>"ACN US Equity"</f>
        <v>ACN US Equity</v>
      </c>
      <c r="C216" t="str">
        <f>"BI047"</f>
        <v>BI047</v>
      </c>
      <c r="D216" t="str">
        <f>"BICS_SEGMENT_DATA"</f>
        <v>BICS_SEGMENT_DATA</v>
      </c>
      <c r="E216" t="str">
        <f>"Dynamic"</f>
        <v>Dynamic</v>
      </c>
      <c r="F216">
        <f ca="1">IF(AND(ISNUMBER($F$440),$B$242=1),$F$440,HLOOKUP(INDIRECT(ADDRESS(2,COLUMN())),OFFSET($M$2,0,0,ROW()-1,7),ROW()-1,FALSE))</f>
        <v>8493.8189999999995</v>
      </c>
      <c r="G216">
        <f ca="1">IF(AND(ISNUMBER($G$440),$B$242=1),$G$440,HLOOKUP(INDIRECT(ADDRESS(2,COLUMN())),OFFSET($M$2,0,0,ROW()-1,7),ROW()-1,FALSE))</f>
        <v>8237.982</v>
      </c>
      <c r="H216">
        <f ca="1">IF(AND(ISNUMBER($H$440),$B$242=1),$H$440,HLOOKUP(INDIRECT(ADDRESS(2,COLUMN())),OFFSET($M$2,0,0,ROW()-1,7),ROW()-1,FALSE))</f>
        <v>7393.9449999999997</v>
      </c>
      <c r="I216">
        <f ca="1">IF(AND(ISNUMBER($I$440),$B$242=1),$I$440,HLOOKUP(INDIRECT(ADDRESS(2,COLUMN())),OFFSET($M$2,0,0,ROW()-1,7),ROW()-1,FALSE))</f>
        <v>7031.0529999999999</v>
      </c>
      <c r="J216">
        <f ca="1">IF(AND(ISNUMBER($J$440),$B$242=1),$J$440,HLOOKUP(INDIRECT(ADDRESS(2,COLUMN())),OFFSET($M$2,0,0,ROW()-1,7),ROW()-1,FALSE))</f>
        <v>6634.7709999999997</v>
      </c>
      <c r="K216">
        <f ca="1">IF(AND(ISNUMBER($K$440),$B$242=1),$K$440,HLOOKUP(INDIRECT(ADDRESS(2,COLUMN())),OFFSET($M$2,0,0,ROW()-1,7),ROW()-1,FALSE))</f>
        <v>6511.2280000000001</v>
      </c>
      <c r="L216">
        <f ca="1">IF(AND(ISNUMBER($L$440),$B$242=1),$L$440,HLOOKUP(INDIRECT(ADDRESS(2,COLUMN())),OFFSET($M$2,0,0,ROW()-1,7),ROW()-1,FALSE))</f>
        <v>6165.6629999999996</v>
      </c>
      <c r="M216">
        <f>8493.819</f>
        <v>8493.8189999999995</v>
      </c>
      <c r="N216">
        <f>8237.982</f>
        <v>8237.982</v>
      </c>
      <c r="O216">
        <f>7393.945</f>
        <v>7393.9449999999997</v>
      </c>
      <c r="P216">
        <f>7031.053</f>
        <v>7031.0529999999999</v>
      </c>
      <c r="Q216">
        <f>6634.771</f>
        <v>6634.7709999999997</v>
      </c>
      <c r="R216">
        <f>6511.228</f>
        <v>6511.2280000000001</v>
      </c>
      <c r="S216">
        <f>6165.663</f>
        <v>6165.6629999999996</v>
      </c>
    </row>
    <row r="217" spans="1:19" x14ac:dyDescent="0.25">
      <c r="A217" t="str">
        <f>"        Tata Consultancy Services Ltd"</f>
        <v xml:space="preserve">        Tata Consultancy Services Ltd</v>
      </c>
      <c r="B217" t="str">
        <f>"TCS IN Equity"</f>
        <v>TCS IN Equity</v>
      </c>
      <c r="C217" t="str">
        <f>"BI047"</f>
        <v>BI047</v>
      </c>
      <c r="D217" t="str">
        <f>"BICS_SEGMENT_DATA"</f>
        <v>BICS_SEGMENT_DATA</v>
      </c>
      <c r="E217" t="str">
        <f>"Dynamic"</f>
        <v>Dynamic</v>
      </c>
      <c r="F217" t="str">
        <f ca="1">IF(AND(ISNUMBER($F$441),$B$242=1),$F$441,HLOOKUP(INDIRECT(ADDRESS(2,COLUMN())),OFFSET($M$2,0,0,ROW()-1,7),ROW()-1,FALSE))</f>
        <v/>
      </c>
      <c r="G217" t="str">
        <f ca="1">IF(AND(ISNUMBER($G$441),$B$242=1),$G$441,HLOOKUP(INDIRECT(ADDRESS(2,COLUMN())),OFFSET($M$2,0,0,ROW()-1,7),ROW()-1,FALSE))</f>
        <v/>
      </c>
      <c r="H217" t="str">
        <f ca="1">IF(AND(ISNUMBER($H$441),$B$242=1),$H$441,HLOOKUP(INDIRECT(ADDRESS(2,COLUMN())),OFFSET($M$2,0,0,ROW()-1,7),ROW()-1,FALSE))</f>
        <v/>
      </c>
      <c r="I217" t="str">
        <f ca="1">IF(AND(ISNUMBER($I$441),$B$242=1),$I$441,HLOOKUP(INDIRECT(ADDRESS(2,COLUMN())),OFFSET($M$2,0,0,ROW()-1,7),ROW()-1,FALSE))</f>
        <v/>
      </c>
      <c r="J217" t="str">
        <f ca="1">IF(AND(ISNUMBER($J$441),$B$242=1),$J$441,HLOOKUP(INDIRECT(ADDRESS(2,COLUMN())),OFFSET($M$2,0,0,ROW()-1,7),ROW()-1,FALSE))</f>
        <v/>
      </c>
      <c r="K217" t="str">
        <f ca="1">IF(AND(ISNUMBER($K$441),$B$242=1),$K$441,HLOOKUP(INDIRECT(ADDRESS(2,COLUMN())),OFFSET($M$2,0,0,ROW()-1,7),ROW()-1,FALSE))</f>
        <v/>
      </c>
      <c r="L217" t="str">
        <f ca="1">IF(AND(ISNUMBER($L$441),$B$242=1),$L$441,HLOOKUP(INDIRECT(ADDRESS(2,COLUMN())),OFFSET($M$2,0,0,ROW()-1,7),ROW()-1,FALSE))</f>
        <v/>
      </c>
      <c r="M217" t="str">
        <f>""</f>
        <v/>
      </c>
      <c r="N217" t="str">
        <f>""</f>
        <v/>
      </c>
      <c r="O217" t="str">
        <f>""</f>
        <v/>
      </c>
      <c r="P217" t="str">
        <f>""</f>
        <v/>
      </c>
      <c r="Q217" t="str">
        <f>""</f>
        <v/>
      </c>
      <c r="R217" t="str">
        <f>""</f>
        <v/>
      </c>
      <c r="S217" t="str">
        <f>""</f>
        <v/>
      </c>
    </row>
    <row r="218" spans="1:19" x14ac:dyDescent="0.25">
      <c r="A218" t="str">
        <f>"        Cognizant Technology Solutions"</f>
        <v xml:space="preserve">        Cognizant Technology Solutions</v>
      </c>
      <c r="B218" t="str">
        <f>"CTSH US Equity"</f>
        <v>CTSH US Equity</v>
      </c>
      <c r="C218" t="str">
        <f>"BI047"</f>
        <v>BI047</v>
      </c>
      <c r="D218" t="str">
        <f>"BICS_SEGMENT_DATA"</f>
        <v>BICS_SEGMENT_DATA</v>
      </c>
      <c r="E218" t="str">
        <f>"Dynamic"</f>
        <v>Dynamic</v>
      </c>
      <c r="F218" t="str">
        <f ca="1">IF(AND(ISNUMBER($F$442),$B$242=1),$F$442,HLOOKUP(INDIRECT(ADDRESS(2,COLUMN())),OFFSET($M$2,0,0,ROW()-1,7),ROW()-1,FALSE))</f>
        <v/>
      </c>
      <c r="G218" t="str">
        <f ca="1">IF(AND(ISNUMBER($G$442),$B$242=1),$G$442,HLOOKUP(INDIRECT(ADDRESS(2,COLUMN())),OFFSET($M$2,0,0,ROW()-1,7),ROW()-1,FALSE))</f>
        <v/>
      </c>
      <c r="H218" t="str">
        <f ca="1">IF(AND(ISNUMBER($H$442),$B$242=1),$H$442,HLOOKUP(INDIRECT(ADDRESS(2,COLUMN())),OFFSET($M$2,0,0,ROW()-1,7),ROW()-1,FALSE))</f>
        <v/>
      </c>
      <c r="I218" t="str">
        <f ca="1">IF(AND(ISNUMBER($I$442),$B$242=1),$I$442,HLOOKUP(INDIRECT(ADDRESS(2,COLUMN())),OFFSET($M$2,0,0,ROW()-1,7),ROW()-1,FALSE))</f>
        <v/>
      </c>
      <c r="J218" t="str">
        <f ca="1">IF(AND(ISNUMBER($J$442),$B$242=1),$J$442,HLOOKUP(INDIRECT(ADDRESS(2,COLUMN())),OFFSET($M$2,0,0,ROW()-1,7),ROW()-1,FALSE))</f>
        <v/>
      </c>
      <c r="K218" t="str">
        <f ca="1">IF(AND(ISNUMBER($K$442),$B$242=1),$K$442,HLOOKUP(INDIRECT(ADDRESS(2,COLUMN())),OFFSET($M$2,0,0,ROW()-1,7),ROW()-1,FALSE))</f>
        <v/>
      </c>
      <c r="L218" t="str">
        <f ca="1">IF(AND(ISNUMBER($L$442),$B$242=1),$L$442,HLOOKUP(INDIRECT(ADDRESS(2,COLUMN())),OFFSET($M$2,0,0,ROW()-1,7),ROW()-1,FALSE))</f>
        <v/>
      </c>
      <c r="M218" t="str">
        <f>""</f>
        <v/>
      </c>
      <c r="N218" t="str">
        <f>""</f>
        <v/>
      </c>
      <c r="O218" t="str">
        <f>""</f>
        <v/>
      </c>
      <c r="P218" t="str">
        <f>""</f>
        <v/>
      </c>
      <c r="Q218" t="str">
        <f>""</f>
        <v/>
      </c>
      <c r="R218" t="str">
        <f>""</f>
        <v/>
      </c>
      <c r="S218" t="str">
        <f>""</f>
        <v/>
      </c>
    </row>
    <row r="219" spans="1:19" x14ac:dyDescent="0.25">
      <c r="A219" t="str">
        <f>"        Infosys Ltd"</f>
        <v xml:space="preserve">        Infosys Ltd</v>
      </c>
      <c r="B219" t="str">
        <f>"INFY US Equity"</f>
        <v>INFY US Equity</v>
      </c>
      <c r="C219" t="str">
        <f>"BI047"</f>
        <v>BI047</v>
      </c>
      <c r="D219" t="str">
        <f>"BICS_SEGMENT_DATA"</f>
        <v>BICS_SEGMENT_DATA</v>
      </c>
      <c r="E219" t="str">
        <f>"Dynamic"</f>
        <v>Dynamic</v>
      </c>
      <c r="F219" t="str">
        <f ca="1">IF(AND(ISNUMBER($F$443),$B$242=1),$F$443,HLOOKUP(INDIRECT(ADDRESS(2,COLUMN())),OFFSET($M$2,0,0,ROW()-1,7),ROW()-1,FALSE))</f>
        <v/>
      </c>
      <c r="G219" t="str">
        <f ca="1">IF(AND(ISNUMBER($G$443),$B$242=1),$G$443,HLOOKUP(INDIRECT(ADDRESS(2,COLUMN())),OFFSET($M$2,0,0,ROW()-1,7),ROW()-1,FALSE))</f>
        <v/>
      </c>
      <c r="H219" t="str">
        <f ca="1">IF(AND(ISNUMBER($H$443),$B$242=1),$H$443,HLOOKUP(INDIRECT(ADDRESS(2,COLUMN())),OFFSET($M$2,0,0,ROW()-1,7),ROW()-1,FALSE))</f>
        <v/>
      </c>
      <c r="I219" t="str">
        <f ca="1">IF(AND(ISNUMBER($I$443),$B$242=1),$I$443,HLOOKUP(INDIRECT(ADDRESS(2,COLUMN())),OFFSET($M$2,0,0,ROW()-1,7),ROW()-1,FALSE))</f>
        <v/>
      </c>
      <c r="J219" t="str">
        <f ca="1">IF(AND(ISNUMBER($J$443),$B$242=1),$J$443,HLOOKUP(INDIRECT(ADDRESS(2,COLUMN())),OFFSET($M$2,0,0,ROW()-1,7),ROW()-1,FALSE))</f>
        <v/>
      </c>
      <c r="K219" t="str">
        <f ca="1">IF(AND(ISNUMBER($K$443),$B$242=1),$K$443,HLOOKUP(INDIRECT(ADDRESS(2,COLUMN())),OFFSET($M$2,0,0,ROW()-1,7),ROW()-1,FALSE))</f>
        <v/>
      </c>
      <c r="L219" t="str">
        <f ca="1">IF(AND(ISNUMBER($L$443),$B$242=1),$L$443,HLOOKUP(INDIRECT(ADDRESS(2,COLUMN())),OFFSET($M$2,0,0,ROW()-1,7),ROW()-1,FALSE))</f>
        <v/>
      </c>
      <c r="M219" t="str">
        <f>""</f>
        <v/>
      </c>
      <c r="N219" t="str">
        <f>""</f>
        <v/>
      </c>
      <c r="O219" t="str">
        <f>""</f>
        <v/>
      </c>
      <c r="P219" t="str">
        <f>""</f>
        <v/>
      </c>
      <c r="Q219" t="str">
        <f>""</f>
        <v/>
      </c>
      <c r="R219" t="str">
        <f>""</f>
        <v/>
      </c>
      <c r="S219" t="str">
        <f>""</f>
        <v/>
      </c>
    </row>
    <row r="220" spans="1:19" x14ac:dyDescent="0.25">
      <c r="A220" t="str">
        <f>"        Wipro Ltd"</f>
        <v xml:space="preserve">        Wipro Ltd</v>
      </c>
      <c r="B220" t="str">
        <f>"WIT US Equity"</f>
        <v>WIT US Equity</v>
      </c>
      <c r="C220" t="str">
        <f>"BI047"</f>
        <v>BI047</v>
      </c>
      <c r="D220" t="str">
        <f>"BICS_SEGMENT_DATA"</f>
        <v>BICS_SEGMENT_DATA</v>
      </c>
      <c r="E220" t="str">
        <f>"Dynamic"</f>
        <v>Dynamic</v>
      </c>
      <c r="F220">
        <f ca="1">IF(AND(ISNUMBER($F$444),$B$242=1),$F$444,HLOOKUP(INDIRECT(ADDRESS(2,COLUMN())),OFFSET($M$2,0,0,ROW()-1,7),ROW()-1,FALSE))</f>
        <v>2682.9794740000002</v>
      </c>
      <c r="G220">
        <f ca="1">IF(AND(ISNUMBER($G$444),$B$242=1),$G$444,HLOOKUP(INDIRECT(ADDRESS(2,COLUMN())),OFFSET($M$2,0,0,ROW()-1,7),ROW()-1,FALSE))</f>
        <v>2589.8710740000001</v>
      </c>
      <c r="H220">
        <f ca="1">IF(AND(ISNUMBER($H$444),$B$242=1),$H$444,HLOOKUP(INDIRECT(ADDRESS(2,COLUMN())),OFFSET($M$2,0,0,ROW()-1,7),ROW()-1,FALSE))</f>
        <v>2374.9351729999998</v>
      </c>
      <c r="I220">
        <f ca="1">IF(AND(ISNUMBER($I$444),$B$242=1),$I$444,HLOOKUP(INDIRECT(ADDRESS(2,COLUMN())),OFFSET($M$2,0,0,ROW()-1,7),ROW()-1,FALSE))</f>
        <v>2109.966375</v>
      </c>
      <c r="J220">
        <f ca="1">IF(AND(ISNUMBER($J$444),$B$242=1),$J$444,HLOOKUP(INDIRECT(ADDRESS(2,COLUMN())),OFFSET($M$2,0,0,ROW()-1,7),ROW()-1,FALSE))</f>
        <v>2060.6685419999999</v>
      </c>
      <c r="K220">
        <f ca="1">IF(AND(ISNUMBER($K$444),$B$242=1),$K$444,HLOOKUP(INDIRECT(ADDRESS(2,COLUMN())),OFFSET($M$2,0,0,ROW()-1,7),ROW()-1,FALSE))</f>
        <v>1886.7610119999999</v>
      </c>
      <c r="L220">
        <f ca="1">IF(AND(ISNUMBER($L$444),$B$242=1),$L$444,HLOOKUP(INDIRECT(ADDRESS(2,COLUMN())),OFFSET($M$2,0,0,ROW()-1,7),ROW()-1,FALSE))</f>
        <v>1760.074464</v>
      </c>
      <c r="M220">
        <f>2682.979474</f>
        <v>2682.9794740000002</v>
      </c>
      <c r="N220">
        <f>2589.871074</f>
        <v>2589.8710740000001</v>
      </c>
      <c r="O220">
        <f>2374.935173</f>
        <v>2374.9351729999998</v>
      </c>
      <c r="P220">
        <f>2109.966375</f>
        <v>2109.966375</v>
      </c>
      <c r="Q220">
        <f>2060.668542</f>
        <v>2060.6685419999999</v>
      </c>
      <c r="R220">
        <f>1886.761012</f>
        <v>1886.7610119999999</v>
      </c>
      <c r="S220">
        <f>1760.074464</f>
        <v>1760.074464</v>
      </c>
    </row>
    <row r="221" spans="1:19" x14ac:dyDescent="0.25">
      <c r="A221" t="str">
        <f>"    Health Care &amp; Life Sciences"</f>
        <v xml:space="preserve">    Health Care &amp; Life Sciences</v>
      </c>
      <c r="B221" t="str">
        <f>""</f>
        <v/>
      </c>
      <c r="E221" t="str">
        <f>"Sum"</f>
        <v>Sum</v>
      </c>
      <c r="F221" t="str">
        <f ca="1">IF(ISERROR(IF(SUM($F$222:$F$226) = 0, "", SUM($F$222:$F$226))), "", (IF(SUM($F$222:$F$226) = 0, "", SUM($F$222:$F$226))))</f>
        <v/>
      </c>
      <c r="G221">
        <f ca="1">IF(ISERROR(IF(SUM($G$222:$G$226) = 0, "", SUM($G$222:$G$226))), "", (IF(SUM($G$222:$G$226) = 0, "", SUM($G$222:$G$226))))</f>
        <v>10849.880561</v>
      </c>
      <c r="H221">
        <f ca="1">IF(ISERROR(IF(SUM($H$222:$H$226) = 0, "", SUM($H$222:$H$226))), "", (IF(SUM($H$222:$H$226) = 0, "", SUM($H$222:$H$226))))</f>
        <v>9927.6346199999989</v>
      </c>
      <c r="I221">
        <f ca="1">IF(ISERROR(IF(SUM($I$222:$I$226) = 0, "", SUM($I$222:$I$226))), "", (IF(SUM($I$222:$I$226) = 0, "", SUM($I$222:$I$226))))</f>
        <v>13971.985637000002</v>
      </c>
      <c r="J221">
        <f ca="1">IF(ISERROR(IF(SUM($J$222:$J$226) = 0, "", SUM($J$222:$J$226))), "", (IF(SUM($J$222:$J$226) = 0, "", SUM($J$222:$J$226))))</f>
        <v>13105.816020999999</v>
      </c>
      <c r="K221">
        <f ca="1">IF(ISERROR(IF(SUM($K$222:$K$226) = 0, "", SUM($K$222:$K$226))), "", (IF(SUM($K$222:$K$226) = 0, "", SUM($K$222:$K$226))))</f>
        <v>11182.030180199999</v>
      </c>
      <c r="L221">
        <f ca="1">IF(ISERROR(IF(SUM($L$222:$L$226) = 0, "", SUM($L$222:$L$226))), "", (IF(SUM($L$222:$L$226) = 0, "", SUM($L$222:$L$226))))</f>
        <v>10114.877550300002</v>
      </c>
      <c r="M221" t="str">
        <f>""</f>
        <v/>
      </c>
      <c r="N221">
        <f>10849.88056</f>
        <v>10849.88056</v>
      </c>
      <c r="O221">
        <f>9927.63462</f>
        <v>9927.6346200000007</v>
      </c>
      <c r="P221">
        <f>13971.98564</f>
        <v>13971.985640000001</v>
      </c>
      <c r="Q221">
        <f>13105.81602</f>
        <v>13105.81602</v>
      </c>
      <c r="R221">
        <f>11182.03018</f>
        <v>11182.03018</v>
      </c>
      <c r="S221">
        <f>10114.87755</f>
        <v>10114.877549999999</v>
      </c>
    </row>
    <row r="222" spans="1:19" x14ac:dyDescent="0.25">
      <c r="A222" t="str">
        <f>"        Accenture PLC"</f>
        <v xml:space="preserve">        Accenture PLC</v>
      </c>
      <c r="B222" t="str">
        <f>"ACN US Equity"</f>
        <v>ACN US Equity</v>
      </c>
      <c r="C222" t="str">
        <f>"BI047"</f>
        <v>BI047</v>
      </c>
      <c r="D222" t="str">
        <f>"BICS_SEGMENT_DATA"</f>
        <v>BICS_SEGMENT_DATA</v>
      </c>
      <c r="E222" t="str">
        <f>"Dynamic"</f>
        <v>Dynamic</v>
      </c>
      <c r="F222" t="str">
        <f ca="1">IF(AND(ISNUMBER($F$445),$B$242=1),$F$445,HLOOKUP(INDIRECT(ADDRESS(2,COLUMN())),OFFSET($M$2,0,0,ROW()-1,7),ROW()-1,FALSE))</f>
        <v/>
      </c>
      <c r="G222">
        <f ca="1">IF(AND(ISNUMBER($G$445),$B$242=1),$G$445,HLOOKUP(INDIRECT(ADDRESS(2,COLUMN())),OFFSET($M$2,0,0,ROW()-1,7),ROW()-1,FALSE))</f>
        <v>6688.4669999999996</v>
      </c>
      <c r="H222">
        <f ca="1">IF(AND(ISNUMBER($H$445),$B$242=1),$H$445,HLOOKUP(INDIRECT(ADDRESS(2,COLUMN())),OFFSET($M$2,0,0,ROW()-1,7),ROW()-1,FALSE))</f>
        <v>6177.8459999999995</v>
      </c>
      <c r="I222">
        <f ca="1">IF(AND(ISNUMBER($I$445),$B$242=1),$I$445,HLOOKUP(INDIRECT(ADDRESS(2,COLUMN())),OFFSET($M$2,0,0,ROW()-1,7),ROW()-1,FALSE))</f>
        <v>5986.8779999999997</v>
      </c>
      <c r="J222">
        <f ca="1">IF(AND(ISNUMBER($J$445),$B$242=1),$J$445,HLOOKUP(INDIRECT(ADDRESS(2,COLUMN())),OFFSET($M$2,0,0,ROW()-1,7),ROW()-1,FALSE))</f>
        <v>5462.55</v>
      </c>
      <c r="K222">
        <f ca="1">IF(AND(ISNUMBER($K$445),$B$242=1),$K$445,HLOOKUP(INDIRECT(ADDRESS(2,COLUMN())),OFFSET($M$2,0,0,ROW()-1,7),ROW()-1,FALSE))</f>
        <v>5021.692</v>
      </c>
      <c r="L222">
        <f ca="1">IF(AND(ISNUMBER($L$445),$B$242=1),$L$445,HLOOKUP(INDIRECT(ADDRESS(2,COLUMN())),OFFSET($M$2,0,0,ROW()-1,7),ROW()-1,FALSE))</f>
        <v>4739.4830000000002</v>
      </c>
      <c r="M222" t="str">
        <f>""</f>
        <v/>
      </c>
      <c r="N222">
        <f>6688.467</f>
        <v>6688.4669999999996</v>
      </c>
      <c r="O222">
        <f>6177.846</f>
        <v>6177.8459999999995</v>
      </c>
      <c r="P222">
        <f>5986.878</f>
        <v>5986.8779999999997</v>
      </c>
      <c r="Q222">
        <f>5462.55</f>
        <v>5462.55</v>
      </c>
      <c r="R222">
        <f>5021.692</f>
        <v>5021.692</v>
      </c>
      <c r="S222">
        <f>4739.483</f>
        <v>4739.4830000000002</v>
      </c>
    </row>
    <row r="223" spans="1:19" x14ac:dyDescent="0.25">
      <c r="A223" t="str">
        <f>"        Cognizant Technology Solutions"</f>
        <v xml:space="preserve">        Cognizant Technology Solutions</v>
      </c>
      <c r="B223" t="str">
        <f>"CTSH US Equity"</f>
        <v>CTSH US Equity</v>
      </c>
      <c r="C223" t="str">
        <f>"BI047"</f>
        <v>BI047</v>
      </c>
      <c r="D223" t="str">
        <f>"BICS_SEGMENT_DATA"</f>
        <v>BICS_SEGMENT_DATA</v>
      </c>
      <c r="E223" t="str">
        <f>"Dynamic"</f>
        <v>Dynamic</v>
      </c>
      <c r="F223" t="str">
        <f ca="1">IF(AND(ISNUMBER($F$446),$B$242=1),$F$446,HLOOKUP(INDIRECT(ADDRESS(2,COLUMN())),OFFSET($M$2,0,0,ROW()-1,7),ROW()-1,FALSE))</f>
        <v/>
      </c>
      <c r="G223" t="str">
        <f ca="1">IF(AND(ISNUMBER($G$446),$B$242=1),$G$446,HLOOKUP(INDIRECT(ADDRESS(2,COLUMN())),OFFSET($M$2,0,0,ROW()-1,7),ROW()-1,FALSE))</f>
        <v/>
      </c>
      <c r="H223" t="str">
        <f ca="1">IF(AND(ISNUMBER($H$446),$B$242=1),$H$446,HLOOKUP(INDIRECT(ADDRESS(2,COLUMN())),OFFSET($M$2,0,0,ROW()-1,7),ROW()-1,FALSE))</f>
        <v/>
      </c>
      <c r="I223">
        <f ca="1">IF(AND(ISNUMBER($I$446),$B$242=1),$I$446,HLOOKUP(INDIRECT(ADDRESS(2,COLUMN())),OFFSET($M$2,0,0,ROW()-1,7),ROW()-1,FALSE))</f>
        <v>3871</v>
      </c>
      <c r="J223">
        <f ca="1">IF(AND(ISNUMBER($J$446),$B$242=1),$J$446,HLOOKUP(INDIRECT(ADDRESS(2,COLUMN())),OFFSET($M$2,0,0,ROW()-1,7),ROW()-1,FALSE))</f>
        <v>3668</v>
      </c>
      <c r="K223">
        <f ca="1">IF(AND(ISNUMBER($K$446),$B$242=1),$K$446,HLOOKUP(INDIRECT(ADDRESS(2,COLUMN())),OFFSET($M$2,0,0,ROW()-1,7),ROW()-1,FALSE))</f>
        <v>2689.4</v>
      </c>
      <c r="L223">
        <f ca="1">IF(AND(ISNUMBER($L$446),$B$242=1),$L$446,HLOOKUP(INDIRECT(ADDRESS(2,COLUMN())),OFFSET($M$2,0,0,ROW()-1,7),ROW()-1,FALSE))</f>
        <v>2264.826</v>
      </c>
      <c r="M223" t="str">
        <f>""</f>
        <v/>
      </c>
      <c r="N223" t="str">
        <f>""</f>
        <v/>
      </c>
      <c r="O223" t="str">
        <f>""</f>
        <v/>
      </c>
      <c r="P223">
        <f>3871</f>
        <v>3871</v>
      </c>
      <c r="Q223">
        <f>3668</f>
        <v>3668</v>
      </c>
      <c r="R223">
        <f>2689.4</f>
        <v>2689.4</v>
      </c>
      <c r="S223">
        <f>2264.826</f>
        <v>2264.826</v>
      </c>
    </row>
    <row r="224" spans="1:19" x14ac:dyDescent="0.25">
      <c r="A224" t="str">
        <f>"        Wipro Ltd"</f>
        <v xml:space="preserve">        Wipro Ltd</v>
      </c>
      <c r="B224" t="str">
        <f>"WIT US Equity"</f>
        <v>WIT US Equity</v>
      </c>
      <c r="C224" t="str">
        <f>"BI047"</f>
        <v>BI047</v>
      </c>
      <c r="D224" t="str">
        <f>"BICS_SEGMENT_DATA"</f>
        <v>BICS_SEGMENT_DATA</v>
      </c>
      <c r="E224" t="str">
        <f>"Dynamic"</f>
        <v>Dynamic</v>
      </c>
      <c r="F224">
        <f ca="1">IF(AND(ISNUMBER($F$447),$B$242=1),$F$447,HLOOKUP(INDIRECT(ADDRESS(2,COLUMN())),OFFSET($M$2,0,0,ROW()-1,7),ROW()-1,FALSE))</f>
        <v>2682.9794740000002</v>
      </c>
      <c r="G224">
        <f ca="1">IF(AND(ISNUMBER($G$447),$B$242=1),$G$447,HLOOKUP(INDIRECT(ADDRESS(2,COLUMN())),OFFSET($M$2,0,0,ROW()-1,7),ROW()-1,FALSE))</f>
        <v>2589.8710740000001</v>
      </c>
      <c r="H224">
        <f ca="1">IF(AND(ISNUMBER($H$447),$B$242=1),$H$447,HLOOKUP(INDIRECT(ADDRESS(2,COLUMN())),OFFSET($M$2,0,0,ROW()-1,7),ROW()-1,FALSE))</f>
        <v>2374.9351729999998</v>
      </c>
      <c r="I224">
        <f ca="1">IF(AND(ISNUMBER($I$447),$B$242=1),$I$447,HLOOKUP(INDIRECT(ADDRESS(2,COLUMN())),OFFSET($M$2,0,0,ROW()-1,7),ROW()-1,FALSE))</f>
        <v>2109.966375</v>
      </c>
      <c r="J224">
        <f ca="1">IF(AND(ISNUMBER($J$447),$B$242=1),$J$447,HLOOKUP(INDIRECT(ADDRESS(2,COLUMN())),OFFSET($M$2,0,0,ROW()-1,7),ROW()-1,FALSE))</f>
        <v>2060.6685419999999</v>
      </c>
      <c r="K224">
        <f ca="1">IF(AND(ISNUMBER($K$447),$B$242=1),$K$447,HLOOKUP(INDIRECT(ADDRESS(2,COLUMN())),OFFSET($M$2,0,0,ROW()-1,7),ROW()-1,FALSE))</f>
        <v>1886.7610119999999</v>
      </c>
      <c r="L224">
        <f ca="1">IF(AND(ISNUMBER($L$447),$B$242=1),$L$447,HLOOKUP(INDIRECT(ADDRESS(2,COLUMN())),OFFSET($M$2,0,0,ROW()-1,7),ROW()-1,FALSE))</f>
        <v>1760.074464</v>
      </c>
      <c r="M224">
        <f>2682.979474</f>
        <v>2682.9794740000002</v>
      </c>
      <c r="N224">
        <f>2589.871074</f>
        <v>2589.8710740000001</v>
      </c>
      <c r="O224">
        <f>2374.935173</f>
        <v>2374.9351729999998</v>
      </c>
      <c r="P224">
        <f>2109.966375</f>
        <v>2109.966375</v>
      </c>
      <c r="Q224">
        <f>2060.668542</f>
        <v>2060.6685419999999</v>
      </c>
      <c r="R224">
        <f>1886.761012</f>
        <v>1886.7610119999999</v>
      </c>
      <c r="S224">
        <f>1760.074464</f>
        <v>1760.074464</v>
      </c>
    </row>
    <row r="225" spans="1:19" x14ac:dyDescent="0.25">
      <c r="A225" t="str">
        <f>"        Tata Consultancy Services Ltd"</f>
        <v xml:space="preserve">        Tata Consultancy Services Ltd</v>
      </c>
      <c r="B225" t="str">
        <f>"TCS IN Equity"</f>
        <v>TCS IN Equity</v>
      </c>
      <c r="C225" t="str">
        <f>"BI047"</f>
        <v>BI047</v>
      </c>
      <c r="D225" t="str">
        <f>"BICS_SEGMENT_DATA"</f>
        <v>BICS_SEGMENT_DATA</v>
      </c>
      <c r="E225" t="str">
        <f>"Dynamic"</f>
        <v>Dynamic</v>
      </c>
      <c r="F225">
        <f ca="1">IF(AND(ISNUMBER($F$448),$B$242=1),$F$448,HLOOKUP(INDIRECT(ADDRESS(2,COLUMN())),OFFSET($M$2,0,0,ROW()-1,7),ROW()-1,FALSE))</f>
        <v>1838.0097969999999</v>
      </c>
      <c r="G225">
        <f ca="1">IF(AND(ISNUMBER($G$448),$B$242=1),$G$448,HLOOKUP(INDIRECT(ADDRESS(2,COLUMN())),OFFSET($M$2,0,0,ROW()-1,7),ROW()-1,FALSE))</f>
        <v>1571.5424869999999</v>
      </c>
      <c r="H225">
        <f ca="1">IF(AND(ISNUMBER($H$448),$B$242=1),$H$448,HLOOKUP(INDIRECT(ADDRESS(2,COLUMN())),OFFSET($M$2,0,0,ROW()-1,7),ROW()-1,FALSE))</f>
        <v>1374.853447</v>
      </c>
      <c r="I225">
        <f ca="1">IF(AND(ISNUMBER($I$448),$B$242=1),$I$448,HLOOKUP(INDIRECT(ADDRESS(2,COLUMN())),OFFSET($M$2,0,0,ROW()-1,7),ROW()-1,FALSE))</f>
        <v>1319.7161289999999</v>
      </c>
      <c r="J225">
        <f ca="1">IF(AND(ISNUMBER($J$448),$B$242=1),$J$448,HLOOKUP(INDIRECT(ADDRESS(2,COLUMN())),OFFSET($M$2,0,0,ROW()-1,7),ROW()-1,FALSE))</f>
        <v>1179.45751</v>
      </c>
      <c r="K225">
        <f ca="1">IF(AND(ISNUMBER($K$448),$B$242=1),$K$448,HLOOKUP(INDIRECT(ADDRESS(2,COLUMN())),OFFSET($M$2,0,0,ROW()-1,7),ROW()-1,FALSE))</f>
        <v>991.0112292</v>
      </c>
      <c r="L225">
        <f ca="1">IF(AND(ISNUMBER($L$448),$B$242=1),$L$448,HLOOKUP(INDIRECT(ADDRESS(2,COLUMN())),OFFSET($M$2,0,0,ROW()-1,7),ROW()-1,FALSE))</f>
        <v>785.87563929999999</v>
      </c>
      <c r="M225">
        <f>1838.009797</f>
        <v>1838.0097969999999</v>
      </c>
      <c r="N225">
        <f>1571.542487</f>
        <v>1571.5424869999999</v>
      </c>
      <c r="O225">
        <f>1374.853447</f>
        <v>1374.853447</v>
      </c>
      <c r="P225">
        <f>1319.716129</f>
        <v>1319.7161289999999</v>
      </c>
      <c r="Q225">
        <f>1179.45751</f>
        <v>1179.45751</v>
      </c>
      <c r="R225">
        <f>991.0112292</f>
        <v>991.0112292</v>
      </c>
      <c r="S225">
        <f>785.8756393</f>
        <v>785.87563929999999</v>
      </c>
    </row>
    <row r="226" spans="1:19" x14ac:dyDescent="0.25">
      <c r="A226" t="str">
        <f>"        Infosys Ltd"</f>
        <v xml:space="preserve">        Infosys Ltd</v>
      </c>
      <c r="B226" t="str">
        <f>"INFY US Equity"</f>
        <v>INFY US Equity</v>
      </c>
      <c r="E226" t="str">
        <f>"Expression"</f>
        <v>Expression</v>
      </c>
      <c r="F226" t="e">
        <f ca="1">IF(AND($B$242=1,LEN($F$293) * LEN($F$294)&gt;0),$F$293+$F$294,HLOOKUP(INDIRECT(ADDRESS(2,COLUMN())),OFFSET($M$2,0,0,ROW()-1,7),ROW()-1,FALSE))</f>
        <v>#NAME?</v>
      </c>
      <c r="G226" t="str">
        <f ca="1">IF(AND($B$242=1,LEN($G$293) * LEN($G$294)&gt;0),$G$293+$G$294,HLOOKUP(INDIRECT(ADDRESS(2,COLUMN())),OFFSET($M$2,0,0,ROW()-1,7),ROW()-1,FALSE))</f>
        <v/>
      </c>
      <c r="H226" t="str">
        <f ca="1">IF(AND($B$242=1,LEN($H$293) * LEN($H$294)&gt;0),$H$293+$H$294,HLOOKUP(INDIRECT(ADDRESS(2,COLUMN())),OFFSET($M$2,0,0,ROW()-1,7),ROW()-1,FALSE))</f>
        <v/>
      </c>
      <c r="I226">
        <f ca="1">IF(AND($B$242=1,LEN($I$293) * LEN($I$294)&gt;0),$I$293+$I$294,HLOOKUP(INDIRECT(ADDRESS(2,COLUMN())),OFFSET($M$2,0,0,ROW()-1,7),ROW()-1,FALSE))</f>
        <v>684.42513299999996</v>
      </c>
      <c r="J226">
        <f ca="1">IF(AND($B$242=1,LEN($J$293) * LEN($J$294)&gt;0),$J$293+$J$294,HLOOKUP(INDIRECT(ADDRESS(2,COLUMN())),OFFSET($M$2,0,0,ROW()-1,7),ROW()-1,FALSE))</f>
        <v>735.13996899999995</v>
      </c>
      <c r="K226">
        <f ca="1">IF(AND($B$242=1,LEN($K$293) * LEN($K$294)&gt;0),$K$293+$K$294,HLOOKUP(INDIRECT(ADDRESS(2,COLUMN())),OFFSET($M$2,0,0,ROW()-1,7),ROW()-1,FALSE))</f>
        <v>593.16593899999998</v>
      </c>
      <c r="L226">
        <f ca="1">IF(AND($B$242=1,LEN($L$293) * LEN($L$294)&gt;0),$L$293+$L$294,HLOOKUP(INDIRECT(ADDRESS(2,COLUMN())),OFFSET($M$2,0,0,ROW()-1,7),ROW()-1,FALSE))</f>
        <v>564.61844699999995</v>
      </c>
      <c r="M226" t="str">
        <f>""</f>
        <v/>
      </c>
      <c r="N226" t="str">
        <f>""</f>
        <v/>
      </c>
      <c r="O226" t="str">
        <f>""</f>
        <v/>
      </c>
      <c r="P226">
        <f>684.425133</f>
        <v>684.42513299999996</v>
      </c>
      <c r="Q226">
        <f>735.139969</f>
        <v>735.13996899999995</v>
      </c>
      <c r="R226">
        <f>593.165939</f>
        <v>593.16593899999998</v>
      </c>
      <c r="S226">
        <f>564.618447</f>
        <v>564.61844699999995</v>
      </c>
    </row>
    <row r="227" spans="1:19" x14ac:dyDescent="0.25">
      <c r="M227" t="str">
        <f>""</f>
        <v/>
      </c>
      <c r="N227" t="str">
        <f>""</f>
        <v/>
      </c>
      <c r="O227" t="str">
        <f>""</f>
        <v/>
      </c>
      <c r="P227" t="str">
        <f>""</f>
        <v/>
      </c>
      <c r="Q227" t="str">
        <f>""</f>
        <v/>
      </c>
      <c r="R227" t="str">
        <f>""</f>
        <v/>
      </c>
      <c r="S227" t="str">
        <f>""</f>
        <v/>
      </c>
    </row>
    <row r="228" spans="1:19" x14ac:dyDescent="0.25">
      <c r="M228" t="str">
        <f>""</f>
        <v/>
      </c>
      <c r="N228" t="str">
        <f>""</f>
        <v/>
      </c>
      <c r="O228" t="str">
        <f>""</f>
        <v/>
      </c>
      <c r="P228" t="str">
        <f>""</f>
        <v/>
      </c>
      <c r="Q228" t="str">
        <f>""</f>
        <v/>
      </c>
      <c r="R228" t="str">
        <f>""</f>
        <v/>
      </c>
      <c r="S228" t="str">
        <f>""</f>
        <v/>
      </c>
    </row>
    <row r="229" spans="1:19" x14ac:dyDescent="0.25">
      <c r="M229" t="str">
        <f>""</f>
        <v/>
      </c>
      <c r="N229" t="str">
        <f>""</f>
        <v/>
      </c>
      <c r="O229" t="str">
        <f>""</f>
        <v/>
      </c>
      <c r="P229" t="str">
        <f>""</f>
        <v/>
      </c>
      <c r="Q229" t="str">
        <f>""</f>
        <v/>
      </c>
      <c r="R229" t="str">
        <f>""</f>
        <v/>
      </c>
      <c r="S229" t="str">
        <f>""</f>
        <v/>
      </c>
    </row>
    <row r="230" spans="1:19" x14ac:dyDescent="0.25">
      <c r="M230" t="str">
        <f>""</f>
        <v/>
      </c>
      <c r="N230" t="str">
        <f>""</f>
        <v/>
      </c>
      <c r="O230" t="str">
        <f>""</f>
        <v/>
      </c>
      <c r="P230" t="str">
        <f>""</f>
        <v/>
      </c>
      <c r="Q230" t="str">
        <f>""</f>
        <v/>
      </c>
      <c r="R230" t="str">
        <f>""</f>
        <v/>
      </c>
      <c r="S230" t="str">
        <f>""</f>
        <v/>
      </c>
    </row>
    <row r="231" spans="1:19" x14ac:dyDescent="0.25">
      <c r="M231" t="str">
        <f>""</f>
        <v/>
      </c>
      <c r="N231" t="str">
        <f>""</f>
        <v/>
      </c>
      <c r="O231" t="str">
        <f>""</f>
        <v/>
      </c>
      <c r="P231" t="str">
        <f>""</f>
        <v/>
      </c>
      <c r="Q231" t="str">
        <f>""</f>
        <v/>
      </c>
      <c r="R231" t="str">
        <f>""</f>
        <v/>
      </c>
      <c r="S231" t="str">
        <f>""</f>
        <v/>
      </c>
    </row>
    <row r="232" spans="1:19" x14ac:dyDescent="0.25">
      <c r="M232" t="str">
        <f>""</f>
        <v/>
      </c>
      <c r="N232" t="str">
        <f>""</f>
        <v/>
      </c>
      <c r="O232" t="str">
        <f>""</f>
        <v/>
      </c>
      <c r="P232" t="str">
        <f>""</f>
        <v/>
      </c>
      <c r="Q232" t="str">
        <f>""</f>
        <v/>
      </c>
      <c r="R232" t="str">
        <f>""</f>
        <v/>
      </c>
      <c r="S232" t="str">
        <f>""</f>
        <v/>
      </c>
    </row>
    <row r="233" spans="1:19" x14ac:dyDescent="0.25">
      <c r="M233" t="str">
        <f>""</f>
        <v/>
      </c>
      <c r="N233" t="str">
        <f>""</f>
        <v/>
      </c>
      <c r="O233" t="str">
        <f>""</f>
        <v/>
      </c>
      <c r="P233" t="str">
        <f>""</f>
        <v/>
      </c>
      <c r="Q233" t="str">
        <f>""</f>
        <v/>
      </c>
      <c r="R233" t="str">
        <f>""</f>
        <v/>
      </c>
      <c r="S233" t="str">
        <f>""</f>
        <v/>
      </c>
    </row>
    <row r="234" spans="1:19" x14ac:dyDescent="0.25">
      <c r="A234" t="str">
        <f t="shared" ref="A234:L234" si="31">"~~~~~~~~~~"</f>
        <v>~~~~~~~~~~</v>
      </c>
      <c r="B234" t="str">
        <f t="shared" si="31"/>
        <v>~~~~~~~~~~</v>
      </c>
      <c r="C234" t="str">
        <f t="shared" si="31"/>
        <v>~~~~~~~~~~</v>
      </c>
      <c r="D234" t="str">
        <f t="shared" si="31"/>
        <v>~~~~~~~~~~</v>
      </c>
      <c r="E234" t="str">
        <f t="shared" si="31"/>
        <v>~~~~~~~~~~</v>
      </c>
      <c r="F234" t="str">
        <f t="shared" si="31"/>
        <v>~~~~~~~~~~</v>
      </c>
      <c r="G234" t="str">
        <f t="shared" si="31"/>
        <v>~~~~~~~~~~</v>
      </c>
      <c r="H234" t="str">
        <f t="shared" si="31"/>
        <v>~~~~~~~~~~</v>
      </c>
      <c r="I234" t="str">
        <f t="shared" si="31"/>
        <v>~~~~~~~~~~</v>
      </c>
      <c r="J234" t="str">
        <f t="shared" si="31"/>
        <v>~~~~~~~~~~</v>
      </c>
      <c r="K234" t="str">
        <f t="shared" si="31"/>
        <v>~~~~~~~~~~</v>
      </c>
      <c r="L234" t="str">
        <f t="shared" si="31"/>
        <v>~~~~~~~~~~</v>
      </c>
      <c r="M234" t="str">
        <f>""</f>
        <v/>
      </c>
      <c r="N234" t="str">
        <f>""</f>
        <v/>
      </c>
      <c r="O234" t="str">
        <f>""</f>
        <v/>
      </c>
      <c r="P234" t="str">
        <f>""</f>
        <v/>
      </c>
      <c r="Q234" t="str">
        <f>""</f>
        <v/>
      </c>
      <c r="R234" t="str">
        <f>""</f>
        <v/>
      </c>
      <c r="S234" t="str">
        <f>""</f>
        <v/>
      </c>
    </row>
    <row r="235" spans="1:19" x14ac:dyDescent="0.25">
      <c r="A235" t="str">
        <f>"All rows below have been added for reference by formula rows above."</f>
        <v>All rows below have been added for reference by formula rows above.</v>
      </c>
      <c r="M235" t="str">
        <f>""</f>
        <v/>
      </c>
      <c r="N235" t="str">
        <f>""</f>
        <v/>
      </c>
      <c r="O235" t="str">
        <f>""</f>
        <v/>
      </c>
      <c r="P235" t="str">
        <f>""</f>
        <v/>
      </c>
      <c r="Q235" t="str">
        <f>""</f>
        <v/>
      </c>
      <c r="R235" t="str">
        <f>""</f>
        <v/>
      </c>
      <c r="S235" t="str">
        <f>""</f>
        <v/>
      </c>
    </row>
    <row r="236" spans="1:19" x14ac:dyDescent="0.25">
      <c r="A236" t="e">
        <f>RTD("bloomberg.ccyreader", "", "#track", "DBG", "BIHITX", "1.0","RepeatHit")</f>
        <v>#N/A</v>
      </c>
      <c r="M236" t="str">
        <f>""</f>
        <v/>
      </c>
      <c r="N236" t="str">
        <f>""</f>
        <v/>
      </c>
      <c r="O236" t="str">
        <f>""</f>
        <v/>
      </c>
      <c r="P236" t="str">
        <f>""</f>
        <v/>
      </c>
      <c r="Q236" t="str">
        <f>""</f>
        <v/>
      </c>
      <c r="R236" t="str">
        <f>""</f>
        <v/>
      </c>
      <c r="S236" t="str">
        <f>""</f>
        <v/>
      </c>
    </row>
    <row r="237" spans="1:19" x14ac:dyDescent="0.25">
      <c r="A237" t="str">
        <f>"Currency"</f>
        <v>Currency</v>
      </c>
      <c r="B237" t="str">
        <f>"USD"</f>
        <v>USD</v>
      </c>
      <c r="M237" t="str">
        <f>""</f>
        <v/>
      </c>
      <c r="N237" t="str">
        <f>""</f>
        <v/>
      </c>
      <c r="O237" t="str">
        <f>""</f>
        <v/>
      </c>
      <c r="P237" t="str">
        <f>""</f>
        <v/>
      </c>
      <c r="Q237" t="str">
        <f>""</f>
        <v/>
      </c>
      <c r="R237" t="str">
        <f>""</f>
        <v/>
      </c>
      <c r="S237" t="str">
        <f>""</f>
        <v/>
      </c>
    </row>
    <row r="238" spans="1:19" x14ac:dyDescent="0.25">
      <c r="A238" t="str">
        <f>"Periodicity"</f>
        <v>Periodicity</v>
      </c>
      <c r="B238" t="str">
        <f>"CY"</f>
        <v>CY</v>
      </c>
      <c r="C238" t="str">
        <f>"AY"</f>
        <v>AY</v>
      </c>
      <c r="M238" t="str">
        <f>""</f>
        <v/>
      </c>
      <c r="N238" t="str">
        <f>""</f>
        <v/>
      </c>
      <c r="O238" t="str">
        <f>""</f>
        <v/>
      </c>
      <c r="P238" t="str">
        <f>""</f>
        <v/>
      </c>
      <c r="Q238" t="str">
        <f>""</f>
        <v/>
      </c>
      <c r="R238" t="str">
        <f>""</f>
        <v/>
      </c>
      <c r="S238" t="str">
        <f>""</f>
        <v/>
      </c>
    </row>
    <row r="239" spans="1:19" x14ac:dyDescent="0.25">
      <c r="A239" t="str">
        <f>"Number of Periods"</f>
        <v>Number of Periods</v>
      </c>
      <c r="B239">
        <f>7</f>
        <v>7</v>
      </c>
      <c r="M239" t="str">
        <f>""</f>
        <v/>
      </c>
      <c r="N239" t="str">
        <f>""</f>
        <v/>
      </c>
      <c r="O239" t="str">
        <f>""</f>
        <v/>
      </c>
      <c r="P239" t="str">
        <f>""</f>
        <v/>
      </c>
      <c r="Q239" t="str">
        <f>""</f>
        <v/>
      </c>
      <c r="R239" t="str">
        <f>""</f>
        <v/>
      </c>
      <c r="S239" t="str">
        <f>""</f>
        <v/>
      </c>
    </row>
    <row r="240" spans="1:19" x14ac:dyDescent="0.25">
      <c r="A240" t="str">
        <f>"Start Date"</f>
        <v>Start Date</v>
      </c>
      <c r="B240" t="str">
        <f>CONCATENATE("-",$B$239,$B$238)</f>
        <v>-7CY</v>
      </c>
      <c r="C240" t="str">
        <f>CONCATENATE("-",$B$239,$C$238)</f>
        <v>-7AY</v>
      </c>
      <c r="M240" t="str">
        <f>""</f>
        <v/>
      </c>
      <c r="N240" t="str">
        <f>""</f>
        <v/>
      </c>
      <c r="O240" t="str">
        <f>""</f>
        <v/>
      </c>
      <c r="P240" t="str">
        <f>""</f>
        <v/>
      </c>
      <c r="Q240" t="str">
        <f>""</f>
        <v/>
      </c>
      <c r="R240" t="str">
        <f>""</f>
        <v/>
      </c>
      <c r="S240" t="str">
        <f>""</f>
        <v/>
      </c>
    </row>
    <row r="241" spans="1:19" x14ac:dyDescent="0.25">
      <c r="A241" t="str">
        <f>"End Date"</f>
        <v>End Date</v>
      </c>
      <c r="B241">
        <f ca="1">TODAY()</f>
        <v>44005</v>
      </c>
      <c r="M241" t="str">
        <f>""</f>
        <v/>
      </c>
      <c r="N241" t="str">
        <f>""</f>
        <v/>
      </c>
      <c r="O241" t="str">
        <f>""</f>
        <v/>
      </c>
      <c r="P241" t="str">
        <f>""</f>
        <v/>
      </c>
      <c r="Q241" t="str">
        <f>""</f>
        <v/>
      </c>
      <c r="R241" t="str">
        <f>""</f>
        <v/>
      </c>
      <c r="S241" t="str">
        <f>""</f>
        <v/>
      </c>
    </row>
    <row r="242" spans="1:19" x14ac:dyDescent="0.25">
      <c r="A242" t="str">
        <f>"HeaderStatus(custom data)"</f>
        <v>HeaderStatus(custom data)</v>
      </c>
      <c r="M242" t="str">
        <f>""</f>
        <v/>
      </c>
      <c r="N242" t="str">
        <f>""</f>
        <v/>
      </c>
      <c r="O242" t="str">
        <f>""</f>
        <v/>
      </c>
      <c r="P242" t="str">
        <f>""</f>
        <v/>
      </c>
      <c r="Q242" t="str">
        <f>""</f>
        <v/>
      </c>
      <c r="R242" t="str">
        <f>""</f>
        <v/>
      </c>
      <c r="S242" t="str">
        <f>""</f>
        <v/>
      </c>
    </row>
    <row r="243" spans="1:19" x14ac:dyDescent="0.25">
      <c r="M243" t="str">
        <f>""</f>
        <v/>
      </c>
      <c r="N243" t="str">
        <f>""</f>
        <v/>
      </c>
      <c r="O243" t="str">
        <f>""</f>
        <v/>
      </c>
      <c r="P243" t="str">
        <f>""</f>
        <v/>
      </c>
      <c r="Q243" t="str">
        <f>""</f>
        <v/>
      </c>
      <c r="R243" t="str">
        <f>""</f>
        <v/>
      </c>
      <c r="S243" t="str">
        <f>""</f>
        <v/>
      </c>
    </row>
    <row r="244" spans="1:19" x14ac:dyDescent="0.25">
      <c r="B244" t="str">
        <f>"INFY US Equity"</f>
        <v>INFY US Equity</v>
      </c>
      <c r="C244" t="str">
        <f>"BI047"</f>
        <v>BI047</v>
      </c>
      <c r="D244" t="str">
        <f>"BICS_SEGMENT_DATA"</f>
        <v>BICS_SEGMENT_DATA</v>
      </c>
      <c r="E244" t="str">
        <f t="shared" ref="E244:E275" si="32">"Dynamic"</f>
        <v>Dynamic</v>
      </c>
      <c r="F244" t="e">
        <f ca="1">_xll.BDH($B$244,$C$244,$B$240,$B$241,CONCATENATE("Per=",$B$238),"Dts=H","Dir=H",CONCATENATE("Points=",$B$239),"Sort=R","Days=A","Fill=B","DZ666=001","X0001=NA00","DZ667=1","DS276=Y",CONCATENATE("FX=", $B$237) )</f>
        <v>#NAME?</v>
      </c>
      <c r="M244" t="str">
        <f>""</f>
        <v/>
      </c>
      <c r="N244" t="str">
        <f>""</f>
        <v/>
      </c>
      <c r="O244" t="str">
        <f>""</f>
        <v/>
      </c>
      <c r="P244" t="str">
        <f>""</f>
        <v/>
      </c>
      <c r="Q244" t="str">
        <f>""</f>
        <v/>
      </c>
      <c r="R244" t="str">
        <f>""</f>
        <v/>
      </c>
      <c r="S244" t="str">
        <f>""</f>
        <v/>
      </c>
    </row>
    <row r="245" spans="1:19" x14ac:dyDescent="0.25">
      <c r="B245" t="str">
        <f>"INFY US Equity"</f>
        <v>INFY US Equity</v>
      </c>
      <c r="C245" t="str">
        <f>"IS010"</f>
        <v>IS010</v>
      </c>
      <c r="D245" t="str">
        <f>"SALES_REV_TURN"</f>
        <v>SALES_REV_TURN</v>
      </c>
      <c r="E245" t="str">
        <f t="shared" si="32"/>
        <v>Dynamic</v>
      </c>
      <c r="F245" t="e">
        <f ca="1">_xll.BDH($B$245,$C$245,$B$240,$B$241,CONCATENATE("Per=",$B$238),"Dts=H","Dir=H",CONCATENATE("Points=",$B$239),"Sort=R","Days=A","Fill=B",CONCATENATE("FX=", $B$237) )</f>
        <v>#NAME?</v>
      </c>
      <c r="M245" t="str">
        <f>""</f>
        <v/>
      </c>
      <c r="N245" t="str">
        <f>""</f>
        <v/>
      </c>
      <c r="O245" t="str">
        <f>""</f>
        <v/>
      </c>
      <c r="P245" t="str">
        <f>""</f>
        <v/>
      </c>
      <c r="Q245" t="str">
        <f>""</f>
        <v/>
      </c>
      <c r="R245" t="str">
        <f>""</f>
        <v/>
      </c>
      <c r="S245" t="str">
        <f>""</f>
        <v/>
      </c>
    </row>
    <row r="246" spans="1:19" x14ac:dyDescent="0.25">
      <c r="B246" t="str">
        <f>"TCS IN Equity"</f>
        <v>TCS IN Equity</v>
      </c>
      <c r="C246" t="str">
        <f>"BI047"</f>
        <v>BI047</v>
      </c>
      <c r="D246" t="str">
        <f>"BICS_SEGMENT_DATA"</f>
        <v>BICS_SEGMENT_DATA</v>
      </c>
      <c r="E246" t="str">
        <f t="shared" si="32"/>
        <v>Dynamic</v>
      </c>
      <c r="F246" t="e">
        <f ca="1">_xll.BDH($B$246,$C$246,$B$240,$B$241,CONCATENATE("Per=",$B$238),"Dts=H","Dir=H",CONCATENATE("Points=",$B$239),"Sort=R","Days=A","Fill=B","DZ666=001","X0001=NA00","DZ667=1","DS276=Y",CONCATENATE("FX=", $B$237) )</f>
        <v>#NAME?</v>
      </c>
      <c r="M246" t="str">
        <f>""</f>
        <v/>
      </c>
      <c r="N246" t="str">
        <f>""</f>
        <v/>
      </c>
      <c r="O246" t="str">
        <f>""</f>
        <v/>
      </c>
      <c r="P246" t="str">
        <f>""</f>
        <v/>
      </c>
      <c r="Q246" t="str">
        <f>""</f>
        <v/>
      </c>
      <c r="R246" t="str">
        <f>""</f>
        <v/>
      </c>
      <c r="S246" t="str">
        <f>""</f>
        <v/>
      </c>
    </row>
    <row r="247" spans="1:19" x14ac:dyDescent="0.25">
      <c r="B247" t="str">
        <f>"TCS IN Equity"</f>
        <v>TCS IN Equity</v>
      </c>
      <c r="C247" t="str">
        <f>"IS010"</f>
        <v>IS010</v>
      </c>
      <c r="D247" t="str">
        <f>"SALES_REV_TURN"</f>
        <v>SALES_REV_TURN</v>
      </c>
      <c r="E247" t="str">
        <f t="shared" si="32"/>
        <v>Dynamic</v>
      </c>
      <c r="F247" t="e">
        <f ca="1">_xll.BDH($B$247,$C$247,$B$240,$B$241,CONCATENATE("Per=",$B$238),"Dts=H","Dir=H",CONCATENATE("Points=",$B$239),"Sort=R","Days=A","Fill=B",CONCATENATE("FX=", $B$237) )</f>
        <v>#NAME?</v>
      </c>
      <c r="M247" t="str">
        <f>""</f>
        <v/>
      </c>
      <c r="N247" t="str">
        <f>""</f>
        <v/>
      </c>
      <c r="O247" t="str">
        <f>""</f>
        <v/>
      </c>
      <c r="P247" t="str">
        <f>""</f>
        <v/>
      </c>
      <c r="Q247" t="str">
        <f>""</f>
        <v/>
      </c>
      <c r="R247" t="str">
        <f>""</f>
        <v/>
      </c>
      <c r="S247" t="str">
        <f>""</f>
        <v/>
      </c>
    </row>
    <row r="248" spans="1:19" x14ac:dyDescent="0.25">
      <c r="B248" t="str">
        <f>"HCLT IN Equity"</f>
        <v>HCLT IN Equity</v>
      </c>
      <c r="C248" t="str">
        <f>"BI047"</f>
        <v>BI047</v>
      </c>
      <c r="D248" t="str">
        <f>"BICS_SEGMENT_DATA"</f>
        <v>BICS_SEGMENT_DATA</v>
      </c>
      <c r="E248" t="str">
        <f t="shared" si="32"/>
        <v>Dynamic</v>
      </c>
      <c r="F248" t="e">
        <f ca="1">_xll.BDH($B$248,$C$248,$B$240,$B$241,CONCATENATE("Per=",$B$238),"Dts=H","Dir=H",CONCATENATE("Points=",$B$239),"Sort=R","Days=A","Fill=B","DZ666=001","X0001=NAUS","DZ667=1","DS276=Y",CONCATENATE("FX=", $B$237) )</f>
        <v>#NAME?</v>
      </c>
      <c r="M248" t="str">
        <f>""</f>
        <v/>
      </c>
      <c r="N248" t="str">
        <f>""</f>
        <v/>
      </c>
      <c r="O248" t="str">
        <f>""</f>
        <v/>
      </c>
      <c r="P248" t="str">
        <f>""</f>
        <v/>
      </c>
      <c r="Q248" t="str">
        <f>""</f>
        <v/>
      </c>
      <c r="R248" t="str">
        <f>""</f>
        <v/>
      </c>
      <c r="S248" t="str">
        <f>""</f>
        <v/>
      </c>
    </row>
    <row r="249" spans="1:19" x14ac:dyDescent="0.25">
      <c r="B249" t="str">
        <f>"HCLT IN Equity"</f>
        <v>HCLT IN Equity</v>
      </c>
      <c r="C249" t="str">
        <f>"IS010"</f>
        <v>IS010</v>
      </c>
      <c r="D249" t="str">
        <f>"SALES_REV_TURN"</f>
        <v>SALES_REV_TURN</v>
      </c>
      <c r="E249" t="str">
        <f t="shared" si="32"/>
        <v>Dynamic</v>
      </c>
      <c r="F249" t="e">
        <f ca="1">_xll.BDH($B$249,$C$249,$B$240,$B$241,CONCATENATE("Per=",$B$238),"Dts=H","Dir=H",CONCATENATE("Points=",$B$239),"Sort=R","Days=A","Fill=B",CONCATENATE("FX=", $B$237) )</f>
        <v>#NAME?</v>
      </c>
      <c r="M249" t="str">
        <f>""</f>
        <v/>
      </c>
      <c r="N249" t="str">
        <f>""</f>
        <v/>
      </c>
      <c r="O249" t="str">
        <f>""</f>
        <v/>
      </c>
      <c r="P249" t="str">
        <f>""</f>
        <v/>
      </c>
      <c r="Q249" t="str">
        <f>""</f>
        <v/>
      </c>
      <c r="R249" t="str">
        <f>""</f>
        <v/>
      </c>
      <c r="S249" t="str">
        <f>""</f>
        <v/>
      </c>
    </row>
    <row r="250" spans="1:19" x14ac:dyDescent="0.25">
      <c r="B250" t="str">
        <f>"WIT US Equity"</f>
        <v>WIT US Equity</v>
      </c>
      <c r="C250" t="str">
        <f>"BI047"</f>
        <v>BI047</v>
      </c>
      <c r="D250" t="str">
        <f>"BICS_SEGMENT_DATA"</f>
        <v>BICS_SEGMENT_DATA</v>
      </c>
      <c r="E250" t="str">
        <f t="shared" si="32"/>
        <v>Dynamic</v>
      </c>
      <c r="F250" t="e">
        <f ca="1">_xll.BDH($B$250,$C$250,$B$240,$B$241,CONCATENATE("Per=",$B$238),"Dts=H","Dir=H",CONCATENATE("Points=",$B$239),"Sort=R","Days=A","Fill=B","DZ666=001","X0001=NAUS","DZ667=1","DS276=Y",CONCATENATE("FX=", $B$237) )</f>
        <v>#NAME?</v>
      </c>
      <c r="M250" t="str">
        <f>""</f>
        <v/>
      </c>
      <c r="N250" t="str">
        <f>""</f>
        <v/>
      </c>
      <c r="O250" t="str">
        <f>""</f>
        <v/>
      </c>
      <c r="P250" t="str">
        <f>""</f>
        <v/>
      </c>
      <c r="Q250" t="str">
        <f>""</f>
        <v/>
      </c>
      <c r="R250" t="str">
        <f>""</f>
        <v/>
      </c>
      <c r="S250" t="str">
        <f>""</f>
        <v/>
      </c>
    </row>
    <row r="251" spans="1:19" x14ac:dyDescent="0.25">
      <c r="B251" t="str">
        <f>"WIT US Equity"</f>
        <v>WIT US Equity</v>
      </c>
      <c r="C251" t="str">
        <f>"IS010"</f>
        <v>IS010</v>
      </c>
      <c r="D251" t="str">
        <f>"SALES_REV_TURN"</f>
        <v>SALES_REV_TURN</v>
      </c>
      <c r="E251" t="str">
        <f t="shared" si="32"/>
        <v>Dynamic</v>
      </c>
      <c r="F251" t="e">
        <f ca="1">_xll.BDH($B$251,$C$251,$B$240,$B$241,CONCATENATE("Per=",$B$238),"Dts=H","Dir=H",CONCATENATE("Points=",$B$239),"Sort=R","Days=A","Fill=B",CONCATENATE("FX=", $B$237) )</f>
        <v>#NAME?</v>
      </c>
      <c r="M251" t="str">
        <f>""</f>
        <v/>
      </c>
      <c r="N251" t="str">
        <f>""</f>
        <v/>
      </c>
      <c r="O251" t="str">
        <f>""</f>
        <v/>
      </c>
      <c r="P251" t="str">
        <f>""</f>
        <v/>
      </c>
      <c r="Q251" t="str">
        <f>""</f>
        <v/>
      </c>
      <c r="R251" t="str">
        <f>""</f>
        <v/>
      </c>
      <c r="S251" t="str">
        <f>""</f>
        <v/>
      </c>
    </row>
    <row r="252" spans="1:19" x14ac:dyDescent="0.25">
      <c r="B252" t="str">
        <f>"WIT US Equity"</f>
        <v>WIT US Equity</v>
      </c>
      <c r="C252" t="str">
        <f>"BI047"</f>
        <v>BI047</v>
      </c>
      <c r="D252" t="str">
        <f>"BICS_SEGMENT_DATA"</f>
        <v>BICS_SEGMENT_DATA</v>
      </c>
      <c r="E252" t="str">
        <f t="shared" si="32"/>
        <v>Dynamic</v>
      </c>
      <c r="F252" t="e">
        <f ca="1">_xll.BDH($B$252,$C$252,$B$240,$B$241,CONCATENATE("Per=",$B$238),"Dts=H","Dir=H",CONCATENATE("Points=",$B$239),"Sort=R","Days=A","Fill=B","DZ666=001","X0001=EU00","DZ667=1","DS276=Y",CONCATENATE("FX=", $B$237) )</f>
        <v>#NAME?</v>
      </c>
      <c r="M252" t="str">
        <f>""</f>
        <v/>
      </c>
      <c r="N252" t="str">
        <f>""</f>
        <v/>
      </c>
      <c r="O252" t="str">
        <f>""</f>
        <v/>
      </c>
      <c r="P252" t="str">
        <f>""</f>
        <v/>
      </c>
      <c r="Q252" t="str">
        <f>""</f>
        <v/>
      </c>
      <c r="R252" t="str">
        <f>""</f>
        <v/>
      </c>
      <c r="S252" t="str">
        <f>""</f>
        <v/>
      </c>
    </row>
    <row r="253" spans="1:19" x14ac:dyDescent="0.25">
      <c r="B253" t="str">
        <f>"WIT US Equity"</f>
        <v>WIT US Equity</v>
      </c>
      <c r="C253" t="str">
        <f>"IS010"</f>
        <v>IS010</v>
      </c>
      <c r="D253" t="str">
        <f>"SALES_REV_TURN"</f>
        <v>SALES_REV_TURN</v>
      </c>
      <c r="E253" t="str">
        <f t="shared" si="32"/>
        <v>Dynamic</v>
      </c>
      <c r="F253" t="e">
        <f ca="1">_xll.BDH($B$253,$C$253,$B$240,$B$241,CONCATENATE("Per=",$B$238),"Dts=H","Dir=H",CONCATENATE("Points=",$B$239),"Sort=R","Days=A","Fill=B",CONCATENATE("FX=", $B$237) )</f>
        <v>#NAME?</v>
      </c>
      <c r="M253" t="str">
        <f>""</f>
        <v/>
      </c>
      <c r="N253" t="str">
        <f>""</f>
        <v/>
      </c>
      <c r="O253" t="str">
        <f>""</f>
        <v/>
      </c>
      <c r="P253" t="str">
        <f>""</f>
        <v/>
      </c>
      <c r="Q253" t="str">
        <f>""</f>
        <v/>
      </c>
      <c r="R253" t="str">
        <f>""</f>
        <v/>
      </c>
      <c r="S253" t="str">
        <f>""</f>
        <v/>
      </c>
    </row>
    <row r="254" spans="1:19" x14ac:dyDescent="0.25">
      <c r="B254" t="str">
        <f>"HCLT IN Equity"</f>
        <v>HCLT IN Equity</v>
      </c>
      <c r="C254" t="str">
        <f>"BI047"</f>
        <v>BI047</v>
      </c>
      <c r="D254" t="str">
        <f>"BICS_SEGMENT_DATA"</f>
        <v>BICS_SEGMENT_DATA</v>
      </c>
      <c r="E254" t="str">
        <f t="shared" si="32"/>
        <v>Dynamic</v>
      </c>
      <c r="F254" t="e">
        <f ca="1">_xll.BDH($B$254,$C$254,$B$240,$B$241,CONCATENATE("Per=",$B$238),"Dts=H","Dir=H",CONCATENATE("Points=",$B$239),"Sort=R","Days=A","Fill=B","DZ666=001","X0001=EU00","DZ667=1","DS276=Y",CONCATENATE("FX=", $B$237) )</f>
        <v>#NAME?</v>
      </c>
      <c r="M254" t="str">
        <f>""</f>
        <v/>
      </c>
      <c r="N254" t="str">
        <f>""</f>
        <v/>
      </c>
      <c r="O254" t="str">
        <f>""</f>
        <v/>
      </c>
      <c r="P254" t="str">
        <f>""</f>
        <v/>
      </c>
      <c r="Q254" t="str">
        <f>""</f>
        <v/>
      </c>
      <c r="R254" t="str">
        <f>""</f>
        <v/>
      </c>
      <c r="S254" t="str">
        <f>""</f>
        <v/>
      </c>
    </row>
    <row r="255" spans="1:19" x14ac:dyDescent="0.25">
      <c r="B255" t="str">
        <f>"HCLT IN Equity"</f>
        <v>HCLT IN Equity</v>
      </c>
      <c r="C255" t="str">
        <f>"IS010"</f>
        <v>IS010</v>
      </c>
      <c r="D255" t="str">
        <f>"SALES_REV_TURN"</f>
        <v>SALES_REV_TURN</v>
      </c>
      <c r="E255" t="str">
        <f t="shared" si="32"/>
        <v>Dynamic</v>
      </c>
      <c r="F255" t="e">
        <f ca="1">_xll.BDH($B$255,$C$255,$B$240,$B$241,CONCATENATE("Per=",$B$238),"Dts=H","Dir=H",CONCATENATE("Points=",$B$239),"Sort=R","Days=A","Fill=B",CONCATENATE("FX=", $B$237) )</f>
        <v>#NAME?</v>
      </c>
      <c r="M255" t="str">
        <f>""</f>
        <v/>
      </c>
      <c r="N255" t="str">
        <f>""</f>
        <v/>
      </c>
      <c r="O255" t="str">
        <f>""</f>
        <v/>
      </c>
      <c r="P255" t="str">
        <f>""</f>
        <v/>
      </c>
      <c r="Q255" t="str">
        <f>""</f>
        <v/>
      </c>
      <c r="R255" t="str">
        <f>""</f>
        <v/>
      </c>
      <c r="S255" t="str">
        <f>""</f>
        <v/>
      </c>
    </row>
    <row r="256" spans="1:19" x14ac:dyDescent="0.25">
      <c r="B256" t="str">
        <f>"TCS IN Equity"</f>
        <v>TCS IN Equity</v>
      </c>
      <c r="C256" t="str">
        <f>"BI047"</f>
        <v>BI047</v>
      </c>
      <c r="D256" t="str">
        <f>"BICS_SEGMENT_DATA"</f>
        <v>BICS_SEGMENT_DATA</v>
      </c>
      <c r="E256" t="str">
        <f t="shared" si="32"/>
        <v>Dynamic</v>
      </c>
      <c r="F256" t="e">
        <f ca="1">_xll.BDH($B$256,$C$256,$B$240,$B$241,CONCATENATE("Per=",$B$238),"Dts=H","Dir=H",CONCATENATE("Points=",$B$239),"Sort=R","Days=A","Fill=B","DZ666=001","X0001=EU00","DZ667=1","DS276=Y",CONCATENATE("FX=", $B$237) )</f>
        <v>#NAME?</v>
      </c>
      <c r="M256" t="str">
        <f>""</f>
        <v/>
      </c>
      <c r="N256" t="str">
        <f>""</f>
        <v/>
      </c>
      <c r="O256" t="str">
        <f>""</f>
        <v/>
      </c>
      <c r="P256" t="str">
        <f>""</f>
        <v/>
      </c>
      <c r="Q256" t="str">
        <f>""</f>
        <v/>
      </c>
      <c r="R256" t="str">
        <f>""</f>
        <v/>
      </c>
      <c r="S256" t="str">
        <f>""</f>
        <v/>
      </c>
    </row>
    <row r="257" spans="2:19" x14ac:dyDescent="0.25">
      <c r="B257" t="str">
        <f>"TCS IN Equity"</f>
        <v>TCS IN Equity</v>
      </c>
      <c r="C257" t="str">
        <f>"IS010"</f>
        <v>IS010</v>
      </c>
      <c r="D257" t="str">
        <f>"SALES_REV_TURN"</f>
        <v>SALES_REV_TURN</v>
      </c>
      <c r="E257" t="str">
        <f t="shared" si="32"/>
        <v>Dynamic</v>
      </c>
      <c r="F257" t="e">
        <f ca="1">_xll.BDH($B$257,$C$257,$B$240,$B$241,CONCATENATE("Per=",$B$238),"Dts=H","Dir=H",CONCATENATE("Points=",$B$239),"Sort=R","Days=A","Fill=B",CONCATENATE("FX=", $B$237) )</f>
        <v>#NAME?</v>
      </c>
      <c r="M257" t="str">
        <f>""</f>
        <v/>
      </c>
      <c r="N257" t="str">
        <f>""</f>
        <v/>
      </c>
      <c r="O257" t="str">
        <f>""</f>
        <v/>
      </c>
      <c r="P257" t="str">
        <f>""</f>
        <v/>
      </c>
      <c r="Q257" t="str">
        <f>""</f>
        <v/>
      </c>
      <c r="R257" t="str">
        <f>""</f>
        <v/>
      </c>
      <c r="S257" t="str">
        <f>""</f>
        <v/>
      </c>
    </row>
    <row r="258" spans="2:19" x14ac:dyDescent="0.25">
      <c r="B258" t="str">
        <f>"INFY US Equity"</f>
        <v>INFY US Equity</v>
      </c>
      <c r="C258" t="str">
        <f>"BI047"</f>
        <v>BI047</v>
      </c>
      <c r="D258" t="str">
        <f>"BICS_SEGMENT_DATA"</f>
        <v>BICS_SEGMENT_DATA</v>
      </c>
      <c r="E258" t="str">
        <f t="shared" si="32"/>
        <v>Dynamic</v>
      </c>
      <c r="F258" t="e">
        <f ca="1">_xll.BDH($B$258,$C$258,$B$240,$B$241,CONCATENATE("Per=",$B$238),"Dts=H","Dir=H",CONCATENATE("Points=",$B$239),"Sort=R","Days=A","Fill=B","DZ666=001","X0001=EU00","DZ667=1","DS276=Y",CONCATENATE("FX=", $B$237) )</f>
        <v>#NAME?</v>
      </c>
      <c r="M258" t="str">
        <f>""</f>
        <v/>
      </c>
      <c r="N258" t="str">
        <f>""</f>
        <v/>
      </c>
      <c r="O258" t="str">
        <f>""</f>
        <v/>
      </c>
      <c r="P258" t="str">
        <f>""</f>
        <v/>
      </c>
      <c r="Q258" t="str">
        <f>""</f>
        <v/>
      </c>
      <c r="R258" t="str">
        <f>""</f>
        <v/>
      </c>
      <c r="S258" t="str">
        <f>""</f>
        <v/>
      </c>
    </row>
    <row r="259" spans="2:19" x14ac:dyDescent="0.25">
      <c r="B259" t="str">
        <f>"INFY US Equity"</f>
        <v>INFY US Equity</v>
      </c>
      <c r="C259" t="str">
        <f>"IS010"</f>
        <v>IS010</v>
      </c>
      <c r="D259" t="str">
        <f>"SALES_REV_TURN"</f>
        <v>SALES_REV_TURN</v>
      </c>
      <c r="E259" t="str">
        <f t="shared" si="32"/>
        <v>Dynamic</v>
      </c>
      <c r="F259" t="e">
        <f ca="1">_xll.BDH($B$259,$C$259,$B$240,$B$241,CONCATENATE("Per=",$B$238),"Dts=H","Dir=H",CONCATENATE("Points=",$B$239),"Sort=R","Days=A","Fill=B",CONCATENATE("FX=", $B$237) )</f>
        <v>#NAME?</v>
      </c>
      <c r="M259" t="str">
        <f>""</f>
        <v/>
      </c>
      <c r="N259" t="str">
        <f>""</f>
        <v/>
      </c>
      <c r="O259" t="str">
        <f>""</f>
        <v/>
      </c>
      <c r="P259" t="str">
        <f>""</f>
        <v/>
      </c>
      <c r="Q259" t="str">
        <f>""</f>
        <v/>
      </c>
      <c r="R259" t="str">
        <f>""</f>
        <v/>
      </c>
      <c r="S259" t="str">
        <f>""</f>
        <v/>
      </c>
    </row>
    <row r="260" spans="2:19" x14ac:dyDescent="0.25">
      <c r="B260" t="str">
        <f>"WIT US Equity"</f>
        <v>WIT US Equity</v>
      </c>
      <c r="C260" t="str">
        <f>"BI047"</f>
        <v>BI047</v>
      </c>
      <c r="D260" t="str">
        <f>"BICS_SEGMENT_DATA"</f>
        <v>BICS_SEGMENT_DATA</v>
      </c>
      <c r="E260" t="str">
        <f t="shared" si="32"/>
        <v>Dynamic</v>
      </c>
      <c r="F260" t="e">
        <f ca="1">_xll.BDH($B$260,$C$260,$B$240,$B$241,CONCATENATE("Per=",$B$238),"Dts=H","Dir=H",CONCATENATE("Points=",$B$239),"Sort=R","Days=A","Fill=B","DZ666=001","X0001=ASIN","DZ667=1","DS276=Y",CONCATENATE("FX=", $B$237) )</f>
        <v>#NAME?</v>
      </c>
      <c r="M260" t="str">
        <f>""</f>
        <v/>
      </c>
      <c r="N260" t="str">
        <f>""</f>
        <v/>
      </c>
      <c r="O260" t="str">
        <f>""</f>
        <v/>
      </c>
      <c r="P260" t="str">
        <f>""</f>
        <v/>
      </c>
      <c r="Q260" t="str">
        <f>""</f>
        <v/>
      </c>
      <c r="R260" t="str">
        <f>""</f>
        <v/>
      </c>
      <c r="S260" t="str">
        <f>""</f>
        <v/>
      </c>
    </row>
    <row r="261" spans="2:19" x14ac:dyDescent="0.25">
      <c r="B261" t="str">
        <f>"WIT US Equity"</f>
        <v>WIT US Equity</v>
      </c>
      <c r="C261" t="str">
        <f>"IS010"</f>
        <v>IS010</v>
      </c>
      <c r="D261" t="str">
        <f>"SALES_REV_TURN"</f>
        <v>SALES_REV_TURN</v>
      </c>
      <c r="E261" t="str">
        <f t="shared" si="32"/>
        <v>Dynamic</v>
      </c>
      <c r="F261" t="e">
        <f ca="1">_xll.BDH($B$261,$C$261,$B$240,$B$241,CONCATENATE("Per=",$B$238),"Dts=H","Dir=H",CONCATENATE("Points=",$B$239),"Sort=R","Days=A","Fill=B",CONCATENATE("FX=", $B$237) )</f>
        <v>#NAME?</v>
      </c>
      <c r="M261" t="str">
        <f>""</f>
        <v/>
      </c>
      <c r="N261" t="str">
        <f>""</f>
        <v/>
      </c>
      <c r="O261" t="str">
        <f>""</f>
        <v/>
      </c>
      <c r="P261" t="str">
        <f>""</f>
        <v/>
      </c>
      <c r="Q261" t="str">
        <f>""</f>
        <v/>
      </c>
      <c r="R261" t="str">
        <f>""</f>
        <v/>
      </c>
      <c r="S261" t="str">
        <f>""</f>
        <v/>
      </c>
    </row>
    <row r="262" spans="2:19" x14ac:dyDescent="0.25">
      <c r="B262" t="str">
        <f>"TCS IN Equity"</f>
        <v>TCS IN Equity</v>
      </c>
      <c r="C262" t="str">
        <f>"BI047"</f>
        <v>BI047</v>
      </c>
      <c r="D262" t="str">
        <f>"BICS_SEGMENT_DATA"</f>
        <v>BICS_SEGMENT_DATA</v>
      </c>
      <c r="E262" t="str">
        <f t="shared" si="32"/>
        <v>Dynamic</v>
      </c>
      <c r="F262" t="e">
        <f ca="1">_xll.BDH($B$262,$C$262,$B$240,$B$241,CONCATENATE("Per=",$B$238),"Dts=H","Dir=H",CONCATENATE("Points=",$B$239),"Sort=R","Days=A","Fill=B","DZ666=001","X0001=AP00","DZ667=1","DS276=Y",CONCATENATE("FX=", $B$237) )</f>
        <v>#NAME?</v>
      </c>
      <c r="M262" t="str">
        <f>""</f>
        <v/>
      </c>
      <c r="N262" t="str">
        <f>""</f>
        <v/>
      </c>
      <c r="O262" t="str">
        <f>""</f>
        <v/>
      </c>
      <c r="P262" t="str">
        <f>""</f>
        <v/>
      </c>
      <c r="Q262" t="str">
        <f>""</f>
        <v/>
      </c>
      <c r="R262" t="str">
        <f>""</f>
        <v/>
      </c>
      <c r="S262" t="str">
        <f>""</f>
        <v/>
      </c>
    </row>
    <row r="263" spans="2:19" x14ac:dyDescent="0.25">
      <c r="B263" t="str">
        <f>"TCS IN Equity"</f>
        <v>TCS IN Equity</v>
      </c>
      <c r="C263" t="str">
        <f>"IS010"</f>
        <v>IS010</v>
      </c>
      <c r="D263" t="str">
        <f>"SALES_REV_TURN"</f>
        <v>SALES_REV_TURN</v>
      </c>
      <c r="E263" t="str">
        <f t="shared" si="32"/>
        <v>Dynamic</v>
      </c>
      <c r="F263" t="e">
        <f ca="1">_xll.BDH($B$263,$C$263,$B$240,$B$241,CONCATENATE("Per=",$B$238),"Dts=H","Dir=H",CONCATENATE("Points=",$B$239),"Sort=R","Days=A","Fill=B",CONCATENATE("FX=", $B$237) )</f>
        <v>#NAME?</v>
      </c>
      <c r="M263" t="str">
        <f>""</f>
        <v/>
      </c>
      <c r="N263" t="str">
        <f>""</f>
        <v/>
      </c>
      <c r="O263" t="str">
        <f>""</f>
        <v/>
      </c>
      <c r="P263" t="str">
        <f>""</f>
        <v/>
      </c>
      <c r="Q263" t="str">
        <f>""</f>
        <v/>
      </c>
      <c r="R263" t="str">
        <f>""</f>
        <v/>
      </c>
      <c r="S263" t="str">
        <f>""</f>
        <v/>
      </c>
    </row>
    <row r="264" spans="2:19" x14ac:dyDescent="0.25">
      <c r="B264" t="str">
        <f>"WIT US Equity"</f>
        <v>WIT US Equity</v>
      </c>
      <c r="C264" t="str">
        <f>"BI047"</f>
        <v>BI047</v>
      </c>
      <c r="D264" t="str">
        <f>"BICS_SEGMENT_DATA"</f>
        <v>BICS_SEGMENT_DATA</v>
      </c>
      <c r="E264" t="str">
        <f t="shared" si="32"/>
        <v>Dynamic</v>
      </c>
      <c r="F264" t="e">
        <f ca="1">_xll.BDH($B$264,$C$264,$B$240,$B$241,CONCATENATE("Per=",$B$238),"Dts=H","Dir=H",CONCATENATE("Points=",$B$239),"Sort=R","Days=A","Fill=B","DZ666=001","X0001=EU00","DZ667=1","DS276=Y",CONCATENATE("FX=", $B$237) )</f>
        <v>#NAME?</v>
      </c>
      <c r="M264" t="str">
        <f>""</f>
        <v/>
      </c>
      <c r="N264" t="str">
        <f>""</f>
        <v/>
      </c>
      <c r="O264" t="str">
        <f>""</f>
        <v/>
      </c>
      <c r="P264" t="str">
        <f>""</f>
        <v/>
      </c>
      <c r="Q264" t="str">
        <f>""</f>
        <v/>
      </c>
      <c r="R264" t="str">
        <f>""</f>
        <v/>
      </c>
      <c r="S264" t="str">
        <f>""</f>
        <v/>
      </c>
    </row>
    <row r="265" spans="2:19" x14ac:dyDescent="0.25">
      <c r="B265" t="str">
        <f>"WIT US Equity"</f>
        <v>WIT US Equity</v>
      </c>
      <c r="C265" t="str">
        <f>"IS010"</f>
        <v>IS010</v>
      </c>
      <c r="D265" t="str">
        <f>"SALES_REV_TURN"</f>
        <v>SALES_REV_TURN</v>
      </c>
      <c r="E265" t="str">
        <f t="shared" si="32"/>
        <v>Dynamic</v>
      </c>
      <c r="F265" t="e">
        <f ca="1">_xll.BDH($B$265,$C$265,$B$240,$B$241,CONCATENATE("Per=",$B$238),"Dts=H","Dir=H",CONCATENATE("Points=",$B$239),"Sort=R","Days=A","Fill=B",CONCATENATE("FX=", $B$237) )</f>
        <v>#NAME?</v>
      </c>
      <c r="M265" t="str">
        <f>""</f>
        <v/>
      </c>
      <c r="N265" t="str">
        <f>""</f>
        <v/>
      </c>
      <c r="O265" t="str">
        <f>""</f>
        <v/>
      </c>
      <c r="P265" t="str">
        <f>""</f>
        <v/>
      </c>
      <c r="Q265" t="str">
        <f>""</f>
        <v/>
      </c>
      <c r="R265" t="str">
        <f>""</f>
        <v/>
      </c>
      <c r="S265" t="str">
        <f>""</f>
        <v/>
      </c>
    </row>
    <row r="266" spans="2:19" x14ac:dyDescent="0.25">
      <c r="B266" t="str">
        <f>"TCS IN Equity"</f>
        <v>TCS IN Equity</v>
      </c>
      <c r="C266" t="str">
        <f>"BI047"</f>
        <v>BI047</v>
      </c>
      <c r="D266" t="str">
        <f>"BICS_SEGMENT_DATA"</f>
        <v>BICS_SEGMENT_DATA</v>
      </c>
      <c r="E266" t="str">
        <f t="shared" si="32"/>
        <v>Dynamic</v>
      </c>
      <c r="F266" t="e">
        <f ca="1">_xll.BDH($B$266,$C$266,$B$240,$B$241,CONCATENATE("Per=",$B$238),"Dts=H","Dir=H",CONCATENATE("Points=",$B$239),"Sort=R","Days=A","Fill=B","DZ666=001","X0001=ASIN","DZ667=1","DS276=Y",CONCATENATE("FX=", $B$237) )</f>
        <v>#NAME?</v>
      </c>
      <c r="M266" t="str">
        <f>""</f>
        <v/>
      </c>
      <c r="N266" t="str">
        <f>""</f>
        <v/>
      </c>
      <c r="O266" t="str">
        <f>""</f>
        <v/>
      </c>
      <c r="P266" t="str">
        <f>""</f>
        <v/>
      </c>
      <c r="Q266" t="str">
        <f>""</f>
        <v/>
      </c>
      <c r="R266" t="str">
        <f>""</f>
        <v/>
      </c>
      <c r="S266" t="str">
        <f>""</f>
        <v/>
      </c>
    </row>
    <row r="267" spans="2:19" x14ac:dyDescent="0.25">
      <c r="B267" t="str">
        <f>"TCS IN Equity"</f>
        <v>TCS IN Equity</v>
      </c>
      <c r="C267" t="str">
        <f>"IS010"</f>
        <v>IS010</v>
      </c>
      <c r="D267" t="str">
        <f>"SALES_REV_TURN"</f>
        <v>SALES_REV_TURN</v>
      </c>
      <c r="E267" t="str">
        <f t="shared" si="32"/>
        <v>Dynamic</v>
      </c>
      <c r="F267" t="e">
        <f ca="1">_xll.BDH($B$267,$C$267,$B$240,$B$241,CONCATENATE("Per=",$B$238),"Dts=H","Dir=H",CONCATENATE("Points=",$B$239),"Sort=R","Days=A","Fill=B",CONCATENATE("FX=", $B$237) )</f>
        <v>#NAME?</v>
      </c>
      <c r="M267" t="str">
        <f>""</f>
        <v/>
      </c>
      <c r="N267" t="str">
        <f>""</f>
        <v/>
      </c>
      <c r="O267" t="str">
        <f>""</f>
        <v/>
      </c>
      <c r="P267" t="str">
        <f>""</f>
        <v/>
      </c>
      <c r="Q267" t="str">
        <f>""</f>
        <v/>
      </c>
      <c r="R267" t="str">
        <f>""</f>
        <v/>
      </c>
      <c r="S267" t="str">
        <f>""</f>
        <v/>
      </c>
    </row>
    <row r="268" spans="2:19" x14ac:dyDescent="0.25">
      <c r="B268" t="str">
        <f>"HCLT IN Equity"</f>
        <v>HCLT IN Equity</v>
      </c>
      <c r="C268" t="str">
        <f>"BI047"</f>
        <v>BI047</v>
      </c>
      <c r="D268" t="str">
        <f>"BICS_SEGMENT_DATA"</f>
        <v>BICS_SEGMENT_DATA</v>
      </c>
      <c r="E268" t="str">
        <f t="shared" si="32"/>
        <v>Dynamic</v>
      </c>
      <c r="F268" t="e">
        <f ca="1">_xll.BDH($B$268,$C$268,$B$240,$B$241,CONCATENATE("Per=",$B$238),"Dts=H","Dir=H",CONCATENATE("Points=",$B$239),"Sort=R","Days=A","Fill=B","DZ666=001","X0001=ASIN","DZ667=1","DS276=Y",CONCATENATE("FX=", $B$237) )</f>
        <v>#NAME?</v>
      </c>
      <c r="M268" t="str">
        <f>""</f>
        <v/>
      </c>
      <c r="N268" t="str">
        <f>""</f>
        <v/>
      </c>
      <c r="O268" t="str">
        <f>""</f>
        <v/>
      </c>
      <c r="P268" t="str">
        <f>""</f>
        <v/>
      </c>
      <c r="Q268" t="str">
        <f>""</f>
        <v/>
      </c>
      <c r="R268" t="str">
        <f>""</f>
        <v/>
      </c>
      <c r="S268" t="str">
        <f>""</f>
        <v/>
      </c>
    </row>
    <row r="269" spans="2:19" x14ac:dyDescent="0.25">
      <c r="B269" t="str">
        <f>"HCLT IN Equity"</f>
        <v>HCLT IN Equity</v>
      </c>
      <c r="C269" t="str">
        <f>"IS010"</f>
        <v>IS010</v>
      </c>
      <c r="D269" t="str">
        <f>"SALES_REV_TURN"</f>
        <v>SALES_REV_TURN</v>
      </c>
      <c r="E269" t="str">
        <f t="shared" si="32"/>
        <v>Dynamic</v>
      </c>
      <c r="F269" t="e">
        <f ca="1">_xll.BDH($B$269,$C$269,$B$240,$B$241,CONCATENATE("Per=",$B$238),"Dts=H","Dir=H",CONCATENATE("Points=",$B$239),"Sort=R","Days=A","Fill=B",CONCATENATE("FX=", $B$237) )</f>
        <v>#NAME?</v>
      </c>
      <c r="M269" t="str">
        <f>""</f>
        <v/>
      </c>
      <c r="N269" t="str">
        <f>""</f>
        <v/>
      </c>
      <c r="O269" t="str">
        <f>""</f>
        <v/>
      </c>
      <c r="P269" t="str">
        <f>""</f>
        <v/>
      </c>
      <c r="Q269" t="str">
        <f>""</f>
        <v/>
      </c>
      <c r="R269" t="str">
        <f>""</f>
        <v/>
      </c>
      <c r="S269" t="str">
        <f>""</f>
        <v/>
      </c>
    </row>
    <row r="270" spans="2:19" x14ac:dyDescent="0.25">
      <c r="B270" t="str">
        <f>"INFY US Equity"</f>
        <v>INFY US Equity</v>
      </c>
      <c r="C270" t="str">
        <f>"BI047"</f>
        <v>BI047</v>
      </c>
      <c r="D270" t="str">
        <f>"BICS_SEGMENT_DATA"</f>
        <v>BICS_SEGMENT_DATA</v>
      </c>
      <c r="E270" t="str">
        <f t="shared" si="32"/>
        <v>Dynamic</v>
      </c>
      <c r="F270" t="e">
        <f ca="1">_xll.BDH($B$270,$C$270,$B$240,$B$241,CONCATENATE("Per=",$B$238),"Dts=H","Dir=H",CONCATENATE("Points=",$B$239),"Sort=R","Days=A","Fill=B","DZ666=001","X0001=ASIN","DZ667=1","DS276=Y",CONCATENATE("FX=", $B$237) )</f>
        <v>#NAME?</v>
      </c>
      <c r="M270" t="str">
        <f>""</f>
        <v/>
      </c>
      <c r="N270" t="str">
        <f>""</f>
        <v/>
      </c>
      <c r="O270" t="str">
        <f>""</f>
        <v/>
      </c>
      <c r="P270" t="str">
        <f>""</f>
        <v/>
      </c>
      <c r="Q270" t="str">
        <f>""</f>
        <v/>
      </c>
      <c r="R270" t="str">
        <f>""</f>
        <v/>
      </c>
      <c r="S270" t="str">
        <f>""</f>
        <v/>
      </c>
    </row>
    <row r="271" spans="2:19" x14ac:dyDescent="0.25">
      <c r="B271" t="str">
        <f>"INFY US Equity"</f>
        <v>INFY US Equity</v>
      </c>
      <c r="C271" t="str">
        <f>"IS010"</f>
        <v>IS010</v>
      </c>
      <c r="D271" t="str">
        <f>"SALES_REV_TURN"</f>
        <v>SALES_REV_TURN</v>
      </c>
      <c r="E271" t="str">
        <f t="shared" si="32"/>
        <v>Dynamic</v>
      </c>
      <c r="F271" t="e">
        <f ca="1">_xll.BDH($B$271,$C$271,$B$240,$B$241,CONCATENATE("Per=",$B$238),"Dts=H","Dir=H",CONCATENATE("Points=",$B$239),"Sort=R","Days=A","Fill=B",CONCATENATE("FX=", $B$237) )</f>
        <v>#NAME?</v>
      </c>
      <c r="M271" t="str">
        <f>""</f>
        <v/>
      </c>
      <c r="N271" t="str">
        <f>""</f>
        <v/>
      </c>
      <c r="O271" t="str">
        <f>""</f>
        <v/>
      </c>
      <c r="P271" t="str">
        <f>""</f>
        <v/>
      </c>
      <c r="Q271" t="str">
        <f>""</f>
        <v/>
      </c>
      <c r="R271" t="str">
        <f>""</f>
        <v/>
      </c>
      <c r="S271" t="str">
        <f>""</f>
        <v/>
      </c>
    </row>
    <row r="272" spans="2:19" x14ac:dyDescent="0.25">
      <c r="B272" t="str">
        <f>"WIT US Equity"</f>
        <v>WIT US Equity</v>
      </c>
      <c r="C272" t="str">
        <f>"BI047"</f>
        <v>BI047</v>
      </c>
      <c r="D272" t="str">
        <f>"BICS_SEGMENT_DATA"</f>
        <v>BICS_SEGMENT_DATA</v>
      </c>
      <c r="E272" t="str">
        <f t="shared" si="32"/>
        <v>Dynamic</v>
      </c>
      <c r="F272" t="e">
        <f ca="1">_xll.BDH($B$272,$C$272,$B$240,$B$241,CONCATENATE("Per=",$B$238),"Dts=H","Dir=H",CONCATENATE("Points=",$B$239),"Sort=R","Days=A","Fill=B","DZ666=077","DZ381=181210","DZ667=3","DS276=Y",CONCATENATE("FX=", $B$237) )</f>
        <v>#NAME?</v>
      </c>
      <c r="M272" t="str">
        <f>""</f>
        <v/>
      </c>
      <c r="N272" t="str">
        <f>""</f>
        <v/>
      </c>
      <c r="O272" t="str">
        <f>""</f>
        <v/>
      </c>
      <c r="P272" t="str">
        <f>""</f>
        <v/>
      </c>
      <c r="Q272" t="str">
        <f>""</f>
        <v/>
      </c>
      <c r="R272" t="str">
        <f>""</f>
        <v/>
      </c>
      <c r="S272" t="str">
        <f>""</f>
        <v/>
      </c>
    </row>
    <row r="273" spans="2:19" x14ac:dyDescent="0.25">
      <c r="B273" t="str">
        <f>"WIT US Equity"</f>
        <v>WIT US Equity</v>
      </c>
      <c r="C273" t="str">
        <f>"IS010"</f>
        <v>IS010</v>
      </c>
      <c r="D273" t="str">
        <f>"SALES_REV_TURN"</f>
        <v>SALES_REV_TURN</v>
      </c>
      <c r="E273" t="str">
        <f t="shared" si="32"/>
        <v>Dynamic</v>
      </c>
      <c r="F273" t="e">
        <f ca="1">_xll.BDH($B$273,$C$273,$B$240,$B$241,CONCATENATE("Per=",$B$238),"Dts=H","Dir=H",CONCATENATE("Points=",$B$239),"Sort=R","Days=A","Fill=B",CONCATENATE("FX=", $B$237) )</f>
        <v>#NAME?</v>
      </c>
      <c r="M273" t="str">
        <f>""</f>
        <v/>
      </c>
      <c r="N273" t="str">
        <f>""</f>
        <v/>
      </c>
      <c r="O273" t="str">
        <f>""</f>
        <v/>
      </c>
      <c r="P273" t="str">
        <f>""</f>
        <v/>
      </c>
      <c r="Q273" t="str">
        <f>""</f>
        <v/>
      </c>
      <c r="R273" t="str">
        <f>""</f>
        <v/>
      </c>
      <c r="S273" t="str">
        <f>""</f>
        <v/>
      </c>
    </row>
    <row r="274" spans="2:19" x14ac:dyDescent="0.25">
      <c r="B274" t="str">
        <f>"WIT US Equity"</f>
        <v>WIT US Equity</v>
      </c>
      <c r="C274" t="str">
        <f>"BI047"</f>
        <v>BI047</v>
      </c>
      <c r="D274" t="str">
        <f>"BICS_SEGMENT_DATA"</f>
        <v>BICS_SEGMENT_DATA</v>
      </c>
      <c r="E274" t="str">
        <f t="shared" si="32"/>
        <v>Dynamic</v>
      </c>
      <c r="F274" t="e">
        <f ca="1">_xll.BDH($B$274,$C$274,$B$240,$B$241,CONCATENATE("Per=",$B$238),"Dts=H","Dir=H",CONCATENATE("Points=",$B$239),"Sort=R","Days=A","Fill=B","DZ666=077","DZ381=181210","DZ667=3","DS276=Y",CONCATENATE("FX=", $B$237) )</f>
        <v>#NAME?</v>
      </c>
      <c r="M274" t="str">
        <f>""</f>
        <v/>
      </c>
      <c r="N274" t="str">
        <f>""</f>
        <v/>
      </c>
      <c r="O274" t="str">
        <f>""</f>
        <v/>
      </c>
      <c r="P274" t="str">
        <f>""</f>
        <v/>
      </c>
      <c r="Q274" t="str">
        <f>""</f>
        <v/>
      </c>
      <c r="R274" t="str">
        <f>""</f>
        <v/>
      </c>
      <c r="S274" t="str">
        <f>""</f>
        <v/>
      </c>
    </row>
    <row r="275" spans="2:19" x14ac:dyDescent="0.25">
      <c r="B275" t="str">
        <f>"WIT US Equity"</f>
        <v>WIT US Equity</v>
      </c>
      <c r="C275" t="str">
        <f>"IS010"</f>
        <v>IS010</v>
      </c>
      <c r="D275" t="str">
        <f>"SALES_REV_TURN"</f>
        <v>SALES_REV_TURN</v>
      </c>
      <c r="E275" t="str">
        <f t="shared" si="32"/>
        <v>Dynamic</v>
      </c>
      <c r="F275" t="e">
        <f ca="1">_xll.BDH($B$275,$C$275,$B$240,$B$241,CONCATENATE("Per=",$B$238),"Dts=H","Dir=H",CONCATENATE("Points=",$B$239),"Sort=R","Days=A","Fill=B",CONCATENATE("FX=", $B$237) )</f>
        <v>#NAME?</v>
      </c>
      <c r="M275" t="str">
        <f>""</f>
        <v/>
      </c>
      <c r="N275" t="str">
        <f>""</f>
        <v/>
      </c>
      <c r="O275" t="str">
        <f>""</f>
        <v/>
      </c>
      <c r="P275" t="str">
        <f>""</f>
        <v/>
      </c>
      <c r="Q275" t="str">
        <f>""</f>
        <v/>
      </c>
      <c r="R275" t="str">
        <f>""</f>
        <v/>
      </c>
      <c r="S275" t="str">
        <f>""</f>
        <v/>
      </c>
    </row>
    <row r="276" spans="2:19" x14ac:dyDescent="0.25">
      <c r="B276" t="str">
        <f>"INFY US Equity"</f>
        <v>INFY US Equity</v>
      </c>
      <c r="C276" t="str">
        <f>"BI047"</f>
        <v>BI047</v>
      </c>
      <c r="D276" t="str">
        <f>"BICS_SEGMENT_DATA"</f>
        <v>BICS_SEGMENT_DATA</v>
      </c>
      <c r="E276" t="str">
        <f t="shared" ref="E276:E294" si="33">"Dynamic"</f>
        <v>Dynamic</v>
      </c>
      <c r="F276" t="e">
        <f ca="1">_xll.BDH($B$276,$C$276,$B$240,$B$241,CONCATENATE("Per=",$B$238),"Dts=H","Dir=H",CONCATENATE("Points=",$B$239),"Sort=R","Days=A","Fill=B","DZ666=077","DZ381=181210","DZ667=8","DS276=Y",CONCATENATE("FX=", $B$237) )</f>
        <v>#NAME?</v>
      </c>
      <c r="M276" t="str">
        <f>""</f>
        <v/>
      </c>
      <c r="N276" t="str">
        <f>""</f>
        <v/>
      </c>
      <c r="O276" t="str">
        <f>""</f>
        <v/>
      </c>
      <c r="P276" t="str">
        <f>""</f>
        <v/>
      </c>
      <c r="Q276" t="str">
        <f>""</f>
        <v/>
      </c>
      <c r="R276" t="str">
        <f>""</f>
        <v/>
      </c>
      <c r="S276" t="str">
        <f>""</f>
        <v/>
      </c>
    </row>
    <row r="277" spans="2:19" x14ac:dyDescent="0.25">
      <c r="B277" t="str">
        <f>"INFY US Equity"</f>
        <v>INFY US Equity</v>
      </c>
      <c r="C277" t="str">
        <f>"BI047"</f>
        <v>BI047</v>
      </c>
      <c r="D277" t="str">
        <f>"BICS_SEGMENT_DATA"</f>
        <v>BICS_SEGMENT_DATA</v>
      </c>
      <c r="E277" t="str">
        <f t="shared" si="33"/>
        <v>Dynamic</v>
      </c>
      <c r="F277" t="e">
        <f ca="1">_xll.BDH($B$277,$C$277,$B$240,$B$241,CONCATENATE("Per=",$B$238),"Dts=H","Dir=H",CONCATENATE("Points=",$B$239),"Sort=R","Days=A","Fill=B","DZ666=077","DZ381=181210","DZ667=9","DS276=Y",CONCATENATE("FX=", $B$237) )</f>
        <v>#NAME?</v>
      </c>
      <c r="M277" t="str">
        <f>""</f>
        <v/>
      </c>
      <c r="N277" t="str">
        <f>""</f>
        <v/>
      </c>
      <c r="O277" t="str">
        <f>""</f>
        <v/>
      </c>
      <c r="P277" t="str">
        <f>""</f>
        <v/>
      </c>
      <c r="Q277" t="str">
        <f>""</f>
        <v/>
      </c>
      <c r="R277" t="str">
        <f>""</f>
        <v/>
      </c>
      <c r="S277" t="str">
        <f>""</f>
        <v/>
      </c>
    </row>
    <row r="278" spans="2:19" x14ac:dyDescent="0.25">
      <c r="B278" t="str">
        <f>"INFY US Equity"</f>
        <v>INFY US Equity</v>
      </c>
      <c r="C278" t="str">
        <f>"IS010"</f>
        <v>IS010</v>
      </c>
      <c r="D278" t="str">
        <f>"SALES_REV_TURN"</f>
        <v>SALES_REV_TURN</v>
      </c>
      <c r="E278" t="str">
        <f t="shared" si="33"/>
        <v>Dynamic</v>
      </c>
      <c r="F278" t="e">
        <f ca="1">_xll.BDH($B$278,$C$278,$B$240,$B$241,CONCATENATE("Per=",$B$238),"Dts=H","Dir=H",CONCATENATE("Points=",$B$239),"Sort=R","Days=A","Fill=B",CONCATENATE("FX=", $B$237) )</f>
        <v>#NAME?</v>
      </c>
      <c r="M278" t="str">
        <f>""</f>
        <v/>
      </c>
      <c r="N278" t="str">
        <f>""</f>
        <v/>
      </c>
      <c r="O278" t="str">
        <f>""</f>
        <v/>
      </c>
      <c r="P278" t="str">
        <f>""</f>
        <v/>
      </c>
      <c r="Q278" t="str">
        <f>""</f>
        <v/>
      </c>
      <c r="R278" t="str">
        <f>""</f>
        <v/>
      </c>
      <c r="S278" t="str">
        <f>""</f>
        <v/>
      </c>
    </row>
    <row r="279" spans="2:19" x14ac:dyDescent="0.25">
      <c r="B279" t="str">
        <f>"TCS IN Equity"</f>
        <v>TCS IN Equity</v>
      </c>
      <c r="C279" t="str">
        <f>"BI047"</f>
        <v>BI047</v>
      </c>
      <c r="D279" t="str">
        <f>"BICS_SEGMENT_DATA"</f>
        <v>BICS_SEGMENT_DATA</v>
      </c>
      <c r="E279" t="str">
        <f t="shared" si="33"/>
        <v>Dynamic</v>
      </c>
      <c r="F279" t="e">
        <f ca="1">_xll.BDH($B$279,$C$279,$B$240,$B$241,CONCATENATE("Per=",$B$238),"Dts=H","Dir=H",CONCATENATE("Points=",$B$239),"Sort=R","Days=A","Fill=B","DZ666=077","DZ381=181210","DZ667=6","DS276=Y",CONCATENATE("FX=", $B$237) )</f>
        <v>#NAME?</v>
      </c>
      <c r="M279" t="str">
        <f>""</f>
        <v/>
      </c>
      <c r="N279" t="str">
        <f>""</f>
        <v/>
      </c>
      <c r="O279" t="str">
        <f>""</f>
        <v/>
      </c>
      <c r="P279" t="str">
        <f>""</f>
        <v/>
      </c>
      <c r="Q279" t="str">
        <f>""</f>
        <v/>
      </c>
      <c r="R279" t="str">
        <f>""</f>
        <v/>
      </c>
      <c r="S279" t="str">
        <f>""</f>
        <v/>
      </c>
    </row>
    <row r="280" spans="2:19" x14ac:dyDescent="0.25">
      <c r="B280" t="str">
        <f>"TCS IN Equity"</f>
        <v>TCS IN Equity</v>
      </c>
      <c r="C280" t="str">
        <f>"IS010"</f>
        <v>IS010</v>
      </c>
      <c r="D280" t="str">
        <f>"SALES_REV_TURN"</f>
        <v>SALES_REV_TURN</v>
      </c>
      <c r="E280" t="str">
        <f t="shared" si="33"/>
        <v>Dynamic</v>
      </c>
      <c r="F280" t="e">
        <f ca="1">_xll.BDH($B$280,$C$280,$B$240,$B$241,CONCATENATE("Per=",$B$238),"Dts=H","Dir=H",CONCATENATE("Points=",$B$239),"Sort=R","Days=A","Fill=B",CONCATENATE("FX=", $B$237) )</f>
        <v>#NAME?</v>
      </c>
      <c r="M280" t="str">
        <f>""</f>
        <v/>
      </c>
      <c r="N280" t="str">
        <f>""</f>
        <v/>
      </c>
      <c r="O280" t="str">
        <f>""</f>
        <v/>
      </c>
      <c r="P280" t="str">
        <f>""</f>
        <v/>
      </c>
      <c r="Q280" t="str">
        <f>""</f>
        <v/>
      </c>
      <c r="R280" t="str">
        <f>""</f>
        <v/>
      </c>
      <c r="S280" t="str">
        <f>""</f>
        <v/>
      </c>
    </row>
    <row r="281" spans="2:19" x14ac:dyDescent="0.25">
      <c r="B281" t="str">
        <f t="shared" ref="B281:B286" si="34">"ATO FP Equity"</f>
        <v>ATO FP Equity</v>
      </c>
      <c r="C281" t="str">
        <f t="shared" ref="C281:C294" si="35">"BI047"</f>
        <v>BI047</v>
      </c>
      <c r="D281" t="str">
        <f t="shared" ref="D281:D294" si="36">"BICS_SEGMENT_DATA"</f>
        <v>BICS_SEGMENT_DATA</v>
      </c>
      <c r="E281" t="str">
        <f t="shared" si="33"/>
        <v>Dynamic</v>
      </c>
      <c r="F281" t="e">
        <f ca="1">_xll.BDH($B$281,$C$281,$B$240,$B$241,CONCATENATE("Per=",$B$238),"Dts=H","Dir=H",CONCATENATE("Points=",$B$239),"Sort=R","Days=A","Fill=B","DZ666=001","X0001=EUGB","DZ667=1","DS276=Y",CONCATENATE("FX=", $B$237) )</f>
        <v>#NAME?</v>
      </c>
      <c r="M281" t="str">
        <f>""</f>
        <v/>
      </c>
      <c r="N281" t="str">
        <f>""</f>
        <v/>
      </c>
      <c r="O281" t="str">
        <f>""</f>
        <v/>
      </c>
      <c r="P281" t="str">
        <f>""</f>
        <v/>
      </c>
      <c r="Q281" t="str">
        <f>""</f>
        <v/>
      </c>
      <c r="R281" t="str">
        <f>""</f>
        <v/>
      </c>
      <c r="S281" t="str">
        <f>""</f>
        <v/>
      </c>
    </row>
    <row r="282" spans="2:19" x14ac:dyDescent="0.25">
      <c r="B282" t="str">
        <f t="shared" si="34"/>
        <v>ATO FP Equity</v>
      </c>
      <c r="C282" t="str">
        <f t="shared" si="35"/>
        <v>BI047</v>
      </c>
      <c r="D282" t="str">
        <f t="shared" si="36"/>
        <v>BICS_SEGMENT_DATA</v>
      </c>
      <c r="E282" t="str">
        <f t="shared" si="33"/>
        <v>Dynamic</v>
      </c>
      <c r="F282" t="e">
        <f ca="1">_xll.BDH($B$282,$C$282,$B$240,$B$241,CONCATENATE("Per=",$B$238),"Dts=H","Dir=H",CONCATENATE("Points=",$B$239),"Sort=R","Days=A","Fill=B","DZ666=001","X0001=EUDE","DZ667=1","DS276=Y",CONCATENATE("FX=", $B$237) )</f>
        <v>#NAME?</v>
      </c>
      <c r="M282" t="str">
        <f>""</f>
        <v/>
      </c>
      <c r="N282" t="str">
        <f>""</f>
        <v/>
      </c>
      <c r="O282" t="str">
        <f>""</f>
        <v/>
      </c>
      <c r="P282" t="str">
        <f>""</f>
        <v/>
      </c>
      <c r="Q282" t="str">
        <f>""</f>
        <v/>
      </c>
      <c r="R282" t="str">
        <f>""</f>
        <v/>
      </c>
      <c r="S282" t="str">
        <f>""</f>
        <v/>
      </c>
    </row>
    <row r="283" spans="2:19" x14ac:dyDescent="0.25">
      <c r="B283" t="str">
        <f t="shared" si="34"/>
        <v>ATO FP Equity</v>
      </c>
      <c r="C283" t="str">
        <f t="shared" si="35"/>
        <v>BI047</v>
      </c>
      <c r="D283" t="str">
        <f t="shared" si="36"/>
        <v>BICS_SEGMENT_DATA</v>
      </c>
      <c r="E283" t="str">
        <f t="shared" si="33"/>
        <v>Dynamic</v>
      </c>
      <c r="F283" t="e">
        <f ca="1">_xll.BDH($B$283,$C$283,$B$240,$B$241,CONCATENATE("Per=",$B$238),"Dts=H","Dir=H",CONCATENATE("Points=",$B$239),"Sort=R","Days=A","Fill=B","DZ666=001","X0001=EUFR","DZ667=1","DS276=Y",CONCATENATE("FX=", $B$237) )</f>
        <v>#NAME?</v>
      </c>
      <c r="M283" t="str">
        <f>""</f>
        <v/>
      </c>
      <c r="N283" t="str">
        <f>""</f>
        <v/>
      </c>
      <c r="O283" t="str">
        <f>""</f>
        <v/>
      </c>
      <c r="P283" t="str">
        <f>""</f>
        <v/>
      </c>
      <c r="Q283" t="str">
        <f>""</f>
        <v/>
      </c>
      <c r="R283" t="str">
        <f>""</f>
        <v/>
      </c>
      <c r="S283" t="str">
        <f>""</f>
        <v/>
      </c>
    </row>
    <row r="284" spans="2:19" x14ac:dyDescent="0.25">
      <c r="B284" t="str">
        <f t="shared" si="34"/>
        <v>ATO FP Equity</v>
      </c>
      <c r="C284" t="str">
        <f t="shared" si="35"/>
        <v>BI047</v>
      </c>
      <c r="D284" t="str">
        <f t="shared" si="36"/>
        <v>BICS_SEGMENT_DATA</v>
      </c>
      <c r="E284" t="str">
        <f t="shared" si="33"/>
        <v>Dynamic</v>
      </c>
      <c r="F284" t="e">
        <f ca="1">_xll.BDH($B$284,$C$284,$B$240,$B$241,CONCATENATE("Per=",$B$238),"Dts=H","Dir=H",CONCATENATE("Points=",$B$239),"Sort=R","Days=A","Fill=B","DZ666=001","X0001=EUBX","DZ667=1","DS276=Y",CONCATENATE("FX=", $B$237) )</f>
        <v>#NAME?</v>
      </c>
      <c r="M284" t="str">
        <f>""</f>
        <v/>
      </c>
      <c r="N284" t="str">
        <f>""</f>
        <v/>
      </c>
      <c r="O284" t="str">
        <f>""</f>
        <v/>
      </c>
      <c r="P284" t="str">
        <f>""</f>
        <v/>
      </c>
      <c r="Q284" t="str">
        <f>""</f>
        <v/>
      </c>
      <c r="R284" t="str">
        <f>""</f>
        <v/>
      </c>
      <c r="S284" t="str">
        <f>""</f>
        <v/>
      </c>
    </row>
    <row r="285" spans="2:19" x14ac:dyDescent="0.25">
      <c r="B285" t="str">
        <f t="shared" si="34"/>
        <v>ATO FP Equity</v>
      </c>
      <c r="C285" t="str">
        <f t="shared" si="35"/>
        <v>BI047</v>
      </c>
      <c r="D285" t="str">
        <f t="shared" si="36"/>
        <v>BICS_SEGMENT_DATA</v>
      </c>
      <c r="E285" t="str">
        <f t="shared" si="33"/>
        <v>Dynamic</v>
      </c>
      <c r="F285" t="e">
        <f ca="1">_xll.BDH($B$285,$C$285,$B$240,$B$241,CONCATENATE("Per=",$B$238),"Dts=H","Dir=H",CONCATENATE("Points=",$B$239),"Sort=R","Days=A","Fill=B","DZ666=001","X0001=EU09","DZ667=3","DS276=Y",CONCATENATE("FX=", $B$237) )</f>
        <v>#NAME?</v>
      </c>
      <c r="M285" t="str">
        <f>""</f>
        <v/>
      </c>
      <c r="N285" t="str">
        <f>""</f>
        <v/>
      </c>
      <c r="O285" t="str">
        <f>""</f>
        <v/>
      </c>
      <c r="P285" t="str">
        <f>""</f>
        <v/>
      </c>
      <c r="Q285" t="str">
        <f>""</f>
        <v/>
      </c>
      <c r="R285" t="str">
        <f>""</f>
        <v/>
      </c>
      <c r="S285" t="str">
        <f>""</f>
        <v/>
      </c>
    </row>
    <row r="286" spans="2:19" x14ac:dyDescent="0.25">
      <c r="B286" t="str">
        <f t="shared" si="34"/>
        <v>ATO FP Equity</v>
      </c>
      <c r="C286" t="str">
        <f t="shared" si="35"/>
        <v>BI047</v>
      </c>
      <c r="D286" t="str">
        <f t="shared" si="36"/>
        <v>BICS_SEGMENT_DATA</v>
      </c>
      <c r="E286" t="str">
        <f t="shared" si="33"/>
        <v>Dynamic</v>
      </c>
      <c r="F286" t="e">
        <f ca="1">_xll.BDH($B$286,$C$286,$B$240,$B$241,CONCATENATE("Per=",$B$238),"Dts=H","Dir=H",CONCATENATE("Points=",$B$239),"Sort=R","Days=A","Fill=B","DZ666=001","X0001=EU09","DZ667=2","DS276=Y",CONCATENATE("FX=", $B$237) )</f>
        <v>#NAME?</v>
      </c>
      <c r="M286" t="str">
        <f>""</f>
        <v/>
      </c>
      <c r="N286" t="str">
        <f>""</f>
        <v/>
      </c>
      <c r="O286" t="str">
        <f>""</f>
        <v/>
      </c>
      <c r="P286" t="str">
        <f>""</f>
        <v/>
      </c>
      <c r="Q286" t="str">
        <f>""</f>
        <v/>
      </c>
      <c r="R286" t="str">
        <f>""</f>
        <v/>
      </c>
      <c r="S286" t="str">
        <f>""</f>
        <v/>
      </c>
    </row>
    <row r="287" spans="2:19" x14ac:dyDescent="0.25">
      <c r="B287" t="str">
        <f>"CAP FP Equity"</f>
        <v>CAP FP Equity</v>
      </c>
      <c r="C287" t="str">
        <f t="shared" si="35"/>
        <v>BI047</v>
      </c>
      <c r="D287" t="str">
        <f t="shared" si="36"/>
        <v>BICS_SEGMENT_DATA</v>
      </c>
      <c r="E287" t="str">
        <f t="shared" si="33"/>
        <v>Dynamic</v>
      </c>
      <c r="F287" t="e">
        <f ca="1">_xll.BDH($B$287,$C$287,$B$240,$B$241,CONCATENATE("Per=",$B$238),"Dts=H","Dir=H",CONCATENATE("Points=",$B$239),"Sort=R","Days=A","Fill=B","DZ666=001","X0001=EUFR","DZ667=1","DS276=Y",CONCATENATE("FX=", $B$237) )</f>
        <v>#NAME?</v>
      </c>
      <c r="M287" t="str">
        <f>""</f>
        <v/>
      </c>
      <c r="N287" t="str">
        <f>""</f>
        <v/>
      </c>
      <c r="O287" t="str">
        <f>""</f>
        <v/>
      </c>
      <c r="P287" t="str">
        <f>""</f>
        <v/>
      </c>
      <c r="Q287" t="str">
        <f>""</f>
        <v/>
      </c>
      <c r="R287" t="str">
        <f>""</f>
        <v/>
      </c>
      <c r="S287" t="str">
        <f>""</f>
        <v/>
      </c>
    </row>
    <row r="288" spans="2:19" x14ac:dyDescent="0.25">
      <c r="B288" t="str">
        <f>"CAP FP Equity"</f>
        <v>CAP FP Equity</v>
      </c>
      <c r="C288" t="str">
        <f t="shared" si="35"/>
        <v>BI047</v>
      </c>
      <c r="D288" t="str">
        <f t="shared" si="36"/>
        <v>BICS_SEGMENT_DATA</v>
      </c>
      <c r="E288" t="str">
        <f t="shared" si="33"/>
        <v>Dynamic</v>
      </c>
      <c r="F288" t="e">
        <f ca="1">_xll.BDH($B$288,$C$288,$B$240,$B$241,CONCATENATE("Per=",$B$238),"Dts=H","Dir=H",CONCATENATE("Points=",$B$239),"Sort=R","Days=A","Fill=B","DZ666=001","X0001=EUUI","DZ667=1","DS276=Y",CONCATENATE("FX=", $B$237) )</f>
        <v>#NAME?</v>
      </c>
      <c r="M288" t="str">
        <f>""</f>
        <v/>
      </c>
      <c r="N288" t="str">
        <f>""</f>
        <v/>
      </c>
      <c r="O288" t="str">
        <f>""</f>
        <v/>
      </c>
      <c r="P288" t="str">
        <f>""</f>
        <v/>
      </c>
      <c r="Q288" t="str">
        <f>""</f>
        <v/>
      </c>
      <c r="R288" t="str">
        <f>""</f>
        <v/>
      </c>
      <c r="S288" t="str">
        <f>""</f>
        <v/>
      </c>
    </row>
    <row r="289" spans="1:19" x14ac:dyDescent="0.25">
      <c r="B289" t="str">
        <f>"CAP FP Equity"</f>
        <v>CAP FP Equity</v>
      </c>
      <c r="C289" t="str">
        <f t="shared" si="35"/>
        <v>BI047</v>
      </c>
      <c r="D289" t="str">
        <f t="shared" si="36"/>
        <v>BICS_SEGMENT_DATA</v>
      </c>
      <c r="E289" t="str">
        <f t="shared" si="33"/>
        <v>Dynamic</v>
      </c>
      <c r="F289" t="e">
        <f ca="1">_xll.BDH($B$289,$C$289,$B$240,$B$241,CONCATENATE("Per=",$B$238),"Dts=H","Dir=H",CONCATENATE("Points=",$B$239),"Sort=R","Days=A","Fill=B","DZ666=001","X0001=EUBX","DZ667=1","DS276=Y",CONCATENATE("FX=", $B$237) )</f>
        <v>#NAME?</v>
      </c>
      <c r="M289" t="str">
        <f>""</f>
        <v/>
      </c>
      <c r="N289" t="str">
        <f>""</f>
        <v/>
      </c>
      <c r="O289" t="str">
        <f>""</f>
        <v/>
      </c>
      <c r="P289" t="str">
        <f>""</f>
        <v/>
      </c>
      <c r="Q289" t="str">
        <f>""</f>
        <v/>
      </c>
      <c r="R289" t="str">
        <f>""</f>
        <v/>
      </c>
      <c r="S289" t="str">
        <f>""</f>
        <v/>
      </c>
    </row>
    <row r="290" spans="1:19" x14ac:dyDescent="0.25">
      <c r="B290" t="str">
        <f>"IDR SM Equity"</f>
        <v>IDR SM Equity</v>
      </c>
      <c r="C290" t="str">
        <f t="shared" si="35"/>
        <v>BI047</v>
      </c>
      <c r="D290" t="str">
        <f t="shared" si="36"/>
        <v>BICS_SEGMENT_DATA</v>
      </c>
      <c r="E290" t="str">
        <f t="shared" si="33"/>
        <v>Dynamic</v>
      </c>
      <c r="F290" t="e">
        <f ca="1">_xll.BDH($B$290,$C$290,$B$240,$B$241,CONCATENATE("Per=",$B$238),"Dts=H","Dir=H",CONCATENATE("Points=",$B$239),"Sort=R","Days=A","Fill=B","DZ666=001","X0001=EUES","DZ667=1","DS276=Y",CONCATENATE("FX=", $B$237) )</f>
        <v>#NAME?</v>
      </c>
      <c r="M290" t="str">
        <f>""</f>
        <v/>
      </c>
      <c r="N290" t="str">
        <f>""</f>
        <v/>
      </c>
      <c r="O290" t="str">
        <f>""</f>
        <v/>
      </c>
      <c r="P290" t="str">
        <f>""</f>
        <v/>
      </c>
      <c r="Q290" t="str">
        <f>""</f>
        <v/>
      </c>
      <c r="R290" t="str">
        <f>""</f>
        <v/>
      </c>
      <c r="S290" t="str">
        <f>""</f>
        <v/>
      </c>
    </row>
    <row r="291" spans="1:19" x14ac:dyDescent="0.25">
      <c r="B291" t="str">
        <f>"IDR SM Equity"</f>
        <v>IDR SM Equity</v>
      </c>
      <c r="C291" t="str">
        <f t="shared" si="35"/>
        <v>BI047</v>
      </c>
      <c r="D291" t="str">
        <f t="shared" si="36"/>
        <v>BICS_SEGMENT_DATA</v>
      </c>
      <c r="E291" t="str">
        <f t="shared" si="33"/>
        <v>Dynamic</v>
      </c>
      <c r="F291" t="e">
        <f ca="1">_xll.BDH($B$291,$C$291,$B$240,$B$241,CONCATENATE("Per=",$B$238),"Dts=H","Dir=H",CONCATENATE("Points=",$B$239),"Sort=R","Days=A","Fill=B","DZ666=001","X0001=EUEU","DZ667=1","DS276=Y",CONCATENATE("FX=", $B$237) )</f>
        <v>#NAME?</v>
      </c>
      <c r="M291" t="str">
        <f>""</f>
        <v/>
      </c>
      <c r="N291" t="str">
        <f>""</f>
        <v/>
      </c>
      <c r="O291" t="str">
        <f>""</f>
        <v/>
      </c>
      <c r="P291" t="str">
        <f>""</f>
        <v/>
      </c>
      <c r="Q291" t="str">
        <f>""</f>
        <v/>
      </c>
      <c r="R291" t="str">
        <f>""</f>
        <v/>
      </c>
      <c r="S291" t="str">
        <f>""</f>
        <v/>
      </c>
    </row>
    <row r="292" spans="1:19" x14ac:dyDescent="0.25">
      <c r="B292" t="str">
        <f>"IDR SM Equity"</f>
        <v>IDR SM Equity</v>
      </c>
      <c r="C292" t="str">
        <f t="shared" si="35"/>
        <v>BI047</v>
      </c>
      <c r="D292" t="str">
        <f t="shared" si="36"/>
        <v>BICS_SEGMENT_DATA</v>
      </c>
      <c r="E292" t="str">
        <f t="shared" si="33"/>
        <v>Dynamic</v>
      </c>
      <c r="F292" t="e">
        <f ca="1">_xll.BDH($B$292,$C$292,$B$240,$B$241,CONCATENATE("Per=",$B$238),"Dts=H","Dir=H",CONCATENATE("Points=",$B$239),"Sort=R","Days=A","Fill=B","DZ666=001","X0001=GEOE","DZ667=1","DS276=Y",CONCATENATE("FX=", $B$237) )</f>
        <v>#NAME?</v>
      </c>
      <c r="M292" t="str">
        <f>""</f>
        <v/>
      </c>
      <c r="N292" t="str">
        <f>""</f>
        <v/>
      </c>
      <c r="O292" t="str">
        <f>""</f>
        <v/>
      </c>
      <c r="P292" t="str">
        <f>""</f>
        <v/>
      </c>
      <c r="Q292" t="str">
        <f>""</f>
        <v/>
      </c>
      <c r="R292" t="str">
        <f>""</f>
        <v/>
      </c>
      <c r="S292" t="str">
        <f>""</f>
        <v/>
      </c>
    </row>
    <row r="293" spans="1:19" x14ac:dyDescent="0.25">
      <c r="B293" t="str">
        <f>"INFY US Equity"</f>
        <v>INFY US Equity</v>
      </c>
      <c r="C293" t="str">
        <f t="shared" si="35"/>
        <v>BI047</v>
      </c>
      <c r="D293" t="str">
        <f t="shared" si="36"/>
        <v>BICS_SEGMENT_DATA</v>
      </c>
      <c r="E293" t="str">
        <f t="shared" si="33"/>
        <v>Dynamic</v>
      </c>
      <c r="F293" t="e">
        <f ca="1">_xll.BDH($B$293,$C$293,$B$240,$B$241,CONCATENATE("Per=",$B$238),"Dts=H","Dir=H",CONCATENATE("Points=",$B$239),"Sort=R","Days=A","Fill=B","DZ666=077","DZ381=181210","DZ667=8","DS276=Y",CONCATENATE("FX=", $B$237) )</f>
        <v>#NAME?</v>
      </c>
      <c r="M293" t="str">
        <f>""</f>
        <v/>
      </c>
      <c r="N293" t="str">
        <f>""</f>
        <v/>
      </c>
      <c r="O293" t="str">
        <f>""</f>
        <v/>
      </c>
      <c r="P293" t="str">
        <f>""</f>
        <v/>
      </c>
      <c r="Q293" t="str">
        <f>""</f>
        <v/>
      </c>
      <c r="R293" t="str">
        <f>""</f>
        <v/>
      </c>
      <c r="S293" t="str">
        <f>""</f>
        <v/>
      </c>
    </row>
    <row r="294" spans="1:19" x14ac:dyDescent="0.25">
      <c r="B294" t="str">
        <f>"INFY US Equity"</f>
        <v>INFY US Equity</v>
      </c>
      <c r="C294" t="str">
        <f t="shared" si="35"/>
        <v>BI047</v>
      </c>
      <c r="D294" t="str">
        <f t="shared" si="36"/>
        <v>BICS_SEGMENT_DATA</v>
      </c>
      <c r="E294" t="str">
        <f t="shared" si="33"/>
        <v>Dynamic</v>
      </c>
      <c r="F294" t="e">
        <f ca="1">_xll.BDH($B$294,$C$294,$B$240,$B$241,CONCATENATE("Per=",$B$238),"Dts=H","Dir=H",CONCATENATE("Points=",$B$239),"Sort=R","Days=A","Fill=B","DZ666=077","DZ381=181210","DZ667=9","DS276=Y",CONCATENATE("FX=", $B$237) )</f>
        <v>#NAME?</v>
      </c>
      <c r="M294" t="str">
        <f>""</f>
        <v/>
      </c>
      <c r="N294" t="str">
        <f>""</f>
        <v/>
      </c>
      <c r="O294" t="str">
        <f>""</f>
        <v/>
      </c>
      <c r="P294" t="str">
        <f>""</f>
        <v/>
      </c>
      <c r="Q294" t="str">
        <f>""</f>
        <v/>
      </c>
      <c r="R294" t="str">
        <f>""</f>
        <v/>
      </c>
      <c r="S294" t="str">
        <f>""</f>
        <v/>
      </c>
    </row>
    <row r="295" spans="1:19" x14ac:dyDescent="0.25">
      <c r="A295" t="str">
        <f>$A$31</f>
        <v xml:space="preserve">    Accenture PLC</v>
      </c>
      <c r="B295" t="str">
        <f>$B$31</f>
        <v>ACN US Equity</v>
      </c>
      <c r="C295" t="str">
        <f>$C$31</f>
        <v>F0486</v>
      </c>
      <c r="D295" t="str">
        <f>$D$31</f>
        <v>REVENUE_SEQUENTIAL_GROWTH</v>
      </c>
      <c r="E295" t="str">
        <f>$E$31</f>
        <v>Dynamic</v>
      </c>
      <c r="F295" t="e">
        <f ca="1">_xll.BDH($B$31,$C$31,$B$240,$B$241,CONCATENATE("Per=",$B$238),"Dts=H","Dir=H",CONCATENATE("Points=",$B$239),"Sort=R","Days=A","Fill=B",CONCATENATE("FX=", $B$237) )</f>
        <v>#NAME?</v>
      </c>
      <c r="M295" t="str">
        <f>""</f>
        <v/>
      </c>
      <c r="N295" t="str">
        <f>""</f>
        <v/>
      </c>
      <c r="O295" t="str">
        <f>""</f>
        <v/>
      </c>
      <c r="P295" t="str">
        <f>""</f>
        <v/>
      </c>
      <c r="Q295" t="str">
        <f>""</f>
        <v/>
      </c>
      <c r="R295" t="str">
        <f>""</f>
        <v/>
      </c>
      <c r="S295" t="str">
        <f>""</f>
        <v/>
      </c>
    </row>
    <row r="296" spans="1:19" x14ac:dyDescent="0.25">
      <c r="A296" t="str">
        <f>$A$32</f>
        <v xml:space="preserve">    AtoS</v>
      </c>
      <c r="B296" t="str">
        <f>$B$32</f>
        <v>ATO FP Equity</v>
      </c>
      <c r="C296" t="str">
        <f>$C$32</f>
        <v>F0486</v>
      </c>
      <c r="D296" t="str">
        <f>$D$32</f>
        <v>REVENUE_SEQUENTIAL_GROWTH</v>
      </c>
      <c r="E296" t="str">
        <f>$E$32</f>
        <v>Dynamic</v>
      </c>
      <c r="F296" t="e">
        <f ca="1">_xll.BDH($B$32,$C$32,$B$240,$B$241,CONCATENATE("Per=",$B$238),"Dts=H","Dir=H",CONCATENATE("Points=",$B$239),"Sort=R","Days=A","Fill=B",CONCATENATE("FX=", $B$237) )</f>
        <v>#NAME?</v>
      </c>
      <c r="M296" t="str">
        <f>""</f>
        <v/>
      </c>
      <c r="N296" t="str">
        <f>""</f>
        <v/>
      </c>
      <c r="O296" t="str">
        <f>""</f>
        <v/>
      </c>
      <c r="P296" t="str">
        <f>""</f>
        <v/>
      </c>
      <c r="Q296" t="str">
        <f>""</f>
        <v/>
      </c>
      <c r="R296" t="str">
        <f>""</f>
        <v/>
      </c>
      <c r="S296" t="str">
        <f>""</f>
        <v/>
      </c>
    </row>
    <row r="297" spans="1:19" x14ac:dyDescent="0.25">
      <c r="A297" t="str">
        <f>$A$33</f>
        <v xml:space="preserve">    Capgemini</v>
      </c>
      <c r="B297" t="str">
        <f>$B$33</f>
        <v>CAP FP Equity</v>
      </c>
      <c r="C297" t="str">
        <f>$C$33</f>
        <v>F0486</v>
      </c>
      <c r="D297" t="str">
        <f>$D$33</f>
        <v>REVENUE_SEQUENTIAL_GROWTH</v>
      </c>
      <c r="E297" t="str">
        <f>$E$33</f>
        <v>Dynamic</v>
      </c>
      <c r="F297" t="e">
        <f ca="1">_xll.BDH($B$33,$C$33,$B$240,$B$241,CONCATENATE("Per=",$B$238),"Dts=H","Dir=H",CONCATENATE("Points=",$B$239),"Sort=R","Days=A","Fill=B",CONCATENATE("FX=", $B$237) )</f>
        <v>#NAME?</v>
      </c>
      <c r="M297" t="str">
        <f>""</f>
        <v/>
      </c>
      <c r="N297" t="str">
        <f>""</f>
        <v/>
      </c>
      <c r="O297" t="str">
        <f>""</f>
        <v/>
      </c>
      <c r="P297" t="str">
        <f>""</f>
        <v/>
      </c>
      <c r="Q297" t="str">
        <f>""</f>
        <v/>
      </c>
      <c r="R297" t="str">
        <f>""</f>
        <v/>
      </c>
      <c r="S297" t="str">
        <f>""</f>
        <v/>
      </c>
    </row>
    <row r="298" spans="1:19" x14ac:dyDescent="0.25">
      <c r="A298" t="str">
        <f>$A$34</f>
        <v xml:space="preserve">    CGI Group Inc</v>
      </c>
      <c r="B298" t="str">
        <f>$B$34</f>
        <v>GIB US Equity</v>
      </c>
      <c r="C298" t="str">
        <f>$C$34</f>
        <v>F0486</v>
      </c>
      <c r="D298" t="str">
        <f>$D$34</f>
        <v>REVENUE_SEQUENTIAL_GROWTH</v>
      </c>
      <c r="E298" t="str">
        <f>$E$34</f>
        <v>Dynamic</v>
      </c>
      <c r="F298" t="e">
        <f ca="1">_xll.BDH($B$34,$C$34,$B$240,$B$241,CONCATENATE("Per=",$B$238),"Dts=H","Dir=H",CONCATENATE("Points=",$B$239),"Sort=R","Days=A","Fill=B",CONCATENATE("FX=", $B$237) )</f>
        <v>#NAME?</v>
      </c>
      <c r="M298" t="str">
        <f>""</f>
        <v/>
      </c>
      <c r="N298" t="str">
        <f>""</f>
        <v/>
      </c>
      <c r="O298" t="str">
        <f>""</f>
        <v/>
      </c>
      <c r="P298" t="str">
        <f>""</f>
        <v/>
      </c>
      <c r="Q298" t="str">
        <f>""</f>
        <v/>
      </c>
      <c r="R298" t="str">
        <f>""</f>
        <v/>
      </c>
      <c r="S298" t="str">
        <f>""</f>
        <v/>
      </c>
    </row>
    <row r="299" spans="1:19" x14ac:dyDescent="0.25">
      <c r="A299" t="str">
        <f>$A$35</f>
        <v xml:space="preserve">    Cognizant Technology Solutions</v>
      </c>
      <c r="B299" t="str">
        <f>$B$35</f>
        <v>CTSH US Equity</v>
      </c>
      <c r="C299" t="str">
        <f>$C$35</f>
        <v>F0486</v>
      </c>
      <c r="D299" t="str">
        <f>$D$35</f>
        <v>REVENUE_SEQUENTIAL_GROWTH</v>
      </c>
      <c r="E299" t="str">
        <f>$E$35</f>
        <v>Dynamic</v>
      </c>
      <c r="F299" t="e">
        <f ca="1">_xll.BDH($B$35,$C$35,$B$240,$B$241,CONCATENATE("Per=",$B$238),"Dts=H","Dir=H",CONCATENATE("Points=",$B$239),"Sort=R","Days=A","Fill=B",CONCATENATE("FX=", $B$237) )</f>
        <v>#NAME?</v>
      </c>
      <c r="M299" t="str">
        <f>""</f>
        <v/>
      </c>
      <c r="N299" t="str">
        <f>""</f>
        <v/>
      </c>
      <c r="O299" t="str">
        <f>""</f>
        <v/>
      </c>
      <c r="P299" t="str">
        <f>""</f>
        <v/>
      </c>
      <c r="Q299" t="str">
        <f>""</f>
        <v/>
      </c>
      <c r="R299" t="str">
        <f>""</f>
        <v/>
      </c>
      <c r="S299" t="str">
        <f>""</f>
        <v/>
      </c>
    </row>
    <row r="300" spans="1:19" x14ac:dyDescent="0.25">
      <c r="A300" t="str">
        <f>$A$36</f>
        <v xml:space="preserve">    Computer Sciences Corp</v>
      </c>
      <c r="B300" t="str">
        <f>$B$36</f>
        <v>CSC US Equity</v>
      </c>
      <c r="C300" t="str">
        <f>$C$36</f>
        <v>F0486</v>
      </c>
      <c r="D300" t="str">
        <f>$D$36</f>
        <v>REVENUE_SEQUENTIAL_GROWTH</v>
      </c>
      <c r="E300" t="str">
        <f>$E$36</f>
        <v>Dynamic</v>
      </c>
      <c r="F300" t="e">
        <f ca="1">_xll.BDH($B$36,$C$36,$B$240,$B$241,CONCATENATE("Per=",$B$238),"Dts=H","Dir=H",CONCATENATE("Points=",$B$239),"Sort=R","Days=A","Fill=B",CONCATENATE("FX=", $B$237) )</f>
        <v>#NAME?</v>
      </c>
      <c r="M300" t="str">
        <f>""</f>
        <v/>
      </c>
      <c r="N300" t="str">
        <f>""</f>
        <v/>
      </c>
      <c r="O300" t="str">
        <f>""</f>
        <v/>
      </c>
      <c r="P300" t="str">
        <f>""</f>
        <v/>
      </c>
      <c r="Q300" t="str">
        <f>""</f>
        <v/>
      </c>
      <c r="R300" t="str">
        <f>""</f>
        <v/>
      </c>
      <c r="S300" t="str">
        <f>""</f>
        <v/>
      </c>
    </row>
    <row r="301" spans="1:19" x14ac:dyDescent="0.25">
      <c r="A301" t="str">
        <f>$A$37</f>
        <v xml:space="preserve">    HCL Technologies Ltd</v>
      </c>
      <c r="B301" t="str">
        <f>$B$37</f>
        <v>HCLT IN Equity</v>
      </c>
      <c r="C301" t="str">
        <f>$C$37</f>
        <v>F0486</v>
      </c>
      <c r="D301" t="str">
        <f>$D$37</f>
        <v>REVENUE_SEQUENTIAL_GROWTH</v>
      </c>
      <c r="E301" t="str">
        <f>$E$37</f>
        <v>Dynamic</v>
      </c>
      <c r="F301" t="e">
        <f ca="1">_xll.BDH($B$37,$C$37,$B$240,$B$241,CONCATENATE("Per=",$B$238),"Dts=H","Dir=H",CONCATENATE("Points=",$B$239),"Sort=R","Days=A","Fill=B",CONCATENATE("FX=", $B$237) )</f>
        <v>#NAME?</v>
      </c>
      <c r="M301" t="str">
        <f>""</f>
        <v/>
      </c>
      <c r="N301" t="str">
        <f>""</f>
        <v/>
      </c>
      <c r="O301" t="str">
        <f>""</f>
        <v/>
      </c>
      <c r="P301" t="str">
        <f>""</f>
        <v/>
      </c>
      <c r="Q301" t="str">
        <f>""</f>
        <v/>
      </c>
      <c r="R301" t="str">
        <f>""</f>
        <v/>
      </c>
      <c r="S301" t="str">
        <f>""</f>
        <v/>
      </c>
    </row>
    <row r="302" spans="1:19" x14ac:dyDescent="0.25">
      <c r="A302" t="str">
        <f>$A$38</f>
        <v xml:space="preserve">    Infosys Ltd</v>
      </c>
      <c r="B302" t="str">
        <f>$B$38</f>
        <v>INFY US Equity</v>
      </c>
      <c r="C302" t="str">
        <f>$C$38</f>
        <v>F0486</v>
      </c>
      <c r="D302" t="str">
        <f>$D$38</f>
        <v>REVENUE_SEQUENTIAL_GROWTH</v>
      </c>
      <c r="E302" t="str">
        <f>$E$38</f>
        <v>Dynamic</v>
      </c>
      <c r="F302" t="e">
        <f ca="1">_xll.BDH($B$38,$C$38,$B$240,$B$241,CONCATENATE("Per=",$B$238),"Dts=H","Dir=H",CONCATENATE("Points=",$B$239),"Sort=R","Days=A","Fill=B",CONCATENATE("FX=", $B$237) )</f>
        <v>#NAME?</v>
      </c>
      <c r="M302" t="str">
        <f>""</f>
        <v/>
      </c>
      <c r="N302" t="str">
        <f>""</f>
        <v/>
      </c>
      <c r="O302" t="str">
        <f>""</f>
        <v/>
      </c>
      <c r="P302" t="str">
        <f>""</f>
        <v/>
      </c>
      <c r="Q302" t="str">
        <f>""</f>
        <v/>
      </c>
      <c r="R302" t="str">
        <f>""</f>
        <v/>
      </c>
      <c r="S302" t="str">
        <f>""</f>
        <v/>
      </c>
    </row>
    <row r="303" spans="1:19" x14ac:dyDescent="0.25">
      <c r="A303" t="str">
        <f>$A$39</f>
        <v xml:space="preserve">    International Business Machine</v>
      </c>
      <c r="B303" t="str">
        <f>$B$39</f>
        <v>IBM US Equity</v>
      </c>
      <c r="C303" t="str">
        <f>$C$39</f>
        <v>F0486</v>
      </c>
      <c r="D303" t="str">
        <f>$D$39</f>
        <v>REVENUE_SEQUENTIAL_GROWTH</v>
      </c>
      <c r="E303" t="str">
        <f>$E$39</f>
        <v>Dynamic</v>
      </c>
      <c r="F303" t="e">
        <f ca="1">_xll.BDH($B$39,$C$39,$B$240,$B$241,CONCATENATE("Per=",$B$238),"Dts=H","Dir=H",CONCATENATE("Points=",$B$239),"Sort=R","Days=A","Fill=B",CONCATENATE("FX=", $B$237) )</f>
        <v>#NAME?</v>
      </c>
      <c r="M303" t="str">
        <f>""</f>
        <v/>
      </c>
      <c r="N303" t="str">
        <f>""</f>
        <v/>
      </c>
      <c r="O303" t="str">
        <f>""</f>
        <v/>
      </c>
      <c r="P303" t="str">
        <f>""</f>
        <v/>
      </c>
      <c r="Q303" t="str">
        <f>""</f>
        <v/>
      </c>
      <c r="R303" t="str">
        <f>""</f>
        <v/>
      </c>
      <c r="S303" t="str">
        <f>""</f>
        <v/>
      </c>
    </row>
    <row r="304" spans="1:19" x14ac:dyDescent="0.25">
      <c r="A304" t="str">
        <f>$A$40</f>
        <v xml:space="preserve">    Tata Consultancy Services Ltd</v>
      </c>
      <c r="B304" t="str">
        <f>$B$40</f>
        <v>TCS IN Equity</v>
      </c>
      <c r="C304" t="str">
        <f>$C$40</f>
        <v>F0486</v>
      </c>
      <c r="D304" t="str">
        <f>$D$40</f>
        <v>REVENUE_SEQUENTIAL_GROWTH</v>
      </c>
      <c r="E304" t="str">
        <f>$E$40</f>
        <v>Dynamic</v>
      </c>
      <c r="F304" t="e">
        <f ca="1">_xll.BDH($B$40,$C$40,$B$240,$B$241,CONCATENATE("Per=",$B$238),"Dts=H","Dir=H",CONCATENATE("Points=",$B$239),"Sort=R","Days=A","Fill=B",CONCATENATE("FX=", $B$237) )</f>
        <v>#NAME?</v>
      </c>
      <c r="M304" t="str">
        <f>""</f>
        <v/>
      </c>
      <c r="N304" t="str">
        <f>""</f>
        <v/>
      </c>
      <c r="O304" t="str">
        <f>""</f>
        <v/>
      </c>
      <c r="P304" t="str">
        <f>""</f>
        <v/>
      </c>
      <c r="Q304" t="str">
        <f>""</f>
        <v/>
      </c>
      <c r="R304" t="str">
        <f>""</f>
        <v/>
      </c>
      <c r="S304" t="str">
        <f>""</f>
        <v/>
      </c>
    </row>
    <row r="305" spans="1:19" x14ac:dyDescent="0.25">
      <c r="A305" t="str">
        <f>$A$41</f>
        <v xml:space="preserve">    Wipro Ltd</v>
      </c>
      <c r="B305" t="str">
        <f>$B$41</f>
        <v>WIT US Equity</v>
      </c>
      <c r="C305" t="str">
        <f>$C$41</f>
        <v>F0486</v>
      </c>
      <c r="D305" t="str">
        <f>$D$41</f>
        <v>REVENUE_SEQUENTIAL_GROWTH</v>
      </c>
      <c r="E305" t="str">
        <f>$E$41</f>
        <v>Dynamic</v>
      </c>
      <c r="F305" t="e">
        <f ca="1">_xll.BDH($B$41,$C$41,$B$240,$B$241,CONCATENATE("Per=",$B$238),"Dts=H","Dir=H",CONCATENATE("Points=",$B$239),"Sort=R","Days=A","Fill=B",CONCATENATE("FX=", $B$237) )</f>
        <v>#NAME?</v>
      </c>
      <c r="M305" t="str">
        <f>""</f>
        <v/>
      </c>
      <c r="N305" t="str">
        <f>""</f>
        <v/>
      </c>
      <c r="O305" t="str">
        <f>""</f>
        <v/>
      </c>
      <c r="P305" t="str">
        <f>""</f>
        <v/>
      </c>
      <c r="Q305" t="str">
        <f>""</f>
        <v/>
      </c>
      <c r="R305" t="str">
        <f>""</f>
        <v/>
      </c>
      <c r="S305" t="str">
        <f>""</f>
        <v/>
      </c>
    </row>
    <row r="306" spans="1:19" x14ac:dyDescent="0.25">
      <c r="A306" t="str">
        <f>$A$43</f>
        <v xml:space="preserve">    Accenture PLC</v>
      </c>
      <c r="B306" t="str">
        <f>$B$43</f>
        <v>ACN US Equity</v>
      </c>
      <c r="C306" t="str">
        <f>$C$43</f>
        <v>RR033</v>
      </c>
      <c r="D306" t="str">
        <f>$D$43</f>
        <v>SALES_GROWTH</v>
      </c>
      <c r="E306" t="str">
        <f>$E$43</f>
        <v>Dynamic</v>
      </c>
      <c r="F306" t="e">
        <f ca="1">_xll.BDH($B$43,$C$43,$B$240,$B$241,CONCATENATE("Per=",$B$238),"Dts=H","Dir=H",CONCATENATE("Points=",$B$239),"Sort=R","Days=A","Fill=B",CONCATENATE("FX=", $B$237) )</f>
        <v>#NAME?</v>
      </c>
      <c r="M306" t="str">
        <f>""</f>
        <v/>
      </c>
      <c r="N306" t="str">
        <f>""</f>
        <v/>
      </c>
      <c r="O306" t="str">
        <f>""</f>
        <v/>
      </c>
      <c r="P306" t="str">
        <f>""</f>
        <v/>
      </c>
      <c r="Q306" t="str">
        <f>""</f>
        <v/>
      </c>
      <c r="R306" t="str">
        <f>""</f>
        <v/>
      </c>
      <c r="S306" t="str">
        <f>""</f>
        <v/>
      </c>
    </row>
    <row r="307" spans="1:19" x14ac:dyDescent="0.25">
      <c r="A307" t="str">
        <f>$A$44</f>
        <v xml:space="preserve">    AtoS</v>
      </c>
      <c r="B307" t="str">
        <f>$B$44</f>
        <v>ATO FP Equity</v>
      </c>
      <c r="C307" t="str">
        <f>$C$44</f>
        <v>RR033</v>
      </c>
      <c r="D307" t="str">
        <f>$D$44</f>
        <v>SALES_GROWTH</v>
      </c>
      <c r="E307" t="str">
        <f>$E$44</f>
        <v>Dynamic</v>
      </c>
      <c r="F307" t="e">
        <f ca="1">_xll.BDH($B$44,$C$44,$B$240,$B$241,CONCATENATE("Per=",$B$238),"Dts=H","Dir=H",CONCATENATE("Points=",$B$239),"Sort=R","Days=A","Fill=B",CONCATENATE("FX=", $B$237) )</f>
        <v>#NAME?</v>
      </c>
      <c r="M307" t="str">
        <f>""</f>
        <v/>
      </c>
      <c r="N307" t="str">
        <f>""</f>
        <v/>
      </c>
      <c r="O307" t="str">
        <f>""</f>
        <v/>
      </c>
      <c r="P307" t="str">
        <f>""</f>
        <v/>
      </c>
      <c r="Q307" t="str">
        <f>""</f>
        <v/>
      </c>
      <c r="R307" t="str">
        <f>""</f>
        <v/>
      </c>
      <c r="S307" t="str">
        <f>""</f>
        <v/>
      </c>
    </row>
    <row r="308" spans="1:19" x14ac:dyDescent="0.25">
      <c r="A308" t="str">
        <f>$A$45</f>
        <v xml:space="preserve">    Capgemini</v>
      </c>
      <c r="B308" t="str">
        <f>$B$45</f>
        <v>CAP FP Equity</v>
      </c>
      <c r="C308" t="str">
        <f>$C$45</f>
        <v>RR033</v>
      </c>
      <c r="D308" t="str">
        <f>$D$45</f>
        <v>SALES_GROWTH</v>
      </c>
      <c r="E308" t="str">
        <f>$E$45</f>
        <v>Dynamic</v>
      </c>
      <c r="F308" t="e">
        <f ca="1">_xll.BDH($B$45,$C$45,$B$240,$B$241,CONCATENATE("Per=",$B$238),"Dts=H","Dir=H",CONCATENATE("Points=",$B$239),"Sort=R","Days=A","Fill=B",CONCATENATE("FX=", $B$237) )</f>
        <v>#NAME?</v>
      </c>
      <c r="M308" t="str">
        <f>""</f>
        <v/>
      </c>
      <c r="N308" t="str">
        <f>""</f>
        <v/>
      </c>
      <c r="O308" t="str">
        <f>""</f>
        <v/>
      </c>
      <c r="P308" t="str">
        <f>""</f>
        <v/>
      </c>
      <c r="Q308" t="str">
        <f>""</f>
        <v/>
      </c>
      <c r="R308" t="str">
        <f>""</f>
        <v/>
      </c>
      <c r="S308" t="str">
        <f>""</f>
        <v/>
      </c>
    </row>
    <row r="309" spans="1:19" x14ac:dyDescent="0.25">
      <c r="A309" t="str">
        <f>$A$46</f>
        <v xml:space="preserve">    CGI Group Inc</v>
      </c>
      <c r="B309" t="str">
        <f>$B$46</f>
        <v>GIB US Equity</v>
      </c>
      <c r="C309" t="str">
        <f>$C$46</f>
        <v>RR033</v>
      </c>
      <c r="D309" t="str">
        <f>$D$46</f>
        <v>SALES_GROWTH</v>
      </c>
      <c r="E309" t="str">
        <f>$E$46</f>
        <v>Dynamic</v>
      </c>
      <c r="F309" t="e">
        <f ca="1">_xll.BDH($B$46,$C$46,$B$240,$B$241,CONCATENATE("Per=",$B$238),"Dts=H","Dir=H",CONCATENATE("Points=",$B$239),"Sort=R","Days=A","Fill=B",CONCATENATE("FX=", $B$237) )</f>
        <v>#NAME?</v>
      </c>
      <c r="M309" t="str">
        <f>""</f>
        <v/>
      </c>
      <c r="N309" t="str">
        <f>""</f>
        <v/>
      </c>
      <c r="O309" t="str">
        <f>""</f>
        <v/>
      </c>
      <c r="P309" t="str">
        <f>""</f>
        <v/>
      </c>
      <c r="Q309" t="str">
        <f>""</f>
        <v/>
      </c>
      <c r="R309" t="str">
        <f>""</f>
        <v/>
      </c>
      <c r="S309" t="str">
        <f>""</f>
        <v/>
      </c>
    </row>
    <row r="310" spans="1:19" x14ac:dyDescent="0.25">
      <c r="A310" t="str">
        <f>$A$47</f>
        <v xml:space="preserve">    Cognizant Technology Solutions</v>
      </c>
      <c r="B310" t="str">
        <f>$B$47</f>
        <v>CTSH US Equity</v>
      </c>
      <c r="C310" t="str">
        <f>$C$47</f>
        <v>RR033</v>
      </c>
      <c r="D310" t="str">
        <f>$D$47</f>
        <v>SALES_GROWTH</v>
      </c>
      <c r="E310" t="str">
        <f>$E$47</f>
        <v>Dynamic</v>
      </c>
      <c r="F310" t="e">
        <f ca="1">_xll.BDH($B$47,$C$47,$B$240,$B$241,CONCATENATE("Per=",$B$238),"Dts=H","Dir=H",CONCATENATE("Points=",$B$239),"Sort=R","Days=A","Fill=B",CONCATENATE("FX=", $B$237) )</f>
        <v>#NAME?</v>
      </c>
      <c r="M310" t="str">
        <f>""</f>
        <v/>
      </c>
      <c r="N310" t="str">
        <f>""</f>
        <v/>
      </c>
      <c r="O310" t="str">
        <f>""</f>
        <v/>
      </c>
      <c r="P310" t="str">
        <f>""</f>
        <v/>
      </c>
      <c r="Q310" t="str">
        <f>""</f>
        <v/>
      </c>
      <c r="R310" t="str">
        <f>""</f>
        <v/>
      </c>
      <c r="S310" t="str">
        <f>""</f>
        <v/>
      </c>
    </row>
    <row r="311" spans="1:19" x14ac:dyDescent="0.25">
      <c r="A311" t="str">
        <f>$A$48</f>
        <v xml:space="preserve">    Computer Sciences Corp</v>
      </c>
      <c r="B311" t="str">
        <f>$B$48</f>
        <v>CSC US Equity</v>
      </c>
      <c r="C311" t="str">
        <f>$C$48</f>
        <v>RR033</v>
      </c>
      <c r="D311" t="str">
        <f>$D$48</f>
        <v>SALES_GROWTH</v>
      </c>
      <c r="E311" t="str">
        <f>$E$48</f>
        <v>Dynamic</v>
      </c>
      <c r="F311" t="e">
        <f ca="1">_xll.BDH($B$48,$C$48,$B$240,$B$241,CONCATENATE("Per=",$B$238),"Dts=H","Dir=H",CONCATENATE("Points=",$B$239),"Sort=R","Days=A","Fill=B",CONCATENATE("FX=", $B$237) )</f>
        <v>#NAME?</v>
      </c>
      <c r="M311" t="str">
        <f>""</f>
        <v/>
      </c>
      <c r="N311" t="str">
        <f>""</f>
        <v/>
      </c>
      <c r="O311" t="str">
        <f>""</f>
        <v/>
      </c>
      <c r="P311" t="str">
        <f>""</f>
        <v/>
      </c>
      <c r="Q311" t="str">
        <f>""</f>
        <v/>
      </c>
      <c r="R311" t="str">
        <f>""</f>
        <v/>
      </c>
      <c r="S311" t="str">
        <f>""</f>
        <v/>
      </c>
    </row>
    <row r="312" spans="1:19" x14ac:dyDescent="0.25">
      <c r="A312" t="str">
        <f>$A$49</f>
        <v xml:space="preserve">    HCL Technologies Ltd</v>
      </c>
      <c r="B312" t="str">
        <f>$B$49</f>
        <v>HCLT IN Equity</v>
      </c>
      <c r="C312" t="str">
        <f>$C$49</f>
        <v>RR033</v>
      </c>
      <c r="D312" t="str">
        <f>$D$49</f>
        <v>SALES_GROWTH</v>
      </c>
      <c r="E312" t="str">
        <f>$E$49</f>
        <v>Dynamic</v>
      </c>
      <c r="F312" t="e">
        <f ca="1">_xll.BDH($B$49,$C$49,$B$240,$B$241,CONCATENATE("Per=",$B$238),"Dts=H","Dir=H",CONCATENATE("Points=",$B$239),"Sort=R","Days=A","Fill=B",CONCATENATE("FX=", $B$237) )</f>
        <v>#NAME?</v>
      </c>
      <c r="M312" t="str">
        <f>""</f>
        <v/>
      </c>
      <c r="N312" t="str">
        <f>""</f>
        <v/>
      </c>
      <c r="O312" t="str">
        <f>""</f>
        <v/>
      </c>
      <c r="P312" t="str">
        <f>""</f>
        <v/>
      </c>
      <c r="Q312" t="str">
        <f>""</f>
        <v/>
      </c>
      <c r="R312" t="str">
        <f>""</f>
        <v/>
      </c>
      <c r="S312" t="str">
        <f>""</f>
        <v/>
      </c>
    </row>
    <row r="313" spans="1:19" x14ac:dyDescent="0.25">
      <c r="A313" t="str">
        <f>$A$50</f>
        <v xml:space="preserve">    Infosys Ltd</v>
      </c>
      <c r="B313" t="str">
        <f>$B$50</f>
        <v>INFY US Equity</v>
      </c>
      <c r="C313" t="str">
        <f>$C$50</f>
        <v>RR033</v>
      </c>
      <c r="D313" t="str">
        <f>$D$50</f>
        <v>SALES_GROWTH</v>
      </c>
      <c r="E313" t="str">
        <f>$E$50</f>
        <v>Dynamic</v>
      </c>
      <c r="F313" t="e">
        <f ca="1">_xll.BDH($B$50,$C$50,$B$240,$B$241,CONCATENATE("Per=",$B$238),"Dts=H","Dir=H",CONCATENATE("Points=",$B$239),"Sort=R","Days=A","Fill=B",CONCATENATE("FX=", $B$237) )</f>
        <v>#NAME?</v>
      </c>
      <c r="M313" t="str">
        <f>""</f>
        <v/>
      </c>
      <c r="N313" t="str">
        <f>""</f>
        <v/>
      </c>
      <c r="O313" t="str">
        <f>""</f>
        <v/>
      </c>
      <c r="P313" t="str">
        <f>""</f>
        <v/>
      </c>
      <c r="Q313" t="str">
        <f>""</f>
        <v/>
      </c>
      <c r="R313" t="str">
        <f>""</f>
        <v/>
      </c>
      <c r="S313" t="str">
        <f>""</f>
        <v/>
      </c>
    </row>
    <row r="314" spans="1:19" x14ac:dyDescent="0.25">
      <c r="A314" t="str">
        <f>$A$51</f>
        <v xml:space="preserve">    International Business Machine</v>
      </c>
      <c r="B314" t="str">
        <f>$B$51</f>
        <v>IBM US Equity</v>
      </c>
      <c r="C314" t="str">
        <f>$C$51</f>
        <v>RR033</v>
      </c>
      <c r="D314" t="str">
        <f>$D$51</f>
        <v>SALES_GROWTH</v>
      </c>
      <c r="E314" t="str">
        <f>$E$51</f>
        <v>Dynamic</v>
      </c>
      <c r="F314" t="e">
        <f ca="1">_xll.BDH($B$51,$C$51,$B$240,$B$241,CONCATENATE("Per=",$B$238),"Dts=H","Dir=H",CONCATENATE("Points=",$B$239),"Sort=R","Days=A","Fill=B",CONCATENATE("FX=", $B$237) )</f>
        <v>#NAME?</v>
      </c>
      <c r="M314" t="str">
        <f>""</f>
        <v/>
      </c>
      <c r="N314" t="str">
        <f>""</f>
        <v/>
      </c>
      <c r="O314" t="str">
        <f>""</f>
        <v/>
      </c>
      <c r="P314" t="str">
        <f>""</f>
        <v/>
      </c>
      <c r="Q314" t="str">
        <f>""</f>
        <v/>
      </c>
      <c r="R314" t="str">
        <f>""</f>
        <v/>
      </c>
      <c r="S314" t="str">
        <f>""</f>
        <v/>
      </c>
    </row>
    <row r="315" spans="1:19" x14ac:dyDescent="0.25">
      <c r="A315" t="str">
        <f>$A$52</f>
        <v xml:space="preserve">    Tata Consultancy Services Ltd</v>
      </c>
      <c r="B315" t="str">
        <f>$B$52</f>
        <v>TCS IN Equity</v>
      </c>
      <c r="C315" t="str">
        <f>$C$52</f>
        <v>RR033</v>
      </c>
      <c r="D315" t="str">
        <f>$D$52</f>
        <v>SALES_GROWTH</v>
      </c>
      <c r="E315" t="str">
        <f>$E$52</f>
        <v>Dynamic</v>
      </c>
      <c r="F315" t="e">
        <f ca="1">_xll.BDH($B$52,$C$52,$B$240,$B$241,CONCATENATE("Per=",$B$238),"Dts=H","Dir=H",CONCATENATE("Points=",$B$239),"Sort=R","Days=A","Fill=B",CONCATENATE("FX=", $B$237) )</f>
        <v>#NAME?</v>
      </c>
      <c r="M315" t="str">
        <f>""</f>
        <v/>
      </c>
      <c r="N315" t="str">
        <f>""</f>
        <v/>
      </c>
      <c r="O315" t="str">
        <f>""</f>
        <v/>
      </c>
      <c r="P315" t="str">
        <f>""</f>
        <v/>
      </c>
      <c r="Q315" t="str">
        <f>""</f>
        <v/>
      </c>
      <c r="R315" t="str">
        <f>""</f>
        <v/>
      </c>
      <c r="S315" t="str">
        <f>""</f>
        <v/>
      </c>
    </row>
    <row r="316" spans="1:19" x14ac:dyDescent="0.25">
      <c r="A316" t="str">
        <f>$A$53</f>
        <v xml:space="preserve">    Wipro Ltd</v>
      </c>
      <c r="B316" t="str">
        <f>$B$53</f>
        <v>WIT US Equity</v>
      </c>
      <c r="C316" t="str">
        <f>$C$53</f>
        <v>RR033</v>
      </c>
      <c r="D316" t="str">
        <f>$D$53</f>
        <v>SALES_GROWTH</v>
      </c>
      <c r="E316" t="str">
        <f>$E$53</f>
        <v>Dynamic</v>
      </c>
      <c r="F316" t="e">
        <f ca="1">_xll.BDH($B$53,$C$53,$B$240,$B$241,CONCATENATE("Per=",$B$238),"Dts=H","Dir=H",CONCATENATE("Points=",$B$239),"Sort=R","Days=A","Fill=B",CONCATENATE("FX=", $B$237) )</f>
        <v>#NAME?</v>
      </c>
      <c r="M316" t="str">
        <f>""</f>
        <v/>
      </c>
      <c r="N316" t="str">
        <f>""</f>
        <v/>
      </c>
      <c r="O316" t="str">
        <f>""</f>
        <v/>
      </c>
      <c r="P316" t="str">
        <f>""</f>
        <v/>
      </c>
      <c r="Q316" t="str">
        <f>""</f>
        <v/>
      </c>
      <c r="R316" t="str">
        <f>""</f>
        <v/>
      </c>
      <c r="S316" t="str">
        <f>""</f>
        <v/>
      </c>
    </row>
    <row r="317" spans="1:19" x14ac:dyDescent="0.25">
      <c r="A317" t="str">
        <f>$A$55</f>
        <v xml:space="preserve">    HCL Technologies Ltd</v>
      </c>
      <c r="B317" t="str">
        <f>$B$55</f>
        <v>HCLT IN Equity</v>
      </c>
      <c r="C317" t="str">
        <f>$C$55</f>
        <v>B5666</v>
      </c>
      <c r="D317" t="str">
        <f>$D$55</f>
        <v>ARD_SEQUENTIAL_REVENUE_GROWTH_CC</v>
      </c>
      <c r="E317" t="str">
        <f>$E$55</f>
        <v>Dynamic</v>
      </c>
      <c r="F317" t="e">
        <f ca="1">_xll.BDH($B$55,$C$55,$B$240,$B$241,CONCATENATE("Per=",$B$238),"Dts=H","Dir=H",CONCATENATE("Points=",$B$239),"Sort=R","Days=A","Fill=B",CONCATENATE("FX=", $B$237) )</f>
        <v>#NAME?</v>
      </c>
      <c r="M317" t="str">
        <f>""</f>
        <v/>
      </c>
      <c r="N317" t="str">
        <f>""</f>
        <v/>
      </c>
      <c r="O317" t="str">
        <f>""</f>
        <v/>
      </c>
      <c r="P317" t="str">
        <f>""</f>
        <v/>
      </c>
      <c r="Q317" t="str">
        <f>""</f>
        <v/>
      </c>
      <c r="R317" t="str">
        <f>""</f>
        <v/>
      </c>
      <c r="S317" t="str">
        <f>""</f>
        <v/>
      </c>
    </row>
    <row r="318" spans="1:19" x14ac:dyDescent="0.25">
      <c r="A318" t="str">
        <f>$A$56</f>
        <v xml:space="preserve">    Infosys Ltd</v>
      </c>
      <c r="B318" t="str">
        <f>$B$56</f>
        <v>INFY US Equity</v>
      </c>
      <c r="C318" t="str">
        <f>$C$56</f>
        <v>B5666</v>
      </c>
      <c r="D318" t="str">
        <f>$D$56</f>
        <v>ARD_SEQUENTIAL_REVENUE_GROWTH_CC</v>
      </c>
      <c r="E318" t="str">
        <f>$E$56</f>
        <v>Dynamic</v>
      </c>
      <c r="F318" t="e">
        <f ca="1">_xll.BDH($B$56,$C$56,$B$240,$B$241,CONCATENATE("Per=",$B$238),"Dts=H","Dir=H",CONCATENATE("Points=",$B$239),"Sort=R","Days=A","Fill=B",CONCATENATE("FX=", $B$237) )</f>
        <v>#NAME?</v>
      </c>
      <c r="M318" t="str">
        <f>""</f>
        <v/>
      </c>
      <c r="N318" t="str">
        <f>""</f>
        <v/>
      </c>
      <c r="O318" t="str">
        <f>""</f>
        <v/>
      </c>
      <c r="P318" t="str">
        <f>""</f>
        <v/>
      </c>
      <c r="Q318" t="str">
        <f>""</f>
        <v/>
      </c>
      <c r="R318" t="str">
        <f>""</f>
        <v/>
      </c>
      <c r="S318" t="str">
        <f>""</f>
        <v/>
      </c>
    </row>
    <row r="319" spans="1:19" x14ac:dyDescent="0.25">
      <c r="A319" t="str">
        <f>$A$57</f>
        <v xml:space="preserve">    International Business Machine</v>
      </c>
      <c r="B319" t="str">
        <f>$B$57</f>
        <v>IBM US Equity</v>
      </c>
      <c r="C319" t="str">
        <f>$C$57</f>
        <v>B5666</v>
      </c>
      <c r="D319" t="str">
        <f>$D$57</f>
        <v>ARD_SEQUENTIAL_REVENUE_GROWTH_CC</v>
      </c>
      <c r="E319" t="str">
        <f>$E$57</f>
        <v>Dynamic</v>
      </c>
      <c r="F319" t="e">
        <f ca="1">_xll.BDH($B$57,$C$57,$B$240,$B$241,CONCATENATE("Per=",$B$238),"Dts=H","Dir=H",CONCATENATE("Points=",$B$239),"Sort=R","Days=A","Fill=B",CONCATENATE("FX=", $B$237) )</f>
        <v>#NAME?</v>
      </c>
      <c r="M319" t="str">
        <f>""</f>
        <v/>
      </c>
      <c r="N319" t="str">
        <f>""</f>
        <v/>
      </c>
      <c r="O319" t="str">
        <f>""</f>
        <v/>
      </c>
      <c r="P319" t="str">
        <f>""</f>
        <v/>
      </c>
      <c r="Q319" t="str">
        <f>""</f>
        <v/>
      </c>
      <c r="R319" t="str">
        <f>""</f>
        <v/>
      </c>
      <c r="S319" t="str">
        <f>""</f>
        <v/>
      </c>
    </row>
    <row r="320" spans="1:19" x14ac:dyDescent="0.25">
      <c r="A320" t="str">
        <f>$A$58</f>
        <v xml:space="preserve">    Tata Consultancy Services Ltd</v>
      </c>
      <c r="B320" t="str">
        <f>$B$58</f>
        <v>TCS IN Equity</v>
      </c>
      <c r="C320" t="str">
        <f>$C$58</f>
        <v>B5666</v>
      </c>
      <c r="D320" t="str">
        <f>$D$58</f>
        <v>ARD_SEQUENTIAL_REVENUE_GROWTH_CC</v>
      </c>
      <c r="E320" t="str">
        <f>$E$58</f>
        <v>Dynamic</v>
      </c>
      <c r="F320" t="e">
        <f ca="1">_xll.BDH($B$58,$C$58,$B$240,$B$241,CONCATENATE("Per=",$B$238),"Dts=H","Dir=H",CONCATENATE("Points=",$B$239),"Sort=R","Days=A","Fill=B",CONCATENATE("FX=", $B$237) )</f>
        <v>#NAME?</v>
      </c>
      <c r="M320" t="str">
        <f>""</f>
        <v/>
      </c>
      <c r="N320" t="str">
        <f>""</f>
        <v/>
      </c>
      <c r="O320" t="str">
        <f>""</f>
        <v/>
      </c>
      <c r="P320" t="str">
        <f>""</f>
        <v/>
      </c>
      <c r="Q320" t="str">
        <f>""</f>
        <v/>
      </c>
      <c r="R320" t="str">
        <f>""</f>
        <v/>
      </c>
      <c r="S320" t="str">
        <f>""</f>
        <v/>
      </c>
    </row>
    <row r="321" spans="1:19" x14ac:dyDescent="0.25">
      <c r="A321" t="str">
        <f>$A$59</f>
        <v xml:space="preserve">    Wipro Ltd</v>
      </c>
      <c r="B321" t="str">
        <f>$B$59</f>
        <v>WIT US Equity</v>
      </c>
      <c r="C321" t="str">
        <f>$C$59</f>
        <v>B5666</v>
      </c>
      <c r="D321" t="str">
        <f>$D$59</f>
        <v>ARD_SEQUENTIAL_REVENUE_GROWTH_CC</v>
      </c>
      <c r="E321" t="str">
        <f>$E$59</f>
        <v>Dynamic</v>
      </c>
      <c r="F321" t="e">
        <f ca="1">_xll.BDH($B$59,$C$59,$B$240,$B$241,CONCATENATE("Per=",$B$238),"Dts=H","Dir=H",CONCATENATE("Points=",$B$239),"Sort=R","Days=A","Fill=B",CONCATENATE("FX=", $B$237) )</f>
        <v>#NAME?</v>
      </c>
      <c r="M321" t="str">
        <f>""</f>
        <v/>
      </c>
      <c r="N321" t="str">
        <f>""</f>
        <v/>
      </c>
      <c r="O321" t="str">
        <f>""</f>
        <v/>
      </c>
      <c r="P321" t="str">
        <f>""</f>
        <v/>
      </c>
      <c r="Q321" t="str">
        <f>""</f>
        <v/>
      </c>
      <c r="R321" t="str">
        <f>""</f>
        <v/>
      </c>
      <c r="S321" t="str">
        <f>""</f>
        <v/>
      </c>
    </row>
    <row r="322" spans="1:19" x14ac:dyDescent="0.25">
      <c r="A322" t="str">
        <f>$A$61</f>
        <v xml:space="preserve">    Accenture PLC</v>
      </c>
      <c r="B322" t="str">
        <f>$B$61</f>
        <v>ACN US Equity</v>
      </c>
      <c r="C322" t="str">
        <f>$C$61</f>
        <v>B2825</v>
      </c>
      <c r="D322" t="str">
        <f>$D$61</f>
        <v>ARD_1_YR_REVENUE_GROWTH_CC</v>
      </c>
      <c r="E322" t="str">
        <f>$E$61</f>
        <v>Dynamic</v>
      </c>
      <c r="F322" t="e">
        <f ca="1">_xll.BDH($B$61,$C$61,$B$240,$B$241,CONCATENATE("Per=",$B$238),"Dts=H","Dir=H",CONCATENATE("Points=",$B$239),"Sort=R","Days=A","Fill=B",CONCATENATE("FX=", $B$237) )</f>
        <v>#NAME?</v>
      </c>
      <c r="M322" t="str">
        <f>""</f>
        <v/>
      </c>
      <c r="N322" t="str">
        <f>""</f>
        <v/>
      </c>
      <c r="O322" t="str">
        <f>""</f>
        <v/>
      </c>
      <c r="P322" t="str">
        <f>""</f>
        <v/>
      </c>
      <c r="Q322" t="str">
        <f>""</f>
        <v/>
      </c>
      <c r="R322" t="str">
        <f>""</f>
        <v/>
      </c>
      <c r="S322" t="str">
        <f>""</f>
        <v/>
      </c>
    </row>
    <row r="323" spans="1:19" x14ac:dyDescent="0.25">
      <c r="A323" t="str">
        <f>$A$62</f>
        <v xml:space="preserve">    HCL Technologies Ltd</v>
      </c>
      <c r="B323" t="str">
        <f>$B$62</f>
        <v>HCLT IN Equity</v>
      </c>
      <c r="C323" t="str">
        <f>$C$62</f>
        <v>B2825</v>
      </c>
      <c r="D323" t="str">
        <f>$D$62</f>
        <v>ARD_1_YR_REVENUE_GROWTH_CC</v>
      </c>
      <c r="E323" t="str">
        <f>$E$62</f>
        <v>Dynamic</v>
      </c>
      <c r="F323" t="e">
        <f ca="1">_xll.BDH($B$62,$C$62,$B$240,$B$241,CONCATENATE("Per=",$B$238),"Dts=H","Dir=H",CONCATENATE("Points=",$B$239),"Sort=R","Days=A","Fill=B",CONCATENATE("FX=", $B$237) )</f>
        <v>#NAME?</v>
      </c>
      <c r="M323" t="str">
        <f>""</f>
        <v/>
      </c>
      <c r="N323" t="str">
        <f>""</f>
        <v/>
      </c>
      <c r="O323" t="str">
        <f>""</f>
        <v/>
      </c>
      <c r="P323" t="str">
        <f>""</f>
        <v/>
      </c>
      <c r="Q323" t="str">
        <f>""</f>
        <v/>
      </c>
      <c r="R323" t="str">
        <f>""</f>
        <v/>
      </c>
      <c r="S323" t="str">
        <f>""</f>
        <v/>
      </c>
    </row>
    <row r="324" spans="1:19" x14ac:dyDescent="0.25">
      <c r="A324" t="str">
        <f>$A$63</f>
        <v xml:space="preserve">    Infosys Ltd</v>
      </c>
      <c r="B324" t="str">
        <f>$B$63</f>
        <v>INFY US Equity</v>
      </c>
      <c r="C324" t="str">
        <f>$C$63</f>
        <v>B2825</v>
      </c>
      <c r="D324" t="str">
        <f>$D$63</f>
        <v>ARD_1_YR_REVENUE_GROWTH_CC</v>
      </c>
      <c r="E324" t="str">
        <f>$E$63</f>
        <v>Dynamic</v>
      </c>
      <c r="F324" t="e">
        <f ca="1">_xll.BDH($B$63,$C$63,$B$240,$B$241,CONCATENATE("Per=",$B$238),"Dts=H","Dir=H",CONCATENATE("Points=",$B$239),"Sort=R","Days=A","Fill=B",CONCATENATE("FX=", $B$237) )</f>
        <v>#NAME?</v>
      </c>
      <c r="M324" t="str">
        <f>""</f>
        <v/>
      </c>
      <c r="N324" t="str">
        <f>""</f>
        <v/>
      </c>
      <c r="O324" t="str">
        <f>""</f>
        <v/>
      </c>
      <c r="P324" t="str">
        <f>""</f>
        <v/>
      </c>
      <c r="Q324" t="str">
        <f>""</f>
        <v/>
      </c>
      <c r="R324" t="str">
        <f>""</f>
        <v/>
      </c>
      <c r="S324" t="str">
        <f>""</f>
        <v/>
      </c>
    </row>
    <row r="325" spans="1:19" x14ac:dyDescent="0.25">
      <c r="A325" t="str">
        <f>$A$64</f>
        <v xml:space="preserve">    International Business Machine</v>
      </c>
      <c r="B325" t="str">
        <f>$B$64</f>
        <v>IBM US Equity</v>
      </c>
      <c r="C325" t="str">
        <f>$C$64</f>
        <v>B2825</v>
      </c>
      <c r="D325" t="str">
        <f>$D$64</f>
        <v>ARD_1_YR_REVENUE_GROWTH_CC</v>
      </c>
      <c r="E325" t="str">
        <f>$E$64</f>
        <v>Dynamic</v>
      </c>
      <c r="F325" t="e">
        <f ca="1">_xll.BDH($B$64,$C$64,$B$240,$B$241,CONCATENATE("Per=",$B$238),"Dts=H","Dir=H",CONCATENATE("Points=",$B$239),"Sort=R","Days=A","Fill=B",CONCATENATE("FX=", $B$237) )</f>
        <v>#NAME?</v>
      </c>
      <c r="M325" t="str">
        <f>""</f>
        <v/>
      </c>
      <c r="N325" t="str">
        <f>""</f>
        <v/>
      </c>
      <c r="O325" t="str">
        <f>""</f>
        <v/>
      </c>
      <c r="P325" t="str">
        <f>""</f>
        <v/>
      </c>
      <c r="Q325" t="str">
        <f>""</f>
        <v/>
      </c>
      <c r="R325" t="str">
        <f>""</f>
        <v/>
      </c>
      <c r="S325" t="str">
        <f>""</f>
        <v/>
      </c>
    </row>
    <row r="326" spans="1:19" x14ac:dyDescent="0.25">
      <c r="A326" t="str">
        <f>$A$65</f>
        <v xml:space="preserve">    Tata Consultancy Services Ltd</v>
      </c>
      <c r="B326" t="str">
        <f>$B$65</f>
        <v>TCS IN Equity</v>
      </c>
      <c r="C326" t="str">
        <f>$C$65</f>
        <v>B2825</v>
      </c>
      <c r="D326" t="str">
        <f>$D$65</f>
        <v>ARD_1_YR_REVENUE_GROWTH_CC</v>
      </c>
      <c r="E326" t="str">
        <f>$E$65</f>
        <v>Dynamic</v>
      </c>
      <c r="F326" t="e">
        <f ca="1">_xll.BDH($B$65,$C$65,$B$240,$B$241,CONCATENATE("Per=",$B$238),"Dts=H","Dir=H",CONCATENATE("Points=",$B$239),"Sort=R","Days=A","Fill=B",CONCATENATE("FX=", $B$237) )</f>
        <v>#NAME?</v>
      </c>
      <c r="M326" t="str">
        <f>""</f>
        <v/>
      </c>
      <c r="N326" t="str">
        <f>""</f>
        <v/>
      </c>
      <c r="O326" t="str">
        <f>""</f>
        <v/>
      </c>
      <c r="P326" t="str">
        <f>""</f>
        <v/>
      </c>
      <c r="Q326" t="str">
        <f>""</f>
        <v/>
      </c>
      <c r="R326" t="str">
        <f>""</f>
        <v/>
      </c>
      <c r="S326" t="str">
        <f>""</f>
        <v/>
      </c>
    </row>
    <row r="327" spans="1:19" x14ac:dyDescent="0.25">
      <c r="A327" t="str">
        <f>$A$66</f>
        <v xml:space="preserve">    Wipro Ltd</v>
      </c>
      <c r="B327" t="str">
        <f>$B$66</f>
        <v>WIT US Equity</v>
      </c>
      <c r="C327" t="str">
        <f>$C$66</f>
        <v>B2825</v>
      </c>
      <c r="D327" t="str">
        <f>$D$66</f>
        <v>ARD_1_YR_REVENUE_GROWTH_CC</v>
      </c>
      <c r="E327" t="str">
        <f>$E$66</f>
        <v>Dynamic</v>
      </c>
      <c r="F327" t="e">
        <f ca="1">_xll.BDH($B$66,$C$66,$B$240,$B$241,CONCATENATE("Per=",$B$238),"Dts=H","Dir=H",CONCATENATE("Points=",$B$239),"Sort=R","Days=A","Fill=B",CONCATENATE("FX=", $B$237) )</f>
        <v>#NAME?</v>
      </c>
      <c r="M327" t="str">
        <f>""</f>
        <v/>
      </c>
      <c r="N327" t="str">
        <f>""</f>
        <v/>
      </c>
      <c r="O327" t="str">
        <f>""</f>
        <v/>
      </c>
      <c r="P327" t="str">
        <f>""</f>
        <v/>
      </c>
      <c r="Q327" t="str">
        <f>""</f>
        <v/>
      </c>
      <c r="R327" t="str">
        <f>""</f>
        <v/>
      </c>
      <c r="S327" t="str">
        <f>""</f>
        <v/>
      </c>
    </row>
    <row r="328" spans="1:19" x14ac:dyDescent="0.25">
      <c r="A328" t="str">
        <f>$A$71</f>
        <v xml:space="preserve">    International Business Machine</v>
      </c>
      <c r="B328" t="str">
        <f>$B$71</f>
        <v>IBM US Equity</v>
      </c>
      <c r="C328" t="str">
        <f>$C$71</f>
        <v>RR121</v>
      </c>
      <c r="D328" t="str">
        <f>$D$71</f>
        <v>NUM_OF_EMPLOYEES</v>
      </c>
      <c r="E328" t="str">
        <f>$E$71</f>
        <v>Dynamic</v>
      </c>
      <c r="F328" t="e">
        <f ca="1">_xll.BDH($B$71,$C$71,$B$240,$B$241,CONCATENATE("Per=",$B$238),"Dts=H","Dir=H",CONCATENATE("Points=",$B$239),"Sort=R","Days=A","Fill=B",CONCATENATE("FX=", $B$237) )</f>
        <v>#NAME?</v>
      </c>
      <c r="M328" t="str">
        <f>""</f>
        <v/>
      </c>
      <c r="N328" t="str">
        <f>""</f>
        <v/>
      </c>
      <c r="O328" t="str">
        <f>""</f>
        <v/>
      </c>
      <c r="P328" t="str">
        <f>""</f>
        <v/>
      </c>
      <c r="Q328" t="str">
        <f>""</f>
        <v/>
      </c>
      <c r="R328" t="str">
        <f>""</f>
        <v/>
      </c>
      <c r="S328" t="str">
        <f>""</f>
        <v/>
      </c>
    </row>
    <row r="329" spans="1:19" x14ac:dyDescent="0.25">
      <c r="A329" t="str">
        <f>$A$72</f>
        <v xml:space="preserve">    Accenture PLC</v>
      </c>
      <c r="B329" t="str">
        <f>$B$72</f>
        <v>ACN US Equity</v>
      </c>
      <c r="C329" t="str">
        <f>$C$72</f>
        <v>RR121</v>
      </c>
      <c r="D329" t="str">
        <f>$D$72</f>
        <v>NUM_OF_EMPLOYEES</v>
      </c>
      <c r="E329" t="str">
        <f>$E$72</f>
        <v>Dynamic</v>
      </c>
      <c r="F329" t="e">
        <f ca="1">_xll.BDH($B$72,$C$72,$B$240,$B$241,CONCATENATE("Per=",$B$238),"Dts=H","Dir=H",CONCATENATE("Points=",$B$239),"Sort=R","Days=A","Fill=B",CONCATENATE("FX=", $B$237) )</f>
        <v>#NAME?</v>
      </c>
      <c r="M329" t="str">
        <f>""</f>
        <v/>
      </c>
      <c r="N329" t="str">
        <f>""</f>
        <v/>
      </c>
      <c r="O329" t="str">
        <f>""</f>
        <v/>
      </c>
      <c r="P329" t="str">
        <f>""</f>
        <v/>
      </c>
      <c r="Q329" t="str">
        <f>""</f>
        <v/>
      </c>
      <c r="R329" t="str">
        <f>""</f>
        <v/>
      </c>
      <c r="S329" t="str">
        <f>""</f>
        <v/>
      </c>
    </row>
    <row r="330" spans="1:19" x14ac:dyDescent="0.25">
      <c r="A330" t="str">
        <f>$A$73</f>
        <v xml:space="preserve">    Tata Consultancy Services Ltd</v>
      </c>
      <c r="B330" t="str">
        <f>$B$73</f>
        <v>TCS IN Equity</v>
      </c>
      <c r="C330" t="str">
        <f>$C$73</f>
        <v>RR121</v>
      </c>
      <c r="D330" t="str">
        <f>$D$73</f>
        <v>NUM_OF_EMPLOYEES</v>
      </c>
      <c r="E330" t="str">
        <f>$E$73</f>
        <v>Dynamic</v>
      </c>
      <c r="F330" t="e">
        <f ca="1">_xll.BDH($B$73,$C$73,$B$240,$B$241,CONCATENATE("Per=",$B$238),"Dts=H","Dir=H",CONCATENATE("Points=",$B$239),"Sort=R","Days=A","Fill=B",CONCATENATE("FX=", $B$237) )</f>
        <v>#NAME?</v>
      </c>
      <c r="M330" t="str">
        <f>""</f>
        <v/>
      </c>
      <c r="N330" t="str">
        <f>""</f>
        <v/>
      </c>
      <c r="O330" t="str">
        <f>""</f>
        <v/>
      </c>
      <c r="P330" t="str">
        <f>""</f>
        <v/>
      </c>
      <c r="Q330" t="str">
        <f>""</f>
        <v/>
      </c>
      <c r="R330" t="str">
        <f>""</f>
        <v/>
      </c>
      <c r="S330" t="str">
        <f>""</f>
        <v/>
      </c>
    </row>
    <row r="331" spans="1:19" x14ac:dyDescent="0.25">
      <c r="A331" t="str">
        <f>$A$74</f>
        <v xml:space="preserve">    Infosys Ltd</v>
      </c>
      <c r="B331" t="str">
        <f>$B$74</f>
        <v>INFY US Equity</v>
      </c>
      <c r="C331" t="str">
        <f>$C$74</f>
        <v>RR121</v>
      </c>
      <c r="D331" t="str">
        <f>$D$74</f>
        <v>NUM_OF_EMPLOYEES</v>
      </c>
      <c r="E331" t="str">
        <f>$E$74</f>
        <v>Dynamic</v>
      </c>
      <c r="F331" t="e">
        <f ca="1">_xll.BDH($B$74,$C$74,$B$240,$B$241,CONCATENATE("Per=",$B$238),"Dts=H","Dir=H",CONCATENATE("Points=",$B$239),"Sort=R","Days=A","Fill=B",CONCATENATE("FX=", $B$237) )</f>
        <v>#NAME?</v>
      </c>
      <c r="M331" t="str">
        <f>""</f>
        <v/>
      </c>
      <c r="N331" t="str">
        <f>""</f>
        <v/>
      </c>
      <c r="O331" t="str">
        <f>""</f>
        <v/>
      </c>
      <c r="P331" t="str">
        <f>""</f>
        <v/>
      </c>
      <c r="Q331" t="str">
        <f>""</f>
        <v/>
      </c>
      <c r="R331" t="str">
        <f>""</f>
        <v/>
      </c>
      <c r="S331" t="str">
        <f>""</f>
        <v/>
      </c>
    </row>
    <row r="332" spans="1:19" x14ac:dyDescent="0.25">
      <c r="A332" t="str">
        <f>$A$75</f>
        <v xml:space="preserve">    Cognizant Technology Solutions</v>
      </c>
      <c r="B332" t="str">
        <f>$B$75</f>
        <v>CTSH US Equity</v>
      </c>
      <c r="C332" t="str">
        <f>$C$75</f>
        <v>RR121</v>
      </c>
      <c r="D332" t="str">
        <f>$D$75</f>
        <v>NUM_OF_EMPLOYEES</v>
      </c>
      <c r="E332" t="str">
        <f>$E$75</f>
        <v>Dynamic</v>
      </c>
      <c r="F332" t="e">
        <f ca="1">_xll.BDH($B$75,$C$75,$B$240,$B$241,CONCATENATE("Per=",$B$238),"Dts=H","Dir=H",CONCATENATE("Points=",$B$239),"Sort=R","Days=A","Fill=B",CONCATENATE("FX=", $B$237) )</f>
        <v>#NAME?</v>
      </c>
      <c r="M332" t="str">
        <f>""</f>
        <v/>
      </c>
      <c r="N332" t="str">
        <f>""</f>
        <v/>
      </c>
      <c r="O332" t="str">
        <f>""</f>
        <v/>
      </c>
      <c r="P332" t="str">
        <f>""</f>
        <v/>
      </c>
      <c r="Q332" t="str">
        <f>""</f>
        <v/>
      </c>
      <c r="R332" t="str">
        <f>""</f>
        <v/>
      </c>
      <c r="S332" t="str">
        <f>""</f>
        <v/>
      </c>
    </row>
    <row r="333" spans="1:19" x14ac:dyDescent="0.25">
      <c r="A333" t="str">
        <f>$A$76</f>
        <v xml:space="preserve">    Wipro Ltd</v>
      </c>
      <c r="B333" t="str">
        <f>$B$76</f>
        <v>WIT US Equity</v>
      </c>
      <c r="C333" t="str">
        <f>$C$76</f>
        <v>RR121</v>
      </c>
      <c r="D333" t="str">
        <f>$D$76</f>
        <v>NUM_OF_EMPLOYEES</v>
      </c>
      <c r="E333" t="str">
        <f>$E$76</f>
        <v>Dynamic</v>
      </c>
      <c r="F333" t="e">
        <f ca="1">_xll.BDH($B$76,$C$76,$B$240,$B$241,CONCATENATE("Per=",$B$238),"Dts=H","Dir=H",CONCATENATE("Points=",$B$239),"Sort=R","Days=A","Fill=B",CONCATENATE("FX=", $B$237) )</f>
        <v>#NAME?</v>
      </c>
      <c r="M333" t="str">
        <f>""</f>
        <v/>
      </c>
      <c r="N333" t="str">
        <f>""</f>
        <v/>
      </c>
      <c r="O333" t="str">
        <f>""</f>
        <v/>
      </c>
      <c r="P333" t="str">
        <f>""</f>
        <v/>
      </c>
      <c r="Q333" t="str">
        <f>""</f>
        <v/>
      </c>
      <c r="R333" t="str">
        <f>""</f>
        <v/>
      </c>
      <c r="S333" t="str">
        <f>""</f>
        <v/>
      </c>
    </row>
    <row r="334" spans="1:19" x14ac:dyDescent="0.25">
      <c r="A334" t="str">
        <f>$A$77</f>
        <v xml:space="preserve">    HCL Technologies Ltd</v>
      </c>
      <c r="B334" t="str">
        <f>$B$77</f>
        <v>HCLT IN Equity</v>
      </c>
      <c r="C334" t="str">
        <f>$C$77</f>
        <v>RR121</v>
      </c>
      <c r="D334" t="str">
        <f>$D$77</f>
        <v>NUM_OF_EMPLOYEES</v>
      </c>
      <c r="E334" t="str">
        <f>$E$77</f>
        <v>Dynamic</v>
      </c>
      <c r="F334" t="e">
        <f ca="1">_xll.BDH($B$77,$C$77,$B$240,$B$241,CONCATENATE("Per=",$B$238),"Dts=H","Dir=H",CONCATENATE("Points=",$B$239),"Sort=R","Days=A","Fill=B",CONCATENATE("FX=", $B$237) )</f>
        <v>#NAME?</v>
      </c>
      <c r="M334" t="str">
        <f>""</f>
        <v/>
      </c>
      <c r="N334" t="str">
        <f>""</f>
        <v/>
      </c>
      <c r="O334" t="str">
        <f>""</f>
        <v/>
      </c>
      <c r="P334" t="str">
        <f>""</f>
        <v/>
      </c>
      <c r="Q334" t="str">
        <f>""</f>
        <v/>
      </c>
      <c r="R334" t="str">
        <f>""</f>
        <v/>
      </c>
      <c r="S334" t="str">
        <f>""</f>
        <v/>
      </c>
    </row>
    <row r="335" spans="1:19" x14ac:dyDescent="0.25">
      <c r="A335" t="str">
        <f>$A$79</f>
        <v xml:space="preserve">    Accenture PLC</v>
      </c>
      <c r="B335" t="str">
        <f>$B$79</f>
        <v>ACN US Equity</v>
      </c>
      <c r="C335" t="str">
        <f>$C$79</f>
        <v>M0005</v>
      </c>
      <c r="D335" t="str">
        <f>$D$79</f>
        <v>ATTRITION_RATE</v>
      </c>
      <c r="E335" t="str">
        <f>$E$79</f>
        <v>Dynamic</v>
      </c>
      <c r="F335" t="e">
        <f ca="1">_xll.BDH($B$79,$C$79,$B$240,$B$241,CONCATENATE("Per=",$B$238),"Dts=H","Dir=H",CONCATENATE("Points=",$B$239),"Sort=R","Days=A","Fill=B",CONCATENATE("FX=", $B$237) )</f>
        <v>#NAME?</v>
      </c>
      <c r="M335" t="str">
        <f>""</f>
        <v/>
      </c>
      <c r="N335" t="str">
        <f>""</f>
        <v/>
      </c>
      <c r="O335" t="str">
        <f>""</f>
        <v/>
      </c>
      <c r="P335" t="str">
        <f>""</f>
        <v/>
      </c>
      <c r="Q335" t="str">
        <f>""</f>
        <v/>
      </c>
      <c r="R335" t="str">
        <f>""</f>
        <v/>
      </c>
      <c r="S335" t="str">
        <f>""</f>
        <v/>
      </c>
    </row>
    <row r="336" spans="1:19" x14ac:dyDescent="0.25">
      <c r="A336" t="str">
        <f>$A$80</f>
        <v xml:space="preserve">    Tata Consultancy Services Ltd</v>
      </c>
      <c r="B336" t="str">
        <f>$B$80</f>
        <v>TCS IN Equity</v>
      </c>
      <c r="C336" t="str">
        <f>$C$80</f>
        <v>M0005</v>
      </c>
      <c r="D336" t="str">
        <f>$D$80</f>
        <v>ATTRITION_RATE</v>
      </c>
      <c r="E336" t="str">
        <f>$E$80</f>
        <v>Dynamic</v>
      </c>
      <c r="F336" t="e">
        <f ca="1">_xll.BDH($B$80,$C$80,$B$240,$B$241,CONCATENATE("Per=",$B$238),"Dts=H","Dir=H",CONCATENATE("Points=",$B$239),"Sort=R","Days=A","Fill=B",CONCATENATE("FX=", $B$237) )</f>
        <v>#NAME?</v>
      </c>
      <c r="M336" t="str">
        <f>""</f>
        <v/>
      </c>
      <c r="N336" t="str">
        <f>""</f>
        <v/>
      </c>
      <c r="O336" t="str">
        <f>""</f>
        <v/>
      </c>
      <c r="P336" t="str">
        <f>""</f>
        <v/>
      </c>
      <c r="Q336" t="str">
        <f>""</f>
        <v/>
      </c>
      <c r="R336" t="str">
        <f>""</f>
        <v/>
      </c>
      <c r="S336" t="str">
        <f>""</f>
        <v/>
      </c>
    </row>
    <row r="337" spans="1:19" x14ac:dyDescent="0.25">
      <c r="A337" t="str">
        <f>$A$81</f>
        <v xml:space="preserve">    Infosys Ltd</v>
      </c>
      <c r="B337" t="str">
        <f>$B$81</f>
        <v>INFY US Equity</v>
      </c>
      <c r="C337" t="str">
        <f>$C$81</f>
        <v>M0005</v>
      </c>
      <c r="D337" t="str">
        <f>$D$81</f>
        <v>ATTRITION_RATE</v>
      </c>
      <c r="E337" t="str">
        <f>$E$81</f>
        <v>Dynamic</v>
      </c>
      <c r="F337" t="e">
        <f ca="1">_xll.BDH($B$81,$C$81,$B$240,$B$241,CONCATENATE("Per=",$B$238),"Dts=H","Dir=H",CONCATENATE("Points=",$B$239),"Sort=R","Days=A","Fill=B",CONCATENATE("FX=", $B$237) )</f>
        <v>#NAME?</v>
      </c>
      <c r="M337" t="str">
        <f>""</f>
        <v/>
      </c>
      <c r="N337" t="str">
        <f>""</f>
        <v/>
      </c>
      <c r="O337" t="str">
        <f>""</f>
        <v/>
      </c>
      <c r="P337" t="str">
        <f>""</f>
        <v/>
      </c>
      <c r="Q337" t="str">
        <f>""</f>
        <v/>
      </c>
      <c r="R337" t="str">
        <f>""</f>
        <v/>
      </c>
      <c r="S337" t="str">
        <f>""</f>
        <v/>
      </c>
    </row>
    <row r="338" spans="1:19" x14ac:dyDescent="0.25">
      <c r="A338" t="str">
        <f>$A$82</f>
        <v xml:space="preserve">    Wipro Ltd</v>
      </c>
      <c r="B338" t="str">
        <f>$B$82</f>
        <v>WIT US Equity</v>
      </c>
      <c r="C338" t="str">
        <f>$C$82</f>
        <v>M0005</v>
      </c>
      <c r="D338" t="str">
        <f>$D$82</f>
        <v>ATTRITION_RATE</v>
      </c>
      <c r="E338" t="str">
        <f>$E$82</f>
        <v>Dynamic</v>
      </c>
      <c r="F338" t="e">
        <f ca="1">_xll.BDH($B$82,$C$82,$B$240,$B$241,CONCATENATE("Per=",$B$238),"Dts=H","Dir=H",CONCATENATE("Points=",$B$239),"Sort=R","Days=A","Fill=B",CONCATENATE("FX=", $B$237) )</f>
        <v>#NAME?</v>
      </c>
      <c r="M338" t="str">
        <f>""</f>
        <v/>
      </c>
      <c r="N338" t="str">
        <f>""</f>
        <v/>
      </c>
      <c r="O338" t="str">
        <f>""</f>
        <v/>
      </c>
      <c r="P338" t="str">
        <f>""</f>
        <v/>
      </c>
      <c r="Q338" t="str">
        <f>""</f>
        <v/>
      </c>
      <c r="R338" t="str">
        <f>""</f>
        <v/>
      </c>
      <c r="S338" t="str">
        <f>""</f>
        <v/>
      </c>
    </row>
    <row r="339" spans="1:19" x14ac:dyDescent="0.25">
      <c r="A339" t="str">
        <f>$A$83</f>
        <v xml:space="preserve">    Cognizant Technology Solutions</v>
      </c>
      <c r="B339" t="str">
        <f>$B$83</f>
        <v>CTSH US Equity</v>
      </c>
      <c r="C339" t="str">
        <f>$C$83</f>
        <v>M0005</v>
      </c>
      <c r="D339" t="str">
        <f>$D$83</f>
        <v>ATTRITION_RATE</v>
      </c>
      <c r="E339" t="str">
        <f>$E$83</f>
        <v>Dynamic</v>
      </c>
      <c r="F339" t="e">
        <f ca="1">_xll.BDH($B$83,$C$83,$B$240,$B$241,CONCATENATE("Per=",$B$238),"Dts=H","Dir=H",CONCATENATE("Points=",$B$239),"Sort=R","Days=A","Fill=B",CONCATENATE("FX=", $B$237) )</f>
        <v>#NAME?</v>
      </c>
      <c r="M339" t="str">
        <f>""</f>
        <v/>
      </c>
      <c r="N339" t="str">
        <f>""</f>
        <v/>
      </c>
      <c r="O339" t="str">
        <f>""</f>
        <v/>
      </c>
      <c r="P339" t="str">
        <f>""</f>
        <v/>
      </c>
      <c r="Q339" t="str">
        <f>""</f>
        <v/>
      </c>
      <c r="R339" t="str">
        <f>""</f>
        <v/>
      </c>
      <c r="S339" t="str">
        <f>""</f>
        <v/>
      </c>
    </row>
    <row r="340" spans="1:19" x14ac:dyDescent="0.25">
      <c r="A340" t="str">
        <f>$A$84</f>
        <v xml:space="preserve">    HCL Technologies Ltd</v>
      </c>
      <c r="B340" t="str">
        <f>$B$84</f>
        <v>HCLT IN Equity</v>
      </c>
      <c r="C340" t="str">
        <f>$C$84</f>
        <v>M0005</v>
      </c>
      <c r="D340" t="str">
        <f>$D$84</f>
        <v>ATTRITION_RATE</v>
      </c>
      <c r="E340" t="str">
        <f>$E$84</f>
        <v>Dynamic</v>
      </c>
      <c r="F340" t="e">
        <f ca="1">_xll.BDH($B$84,$C$84,$B$240,$B$241,CONCATENATE("Per=",$B$238),"Dts=H","Dir=H",CONCATENATE("Points=",$B$239),"Sort=R","Days=A","Fill=B",CONCATENATE("FX=", $B$237) )</f>
        <v>#NAME?</v>
      </c>
      <c r="M340" t="str">
        <f>""</f>
        <v/>
      </c>
      <c r="N340" t="str">
        <f>""</f>
        <v/>
      </c>
      <c r="O340" t="str">
        <f>""</f>
        <v/>
      </c>
      <c r="P340" t="str">
        <f>""</f>
        <v/>
      </c>
      <c r="Q340" t="str">
        <f>""</f>
        <v/>
      </c>
      <c r="R340" t="str">
        <f>""</f>
        <v/>
      </c>
      <c r="S340" t="str">
        <f>""</f>
        <v/>
      </c>
    </row>
    <row r="341" spans="1:19" x14ac:dyDescent="0.25">
      <c r="A341" t="str">
        <f>$A$86</f>
        <v xml:space="preserve">    Accenture PLC</v>
      </c>
      <c r="B341" t="str">
        <f>$B$86</f>
        <v>ACN US Equity</v>
      </c>
      <c r="C341" t="str">
        <f>$C$86</f>
        <v>M0006</v>
      </c>
      <c r="D341" t="str">
        <f>$D$86</f>
        <v>UTILIZATION_RATE</v>
      </c>
      <c r="E341" t="str">
        <f>$E$86</f>
        <v>Dynamic</v>
      </c>
      <c r="F341" t="e">
        <f ca="1">_xll.BDH($B$86,$C$86,$B$240,$B$241,CONCATENATE("Per=",$B$238),"Dts=H","Dir=H",CONCATENATE("Points=",$B$239),"Sort=R","Days=A","Fill=B",CONCATENATE("FX=", $B$237) )</f>
        <v>#NAME?</v>
      </c>
      <c r="M341" t="str">
        <f>""</f>
        <v/>
      </c>
      <c r="N341" t="str">
        <f>""</f>
        <v/>
      </c>
      <c r="O341" t="str">
        <f>""</f>
        <v/>
      </c>
      <c r="P341" t="str">
        <f>""</f>
        <v/>
      </c>
      <c r="Q341" t="str">
        <f>""</f>
        <v/>
      </c>
      <c r="R341" t="str">
        <f>""</f>
        <v/>
      </c>
      <c r="S341" t="str">
        <f>""</f>
        <v/>
      </c>
    </row>
    <row r="342" spans="1:19" x14ac:dyDescent="0.25">
      <c r="A342" t="str">
        <f>$A$87</f>
        <v xml:space="preserve">    Tata Consultancy Services Ltd</v>
      </c>
      <c r="B342" t="str">
        <f>$B$87</f>
        <v>TCS IN Equity</v>
      </c>
      <c r="C342" t="str">
        <f>$C$87</f>
        <v>M0006</v>
      </c>
      <c r="D342" t="str">
        <f>$D$87</f>
        <v>UTILIZATION_RATE</v>
      </c>
      <c r="E342" t="str">
        <f>$E$87</f>
        <v>Dynamic</v>
      </c>
      <c r="F342" t="e">
        <f ca="1">_xll.BDH($B$87,$C$87,$B$240,$B$241,CONCATENATE("Per=",$B$238),"Dts=H","Dir=H",CONCATENATE("Points=",$B$239),"Sort=R","Days=A","Fill=B",CONCATENATE("FX=", $B$237) )</f>
        <v>#NAME?</v>
      </c>
      <c r="M342" t="str">
        <f>""</f>
        <v/>
      </c>
      <c r="N342" t="str">
        <f>""</f>
        <v/>
      </c>
      <c r="O342" t="str">
        <f>""</f>
        <v/>
      </c>
      <c r="P342" t="str">
        <f>""</f>
        <v/>
      </c>
      <c r="Q342" t="str">
        <f>""</f>
        <v/>
      </c>
      <c r="R342" t="str">
        <f>""</f>
        <v/>
      </c>
      <c r="S342" t="str">
        <f>""</f>
        <v/>
      </c>
    </row>
    <row r="343" spans="1:19" x14ac:dyDescent="0.25">
      <c r="A343" t="str">
        <f>$A$88</f>
        <v xml:space="preserve">    Infosys Ltd</v>
      </c>
      <c r="B343" t="str">
        <f>$B$88</f>
        <v>INFY US Equity</v>
      </c>
      <c r="C343" t="str">
        <f>$C$88</f>
        <v>M0006</v>
      </c>
      <c r="D343" t="str">
        <f>$D$88</f>
        <v>UTILIZATION_RATE</v>
      </c>
      <c r="E343" t="str">
        <f>$E$88</f>
        <v>Dynamic</v>
      </c>
      <c r="F343" t="e">
        <f ca="1">_xll.BDH($B$88,$C$88,$B$240,$B$241,CONCATENATE("Per=",$B$238),"Dts=H","Dir=H",CONCATENATE("Points=",$B$239),"Sort=R","Days=A","Fill=B",CONCATENATE("FX=", $B$237) )</f>
        <v>#NAME?</v>
      </c>
      <c r="M343" t="str">
        <f>""</f>
        <v/>
      </c>
      <c r="N343" t="str">
        <f>""</f>
        <v/>
      </c>
      <c r="O343" t="str">
        <f>""</f>
        <v/>
      </c>
      <c r="P343" t="str">
        <f>""</f>
        <v/>
      </c>
      <c r="Q343" t="str">
        <f>""</f>
        <v/>
      </c>
      <c r="R343" t="str">
        <f>""</f>
        <v/>
      </c>
      <c r="S343" t="str">
        <f>""</f>
        <v/>
      </c>
    </row>
    <row r="344" spans="1:19" x14ac:dyDescent="0.25">
      <c r="A344" t="str">
        <f>$A$89</f>
        <v xml:space="preserve">    Cognizant Technology Solutions</v>
      </c>
      <c r="B344" t="str">
        <f>$B$89</f>
        <v>CTSH US Equity</v>
      </c>
      <c r="C344" t="str">
        <f>$C$89</f>
        <v>M0006</v>
      </c>
      <c r="D344" t="str">
        <f>$D$89</f>
        <v>UTILIZATION_RATE</v>
      </c>
      <c r="E344" t="str">
        <f>$E$89</f>
        <v>Dynamic</v>
      </c>
      <c r="F344" t="e">
        <f ca="1">_xll.BDH($B$89,$C$89,$B$240,$B$241,CONCATENATE("Per=",$B$238),"Dts=H","Dir=H",CONCATENATE("Points=",$B$239),"Sort=R","Days=A","Fill=B",CONCATENATE("FX=", $B$237) )</f>
        <v>#NAME?</v>
      </c>
      <c r="M344" t="str">
        <f>""</f>
        <v/>
      </c>
      <c r="N344" t="str">
        <f>""</f>
        <v/>
      </c>
      <c r="O344" t="str">
        <f>""</f>
        <v/>
      </c>
      <c r="P344" t="str">
        <f>""</f>
        <v/>
      </c>
      <c r="Q344" t="str">
        <f>""</f>
        <v/>
      </c>
      <c r="R344" t="str">
        <f>""</f>
        <v/>
      </c>
      <c r="S344" t="str">
        <f>""</f>
        <v/>
      </c>
    </row>
    <row r="345" spans="1:19" x14ac:dyDescent="0.25">
      <c r="A345" t="str">
        <f>$A$90</f>
        <v xml:space="preserve">    Wipro Ltd</v>
      </c>
      <c r="B345" t="str">
        <f>$B$90</f>
        <v>WIT US Equity</v>
      </c>
      <c r="C345" t="str">
        <f>$C$90</f>
        <v>M0006</v>
      </c>
      <c r="D345" t="str">
        <f>$D$90</f>
        <v>UTILIZATION_RATE</v>
      </c>
      <c r="E345" t="str">
        <f>$E$90</f>
        <v>Dynamic</v>
      </c>
      <c r="F345" t="e">
        <f ca="1">_xll.BDH($B$90,$C$90,$B$240,$B$241,CONCATENATE("Per=",$B$238),"Dts=H","Dir=H",CONCATENATE("Points=",$B$239),"Sort=R","Days=A","Fill=B",CONCATENATE("FX=", $B$237) )</f>
        <v>#NAME?</v>
      </c>
      <c r="M345" t="str">
        <f>""</f>
        <v/>
      </c>
      <c r="N345" t="str">
        <f>""</f>
        <v/>
      </c>
      <c r="O345" t="str">
        <f>""</f>
        <v/>
      </c>
      <c r="P345" t="str">
        <f>""</f>
        <v/>
      </c>
      <c r="Q345" t="str">
        <f>""</f>
        <v/>
      </c>
      <c r="R345" t="str">
        <f>""</f>
        <v/>
      </c>
      <c r="S345" t="str">
        <f>""</f>
        <v/>
      </c>
    </row>
    <row r="346" spans="1:19" x14ac:dyDescent="0.25">
      <c r="A346" t="str">
        <f>$A$91</f>
        <v xml:space="preserve">    HCL Technologies Ltd</v>
      </c>
      <c r="B346" t="str">
        <f>$B$91</f>
        <v>HCLT IN Equity</v>
      </c>
      <c r="C346" t="str">
        <f>$C$91</f>
        <v>M0006</v>
      </c>
      <c r="D346" t="str">
        <f>$D$91</f>
        <v>UTILIZATION_RATE</v>
      </c>
      <c r="E346" t="str">
        <f>$E$91</f>
        <v>Dynamic</v>
      </c>
      <c r="F346" t="e">
        <f ca="1">_xll.BDH($B$91,$C$91,$B$240,$B$241,CONCATENATE("Per=",$B$238),"Dts=H","Dir=H",CONCATENATE("Points=",$B$239),"Sort=R","Days=A","Fill=B",CONCATENATE("FX=", $B$237) )</f>
        <v>#NAME?</v>
      </c>
      <c r="M346" t="str">
        <f>""</f>
        <v/>
      </c>
      <c r="N346" t="str">
        <f>""</f>
        <v/>
      </c>
      <c r="O346" t="str">
        <f>""</f>
        <v/>
      </c>
      <c r="P346" t="str">
        <f>""</f>
        <v/>
      </c>
      <c r="Q346" t="str">
        <f>""</f>
        <v/>
      </c>
      <c r="R346" t="str">
        <f>""</f>
        <v/>
      </c>
      <c r="S346" t="str">
        <f>""</f>
        <v/>
      </c>
    </row>
    <row r="347" spans="1:19" x14ac:dyDescent="0.25">
      <c r="A347" t="str">
        <f>$A$94</f>
        <v xml:space="preserve">    Cognizant Technology Solutions Corp</v>
      </c>
      <c r="B347" t="str">
        <f>$B$94</f>
        <v>CTSH US Equity</v>
      </c>
      <c r="C347" t="str">
        <f>$C$94</f>
        <v>M0008</v>
      </c>
      <c r="D347" t="str">
        <f>$D$94</f>
        <v>NUMBER_OF_ACTIVE_CLIENTS</v>
      </c>
      <c r="E347" t="str">
        <f>$E$94</f>
        <v>Dynamic</v>
      </c>
      <c r="F347" t="e">
        <f ca="1">_xll.BDH($B$94,$C$94,$B$240,$B$241,CONCATENATE("Per=",$B$238),"Dts=H","Dir=H",CONCATENATE("Points=",$B$239),"Sort=R","Days=A","Fill=B",CONCATENATE("FX=", $B$237) )</f>
        <v>#NAME?</v>
      </c>
      <c r="M347" t="str">
        <f>""</f>
        <v/>
      </c>
      <c r="N347" t="str">
        <f>""</f>
        <v/>
      </c>
      <c r="O347" t="str">
        <f>""</f>
        <v/>
      </c>
      <c r="P347" t="str">
        <f>""</f>
        <v/>
      </c>
      <c r="Q347" t="str">
        <f>""</f>
        <v/>
      </c>
      <c r="R347" t="str">
        <f>""</f>
        <v/>
      </c>
      <c r="S347" t="str">
        <f>""</f>
        <v/>
      </c>
    </row>
    <row r="348" spans="1:19" x14ac:dyDescent="0.25">
      <c r="A348" t="str">
        <f>$A$95</f>
        <v xml:space="preserve">    HCL Technologies Ltd</v>
      </c>
      <c r="B348" t="str">
        <f>$B$95</f>
        <v>HCLT IN Equity</v>
      </c>
      <c r="C348" t="str">
        <f>$C$95</f>
        <v>M0008</v>
      </c>
      <c r="D348" t="str">
        <f>$D$95</f>
        <v>NUMBER_OF_ACTIVE_CLIENTS</v>
      </c>
      <c r="E348" t="str">
        <f>$E$95</f>
        <v>Dynamic</v>
      </c>
      <c r="F348" t="e">
        <f ca="1">_xll.BDH($B$95,$C$95,$B$240,$B$241,CONCATENATE("Per=",$B$238),"Dts=H","Dir=H",CONCATENATE("Points=",$B$239),"Sort=R","Days=A","Fill=B",CONCATENATE("FX=", $B$237) )</f>
        <v>#NAME?</v>
      </c>
      <c r="M348" t="str">
        <f>""</f>
        <v/>
      </c>
      <c r="N348" t="str">
        <f>""</f>
        <v/>
      </c>
      <c r="O348" t="str">
        <f>""</f>
        <v/>
      </c>
      <c r="P348" t="str">
        <f>""</f>
        <v/>
      </c>
      <c r="Q348" t="str">
        <f>""</f>
        <v/>
      </c>
      <c r="R348" t="str">
        <f>""</f>
        <v/>
      </c>
      <c r="S348" t="str">
        <f>""</f>
        <v/>
      </c>
    </row>
    <row r="349" spans="1:19" x14ac:dyDescent="0.25">
      <c r="A349" t="str">
        <f>$A$96</f>
        <v xml:space="preserve">    Infosys Ltd</v>
      </c>
      <c r="B349" t="str">
        <f>$B$96</f>
        <v>INFY US Equity</v>
      </c>
      <c r="C349" t="str">
        <f>$C$96</f>
        <v>M0008</v>
      </c>
      <c r="D349" t="str">
        <f>$D$96</f>
        <v>NUMBER_OF_ACTIVE_CLIENTS</v>
      </c>
      <c r="E349" t="str">
        <f>$E$96</f>
        <v>Dynamic</v>
      </c>
      <c r="F349" t="e">
        <f ca="1">_xll.BDH($B$96,$C$96,$B$240,$B$241,CONCATENATE("Per=",$B$238),"Dts=H","Dir=H",CONCATENATE("Points=",$B$239),"Sort=R","Days=A","Fill=B",CONCATENATE("FX=", $B$237) )</f>
        <v>#NAME?</v>
      </c>
      <c r="M349" t="str">
        <f>""</f>
        <v/>
      </c>
      <c r="N349" t="str">
        <f>""</f>
        <v/>
      </c>
      <c r="O349" t="str">
        <f>""</f>
        <v/>
      </c>
      <c r="P349" t="str">
        <f>""</f>
        <v/>
      </c>
      <c r="Q349" t="str">
        <f>""</f>
        <v/>
      </c>
      <c r="R349" t="str">
        <f>""</f>
        <v/>
      </c>
      <c r="S349" t="str">
        <f>""</f>
        <v/>
      </c>
    </row>
    <row r="350" spans="1:19" x14ac:dyDescent="0.25">
      <c r="A350" t="str">
        <f>$A$97</f>
        <v xml:space="preserve">    Tata Consultancy Services Ltd</v>
      </c>
      <c r="B350" t="str">
        <f>$B$97</f>
        <v>TCS IN Equity</v>
      </c>
      <c r="C350" t="str">
        <f>$C$97</f>
        <v>M0008</v>
      </c>
      <c r="D350" t="str">
        <f>$D$97</f>
        <v>NUMBER_OF_ACTIVE_CLIENTS</v>
      </c>
      <c r="E350" t="str">
        <f>$E$97</f>
        <v>Dynamic</v>
      </c>
      <c r="F350" t="e">
        <f ca="1">_xll.BDH($B$97,$C$97,$B$240,$B$241,CONCATENATE("Per=",$B$238),"Dts=H","Dir=H",CONCATENATE("Points=",$B$239),"Sort=R","Days=A","Fill=B",CONCATENATE("FX=", $B$237) )</f>
        <v>#NAME?</v>
      </c>
      <c r="M350" t="str">
        <f>""</f>
        <v/>
      </c>
      <c r="N350" t="str">
        <f>""</f>
        <v/>
      </c>
      <c r="O350" t="str">
        <f>""</f>
        <v/>
      </c>
      <c r="P350" t="str">
        <f>""</f>
        <v/>
      </c>
      <c r="Q350" t="str">
        <f>""</f>
        <v/>
      </c>
      <c r="R350" t="str">
        <f>""</f>
        <v/>
      </c>
      <c r="S350" t="str">
        <f>""</f>
        <v/>
      </c>
    </row>
    <row r="351" spans="1:19" x14ac:dyDescent="0.25">
      <c r="A351" t="str">
        <f>$A$98</f>
        <v xml:space="preserve">    Wipro Ltd</v>
      </c>
      <c r="B351" t="str">
        <f>$B$98</f>
        <v>WIT US Equity</v>
      </c>
      <c r="C351" t="str">
        <f>$C$98</f>
        <v>M0008</v>
      </c>
      <c r="D351" t="str">
        <f>$D$98</f>
        <v>NUMBER_OF_ACTIVE_CLIENTS</v>
      </c>
      <c r="E351" t="str">
        <f>$E$98</f>
        <v>Dynamic</v>
      </c>
      <c r="F351" t="e">
        <f ca="1">_xll.BDH($B$98,$C$98,$B$240,$B$241,CONCATENATE("Per=",$B$238),"Dts=H","Dir=H",CONCATENATE("Points=",$B$239),"Sort=R","Days=A","Fill=B",CONCATENATE("FX=", $B$237) )</f>
        <v>#NAME?</v>
      </c>
      <c r="M351" t="str">
        <f>""</f>
        <v/>
      </c>
      <c r="N351" t="str">
        <f>""</f>
        <v/>
      </c>
      <c r="O351" t="str">
        <f>""</f>
        <v/>
      </c>
      <c r="P351" t="str">
        <f>""</f>
        <v/>
      </c>
      <c r="Q351" t="str">
        <f>""</f>
        <v/>
      </c>
      <c r="R351" t="str">
        <f>""</f>
        <v/>
      </c>
      <c r="S351" t="str">
        <f>""</f>
        <v/>
      </c>
    </row>
    <row r="352" spans="1:19" x14ac:dyDescent="0.25">
      <c r="A352" t="str">
        <f>$A$101</f>
        <v xml:space="preserve">        Cognizant Technology Solutions Corp</v>
      </c>
      <c r="B352" t="str">
        <f>$B$101</f>
        <v>CTSH US Equity</v>
      </c>
      <c r="C352" t="str">
        <f>$C$101</f>
        <v>M0018</v>
      </c>
      <c r="D352" t="str">
        <f>$D$101</f>
        <v>TOP_CLIENTS_CONTRIB_TO_REVENUE</v>
      </c>
      <c r="E352" t="str">
        <f>$E$101</f>
        <v>Dynamic</v>
      </c>
      <c r="F352" t="e">
        <f ca="1">_xll.BDH($B$101,$C$101,$B$240,$B$241,CONCATENATE("Per=",$B$238),"Dts=H","Dir=H",CONCATENATE("Points=",$B$239),"Sort=R","Days=A","Fill=B",CONCATENATE("FX=", $B$237) )</f>
        <v>#NAME?</v>
      </c>
      <c r="M352" t="str">
        <f>""</f>
        <v/>
      </c>
      <c r="N352" t="str">
        <f>""</f>
        <v/>
      </c>
      <c r="O352" t="str">
        <f>""</f>
        <v/>
      </c>
      <c r="P352" t="str">
        <f>""</f>
        <v/>
      </c>
      <c r="Q352" t="str">
        <f>""</f>
        <v/>
      </c>
      <c r="R352" t="str">
        <f>""</f>
        <v/>
      </c>
      <c r="S352" t="str">
        <f>""</f>
        <v/>
      </c>
    </row>
    <row r="353" spans="1:19" x14ac:dyDescent="0.25">
      <c r="A353" t="str">
        <f>$A$102</f>
        <v xml:space="preserve">        HCL Technologies Ltd</v>
      </c>
      <c r="B353" t="str">
        <f>$B$102</f>
        <v>HCLT IN Equity</v>
      </c>
      <c r="C353" t="str">
        <f>$C$102</f>
        <v>M0018</v>
      </c>
      <c r="D353" t="str">
        <f>$D$102</f>
        <v>TOP_CLIENTS_CONTRIB_TO_REVENUE</v>
      </c>
      <c r="E353" t="str">
        <f>$E$102</f>
        <v>Dynamic</v>
      </c>
      <c r="F353" t="e">
        <f ca="1">_xll.BDH($B$102,$C$102,$B$240,$B$241,CONCATENATE("Per=",$B$238),"Dts=H","Dir=H",CONCATENATE("Points=",$B$239),"Sort=R","Days=A","Fill=B",CONCATENATE("FX=", $B$237) )</f>
        <v>#NAME?</v>
      </c>
      <c r="M353" t="str">
        <f>""</f>
        <v/>
      </c>
      <c r="N353" t="str">
        <f>""</f>
        <v/>
      </c>
      <c r="O353" t="str">
        <f>""</f>
        <v/>
      </c>
      <c r="P353" t="str">
        <f>""</f>
        <v/>
      </c>
      <c r="Q353" t="str">
        <f>""</f>
        <v/>
      </c>
      <c r="R353" t="str">
        <f>""</f>
        <v/>
      </c>
      <c r="S353" t="str">
        <f>""</f>
        <v/>
      </c>
    </row>
    <row r="354" spans="1:19" x14ac:dyDescent="0.25">
      <c r="A354" t="str">
        <f>$A$103</f>
        <v xml:space="preserve">        Infosys Ltd</v>
      </c>
      <c r="B354" t="str">
        <f>$B$103</f>
        <v>INFY US Equity</v>
      </c>
      <c r="C354" t="str">
        <f>$C$103</f>
        <v>M0018</v>
      </c>
      <c r="D354" t="str">
        <f>$D$103</f>
        <v>TOP_CLIENTS_CONTRIB_TO_REVENUE</v>
      </c>
      <c r="E354" t="str">
        <f>$E$103</f>
        <v>Dynamic</v>
      </c>
      <c r="F354" t="e">
        <f ca="1">_xll.BDH($B$103,$C$103,$B$240,$B$241,CONCATENATE("Per=",$B$238),"Dts=H","Dir=H",CONCATENATE("Points=",$B$239),"Sort=R","Days=A","Fill=B",CONCATENATE("FX=", $B$237) )</f>
        <v>#NAME?</v>
      </c>
      <c r="M354" t="str">
        <f>""</f>
        <v/>
      </c>
      <c r="N354" t="str">
        <f>""</f>
        <v/>
      </c>
      <c r="O354" t="str">
        <f>""</f>
        <v/>
      </c>
      <c r="P354" t="str">
        <f>""</f>
        <v/>
      </c>
      <c r="Q354" t="str">
        <f>""</f>
        <v/>
      </c>
      <c r="R354" t="str">
        <f>""</f>
        <v/>
      </c>
      <c r="S354" t="str">
        <f>""</f>
        <v/>
      </c>
    </row>
    <row r="355" spans="1:19" x14ac:dyDescent="0.25">
      <c r="A355" t="str">
        <f>$A$104</f>
        <v xml:space="preserve">        Tata Consultancy Services Ltd</v>
      </c>
      <c r="B355" t="str">
        <f>$B$104</f>
        <v>TCS IN Equity</v>
      </c>
      <c r="C355" t="str">
        <f>$C$104</f>
        <v>M0018</v>
      </c>
      <c r="D355" t="str">
        <f>$D$104</f>
        <v>TOP_CLIENTS_CONTRIB_TO_REVENUE</v>
      </c>
      <c r="E355" t="str">
        <f>$E$104</f>
        <v>Dynamic</v>
      </c>
      <c r="F355" t="e">
        <f ca="1">_xll.BDH($B$104,$C$104,$B$240,$B$241,CONCATENATE("Per=",$B$238),"Dts=H","Dir=H",CONCATENATE("Points=",$B$239),"Sort=R","Days=A","Fill=B",CONCATENATE("FX=", $B$237) )</f>
        <v>#NAME?</v>
      </c>
      <c r="M355" t="str">
        <f>""</f>
        <v/>
      </c>
      <c r="N355" t="str">
        <f>""</f>
        <v/>
      </c>
      <c r="O355" t="str">
        <f>""</f>
        <v/>
      </c>
      <c r="P355" t="str">
        <f>""</f>
        <v/>
      </c>
      <c r="Q355" t="str">
        <f>""</f>
        <v/>
      </c>
      <c r="R355" t="str">
        <f>""</f>
        <v/>
      </c>
      <c r="S355" t="str">
        <f>""</f>
        <v/>
      </c>
    </row>
    <row r="356" spans="1:19" x14ac:dyDescent="0.25">
      <c r="A356" t="str">
        <f>$A$105</f>
        <v xml:space="preserve">        Wipro Ltd</v>
      </c>
      <c r="B356" t="str">
        <f>$B$105</f>
        <v>WIT US Equity</v>
      </c>
      <c r="C356" t="str">
        <f>$C$105</f>
        <v>M0018</v>
      </c>
      <c r="D356" t="str">
        <f>$D$105</f>
        <v>TOP_CLIENTS_CONTRIB_TO_REVENUE</v>
      </c>
      <c r="E356" t="str">
        <f>$E$105</f>
        <v>Dynamic</v>
      </c>
      <c r="F356" t="e">
        <f ca="1">_xll.BDH($B$105,$C$105,$B$240,$B$241,CONCATENATE("Per=",$B$238),"Dts=H","Dir=H",CONCATENATE("Points=",$B$239),"Sort=R","Days=A","Fill=B",CONCATENATE("FX=", $B$237) )</f>
        <v>#NAME?</v>
      </c>
      <c r="M356" t="str">
        <f>""</f>
        <v/>
      </c>
      <c r="N356" t="str">
        <f>""</f>
        <v/>
      </c>
      <c r="O356" t="str">
        <f>""</f>
        <v/>
      </c>
      <c r="P356" t="str">
        <f>""</f>
        <v/>
      </c>
      <c r="Q356" t="str">
        <f>""</f>
        <v/>
      </c>
      <c r="R356" t="str">
        <f>""</f>
        <v/>
      </c>
      <c r="S356" t="str">
        <f>""</f>
        <v/>
      </c>
    </row>
    <row r="357" spans="1:19" x14ac:dyDescent="0.25">
      <c r="A357" t="str">
        <f>$A$107</f>
        <v xml:space="preserve">        Cognizant Technology Solutions Corp</v>
      </c>
      <c r="B357" t="str">
        <f>$B$107</f>
        <v>CTSH US Equity</v>
      </c>
      <c r="C357" t="str">
        <f>$C$107</f>
        <v>M0019</v>
      </c>
      <c r="D357" t="str">
        <f>$D$107</f>
        <v>TOP_5_CLIENTS_CONTRIB_TO_REV</v>
      </c>
      <c r="E357" t="str">
        <f>$E$107</f>
        <v>Dynamic</v>
      </c>
      <c r="F357" t="e">
        <f ca="1">_xll.BDH($B$107,$C$107,$B$240,$B$241,CONCATENATE("Per=",$B$238),"Dts=H","Dir=H",CONCATENATE("Points=",$B$239),"Sort=R","Days=A","Fill=B",CONCATENATE("FX=", $B$237) )</f>
        <v>#NAME?</v>
      </c>
      <c r="M357" t="str">
        <f>""</f>
        <v/>
      </c>
      <c r="N357" t="str">
        <f>""</f>
        <v/>
      </c>
      <c r="O357" t="str">
        <f>""</f>
        <v/>
      </c>
      <c r="P357" t="str">
        <f>""</f>
        <v/>
      </c>
      <c r="Q357" t="str">
        <f>""</f>
        <v/>
      </c>
      <c r="R357" t="str">
        <f>""</f>
        <v/>
      </c>
      <c r="S357" t="str">
        <f>""</f>
        <v/>
      </c>
    </row>
    <row r="358" spans="1:19" x14ac:dyDescent="0.25">
      <c r="A358" t="str">
        <f>$A$108</f>
        <v xml:space="preserve">        HCL Technologies Ltd</v>
      </c>
      <c r="B358" t="str">
        <f>$B$108</f>
        <v>HCLT IN Equity</v>
      </c>
      <c r="C358" t="str">
        <f>$C$108</f>
        <v>M0019</v>
      </c>
      <c r="D358" t="str">
        <f>$D$108</f>
        <v>TOP_5_CLIENTS_CONTRIB_TO_REV</v>
      </c>
      <c r="E358" t="str">
        <f>$E$108</f>
        <v>Dynamic</v>
      </c>
      <c r="F358" t="e">
        <f ca="1">_xll.BDH($B$108,$C$108,$B$240,$B$241,CONCATENATE("Per=",$B$238),"Dts=H","Dir=H",CONCATENATE("Points=",$B$239),"Sort=R","Days=A","Fill=B",CONCATENATE("FX=", $B$237) )</f>
        <v>#NAME?</v>
      </c>
      <c r="M358" t="str">
        <f>""</f>
        <v/>
      </c>
      <c r="N358" t="str">
        <f>""</f>
        <v/>
      </c>
      <c r="O358" t="str">
        <f>""</f>
        <v/>
      </c>
      <c r="P358" t="str">
        <f>""</f>
        <v/>
      </c>
      <c r="Q358" t="str">
        <f>""</f>
        <v/>
      </c>
      <c r="R358" t="str">
        <f>""</f>
        <v/>
      </c>
      <c r="S358" t="str">
        <f>""</f>
        <v/>
      </c>
    </row>
    <row r="359" spans="1:19" x14ac:dyDescent="0.25">
      <c r="A359" t="str">
        <f>$A$109</f>
        <v xml:space="preserve">        Infosys Ltd</v>
      </c>
      <c r="B359" t="str">
        <f>$B$109</f>
        <v>INFY US Equity</v>
      </c>
      <c r="C359" t="str">
        <f>$C$109</f>
        <v>M0019</v>
      </c>
      <c r="D359" t="str">
        <f>$D$109</f>
        <v>TOP_5_CLIENTS_CONTRIB_TO_REV</v>
      </c>
      <c r="E359" t="str">
        <f>$E$109</f>
        <v>Dynamic</v>
      </c>
      <c r="F359" t="e">
        <f ca="1">_xll.BDH($B$109,$C$109,$B$240,$B$241,CONCATENATE("Per=",$B$238),"Dts=H","Dir=H",CONCATENATE("Points=",$B$239),"Sort=R","Days=A","Fill=B",CONCATENATE("FX=", $B$237) )</f>
        <v>#NAME?</v>
      </c>
      <c r="M359" t="str">
        <f>""</f>
        <v/>
      </c>
      <c r="N359" t="str">
        <f>""</f>
        <v/>
      </c>
      <c r="O359" t="str">
        <f>""</f>
        <v/>
      </c>
      <c r="P359" t="str">
        <f>""</f>
        <v/>
      </c>
      <c r="Q359" t="str">
        <f>""</f>
        <v/>
      </c>
      <c r="R359" t="str">
        <f>""</f>
        <v/>
      </c>
      <c r="S359" t="str">
        <f>""</f>
        <v/>
      </c>
    </row>
    <row r="360" spans="1:19" x14ac:dyDescent="0.25">
      <c r="A360" t="str">
        <f>$A$110</f>
        <v xml:space="preserve">        Tata Consultancy Services Ltd</v>
      </c>
      <c r="B360" t="str">
        <f>$B$110</f>
        <v>TCS IN Equity</v>
      </c>
      <c r="C360" t="str">
        <f>$C$110</f>
        <v>M0019</v>
      </c>
      <c r="D360" t="str">
        <f>$D$110</f>
        <v>TOP_5_CLIENTS_CONTRIB_TO_REV</v>
      </c>
      <c r="E360" t="str">
        <f>$E$110</f>
        <v>Dynamic</v>
      </c>
      <c r="F360" t="e">
        <f ca="1">_xll.BDH($B$110,$C$110,$B$240,$B$241,CONCATENATE("Per=",$B$238),"Dts=H","Dir=H",CONCATENATE("Points=",$B$239),"Sort=R","Days=A","Fill=B",CONCATENATE("FX=", $B$237) )</f>
        <v>#NAME?</v>
      </c>
      <c r="M360" t="str">
        <f>""</f>
        <v/>
      </c>
      <c r="N360" t="str">
        <f>""</f>
        <v/>
      </c>
      <c r="O360" t="str">
        <f>""</f>
        <v/>
      </c>
      <c r="P360" t="str">
        <f>""</f>
        <v/>
      </c>
      <c r="Q360" t="str">
        <f>""</f>
        <v/>
      </c>
      <c r="R360" t="str">
        <f>""</f>
        <v/>
      </c>
      <c r="S360" t="str">
        <f>""</f>
        <v/>
      </c>
    </row>
    <row r="361" spans="1:19" x14ac:dyDescent="0.25">
      <c r="A361" t="str">
        <f>$A$111</f>
        <v xml:space="preserve">        Wipro Ltd</v>
      </c>
      <c r="B361" t="str">
        <f>$B$111</f>
        <v>WIT US Equity</v>
      </c>
      <c r="C361" t="str">
        <f>$C$111</f>
        <v>M0019</v>
      </c>
      <c r="D361" t="str">
        <f>$D$111</f>
        <v>TOP_5_CLIENTS_CONTRIB_TO_REV</v>
      </c>
      <c r="E361" t="str">
        <f>$E$111</f>
        <v>Dynamic</v>
      </c>
      <c r="F361" t="e">
        <f ca="1">_xll.BDH($B$111,$C$111,$B$240,$B$241,CONCATENATE("Per=",$B$238),"Dts=H","Dir=H",CONCATENATE("Points=",$B$239),"Sort=R","Days=A","Fill=B",CONCATENATE("FX=", $B$237) )</f>
        <v>#NAME?</v>
      </c>
      <c r="M361" t="str">
        <f>""</f>
        <v/>
      </c>
      <c r="N361" t="str">
        <f>""</f>
        <v/>
      </c>
      <c r="O361" t="str">
        <f>""</f>
        <v/>
      </c>
      <c r="P361" t="str">
        <f>""</f>
        <v/>
      </c>
      <c r="Q361" t="str">
        <f>""</f>
        <v/>
      </c>
      <c r="R361" t="str">
        <f>""</f>
        <v/>
      </c>
      <c r="S361" t="str">
        <f>""</f>
        <v/>
      </c>
    </row>
    <row r="362" spans="1:19" x14ac:dyDescent="0.25">
      <c r="A362" t="str">
        <f>$A$113</f>
        <v xml:space="preserve">        Cognizant Technology Solutions Corp</v>
      </c>
      <c r="B362" t="str">
        <f>$B$113</f>
        <v>CTSH US Equity</v>
      </c>
      <c r="C362" t="str">
        <f>$C$113</f>
        <v>M0020</v>
      </c>
      <c r="D362" t="str">
        <f>$D$113</f>
        <v>TOP_10_CLIENTS_CONTRIB_TO_REV</v>
      </c>
      <c r="E362" t="str">
        <f>$E$113</f>
        <v>Dynamic</v>
      </c>
      <c r="F362" t="e">
        <f ca="1">_xll.BDH($B$113,$C$113,$B$240,$B$241,CONCATENATE("Per=",$B$238),"Dts=H","Dir=H",CONCATENATE("Points=",$B$239),"Sort=R","Days=A","Fill=B",CONCATENATE("FX=", $B$237) )</f>
        <v>#NAME?</v>
      </c>
      <c r="M362" t="str">
        <f>""</f>
        <v/>
      </c>
      <c r="N362" t="str">
        <f>""</f>
        <v/>
      </c>
      <c r="O362" t="str">
        <f>""</f>
        <v/>
      </c>
      <c r="P362" t="str">
        <f>""</f>
        <v/>
      </c>
      <c r="Q362" t="str">
        <f>""</f>
        <v/>
      </c>
      <c r="R362" t="str">
        <f>""</f>
        <v/>
      </c>
      <c r="S362" t="str">
        <f>""</f>
        <v/>
      </c>
    </row>
    <row r="363" spans="1:19" x14ac:dyDescent="0.25">
      <c r="A363" t="str">
        <f>$A$114</f>
        <v xml:space="preserve">        HCL Technologies Ltd</v>
      </c>
      <c r="B363" t="str">
        <f>$B$114</f>
        <v>HCLT IN Equity</v>
      </c>
      <c r="C363" t="str">
        <f>$C$114</f>
        <v>M0020</v>
      </c>
      <c r="D363" t="str">
        <f>$D$114</f>
        <v>TOP_10_CLIENTS_CONTRIB_TO_REV</v>
      </c>
      <c r="E363" t="str">
        <f>$E$114</f>
        <v>Dynamic</v>
      </c>
      <c r="F363" t="e">
        <f ca="1">_xll.BDH($B$114,$C$114,$B$240,$B$241,CONCATENATE("Per=",$B$238),"Dts=H","Dir=H",CONCATENATE("Points=",$B$239),"Sort=R","Days=A","Fill=B",CONCATENATE("FX=", $B$237) )</f>
        <v>#NAME?</v>
      </c>
      <c r="M363" t="str">
        <f>""</f>
        <v/>
      </c>
      <c r="N363" t="str">
        <f>""</f>
        <v/>
      </c>
      <c r="O363" t="str">
        <f>""</f>
        <v/>
      </c>
      <c r="P363" t="str">
        <f>""</f>
        <v/>
      </c>
      <c r="Q363" t="str">
        <f>""</f>
        <v/>
      </c>
      <c r="R363" t="str">
        <f>""</f>
        <v/>
      </c>
      <c r="S363" t="str">
        <f>""</f>
        <v/>
      </c>
    </row>
    <row r="364" spans="1:19" x14ac:dyDescent="0.25">
      <c r="A364" t="str">
        <f>$A$115</f>
        <v xml:space="preserve">        Infosys Ltd</v>
      </c>
      <c r="B364" t="str">
        <f>$B$115</f>
        <v>INFY US Equity</v>
      </c>
      <c r="C364" t="str">
        <f>$C$115</f>
        <v>M0020</v>
      </c>
      <c r="D364" t="str">
        <f>$D$115</f>
        <v>TOP_10_CLIENTS_CONTRIB_TO_REV</v>
      </c>
      <c r="E364" t="str">
        <f>$E$115</f>
        <v>Dynamic</v>
      </c>
      <c r="F364" t="e">
        <f ca="1">_xll.BDH($B$115,$C$115,$B$240,$B$241,CONCATENATE("Per=",$B$238),"Dts=H","Dir=H",CONCATENATE("Points=",$B$239),"Sort=R","Days=A","Fill=B",CONCATENATE("FX=", $B$237) )</f>
        <v>#NAME?</v>
      </c>
      <c r="M364" t="str">
        <f>""</f>
        <v/>
      </c>
      <c r="N364" t="str">
        <f>""</f>
        <v/>
      </c>
      <c r="O364" t="str">
        <f>""</f>
        <v/>
      </c>
      <c r="P364" t="str">
        <f>""</f>
        <v/>
      </c>
      <c r="Q364" t="str">
        <f>""</f>
        <v/>
      </c>
      <c r="R364" t="str">
        <f>""</f>
        <v/>
      </c>
      <c r="S364" t="str">
        <f>""</f>
        <v/>
      </c>
    </row>
    <row r="365" spans="1:19" x14ac:dyDescent="0.25">
      <c r="A365" t="str">
        <f>$A$116</f>
        <v xml:space="preserve">        Tata Consultancy Services Ltd</v>
      </c>
      <c r="B365" t="str">
        <f>$B$116</f>
        <v>TCS IN Equity</v>
      </c>
      <c r="C365" t="str">
        <f>$C$116</f>
        <v>M0020</v>
      </c>
      <c r="D365" t="str">
        <f>$D$116</f>
        <v>TOP_10_CLIENTS_CONTRIB_TO_REV</v>
      </c>
      <c r="E365" t="str">
        <f>$E$116</f>
        <v>Dynamic</v>
      </c>
      <c r="F365" t="e">
        <f ca="1">_xll.BDH($B$116,$C$116,$B$240,$B$241,CONCATENATE("Per=",$B$238),"Dts=H","Dir=H",CONCATENATE("Points=",$B$239),"Sort=R","Days=A","Fill=B",CONCATENATE("FX=", $B$237) )</f>
        <v>#NAME?</v>
      </c>
      <c r="M365" t="str">
        <f>""</f>
        <v/>
      </c>
      <c r="N365" t="str">
        <f>""</f>
        <v/>
      </c>
      <c r="O365" t="str">
        <f>""</f>
        <v/>
      </c>
      <c r="P365" t="str">
        <f>""</f>
        <v/>
      </c>
      <c r="Q365" t="str">
        <f>""</f>
        <v/>
      </c>
      <c r="R365" t="str">
        <f>""</f>
        <v/>
      </c>
      <c r="S365" t="str">
        <f>""</f>
        <v/>
      </c>
    </row>
    <row r="366" spans="1:19" x14ac:dyDescent="0.25">
      <c r="A366" t="str">
        <f>$A$117</f>
        <v xml:space="preserve">        Wipro Ltd</v>
      </c>
      <c r="B366" t="str">
        <f>$B$117</f>
        <v>WIT US Equity</v>
      </c>
      <c r="C366" t="str">
        <f>$C$117</f>
        <v>M0020</v>
      </c>
      <c r="D366" t="str">
        <f>$D$117</f>
        <v>TOP_10_CLIENTS_CONTRIB_TO_REV</v>
      </c>
      <c r="E366" t="str">
        <f>$E$117</f>
        <v>Dynamic</v>
      </c>
      <c r="F366" t="e">
        <f ca="1">_xll.BDH($B$117,$C$117,$B$240,$B$241,CONCATENATE("Per=",$B$238),"Dts=H","Dir=H",CONCATENATE("Points=",$B$239),"Sort=R","Days=A","Fill=B",CONCATENATE("FX=", $B$237) )</f>
        <v>#NAME?</v>
      </c>
      <c r="M366" t="str">
        <f>""</f>
        <v/>
      </c>
      <c r="N366" t="str">
        <f>""</f>
        <v/>
      </c>
      <c r="O366" t="str">
        <f>""</f>
        <v/>
      </c>
      <c r="P366" t="str">
        <f>""</f>
        <v/>
      </c>
      <c r="Q366" t="str">
        <f>""</f>
        <v/>
      </c>
      <c r="R366" t="str">
        <f>""</f>
        <v/>
      </c>
      <c r="S366" t="str">
        <f>""</f>
        <v/>
      </c>
    </row>
    <row r="367" spans="1:19" x14ac:dyDescent="0.25">
      <c r="A367" t="str">
        <f>$A$120</f>
        <v xml:space="preserve">        Cognizant Technology Solutions Corp</v>
      </c>
      <c r="B367" t="str">
        <f>$B$120</f>
        <v>CTSH US Equity</v>
      </c>
      <c r="C367" t="str">
        <f>$C$120</f>
        <v>M0010</v>
      </c>
      <c r="D367" t="str">
        <f>$D$120</f>
        <v>NUMBER_OF_CLIENTS_0_TO_5MM</v>
      </c>
      <c r="E367" t="str">
        <f>$E$120</f>
        <v>Dynamic</v>
      </c>
      <c r="F367" t="e">
        <f ca="1">_xll.BDH($B$120,$C$120,$B$240,$B$241,CONCATENATE("Per=",$B$238),"Dts=H","Dir=H",CONCATENATE("Points=",$B$239),"Sort=R","Days=A","Fill=B",CONCATENATE("FX=", $B$237) )</f>
        <v>#NAME?</v>
      </c>
      <c r="M367" t="str">
        <f>""</f>
        <v/>
      </c>
      <c r="N367" t="str">
        <f>""</f>
        <v/>
      </c>
      <c r="O367" t="str">
        <f>""</f>
        <v/>
      </c>
      <c r="P367" t="str">
        <f>""</f>
        <v/>
      </c>
      <c r="Q367" t="str">
        <f>""</f>
        <v/>
      </c>
      <c r="R367" t="str">
        <f>""</f>
        <v/>
      </c>
      <c r="S367" t="str">
        <f>""</f>
        <v/>
      </c>
    </row>
    <row r="368" spans="1:19" x14ac:dyDescent="0.25">
      <c r="A368" t="str">
        <f>$A$121</f>
        <v xml:space="preserve">        HCL Technologies Ltd</v>
      </c>
      <c r="B368" t="str">
        <f>$B$121</f>
        <v>HCLT IN Equity</v>
      </c>
      <c r="C368" t="str">
        <f>$C$121</f>
        <v>M0010</v>
      </c>
      <c r="D368" t="str">
        <f>$D$121</f>
        <v>NUMBER_OF_CLIENTS_0_TO_5MM</v>
      </c>
      <c r="E368" t="str">
        <f>$E$121</f>
        <v>Dynamic</v>
      </c>
      <c r="F368" t="e">
        <f ca="1">_xll.BDH($B$121,$C$121,$B$240,$B$241,CONCATENATE("Per=",$B$238),"Dts=H","Dir=H",CONCATENATE("Points=",$B$239),"Sort=R","Days=A","Fill=B",CONCATENATE("FX=", $B$237) )</f>
        <v>#NAME?</v>
      </c>
      <c r="M368" t="str">
        <f>""</f>
        <v/>
      </c>
      <c r="N368" t="str">
        <f>""</f>
        <v/>
      </c>
      <c r="O368" t="str">
        <f>""</f>
        <v/>
      </c>
      <c r="P368" t="str">
        <f>""</f>
        <v/>
      </c>
      <c r="Q368" t="str">
        <f>""</f>
        <v/>
      </c>
      <c r="R368" t="str">
        <f>""</f>
        <v/>
      </c>
      <c r="S368" t="str">
        <f>""</f>
        <v/>
      </c>
    </row>
    <row r="369" spans="1:19" x14ac:dyDescent="0.25">
      <c r="A369" t="str">
        <f>$A$122</f>
        <v xml:space="preserve">        Infosys Ltd</v>
      </c>
      <c r="B369" t="str">
        <f>$B$122</f>
        <v>INFY US Equity</v>
      </c>
      <c r="C369" t="str">
        <f>$C$122</f>
        <v>M0010</v>
      </c>
      <c r="D369" t="str">
        <f>$D$122</f>
        <v>NUMBER_OF_CLIENTS_0_TO_5MM</v>
      </c>
      <c r="E369" t="str">
        <f>$E$122</f>
        <v>Dynamic</v>
      </c>
      <c r="F369" t="e">
        <f ca="1">_xll.BDH($B$122,$C$122,$B$240,$B$241,CONCATENATE("Per=",$B$238),"Dts=H","Dir=H",CONCATENATE("Points=",$B$239),"Sort=R","Days=A","Fill=B",CONCATENATE("FX=", $B$237) )</f>
        <v>#NAME?</v>
      </c>
      <c r="M369" t="str">
        <f>""</f>
        <v/>
      </c>
      <c r="N369" t="str">
        <f>""</f>
        <v/>
      </c>
      <c r="O369" t="str">
        <f>""</f>
        <v/>
      </c>
      <c r="P369" t="str">
        <f>""</f>
        <v/>
      </c>
      <c r="Q369" t="str">
        <f>""</f>
        <v/>
      </c>
      <c r="R369" t="str">
        <f>""</f>
        <v/>
      </c>
      <c r="S369" t="str">
        <f>""</f>
        <v/>
      </c>
    </row>
    <row r="370" spans="1:19" x14ac:dyDescent="0.25">
      <c r="A370" t="str">
        <f>$A$123</f>
        <v xml:space="preserve">        Tata Consultancy Services Ltd</v>
      </c>
      <c r="B370" t="str">
        <f>$B$123</f>
        <v>TCS IN Equity</v>
      </c>
      <c r="C370" t="str">
        <f>$C$123</f>
        <v>M0010</v>
      </c>
      <c r="D370" t="str">
        <f>$D$123</f>
        <v>NUMBER_OF_CLIENTS_0_TO_5MM</v>
      </c>
      <c r="E370" t="str">
        <f>$E$123</f>
        <v>Dynamic</v>
      </c>
      <c r="F370" t="e">
        <f ca="1">_xll.BDH($B$123,$C$123,$B$240,$B$241,CONCATENATE("Per=",$B$238),"Dts=H","Dir=H",CONCATENATE("Points=",$B$239),"Sort=R","Days=A","Fill=B",CONCATENATE("FX=", $B$237) )</f>
        <v>#NAME?</v>
      </c>
      <c r="M370" t="str">
        <f>""</f>
        <v/>
      </c>
      <c r="N370" t="str">
        <f>""</f>
        <v/>
      </c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</row>
    <row r="371" spans="1:19" x14ac:dyDescent="0.25">
      <c r="A371" t="str">
        <f>$A$124</f>
        <v xml:space="preserve">        Wipro Ltd</v>
      </c>
      <c r="B371" t="str">
        <f>$B$124</f>
        <v>WIT US Equity</v>
      </c>
      <c r="C371" t="str">
        <f>$C$124</f>
        <v>M0010</v>
      </c>
      <c r="D371" t="str">
        <f>$D$124</f>
        <v>NUMBER_OF_CLIENTS_0_TO_5MM</v>
      </c>
      <c r="E371" t="str">
        <f>$E$124</f>
        <v>Dynamic</v>
      </c>
      <c r="F371" t="e">
        <f ca="1">_xll.BDH($B$124,$C$124,$B$240,$B$241,CONCATENATE("Per=",$B$238),"Dts=H","Dir=H",CONCATENATE("Points=",$B$239),"Sort=R","Days=A","Fill=B",CONCATENATE("FX=", $B$237) )</f>
        <v>#NAME?</v>
      </c>
      <c r="M371" t="str">
        <f>""</f>
        <v/>
      </c>
      <c r="N371" t="str">
        <f>""</f>
        <v/>
      </c>
      <c r="O371" t="str">
        <f>""</f>
        <v/>
      </c>
      <c r="P371" t="str">
        <f>""</f>
        <v/>
      </c>
      <c r="Q371" t="str">
        <f>""</f>
        <v/>
      </c>
      <c r="R371" t="str">
        <f>""</f>
        <v/>
      </c>
      <c r="S371" t="str">
        <f>""</f>
        <v/>
      </c>
    </row>
    <row r="372" spans="1:19" x14ac:dyDescent="0.25">
      <c r="A372" t="str">
        <f>$A$126</f>
        <v xml:space="preserve">        Cognizant Technology Solutions Corp</v>
      </c>
      <c r="B372" t="str">
        <f>$B$126</f>
        <v>CTSH US Equity</v>
      </c>
      <c r="C372" t="str">
        <f>$C$126</f>
        <v>M0011</v>
      </c>
      <c r="D372" t="str">
        <f>$D$126</f>
        <v>NUM_CLIENTS_5MM_TO_10MM</v>
      </c>
      <c r="E372" t="str">
        <f>$E$126</f>
        <v>Dynamic</v>
      </c>
      <c r="F372" t="e">
        <f ca="1">_xll.BDH($B$126,$C$126,$B$240,$B$241,CONCATENATE("Per=",$B$238),"Dts=H","Dir=H",CONCATENATE("Points=",$B$239),"Sort=R","Days=A","Fill=B",CONCATENATE("FX=", $B$237) )</f>
        <v>#NAME?</v>
      </c>
      <c r="M372" t="str">
        <f>""</f>
        <v/>
      </c>
      <c r="N372" t="str">
        <f>""</f>
        <v/>
      </c>
      <c r="O372" t="str">
        <f>""</f>
        <v/>
      </c>
      <c r="P372" t="str">
        <f>""</f>
        <v/>
      </c>
      <c r="Q372" t="str">
        <f>""</f>
        <v/>
      </c>
      <c r="R372" t="str">
        <f>""</f>
        <v/>
      </c>
      <c r="S372" t="str">
        <f>""</f>
        <v/>
      </c>
    </row>
    <row r="373" spans="1:19" x14ac:dyDescent="0.25">
      <c r="A373" t="str">
        <f>$A$127</f>
        <v xml:space="preserve">        HCL Technologies Ltd</v>
      </c>
      <c r="B373" t="str">
        <f>$B$127</f>
        <v>HCLT IN Equity</v>
      </c>
      <c r="C373" t="str">
        <f>$C$127</f>
        <v>M0011</v>
      </c>
      <c r="D373" t="str">
        <f>$D$127</f>
        <v>NUM_CLIENTS_5MM_TO_10MM</v>
      </c>
      <c r="E373" t="str">
        <f>$E$127</f>
        <v>Dynamic</v>
      </c>
      <c r="F373" t="e">
        <f ca="1">_xll.BDH($B$127,$C$127,$B$240,$B$241,CONCATENATE("Per=",$B$238),"Dts=H","Dir=H",CONCATENATE("Points=",$B$239),"Sort=R","Days=A","Fill=B",CONCATENATE("FX=", $B$237) )</f>
        <v>#NAME?</v>
      </c>
      <c r="M373" t="str">
        <f>""</f>
        <v/>
      </c>
      <c r="N373" t="str">
        <f>""</f>
        <v/>
      </c>
      <c r="O373" t="str">
        <f>""</f>
        <v/>
      </c>
      <c r="P373" t="str">
        <f>""</f>
        <v/>
      </c>
      <c r="Q373" t="str">
        <f>""</f>
        <v/>
      </c>
      <c r="R373" t="str">
        <f>""</f>
        <v/>
      </c>
      <c r="S373" t="str">
        <f>""</f>
        <v/>
      </c>
    </row>
    <row r="374" spans="1:19" x14ac:dyDescent="0.25">
      <c r="A374" t="str">
        <f>$A$128</f>
        <v xml:space="preserve">        Infosys Ltd</v>
      </c>
      <c r="B374" t="str">
        <f>$B$128</f>
        <v>INFY US Equity</v>
      </c>
      <c r="C374" t="str">
        <f>$C$128</f>
        <v>M0011</v>
      </c>
      <c r="D374" t="str">
        <f>$D$128</f>
        <v>NUM_CLIENTS_5MM_TO_10MM</v>
      </c>
      <c r="E374" t="str">
        <f>$E$128</f>
        <v>Dynamic</v>
      </c>
      <c r="F374" t="e">
        <f ca="1">_xll.BDH($B$128,$C$128,$B$240,$B$241,CONCATENATE("Per=",$B$238),"Dts=H","Dir=H",CONCATENATE("Points=",$B$239),"Sort=R","Days=A","Fill=B",CONCATENATE("FX=", $B$237) )</f>
        <v>#NAME?</v>
      </c>
      <c r="M374" t="str">
        <f>""</f>
        <v/>
      </c>
      <c r="N374" t="str">
        <f>""</f>
        <v/>
      </c>
      <c r="O374" t="str">
        <f>""</f>
        <v/>
      </c>
      <c r="P374" t="str">
        <f>""</f>
        <v/>
      </c>
      <c r="Q374" t="str">
        <f>""</f>
        <v/>
      </c>
      <c r="R374" t="str">
        <f>""</f>
        <v/>
      </c>
      <c r="S374" t="str">
        <f>""</f>
        <v/>
      </c>
    </row>
    <row r="375" spans="1:19" x14ac:dyDescent="0.25">
      <c r="A375" t="str">
        <f>$A$129</f>
        <v xml:space="preserve">        Tata Consultancy Services Ltd</v>
      </c>
      <c r="B375" t="str">
        <f>$B$129</f>
        <v>TCS IN Equity</v>
      </c>
      <c r="C375" t="str">
        <f>$C$129</f>
        <v>M0011</v>
      </c>
      <c r="D375" t="str">
        <f>$D$129</f>
        <v>NUM_CLIENTS_5MM_TO_10MM</v>
      </c>
      <c r="E375" t="str">
        <f>$E$129</f>
        <v>Dynamic</v>
      </c>
      <c r="F375" t="e">
        <f ca="1">_xll.BDH($B$129,$C$129,$B$240,$B$241,CONCATENATE("Per=",$B$238),"Dts=H","Dir=H",CONCATENATE("Points=",$B$239),"Sort=R","Days=A","Fill=B",CONCATENATE("FX=", $B$237) )</f>
        <v>#NAME?</v>
      </c>
      <c r="M375" t="str">
        <f>""</f>
        <v/>
      </c>
      <c r="N375" t="str">
        <f>""</f>
        <v/>
      </c>
      <c r="O375" t="str">
        <f>""</f>
        <v/>
      </c>
      <c r="P375" t="str">
        <f>""</f>
        <v/>
      </c>
      <c r="Q375" t="str">
        <f>""</f>
        <v/>
      </c>
      <c r="R375" t="str">
        <f>""</f>
        <v/>
      </c>
      <c r="S375" t="str">
        <f>""</f>
        <v/>
      </c>
    </row>
    <row r="376" spans="1:19" x14ac:dyDescent="0.25">
      <c r="A376" t="str">
        <f>$A$130</f>
        <v xml:space="preserve">        Wipro Ltd</v>
      </c>
      <c r="B376" t="str">
        <f>$B$130</f>
        <v>WIT US Equity</v>
      </c>
      <c r="C376" t="str">
        <f>$C$130</f>
        <v>M0011</v>
      </c>
      <c r="D376" t="str">
        <f>$D$130</f>
        <v>NUM_CLIENTS_5MM_TO_10MM</v>
      </c>
      <c r="E376" t="str">
        <f>$E$130</f>
        <v>Dynamic</v>
      </c>
      <c r="F376" t="e">
        <f ca="1">_xll.BDH($B$130,$C$130,$B$240,$B$241,CONCATENATE("Per=",$B$238),"Dts=H","Dir=H",CONCATENATE("Points=",$B$239),"Sort=R","Days=A","Fill=B",CONCATENATE("FX=", $B$237) )</f>
        <v>#NAME?</v>
      </c>
      <c r="M376" t="str">
        <f>""</f>
        <v/>
      </c>
      <c r="N376" t="str">
        <f>""</f>
        <v/>
      </c>
      <c r="O376" t="str">
        <f>""</f>
        <v/>
      </c>
      <c r="P376" t="str">
        <f>""</f>
        <v/>
      </c>
      <c r="Q376" t="str">
        <f>""</f>
        <v/>
      </c>
      <c r="R376" t="str">
        <f>""</f>
        <v/>
      </c>
      <c r="S376" t="str">
        <f>""</f>
        <v/>
      </c>
    </row>
    <row r="377" spans="1:19" x14ac:dyDescent="0.25">
      <c r="A377" t="str">
        <f>$A$132</f>
        <v xml:space="preserve">        Cognizant Technology Solutions Corp</v>
      </c>
      <c r="B377" t="str">
        <f>$B$132</f>
        <v>CTSH US Equity</v>
      </c>
      <c r="C377" t="str">
        <f>$C$132</f>
        <v>M0012</v>
      </c>
      <c r="D377" t="str">
        <f>$D$132</f>
        <v>NUM_CLIENTS_10MM_TO_20MM</v>
      </c>
      <c r="E377" t="str">
        <f>$E$132</f>
        <v>Dynamic</v>
      </c>
      <c r="F377" t="e">
        <f ca="1">_xll.BDH($B$132,$C$132,$B$240,$B$241,CONCATENATE("Per=",$B$238),"Dts=H","Dir=H",CONCATENATE("Points=",$B$239),"Sort=R","Days=A","Fill=B",CONCATENATE("FX=", $B$237) )</f>
        <v>#NAME?</v>
      </c>
      <c r="M377" t="str">
        <f>""</f>
        <v/>
      </c>
      <c r="N377" t="str">
        <f>""</f>
        <v/>
      </c>
      <c r="O377" t="str">
        <f>""</f>
        <v/>
      </c>
      <c r="P377" t="str">
        <f>""</f>
        <v/>
      </c>
      <c r="Q377" t="str">
        <f>""</f>
        <v/>
      </c>
      <c r="R377" t="str">
        <f>""</f>
        <v/>
      </c>
      <c r="S377" t="str">
        <f>""</f>
        <v/>
      </c>
    </row>
    <row r="378" spans="1:19" x14ac:dyDescent="0.25">
      <c r="A378" t="str">
        <f>$A$133</f>
        <v xml:space="preserve">        HCL Technologies Ltd</v>
      </c>
      <c r="B378" t="str">
        <f>$B$133</f>
        <v>HCLT IN Equity</v>
      </c>
      <c r="C378" t="str">
        <f>$C$133</f>
        <v>M0012</v>
      </c>
      <c r="D378" t="str">
        <f>$D$133</f>
        <v>NUM_CLIENTS_10MM_TO_20MM</v>
      </c>
      <c r="E378" t="str">
        <f>$E$133</f>
        <v>Dynamic</v>
      </c>
      <c r="F378" t="e">
        <f ca="1">_xll.BDH($B$133,$C$133,$B$240,$B$241,CONCATENATE("Per=",$B$238),"Dts=H","Dir=H",CONCATENATE("Points=",$B$239),"Sort=R","Days=A","Fill=B",CONCATENATE("FX=", $B$237) )</f>
        <v>#NAME?</v>
      </c>
      <c r="M378" t="str">
        <f>""</f>
        <v/>
      </c>
      <c r="N378" t="str">
        <f>""</f>
        <v/>
      </c>
      <c r="O378" t="str">
        <f>""</f>
        <v/>
      </c>
      <c r="P378" t="str">
        <f>""</f>
        <v/>
      </c>
      <c r="Q378" t="str">
        <f>""</f>
        <v/>
      </c>
      <c r="R378" t="str">
        <f>""</f>
        <v/>
      </c>
      <c r="S378" t="str">
        <f>""</f>
        <v/>
      </c>
    </row>
    <row r="379" spans="1:19" x14ac:dyDescent="0.25">
      <c r="A379" t="str">
        <f>$A$134</f>
        <v xml:space="preserve">        Infosys Ltd</v>
      </c>
      <c r="B379" t="str">
        <f>$B$134</f>
        <v>INFY US Equity</v>
      </c>
      <c r="C379" t="str">
        <f>$C$134</f>
        <v>M0012</v>
      </c>
      <c r="D379" t="str">
        <f>$D$134</f>
        <v>NUM_CLIENTS_10MM_TO_20MM</v>
      </c>
      <c r="E379" t="str">
        <f>$E$134</f>
        <v>Dynamic</v>
      </c>
      <c r="F379" t="e">
        <f ca="1">_xll.BDH($B$134,$C$134,$B$240,$B$241,CONCATENATE("Per=",$B$238),"Dts=H","Dir=H",CONCATENATE("Points=",$B$239),"Sort=R","Days=A","Fill=B",CONCATENATE("FX=", $B$237) )</f>
        <v>#NAME?</v>
      </c>
      <c r="M379" t="str">
        <f>""</f>
        <v/>
      </c>
      <c r="N379" t="str">
        <f>""</f>
        <v/>
      </c>
      <c r="O379" t="str">
        <f>""</f>
        <v/>
      </c>
      <c r="P379" t="str">
        <f>""</f>
        <v/>
      </c>
      <c r="Q379" t="str">
        <f>""</f>
        <v/>
      </c>
      <c r="R379" t="str">
        <f>""</f>
        <v/>
      </c>
      <c r="S379" t="str">
        <f>""</f>
        <v/>
      </c>
    </row>
    <row r="380" spans="1:19" x14ac:dyDescent="0.25">
      <c r="A380" t="str">
        <f>$A$135</f>
        <v xml:space="preserve">        Tata Consultancy Services Ltd</v>
      </c>
      <c r="B380" t="str">
        <f>$B$135</f>
        <v>TCS IN Equity</v>
      </c>
      <c r="C380" t="str">
        <f>$C$135</f>
        <v>M0012</v>
      </c>
      <c r="D380" t="str">
        <f>$D$135</f>
        <v>NUM_CLIENTS_10MM_TO_20MM</v>
      </c>
      <c r="E380" t="str">
        <f>$E$135</f>
        <v>Dynamic</v>
      </c>
      <c r="F380" t="e">
        <f ca="1">_xll.BDH($B$135,$C$135,$B$240,$B$241,CONCATENATE("Per=",$B$238),"Dts=H","Dir=H",CONCATENATE("Points=",$B$239),"Sort=R","Days=A","Fill=B",CONCATENATE("FX=", $B$237) )</f>
        <v>#NAME?</v>
      </c>
      <c r="M380" t="str">
        <f>""</f>
        <v/>
      </c>
      <c r="N380" t="str">
        <f>""</f>
        <v/>
      </c>
      <c r="O380" t="str">
        <f>""</f>
        <v/>
      </c>
      <c r="P380" t="str">
        <f>""</f>
        <v/>
      </c>
      <c r="Q380" t="str">
        <f>""</f>
        <v/>
      </c>
      <c r="R380" t="str">
        <f>""</f>
        <v/>
      </c>
      <c r="S380" t="str">
        <f>""</f>
        <v/>
      </c>
    </row>
    <row r="381" spans="1:19" x14ac:dyDescent="0.25">
      <c r="A381" t="str">
        <f>$A$136</f>
        <v xml:space="preserve">        Wipro Ltd</v>
      </c>
      <c r="B381" t="str">
        <f>$B$136</f>
        <v>WIT US Equity</v>
      </c>
      <c r="C381" t="str">
        <f>$C$136</f>
        <v>M0012</v>
      </c>
      <c r="D381" t="str">
        <f>$D$136</f>
        <v>NUM_CLIENTS_10MM_TO_20MM</v>
      </c>
      <c r="E381" t="str">
        <f>$E$136</f>
        <v>Dynamic</v>
      </c>
      <c r="F381" t="e">
        <f ca="1">_xll.BDH($B$136,$C$136,$B$240,$B$241,CONCATENATE("Per=",$B$238),"Dts=H","Dir=H",CONCATENATE("Points=",$B$239),"Sort=R","Days=A","Fill=B",CONCATENATE("FX=", $B$237) )</f>
        <v>#NAME?</v>
      </c>
      <c r="M381" t="str">
        <f>""</f>
        <v/>
      </c>
      <c r="N381" t="str">
        <f>""</f>
        <v/>
      </c>
      <c r="O381" t="str">
        <f>""</f>
        <v/>
      </c>
      <c r="P381" t="str">
        <f>""</f>
        <v/>
      </c>
      <c r="Q381" t="str">
        <f>""</f>
        <v/>
      </c>
      <c r="R381" t="str">
        <f>""</f>
        <v/>
      </c>
      <c r="S381" t="str">
        <f>""</f>
        <v/>
      </c>
    </row>
    <row r="382" spans="1:19" x14ac:dyDescent="0.25">
      <c r="A382" t="str">
        <f>$A$138</f>
        <v xml:space="preserve">        Cognizant Technology Solutions Corp</v>
      </c>
      <c r="B382" t="str">
        <f>$B$138</f>
        <v>CTSH US Equity</v>
      </c>
      <c r="C382" t="str">
        <f>$C$138</f>
        <v>M0013</v>
      </c>
      <c r="D382" t="str">
        <f>$D$138</f>
        <v>NUM_CLIENTS_20MM_TO_30MM</v>
      </c>
      <c r="E382" t="str">
        <f>$E$138</f>
        <v>Dynamic</v>
      </c>
      <c r="F382" t="e">
        <f ca="1">_xll.BDH($B$138,$C$138,$B$240,$B$241,CONCATENATE("Per=",$B$238),"Dts=H","Dir=H",CONCATENATE("Points=",$B$239),"Sort=R","Days=A","Fill=B",CONCATENATE("FX=", $B$237) )</f>
        <v>#NAME?</v>
      </c>
      <c r="M382" t="str">
        <f>""</f>
        <v/>
      </c>
      <c r="N382" t="str">
        <f>""</f>
        <v/>
      </c>
      <c r="O382" t="str">
        <f>""</f>
        <v/>
      </c>
      <c r="P382" t="str">
        <f>""</f>
        <v/>
      </c>
      <c r="Q382" t="str">
        <f>""</f>
        <v/>
      </c>
      <c r="R382" t="str">
        <f>""</f>
        <v/>
      </c>
      <c r="S382" t="str">
        <f>""</f>
        <v/>
      </c>
    </row>
    <row r="383" spans="1:19" x14ac:dyDescent="0.25">
      <c r="A383" t="str">
        <f>$A$139</f>
        <v xml:space="preserve">        HCL Technologies Ltd</v>
      </c>
      <c r="B383" t="str">
        <f>$B$139</f>
        <v>HCLT IN Equity</v>
      </c>
      <c r="C383" t="str">
        <f>$C$139</f>
        <v>M0013</v>
      </c>
      <c r="D383" t="str">
        <f>$D$139</f>
        <v>NUM_CLIENTS_20MM_TO_30MM</v>
      </c>
      <c r="E383" t="str">
        <f>$E$139</f>
        <v>Dynamic</v>
      </c>
      <c r="F383" t="e">
        <f ca="1">_xll.BDH($B$139,$C$139,$B$240,$B$241,CONCATENATE("Per=",$B$238),"Dts=H","Dir=H",CONCATENATE("Points=",$B$239),"Sort=R","Days=A","Fill=B",CONCATENATE("FX=", $B$237) )</f>
        <v>#NAME?</v>
      </c>
      <c r="M383" t="str">
        <f>""</f>
        <v/>
      </c>
      <c r="N383" t="str">
        <f>""</f>
        <v/>
      </c>
      <c r="O383" t="str">
        <f>""</f>
        <v/>
      </c>
      <c r="P383" t="str">
        <f>""</f>
        <v/>
      </c>
      <c r="Q383" t="str">
        <f>""</f>
        <v/>
      </c>
      <c r="R383" t="str">
        <f>""</f>
        <v/>
      </c>
      <c r="S383" t="str">
        <f>""</f>
        <v/>
      </c>
    </row>
    <row r="384" spans="1:19" x14ac:dyDescent="0.25">
      <c r="A384" t="str">
        <f>$A$140</f>
        <v xml:space="preserve">        Infosys Ltd</v>
      </c>
      <c r="B384" t="str">
        <f>$B$140</f>
        <v>INFY US Equity</v>
      </c>
      <c r="C384" t="str">
        <f>$C$140</f>
        <v>M0013</v>
      </c>
      <c r="D384" t="str">
        <f>$D$140</f>
        <v>NUM_CLIENTS_20MM_TO_30MM</v>
      </c>
      <c r="E384" t="str">
        <f>$E$140</f>
        <v>Dynamic</v>
      </c>
      <c r="F384" t="e">
        <f ca="1">_xll.BDH($B$140,$C$140,$B$240,$B$241,CONCATENATE("Per=",$B$238),"Dts=H","Dir=H",CONCATENATE("Points=",$B$239),"Sort=R","Days=A","Fill=B",CONCATENATE("FX=", $B$237) )</f>
        <v>#NAME?</v>
      </c>
      <c r="M384" t="str">
        <f>""</f>
        <v/>
      </c>
      <c r="N384" t="str">
        <f>""</f>
        <v/>
      </c>
      <c r="O384" t="str">
        <f>""</f>
        <v/>
      </c>
      <c r="P384" t="str">
        <f>""</f>
        <v/>
      </c>
      <c r="Q384" t="str">
        <f>""</f>
        <v/>
      </c>
      <c r="R384" t="str">
        <f>""</f>
        <v/>
      </c>
      <c r="S384" t="str">
        <f>""</f>
        <v/>
      </c>
    </row>
    <row r="385" spans="1:19" x14ac:dyDescent="0.25">
      <c r="A385" t="str">
        <f>$A$141</f>
        <v xml:space="preserve">        Tata Consultancy Services Ltd</v>
      </c>
      <c r="B385" t="str">
        <f>$B$141</f>
        <v>TCS IN Equity</v>
      </c>
      <c r="C385" t="str">
        <f>$C$141</f>
        <v>M0013</v>
      </c>
      <c r="D385" t="str">
        <f>$D$141</f>
        <v>NUM_CLIENTS_20MM_TO_30MM</v>
      </c>
      <c r="E385" t="str">
        <f>$E$141</f>
        <v>Dynamic</v>
      </c>
      <c r="F385" t="e">
        <f ca="1">_xll.BDH($B$141,$C$141,$B$240,$B$241,CONCATENATE("Per=",$B$238),"Dts=H","Dir=H",CONCATENATE("Points=",$B$239),"Sort=R","Days=A","Fill=B",CONCATENATE("FX=", $B$237) )</f>
        <v>#NAME?</v>
      </c>
      <c r="M385" t="str">
        <f>""</f>
        <v/>
      </c>
      <c r="N385" t="str">
        <f>""</f>
        <v/>
      </c>
      <c r="O385" t="str">
        <f>""</f>
        <v/>
      </c>
      <c r="P385" t="str">
        <f>""</f>
        <v/>
      </c>
      <c r="Q385" t="str">
        <f>""</f>
        <v/>
      </c>
      <c r="R385" t="str">
        <f>""</f>
        <v/>
      </c>
      <c r="S385" t="str">
        <f>""</f>
        <v/>
      </c>
    </row>
    <row r="386" spans="1:19" x14ac:dyDescent="0.25">
      <c r="A386" t="str">
        <f>$A$142</f>
        <v xml:space="preserve">        Wipro Ltd</v>
      </c>
      <c r="B386" t="str">
        <f>$B$142</f>
        <v>WIT US Equity</v>
      </c>
      <c r="C386" t="str">
        <f>$C$142</f>
        <v>M0013</v>
      </c>
      <c r="D386" t="str">
        <f>$D$142</f>
        <v>NUM_CLIENTS_20MM_TO_30MM</v>
      </c>
      <c r="E386" t="str">
        <f>$E$142</f>
        <v>Dynamic</v>
      </c>
      <c r="F386" t="e">
        <f ca="1">_xll.BDH($B$142,$C$142,$B$240,$B$241,CONCATENATE("Per=",$B$238),"Dts=H","Dir=H",CONCATENATE("Points=",$B$239),"Sort=R","Days=A","Fill=B",CONCATENATE("FX=", $B$237) )</f>
        <v>#NAME?</v>
      </c>
      <c r="M386" t="str">
        <f>""</f>
        <v/>
      </c>
      <c r="N386" t="str">
        <f>""</f>
        <v/>
      </c>
      <c r="O386" t="str">
        <f>""</f>
        <v/>
      </c>
      <c r="P386" t="str">
        <f>""</f>
        <v/>
      </c>
      <c r="Q386" t="str">
        <f>""</f>
        <v/>
      </c>
      <c r="R386" t="str">
        <f>""</f>
        <v/>
      </c>
      <c r="S386" t="str">
        <f>""</f>
        <v/>
      </c>
    </row>
    <row r="387" spans="1:19" x14ac:dyDescent="0.25">
      <c r="A387" t="str">
        <f>$A$144</f>
        <v xml:space="preserve">        Cognizant Technology Solutions Corp</v>
      </c>
      <c r="B387" t="str">
        <f>$B$144</f>
        <v>CTSH US Equity</v>
      </c>
      <c r="C387" t="str">
        <f>$C$144</f>
        <v>M0014</v>
      </c>
      <c r="D387" t="str">
        <f>$D$144</f>
        <v>NUM_CLIENTS_30MM_TO_40MM</v>
      </c>
      <c r="E387" t="str">
        <f>$E$144</f>
        <v>Dynamic</v>
      </c>
      <c r="F387" t="e">
        <f ca="1">_xll.BDH($B$144,$C$144,$B$240,$B$241,CONCATENATE("Per=",$B$238),"Dts=H","Dir=H",CONCATENATE("Points=",$B$239),"Sort=R","Days=A","Fill=B",CONCATENATE("FX=", $B$237) )</f>
        <v>#NAME?</v>
      </c>
      <c r="M387" t="str">
        <f>""</f>
        <v/>
      </c>
      <c r="N387" t="str">
        <f>""</f>
        <v/>
      </c>
      <c r="O387" t="str">
        <f>""</f>
        <v/>
      </c>
      <c r="P387" t="str">
        <f>""</f>
        <v/>
      </c>
      <c r="Q387" t="str">
        <f>""</f>
        <v/>
      </c>
      <c r="R387" t="str">
        <f>""</f>
        <v/>
      </c>
      <c r="S387" t="str">
        <f>""</f>
        <v/>
      </c>
    </row>
    <row r="388" spans="1:19" x14ac:dyDescent="0.25">
      <c r="A388" t="str">
        <f>$A$145</f>
        <v xml:space="preserve">        HCL Technologies Ltd</v>
      </c>
      <c r="B388" t="str">
        <f>$B$145</f>
        <v>HCLT IN Equity</v>
      </c>
      <c r="C388" t="str">
        <f>$C$145</f>
        <v>M0014</v>
      </c>
      <c r="D388" t="str">
        <f>$D$145</f>
        <v>NUM_CLIENTS_30MM_TO_40MM</v>
      </c>
      <c r="E388" t="str">
        <f>$E$145</f>
        <v>Dynamic</v>
      </c>
      <c r="F388" t="e">
        <f ca="1">_xll.BDH($B$145,$C$145,$B$240,$B$241,CONCATENATE("Per=",$B$238),"Dts=H","Dir=H",CONCATENATE("Points=",$B$239),"Sort=R","Days=A","Fill=B",CONCATENATE("FX=", $B$237) )</f>
        <v>#NAME?</v>
      </c>
      <c r="M388" t="str">
        <f>""</f>
        <v/>
      </c>
      <c r="N388" t="str">
        <f>""</f>
        <v/>
      </c>
      <c r="O388" t="str">
        <f>""</f>
        <v/>
      </c>
      <c r="P388" t="str">
        <f>""</f>
        <v/>
      </c>
      <c r="Q388" t="str">
        <f>""</f>
        <v/>
      </c>
      <c r="R388" t="str">
        <f>""</f>
        <v/>
      </c>
      <c r="S388" t="str">
        <f>""</f>
        <v/>
      </c>
    </row>
    <row r="389" spans="1:19" x14ac:dyDescent="0.25">
      <c r="A389" t="str">
        <f>$A$146</f>
        <v xml:space="preserve">        Infosys Ltd</v>
      </c>
      <c r="B389" t="str">
        <f>$B$146</f>
        <v>INFY US Equity</v>
      </c>
      <c r="C389" t="str">
        <f>$C$146</f>
        <v>M0014</v>
      </c>
      <c r="D389" t="str">
        <f>$D$146</f>
        <v>NUM_CLIENTS_30MM_TO_40MM</v>
      </c>
      <c r="E389" t="str">
        <f>$E$146</f>
        <v>Dynamic</v>
      </c>
      <c r="F389" t="e">
        <f ca="1">_xll.BDH($B$146,$C$146,$B$240,$B$241,CONCATENATE("Per=",$B$238),"Dts=H","Dir=H",CONCATENATE("Points=",$B$239),"Sort=R","Days=A","Fill=B",CONCATENATE("FX=", $B$237) )</f>
        <v>#NAME?</v>
      </c>
      <c r="M389" t="str">
        <f>""</f>
        <v/>
      </c>
      <c r="N389" t="str">
        <f>""</f>
        <v/>
      </c>
      <c r="O389" t="str">
        <f>""</f>
        <v/>
      </c>
      <c r="P389" t="str">
        <f>""</f>
        <v/>
      </c>
      <c r="Q389" t="str">
        <f>""</f>
        <v/>
      </c>
      <c r="R389" t="str">
        <f>""</f>
        <v/>
      </c>
      <c r="S389" t="str">
        <f>""</f>
        <v/>
      </c>
    </row>
    <row r="390" spans="1:19" x14ac:dyDescent="0.25">
      <c r="A390" t="str">
        <f>$A$147</f>
        <v xml:space="preserve">        Tata Consultancy Services Ltd</v>
      </c>
      <c r="B390" t="str">
        <f>$B$147</f>
        <v>TCS IN Equity</v>
      </c>
      <c r="C390" t="str">
        <f>$C$147</f>
        <v>M0014</v>
      </c>
      <c r="D390" t="str">
        <f>$D$147</f>
        <v>NUM_CLIENTS_30MM_TO_40MM</v>
      </c>
      <c r="E390" t="str">
        <f>$E$147</f>
        <v>Dynamic</v>
      </c>
      <c r="F390" t="e">
        <f ca="1">_xll.BDH($B$147,$C$147,$B$240,$B$241,CONCATENATE("Per=",$B$238),"Dts=H","Dir=H",CONCATENATE("Points=",$B$239),"Sort=R","Days=A","Fill=B",CONCATENATE("FX=", $B$237) )</f>
        <v>#NAME?</v>
      </c>
      <c r="M390" t="str">
        <f>""</f>
        <v/>
      </c>
      <c r="N390" t="str">
        <f>""</f>
        <v/>
      </c>
      <c r="O390" t="str">
        <f>""</f>
        <v/>
      </c>
      <c r="P390" t="str">
        <f>""</f>
        <v/>
      </c>
      <c r="Q390" t="str">
        <f>""</f>
        <v/>
      </c>
      <c r="R390" t="str">
        <f>""</f>
        <v/>
      </c>
      <c r="S390" t="str">
        <f>""</f>
        <v/>
      </c>
    </row>
    <row r="391" spans="1:19" x14ac:dyDescent="0.25">
      <c r="A391" t="str">
        <f>$A$148</f>
        <v xml:space="preserve">        Wipro Ltd</v>
      </c>
      <c r="B391" t="str">
        <f>$B$148</f>
        <v>WIT US Equity</v>
      </c>
      <c r="C391" t="str">
        <f>$C$148</f>
        <v>M0014</v>
      </c>
      <c r="D391" t="str">
        <f>$D$148</f>
        <v>NUM_CLIENTS_30MM_TO_40MM</v>
      </c>
      <c r="E391" t="str">
        <f>$E$148</f>
        <v>Dynamic</v>
      </c>
      <c r="F391" t="e">
        <f ca="1">_xll.BDH($B$148,$C$148,$B$240,$B$241,CONCATENATE("Per=",$B$238),"Dts=H","Dir=H",CONCATENATE("Points=",$B$239),"Sort=R","Days=A","Fill=B",CONCATENATE("FX=", $B$237) )</f>
        <v>#NAME?</v>
      </c>
      <c r="M391" t="str">
        <f>""</f>
        <v/>
      </c>
      <c r="N391" t="str">
        <f>""</f>
        <v/>
      </c>
      <c r="O391" t="str">
        <f>""</f>
        <v/>
      </c>
      <c r="P391" t="str">
        <f>""</f>
        <v/>
      </c>
      <c r="Q391" t="str">
        <f>""</f>
        <v/>
      </c>
      <c r="R391" t="str">
        <f>""</f>
        <v/>
      </c>
      <c r="S391" t="str">
        <f>""</f>
        <v/>
      </c>
    </row>
    <row r="392" spans="1:19" x14ac:dyDescent="0.25">
      <c r="A392" t="str">
        <f>$A$150</f>
        <v xml:space="preserve">        Cognizant Technology Solutions Corp</v>
      </c>
      <c r="B392" t="str">
        <f>$B$150</f>
        <v>CTSH US Equity</v>
      </c>
      <c r="C392" t="str">
        <f>$C$150</f>
        <v>M0015</v>
      </c>
      <c r="D392" t="str">
        <f>$D$150</f>
        <v>NUM_CLIENTS_40MM_TO_50MM</v>
      </c>
      <c r="E392" t="str">
        <f>$E$150</f>
        <v>Dynamic</v>
      </c>
      <c r="F392" t="e">
        <f ca="1">_xll.BDH($B$150,$C$150,$B$240,$B$241,CONCATENATE("Per=",$B$238),"Dts=H","Dir=H",CONCATENATE("Points=",$B$239),"Sort=R","Days=A","Fill=B",CONCATENATE("FX=", $B$237) )</f>
        <v>#NAME?</v>
      </c>
      <c r="M392" t="str">
        <f>""</f>
        <v/>
      </c>
      <c r="N392" t="str">
        <f>""</f>
        <v/>
      </c>
      <c r="O392" t="str">
        <f>""</f>
        <v/>
      </c>
      <c r="P392" t="str">
        <f>""</f>
        <v/>
      </c>
      <c r="Q392" t="str">
        <f>""</f>
        <v/>
      </c>
      <c r="R392" t="str">
        <f>""</f>
        <v/>
      </c>
      <c r="S392" t="str">
        <f>""</f>
        <v/>
      </c>
    </row>
    <row r="393" spans="1:19" x14ac:dyDescent="0.25">
      <c r="A393" t="str">
        <f>$A$151</f>
        <v xml:space="preserve">        HCL Technologies Ltd</v>
      </c>
      <c r="B393" t="str">
        <f>$B$151</f>
        <v>HCLT IN Equity</v>
      </c>
      <c r="C393" t="str">
        <f>$C$151</f>
        <v>M0015</v>
      </c>
      <c r="D393" t="str">
        <f>$D$151</f>
        <v>NUM_CLIENTS_40MM_TO_50MM</v>
      </c>
      <c r="E393" t="str">
        <f>$E$151</f>
        <v>Dynamic</v>
      </c>
      <c r="F393" t="e">
        <f ca="1">_xll.BDH($B$151,$C$151,$B$240,$B$241,CONCATENATE("Per=",$B$238),"Dts=H","Dir=H",CONCATENATE("Points=",$B$239),"Sort=R","Days=A","Fill=B",CONCATENATE("FX=", $B$237) )</f>
        <v>#NAME?</v>
      </c>
      <c r="M393" t="str">
        <f>""</f>
        <v/>
      </c>
      <c r="N393" t="str">
        <f>""</f>
        <v/>
      </c>
      <c r="O393" t="str">
        <f>""</f>
        <v/>
      </c>
      <c r="P393" t="str">
        <f>""</f>
        <v/>
      </c>
      <c r="Q393" t="str">
        <f>""</f>
        <v/>
      </c>
      <c r="R393" t="str">
        <f>""</f>
        <v/>
      </c>
      <c r="S393" t="str">
        <f>""</f>
        <v/>
      </c>
    </row>
    <row r="394" spans="1:19" x14ac:dyDescent="0.25">
      <c r="A394" t="str">
        <f>$A$152</f>
        <v xml:space="preserve">        Infosys Ltd</v>
      </c>
      <c r="B394" t="str">
        <f>$B$152</f>
        <v>INFY US Equity</v>
      </c>
      <c r="C394" t="str">
        <f>$C$152</f>
        <v>M0015</v>
      </c>
      <c r="D394" t="str">
        <f>$D$152</f>
        <v>NUM_CLIENTS_40MM_TO_50MM</v>
      </c>
      <c r="E394" t="str">
        <f>$E$152</f>
        <v>Dynamic</v>
      </c>
      <c r="F394" t="e">
        <f ca="1">_xll.BDH($B$152,$C$152,$B$240,$B$241,CONCATENATE("Per=",$B$238),"Dts=H","Dir=H",CONCATENATE("Points=",$B$239),"Sort=R","Days=A","Fill=B",CONCATENATE("FX=", $B$237) )</f>
        <v>#NAME?</v>
      </c>
      <c r="M394" t="str">
        <f>""</f>
        <v/>
      </c>
      <c r="N394" t="str">
        <f>""</f>
        <v/>
      </c>
      <c r="O394" t="str">
        <f>""</f>
        <v/>
      </c>
      <c r="P394" t="str">
        <f>""</f>
        <v/>
      </c>
      <c r="Q394" t="str">
        <f>""</f>
        <v/>
      </c>
      <c r="R394" t="str">
        <f>""</f>
        <v/>
      </c>
      <c r="S394" t="str">
        <f>""</f>
        <v/>
      </c>
    </row>
    <row r="395" spans="1:19" x14ac:dyDescent="0.25">
      <c r="A395" t="str">
        <f>$A$153</f>
        <v xml:space="preserve">        Tata Consultancy Services Ltd</v>
      </c>
      <c r="B395" t="str">
        <f>$B$153</f>
        <v>TCS IN Equity</v>
      </c>
      <c r="C395" t="str">
        <f>$C$153</f>
        <v>M0015</v>
      </c>
      <c r="D395" t="str">
        <f>$D$153</f>
        <v>NUM_CLIENTS_40MM_TO_50MM</v>
      </c>
      <c r="E395" t="str">
        <f>$E$153</f>
        <v>Dynamic</v>
      </c>
      <c r="F395" t="e">
        <f ca="1">_xll.BDH($B$153,$C$153,$B$240,$B$241,CONCATENATE("Per=",$B$238),"Dts=H","Dir=H",CONCATENATE("Points=",$B$239),"Sort=R","Days=A","Fill=B",CONCATENATE("FX=", $B$237) )</f>
        <v>#NAME?</v>
      </c>
      <c r="M395" t="str">
        <f>""</f>
        <v/>
      </c>
      <c r="N395" t="str">
        <f>""</f>
        <v/>
      </c>
      <c r="O395" t="str">
        <f>""</f>
        <v/>
      </c>
      <c r="P395" t="str">
        <f>""</f>
        <v/>
      </c>
      <c r="Q395" t="str">
        <f>""</f>
        <v/>
      </c>
      <c r="R395" t="str">
        <f>""</f>
        <v/>
      </c>
      <c r="S395" t="str">
        <f>""</f>
        <v/>
      </c>
    </row>
    <row r="396" spans="1:19" x14ac:dyDescent="0.25">
      <c r="A396" t="str">
        <f>$A$154</f>
        <v xml:space="preserve">        Wipro Ltd</v>
      </c>
      <c r="B396" t="str">
        <f>$B$154</f>
        <v>WIT US Equity</v>
      </c>
      <c r="C396" t="str">
        <f>$C$154</f>
        <v>M0015</v>
      </c>
      <c r="D396" t="str">
        <f>$D$154</f>
        <v>NUM_CLIENTS_40MM_TO_50MM</v>
      </c>
      <c r="E396" t="str">
        <f>$E$154</f>
        <v>Dynamic</v>
      </c>
      <c r="F396" t="e">
        <f ca="1">_xll.BDH($B$154,$C$154,$B$240,$B$241,CONCATENATE("Per=",$B$238),"Dts=H","Dir=H",CONCATENATE("Points=",$B$239),"Sort=R","Days=A","Fill=B",CONCATENATE("FX=", $B$237) )</f>
        <v>#NAME?</v>
      </c>
      <c r="M396" t="str">
        <f>""</f>
        <v/>
      </c>
      <c r="N396" t="str">
        <f>""</f>
        <v/>
      </c>
      <c r="O396" t="str">
        <f>""</f>
        <v/>
      </c>
      <c r="P396" t="str">
        <f>""</f>
        <v/>
      </c>
      <c r="Q396" t="str">
        <f>""</f>
        <v/>
      </c>
      <c r="R396" t="str">
        <f>""</f>
        <v/>
      </c>
      <c r="S396" t="str">
        <f>""</f>
        <v/>
      </c>
    </row>
    <row r="397" spans="1:19" x14ac:dyDescent="0.25">
      <c r="A397" t="str">
        <f>$A$156</f>
        <v xml:space="preserve">        Cognizant Technology Solutions Corp</v>
      </c>
      <c r="B397" t="str">
        <f>$B$156</f>
        <v>CTSH US Equity</v>
      </c>
      <c r="C397" t="str">
        <f>$C$156</f>
        <v>M0016</v>
      </c>
      <c r="D397" t="str">
        <f>$D$156</f>
        <v>NUM_CLIENTS_50MM_TO_100MM</v>
      </c>
      <c r="E397" t="str">
        <f>$E$156</f>
        <v>Dynamic</v>
      </c>
      <c r="F397" t="e">
        <f ca="1">_xll.BDH($B$156,$C$156,$B$240,$B$241,CONCATENATE("Per=",$B$238),"Dts=H","Dir=H",CONCATENATE("Points=",$B$239),"Sort=R","Days=A","Fill=B",CONCATENATE("FX=", $B$237) )</f>
        <v>#NAME?</v>
      </c>
      <c r="M397" t="str">
        <f>""</f>
        <v/>
      </c>
      <c r="N397" t="str">
        <f>""</f>
        <v/>
      </c>
      <c r="O397" t="str">
        <f>""</f>
        <v/>
      </c>
      <c r="P397" t="str">
        <f>""</f>
        <v/>
      </c>
      <c r="Q397" t="str">
        <f>""</f>
        <v/>
      </c>
      <c r="R397" t="str">
        <f>""</f>
        <v/>
      </c>
      <c r="S397" t="str">
        <f>""</f>
        <v/>
      </c>
    </row>
    <row r="398" spans="1:19" x14ac:dyDescent="0.25">
      <c r="A398" t="str">
        <f>$A$157</f>
        <v xml:space="preserve">        HCL Technologies Ltd</v>
      </c>
      <c r="B398" t="str">
        <f>$B$157</f>
        <v>HCLT IN Equity</v>
      </c>
      <c r="C398" t="str">
        <f>$C$157</f>
        <v>M0016</v>
      </c>
      <c r="D398" t="str">
        <f>$D$157</f>
        <v>NUM_CLIENTS_50MM_TO_100MM</v>
      </c>
      <c r="E398" t="str">
        <f>$E$157</f>
        <v>Dynamic</v>
      </c>
      <c r="F398" t="e">
        <f ca="1">_xll.BDH($B$157,$C$157,$B$240,$B$241,CONCATENATE("Per=",$B$238),"Dts=H","Dir=H",CONCATENATE("Points=",$B$239),"Sort=R","Days=A","Fill=B",CONCATENATE("FX=", $B$237) )</f>
        <v>#NAME?</v>
      </c>
      <c r="M398" t="str">
        <f>""</f>
        <v/>
      </c>
      <c r="N398" t="str">
        <f>""</f>
        <v/>
      </c>
      <c r="O398" t="str">
        <f>""</f>
        <v/>
      </c>
      <c r="P398" t="str">
        <f>""</f>
        <v/>
      </c>
      <c r="Q398" t="str">
        <f>""</f>
        <v/>
      </c>
      <c r="R398" t="str">
        <f>""</f>
        <v/>
      </c>
      <c r="S398" t="str">
        <f>""</f>
        <v/>
      </c>
    </row>
    <row r="399" spans="1:19" x14ac:dyDescent="0.25">
      <c r="A399" t="str">
        <f>$A$158</f>
        <v xml:space="preserve">        Infosys Ltd</v>
      </c>
      <c r="B399" t="str">
        <f>$B$158</f>
        <v>INFY US Equity</v>
      </c>
      <c r="C399" t="str">
        <f>$C$158</f>
        <v>M0016</v>
      </c>
      <c r="D399" t="str">
        <f>$D$158</f>
        <v>NUM_CLIENTS_50MM_TO_100MM</v>
      </c>
      <c r="E399" t="str">
        <f>$E$158</f>
        <v>Dynamic</v>
      </c>
      <c r="F399" t="e">
        <f ca="1">_xll.BDH($B$158,$C$158,$B$240,$B$241,CONCATENATE("Per=",$B$238),"Dts=H","Dir=H",CONCATENATE("Points=",$B$239),"Sort=R","Days=A","Fill=B",CONCATENATE("FX=", $B$237) )</f>
        <v>#NAME?</v>
      </c>
      <c r="M399" t="str">
        <f>""</f>
        <v/>
      </c>
      <c r="N399" t="str">
        <f>""</f>
        <v/>
      </c>
      <c r="O399" t="str">
        <f>""</f>
        <v/>
      </c>
      <c r="P399" t="str">
        <f>""</f>
        <v/>
      </c>
      <c r="Q399" t="str">
        <f>""</f>
        <v/>
      </c>
      <c r="R399" t="str">
        <f>""</f>
        <v/>
      </c>
      <c r="S399" t="str">
        <f>""</f>
        <v/>
      </c>
    </row>
    <row r="400" spans="1:19" x14ac:dyDescent="0.25">
      <c r="A400" t="str">
        <f>$A$159</f>
        <v xml:space="preserve">        Tata Consultancy Services Ltd</v>
      </c>
      <c r="B400" t="str">
        <f>$B$159</f>
        <v>TCS IN Equity</v>
      </c>
      <c r="C400" t="str">
        <f>$C$159</f>
        <v>M0016</v>
      </c>
      <c r="D400" t="str">
        <f>$D$159</f>
        <v>NUM_CLIENTS_50MM_TO_100MM</v>
      </c>
      <c r="E400" t="str">
        <f>$E$159</f>
        <v>Dynamic</v>
      </c>
      <c r="F400" t="e">
        <f ca="1">_xll.BDH($B$159,$C$159,$B$240,$B$241,CONCATENATE("Per=",$B$238),"Dts=H","Dir=H",CONCATENATE("Points=",$B$239),"Sort=R","Days=A","Fill=B",CONCATENATE("FX=", $B$237) )</f>
        <v>#NAME?</v>
      </c>
      <c r="M400" t="str">
        <f>""</f>
        <v/>
      </c>
      <c r="N400" t="str">
        <f>""</f>
        <v/>
      </c>
      <c r="O400" t="str">
        <f>""</f>
        <v/>
      </c>
      <c r="P400" t="str">
        <f>""</f>
        <v/>
      </c>
      <c r="Q400" t="str">
        <f>""</f>
        <v/>
      </c>
      <c r="R400" t="str">
        <f>""</f>
        <v/>
      </c>
      <c r="S400" t="str">
        <f>""</f>
        <v/>
      </c>
    </row>
    <row r="401" spans="1:19" x14ac:dyDescent="0.25">
      <c r="A401" t="str">
        <f>$A$160</f>
        <v xml:space="preserve">        Wipro Ltd</v>
      </c>
      <c r="B401" t="str">
        <f>$B$160</f>
        <v>WIT US Equity</v>
      </c>
      <c r="C401" t="str">
        <f>$C$160</f>
        <v>M0016</v>
      </c>
      <c r="D401" t="str">
        <f>$D$160</f>
        <v>NUM_CLIENTS_50MM_TO_100MM</v>
      </c>
      <c r="E401" t="str">
        <f>$E$160</f>
        <v>Dynamic</v>
      </c>
      <c r="F401" t="e">
        <f ca="1">_xll.BDH($B$160,$C$160,$B$240,$B$241,CONCATENATE("Per=",$B$238),"Dts=H","Dir=H",CONCATENATE("Points=",$B$239),"Sort=R","Days=A","Fill=B",CONCATENATE("FX=", $B$237) )</f>
        <v>#NAME?</v>
      </c>
      <c r="M401" t="str">
        <f>""</f>
        <v/>
      </c>
      <c r="N401" t="str">
        <f>""</f>
        <v/>
      </c>
      <c r="O401" t="str">
        <f>""</f>
        <v/>
      </c>
      <c r="P401" t="str">
        <f>""</f>
        <v/>
      </c>
      <c r="Q401" t="str">
        <f>""</f>
        <v/>
      </c>
      <c r="R401" t="str">
        <f>""</f>
        <v/>
      </c>
      <c r="S401" t="str">
        <f>""</f>
        <v/>
      </c>
    </row>
    <row r="402" spans="1:19" x14ac:dyDescent="0.25">
      <c r="A402" t="str">
        <f>$A$162</f>
        <v xml:space="preserve">        Cognizant Technology Solutions Corp</v>
      </c>
      <c r="B402" t="str">
        <f>$B$162</f>
        <v>CTSH US Equity</v>
      </c>
      <c r="C402" t="str">
        <f>$C$162</f>
        <v>M0017</v>
      </c>
      <c r="D402" t="str">
        <f>$D$162</f>
        <v>NUM_OF_CLIENTS_OVER_100MM</v>
      </c>
      <c r="E402" t="str">
        <f>$E$162</f>
        <v>Dynamic</v>
      </c>
      <c r="F402" t="e">
        <f ca="1">_xll.BDH($B$162,$C$162,$B$240,$B$241,CONCATENATE("Per=",$B$238),"Dts=H","Dir=H",CONCATENATE("Points=",$B$239),"Sort=R","Days=A","Fill=B",CONCATENATE("FX=", $B$237) )</f>
        <v>#NAME?</v>
      </c>
      <c r="M402" t="str">
        <f>""</f>
        <v/>
      </c>
      <c r="N402" t="str">
        <f>""</f>
        <v/>
      </c>
      <c r="O402" t="str">
        <f>""</f>
        <v/>
      </c>
      <c r="P402" t="str">
        <f>""</f>
        <v/>
      </c>
      <c r="Q402" t="str">
        <f>""</f>
        <v/>
      </c>
      <c r="R402" t="str">
        <f>""</f>
        <v/>
      </c>
      <c r="S402" t="str">
        <f>""</f>
        <v/>
      </c>
    </row>
    <row r="403" spans="1:19" x14ac:dyDescent="0.25">
      <c r="A403" t="str">
        <f>$A$163</f>
        <v xml:space="preserve">        HCL Technologies Ltd</v>
      </c>
      <c r="B403" t="str">
        <f>$B$163</f>
        <v>HCLT IN Equity</v>
      </c>
      <c r="C403" t="str">
        <f>$C$163</f>
        <v>M0017</v>
      </c>
      <c r="D403" t="str">
        <f>$D$163</f>
        <v>NUM_OF_CLIENTS_OVER_100MM</v>
      </c>
      <c r="E403" t="str">
        <f>$E$163</f>
        <v>Dynamic</v>
      </c>
      <c r="F403" t="e">
        <f ca="1">_xll.BDH($B$163,$C$163,$B$240,$B$241,CONCATENATE("Per=",$B$238),"Dts=H","Dir=H",CONCATENATE("Points=",$B$239),"Sort=R","Days=A","Fill=B",CONCATENATE("FX=", $B$237) )</f>
        <v>#NAME?</v>
      </c>
      <c r="M403" t="str">
        <f>""</f>
        <v/>
      </c>
      <c r="N403" t="str">
        <f>""</f>
        <v/>
      </c>
      <c r="O403" t="str">
        <f>""</f>
        <v/>
      </c>
      <c r="P403" t="str">
        <f>""</f>
        <v/>
      </c>
      <c r="Q403" t="str">
        <f>""</f>
        <v/>
      </c>
      <c r="R403" t="str">
        <f>""</f>
        <v/>
      </c>
      <c r="S403" t="str">
        <f>""</f>
        <v/>
      </c>
    </row>
    <row r="404" spans="1:19" x14ac:dyDescent="0.25">
      <c r="A404" t="str">
        <f>$A$164</f>
        <v xml:space="preserve">        Infosys Ltd</v>
      </c>
      <c r="B404" t="str">
        <f>$B$164</f>
        <v>INFY US Equity</v>
      </c>
      <c r="C404" t="str">
        <f>$C$164</f>
        <v>M0017</v>
      </c>
      <c r="D404" t="str">
        <f>$D$164</f>
        <v>NUM_OF_CLIENTS_OVER_100MM</v>
      </c>
      <c r="E404" t="str">
        <f>$E$164</f>
        <v>Dynamic</v>
      </c>
      <c r="F404" t="e">
        <f ca="1">_xll.BDH($B$164,$C$164,$B$240,$B$241,CONCATENATE("Per=",$B$238),"Dts=H","Dir=H",CONCATENATE("Points=",$B$239),"Sort=R","Days=A","Fill=B",CONCATENATE("FX=", $B$237) )</f>
        <v>#NAME?</v>
      </c>
      <c r="M404" t="str">
        <f>""</f>
        <v/>
      </c>
      <c r="N404" t="str">
        <f>""</f>
        <v/>
      </c>
      <c r="O404" t="str">
        <f>""</f>
        <v/>
      </c>
      <c r="P404" t="str">
        <f>""</f>
        <v/>
      </c>
      <c r="Q404" t="str">
        <f>""</f>
        <v/>
      </c>
      <c r="R404" t="str">
        <f>""</f>
        <v/>
      </c>
      <c r="S404" t="str">
        <f>""</f>
        <v/>
      </c>
    </row>
    <row r="405" spans="1:19" x14ac:dyDescent="0.25">
      <c r="A405" t="str">
        <f>$A$165</f>
        <v xml:space="preserve">        Tata Consultancy Services Ltd</v>
      </c>
      <c r="B405" t="str">
        <f>$B$165</f>
        <v>TCS IN Equity</v>
      </c>
      <c r="C405" t="str">
        <f>$C$165</f>
        <v>M0017</v>
      </c>
      <c r="D405" t="str">
        <f>$D$165</f>
        <v>NUM_OF_CLIENTS_OVER_100MM</v>
      </c>
      <c r="E405" t="str">
        <f>$E$165</f>
        <v>Dynamic</v>
      </c>
      <c r="F405" t="e">
        <f ca="1">_xll.BDH($B$165,$C$165,$B$240,$B$241,CONCATENATE("Per=",$B$238),"Dts=H","Dir=H",CONCATENATE("Points=",$B$239),"Sort=R","Days=A","Fill=B",CONCATENATE("FX=", $B$237) )</f>
        <v>#NAME?</v>
      </c>
      <c r="M405" t="str">
        <f>""</f>
        <v/>
      </c>
      <c r="N405" t="str">
        <f>""</f>
        <v/>
      </c>
      <c r="O405" t="str">
        <f>""</f>
        <v/>
      </c>
      <c r="P405" t="str">
        <f>""</f>
        <v/>
      </c>
      <c r="Q405" t="str">
        <f>""</f>
        <v/>
      </c>
      <c r="R405" t="str">
        <f>""</f>
        <v/>
      </c>
      <c r="S405" t="str">
        <f>""</f>
        <v/>
      </c>
    </row>
    <row r="406" spans="1:19" x14ac:dyDescent="0.25">
      <c r="A406" t="str">
        <f>$A$166</f>
        <v xml:space="preserve">        Wipro Ltd</v>
      </c>
      <c r="B406" t="str">
        <f>$B$166</f>
        <v>WIT US Equity</v>
      </c>
      <c r="C406" t="str">
        <f>$C$166</f>
        <v>M0017</v>
      </c>
      <c r="D406" t="str">
        <f>$D$166</f>
        <v>NUM_OF_CLIENTS_OVER_100MM</v>
      </c>
      <c r="E406" t="str">
        <f>$E$166</f>
        <v>Dynamic</v>
      </c>
      <c r="F406" t="e">
        <f ca="1">_xll.BDH($B$166,$C$166,$B$240,$B$241,CONCATENATE("Per=",$B$238),"Dts=H","Dir=H",CONCATENATE("Points=",$B$239),"Sort=R","Days=A","Fill=B",CONCATENATE("FX=", $B$237) )</f>
        <v>#NAME?</v>
      </c>
      <c r="M406" t="str">
        <f>""</f>
        <v/>
      </c>
      <c r="N406" t="str">
        <f>""</f>
        <v/>
      </c>
      <c r="O406" t="str">
        <f>""</f>
        <v/>
      </c>
      <c r="P406" t="str">
        <f>""</f>
        <v/>
      </c>
      <c r="Q406" t="str">
        <f>""</f>
        <v/>
      </c>
      <c r="R406" t="str">
        <f>""</f>
        <v/>
      </c>
      <c r="S406" t="str">
        <f>""</f>
        <v/>
      </c>
    </row>
    <row r="407" spans="1:19" x14ac:dyDescent="0.25">
      <c r="A407" t="str">
        <f>$A$169</f>
        <v xml:space="preserve">    Cognizant Technology Solutions Corp</v>
      </c>
      <c r="B407" t="str">
        <f>$B$169</f>
        <v>CTSH US Equity</v>
      </c>
      <c r="C407" t="str">
        <f>$C$169</f>
        <v>M0021</v>
      </c>
      <c r="D407" t="str">
        <f>$D$169</f>
        <v>FIXED_PRICE_PROJECTS</v>
      </c>
      <c r="E407" t="str">
        <f>$E$169</f>
        <v>Dynamic</v>
      </c>
      <c r="F407" t="e">
        <f ca="1">_xll.BDH($B$169,$C$169,$B$240,$B$241,CONCATENATE("Per=",$B$238),"Dts=H","Dir=H",CONCATENATE("Points=",$B$239),"Sort=R","Days=A","Fill=B",CONCATENATE("FX=", $B$237) )</f>
        <v>#NAME?</v>
      </c>
      <c r="M407" t="str">
        <f>""</f>
        <v/>
      </c>
      <c r="N407" t="str">
        <f>""</f>
        <v/>
      </c>
      <c r="O407" t="str">
        <f>""</f>
        <v/>
      </c>
      <c r="P407" t="str">
        <f>""</f>
        <v/>
      </c>
      <c r="Q407" t="str">
        <f>""</f>
        <v/>
      </c>
      <c r="R407" t="str">
        <f>""</f>
        <v/>
      </c>
      <c r="S407" t="str">
        <f>""</f>
        <v/>
      </c>
    </row>
    <row r="408" spans="1:19" x14ac:dyDescent="0.25">
      <c r="A408" t="str">
        <f>$A$170</f>
        <v xml:space="preserve">    HCL Technologies Ltd</v>
      </c>
      <c r="B408" t="str">
        <f>$B$170</f>
        <v>HCLT IN Equity</v>
      </c>
      <c r="C408" t="str">
        <f>$C$170</f>
        <v>M0021</v>
      </c>
      <c r="D408" t="str">
        <f>$D$170</f>
        <v>FIXED_PRICE_PROJECTS</v>
      </c>
      <c r="E408" t="str">
        <f>$E$170</f>
        <v>Dynamic</v>
      </c>
      <c r="F408" t="e">
        <f ca="1">_xll.BDH($B$170,$C$170,$B$240,$B$241,CONCATENATE("Per=",$B$238),"Dts=H","Dir=H",CONCATENATE("Points=",$B$239),"Sort=R","Days=A","Fill=B",CONCATENATE("FX=", $B$237) )</f>
        <v>#NAME?</v>
      </c>
      <c r="M408" t="str">
        <f>""</f>
        <v/>
      </c>
      <c r="N408" t="str">
        <f>""</f>
        <v/>
      </c>
      <c r="O408" t="str">
        <f>""</f>
        <v/>
      </c>
      <c r="P408" t="str">
        <f>""</f>
        <v/>
      </c>
      <c r="Q408" t="str">
        <f>""</f>
        <v/>
      </c>
      <c r="R408" t="str">
        <f>""</f>
        <v/>
      </c>
      <c r="S408" t="str">
        <f>""</f>
        <v/>
      </c>
    </row>
    <row r="409" spans="1:19" x14ac:dyDescent="0.25">
      <c r="A409" t="str">
        <f>$A$171</f>
        <v xml:space="preserve">    Infosys Ltd</v>
      </c>
      <c r="B409" t="str">
        <f>$B$171</f>
        <v>INFY US Equity</v>
      </c>
      <c r="C409" t="str">
        <f>$C$171</f>
        <v>M0021</v>
      </c>
      <c r="D409" t="str">
        <f>$D$171</f>
        <v>FIXED_PRICE_PROJECTS</v>
      </c>
      <c r="E409" t="str">
        <f>$E$171</f>
        <v>Dynamic</v>
      </c>
      <c r="F409" t="e">
        <f ca="1">_xll.BDH($B$171,$C$171,$B$240,$B$241,CONCATENATE("Per=",$B$238),"Dts=H","Dir=H",CONCATENATE("Points=",$B$239),"Sort=R","Days=A","Fill=B",CONCATENATE("FX=", $B$237) )</f>
        <v>#NAME?</v>
      </c>
      <c r="M409" t="str">
        <f>""</f>
        <v/>
      </c>
      <c r="N409" t="str">
        <f>""</f>
        <v/>
      </c>
      <c r="O409" t="str">
        <f>""</f>
        <v/>
      </c>
      <c r="P409" t="str">
        <f>""</f>
        <v/>
      </c>
      <c r="Q409" t="str">
        <f>""</f>
        <v/>
      </c>
      <c r="R409" t="str">
        <f>""</f>
        <v/>
      </c>
      <c r="S409" t="str">
        <f>""</f>
        <v/>
      </c>
    </row>
    <row r="410" spans="1:19" x14ac:dyDescent="0.25">
      <c r="A410" t="str">
        <f>$A$172</f>
        <v xml:space="preserve">    Tata Consultancy Services Ltd</v>
      </c>
      <c r="B410" t="str">
        <f>$B$172</f>
        <v>TCS IN Equity</v>
      </c>
      <c r="C410" t="str">
        <f>$C$172</f>
        <v>M0021</v>
      </c>
      <c r="D410" t="str">
        <f>$D$172</f>
        <v>FIXED_PRICE_PROJECTS</v>
      </c>
      <c r="E410" t="str">
        <f>$E$172</f>
        <v>Dynamic</v>
      </c>
      <c r="F410" t="e">
        <f ca="1">_xll.BDH($B$172,$C$172,$B$240,$B$241,CONCATENATE("Per=",$B$238),"Dts=H","Dir=H",CONCATENATE("Points=",$B$239),"Sort=R","Days=A","Fill=B",CONCATENATE("FX=", $B$237) )</f>
        <v>#NAME?</v>
      </c>
      <c r="M410" t="str">
        <f>""</f>
        <v/>
      </c>
      <c r="N410" t="str">
        <f>""</f>
        <v/>
      </c>
      <c r="O410" t="str">
        <f>""</f>
        <v/>
      </c>
      <c r="P410" t="str">
        <f>""</f>
        <v/>
      </c>
      <c r="Q410" t="str">
        <f>""</f>
        <v/>
      </c>
      <c r="R410" t="str">
        <f>""</f>
        <v/>
      </c>
      <c r="S410" t="str">
        <f>""</f>
        <v/>
      </c>
    </row>
    <row r="411" spans="1:19" x14ac:dyDescent="0.25">
      <c r="A411" t="str">
        <f>$A$173</f>
        <v xml:space="preserve">    Wipro Ltd</v>
      </c>
      <c r="B411" t="str">
        <f>$B$173</f>
        <v>WIT US Equity</v>
      </c>
      <c r="C411" t="str">
        <f>$C$173</f>
        <v>M0021</v>
      </c>
      <c r="D411" t="str">
        <f>$D$173</f>
        <v>FIXED_PRICE_PROJECTS</v>
      </c>
      <c r="E411" t="str">
        <f>$E$173</f>
        <v>Dynamic</v>
      </c>
      <c r="F411" t="e">
        <f ca="1">_xll.BDH($B$173,$C$173,$B$240,$B$241,CONCATENATE("Per=",$B$238),"Dts=H","Dir=H",CONCATENATE("Points=",$B$239),"Sort=R","Days=A","Fill=B",CONCATENATE("FX=", $B$237) )</f>
        <v>#NAME?</v>
      </c>
      <c r="M411" t="str">
        <f>""</f>
        <v/>
      </c>
      <c r="N411" t="str">
        <f>""</f>
        <v/>
      </c>
      <c r="O411" t="str">
        <f>""</f>
        <v/>
      </c>
      <c r="P411" t="str">
        <f>""</f>
        <v/>
      </c>
      <c r="Q411" t="str">
        <f>""</f>
        <v/>
      </c>
      <c r="R411" t="str">
        <f>""</f>
        <v/>
      </c>
      <c r="S411" t="str">
        <f>""</f>
        <v/>
      </c>
    </row>
    <row r="412" spans="1:19" x14ac:dyDescent="0.25">
      <c r="A412" t="str">
        <f>$A$175</f>
        <v xml:space="preserve">    Cognizant Technology Solutions Corp</v>
      </c>
      <c r="B412" t="str">
        <f>$B$175</f>
        <v>CTSH US Equity</v>
      </c>
      <c r="C412" t="str">
        <f>$C$175</f>
        <v>M0022</v>
      </c>
      <c r="D412" t="str">
        <f>$D$175</f>
        <v>TIME_&amp;_MATERIALS_PROJECTS</v>
      </c>
      <c r="E412" t="str">
        <f>$E$175</f>
        <v>Dynamic</v>
      </c>
      <c r="F412" t="e">
        <f ca="1">_xll.BDH($B$175,$C$175,$B$240,$B$241,CONCATENATE("Per=",$B$238),"Dts=H","Dir=H",CONCATENATE("Points=",$B$239),"Sort=R","Days=A","Fill=B",CONCATENATE("FX=", $B$237) )</f>
        <v>#NAME?</v>
      </c>
      <c r="M412" t="str">
        <f>""</f>
        <v/>
      </c>
      <c r="N412" t="str">
        <f>""</f>
        <v/>
      </c>
      <c r="O412" t="str">
        <f>""</f>
        <v/>
      </c>
      <c r="P412" t="str">
        <f>""</f>
        <v/>
      </c>
      <c r="Q412" t="str">
        <f>""</f>
        <v/>
      </c>
      <c r="R412" t="str">
        <f>""</f>
        <v/>
      </c>
      <c r="S412" t="str">
        <f>""</f>
        <v/>
      </c>
    </row>
    <row r="413" spans="1:19" x14ac:dyDescent="0.25">
      <c r="A413" t="str">
        <f>$A$176</f>
        <v xml:space="preserve">    HCL Technologies Ltd</v>
      </c>
      <c r="B413" t="str">
        <f>$B$176</f>
        <v>HCLT IN Equity</v>
      </c>
      <c r="C413" t="str">
        <f>$C$176</f>
        <v>M0022</v>
      </c>
      <c r="D413" t="str">
        <f>$D$176</f>
        <v>TIME_&amp;_MATERIALS_PROJECTS</v>
      </c>
      <c r="E413" t="str">
        <f>$E$176</f>
        <v>Dynamic</v>
      </c>
      <c r="F413" t="e">
        <f ca="1">_xll.BDH($B$176,$C$176,$B$240,$B$241,CONCATENATE("Per=",$B$238),"Dts=H","Dir=H",CONCATENATE("Points=",$B$239),"Sort=R","Days=A","Fill=B",CONCATENATE("FX=", $B$237) )</f>
        <v>#NAME?</v>
      </c>
      <c r="M413" t="str">
        <f>""</f>
        <v/>
      </c>
      <c r="N413" t="str">
        <f>""</f>
        <v/>
      </c>
      <c r="O413" t="str">
        <f>""</f>
        <v/>
      </c>
      <c r="P413" t="str">
        <f>""</f>
        <v/>
      </c>
      <c r="Q413" t="str">
        <f>""</f>
        <v/>
      </c>
      <c r="R413" t="str">
        <f>""</f>
        <v/>
      </c>
      <c r="S413" t="str">
        <f>""</f>
        <v/>
      </c>
    </row>
    <row r="414" spans="1:19" x14ac:dyDescent="0.25">
      <c r="A414" t="str">
        <f>$A$177</f>
        <v xml:space="preserve">    Infosys Ltd</v>
      </c>
      <c r="B414" t="str">
        <f>$B$177</f>
        <v>INFY US Equity</v>
      </c>
      <c r="C414" t="str">
        <f>$C$177</f>
        <v>M0022</v>
      </c>
      <c r="D414" t="str">
        <f>$D$177</f>
        <v>TIME_&amp;_MATERIALS_PROJECTS</v>
      </c>
      <c r="E414" t="str">
        <f>$E$177</f>
        <v>Dynamic</v>
      </c>
      <c r="F414" t="e">
        <f ca="1">_xll.BDH($B$177,$C$177,$B$240,$B$241,CONCATENATE("Per=",$B$238),"Dts=H","Dir=H",CONCATENATE("Points=",$B$239),"Sort=R","Days=A","Fill=B",CONCATENATE("FX=", $B$237) )</f>
        <v>#NAME?</v>
      </c>
      <c r="M414" t="str">
        <f>""</f>
        <v/>
      </c>
      <c r="N414" t="str">
        <f>""</f>
        <v/>
      </c>
      <c r="O414" t="str">
        <f>""</f>
        <v/>
      </c>
      <c r="P414" t="str">
        <f>""</f>
        <v/>
      </c>
      <c r="Q414" t="str">
        <f>""</f>
        <v/>
      </c>
      <c r="R414" t="str">
        <f>""</f>
        <v/>
      </c>
      <c r="S414" t="str">
        <f>""</f>
        <v/>
      </c>
    </row>
    <row r="415" spans="1:19" x14ac:dyDescent="0.25">
      <c r="A415" t="str">
        <f>$A$178</f>
        <v xml:space="preserve">    Tata Consultancy Services Ltd</v>
      </c>
      <c r="B415" t="str">
        <f>$B$178</f>
        <v>TCS IN Equity</v>
      </c>
      <c r="C415" t="str">
        <f>$C$178</f>
        <v>M0022</v>
      </c>
      <c r="D415" t="str">
        <f>$D$178</f>
        <v>TIME_&amp;_MATERIALS_PROJECTS</v>
      </c>
      <c r="E415" t="str">
        <f>$E$178</f>
        <v>Dynamic</v>
      </c>
      <c r="F415" t="e">
        <f ca="1">_xll.BDH($B$178,$C$178,$B$240,$B$241,CONCATENATE("Per=",$B$238),"Dts=H","Dir=H",CONCATENATE("Points=",$B$239),"Sort=R","Days=A","Fill=B",CONCATENATE("FX=", $B$237) )</f>
        <v>#NAME?</v>
      </c>
      <c r="M415" t="str">
        <f>""</f>
        <v/>
      </c>
      <c r="N415" t="str">
        <f>""</f>
        <v/>
      </c>
      <c r="O415" t="str">
        <f>""</f>
        <v/>
      </c>
      <c r="P415" t="str">
        <f>""</f>
        <v/>
      </c>
      <c r="Q415" t="str">
        <f>""</f>
        <v/>
      </c>
      <c r="R415" t="str">
        <f>""</f>
        <v/>
      </c>
      <c r="S415" t="str">
        <f>""</f>
        <v/>
      </c>
    </row>
    <row r="416" spans="1:19" x14ac:dyDescent="0.25">
      <c r="A416" t="str">
        <f>$A$179</f>
        <v xml:space="preserve">    Wipro Ltd</v>
      </c>
      <c r="B416" t="str">
        <f>$B$179</f>
        <v>WIT US Equity</v>
      </c>
      <c r="C416" t="str">
        <f>$C$179</f>
        <v>M0022</v>
      </c>
      <c r="D416" t="str">
        <f>$D$179</f>
        <v>TIME_&amp;_MATERIALS_PROJECTS</v>
      </c>
      <c r="E416" t="str">
        <f>$E$179</f>
        <v>Dynamic</v>
      </c>
      <c r="F416" t="e">
        <f ca="1">_xll.BDH($B$179,$C$179,$B$240,$B$241,CONCATENATE("Per=",$B$238),"Dts=H","Dir=H",CONCATENATE("Points=",$B$239),"Sort=R","Days=A","Fill=B",CONCATENATE("FX=", $B$237) )</f>
        <v>#NAME?</v>
      </c>
      <c r="M416" t="str">
        <f>""</f>
        <v/>
      </c>
      <c r="N416" t="str">
        <f>""</f>
        <v/>
      </c>
      <c r="O416" t="str">
        <f>""</f>
        <v/>
      </c>
      <c r="P416" t="str">
        <f>""</f>
        <v/>
      </c>
      <c r="Q416" t="str">
        <f>""</f>
        <v/>
      </c>
      <c r="R416" t="str">
        <f>""</f>
        <v/>
      </c>
      <c r="S416" t="str">
        <f>""</f>
        <v/>
      </c>
    </row>
    <row r="417" spans="1:19" x14ac:dyDescent="0.25">
      <c r="A417" t="str">
        <f>$A$182</f>
        <v xml:space="preserve">        International Business Machine</v>
      </c>
      <c r="B417" t="str">
        <f>$B$182</f>
        <v>IBM US Equity</v>
      </c>
      <c r="C417" t="str">
        <f>$C$182</f>
        <v>BI047</v>
      </c>
      <c r="D417" t="str">
        <f>$D$182</f>
        <v>BICS_SEGMENT_DATA</v>
      </c>
      <c r="E417" t="str">
        <f>$E$182</f>
        <v>Dynamic</v>
      </c>
      <c r="F417" t="e">
        <f ca="1">_xll.BDH($B$182,$C$182,$B$240,$B$241,CONCATENATE("Per=",$B$238),"Dts=H","Dir=H",CONCATENATE("Points=",$B$239),"Sort=R","Days=A","Fill=B","DZ666=001","X0001=AM00","DZ667=1","DS276=Y",CONCATENATE("FX=", $B$237) )</f>
        <v>#NAME?</v>
      </c>
      <c r="M417" t="str">
        <f>""</f>
        <v/>
      </c>
      <c r="N417" t="str">
        <f>""</f>
        <v/>
      </c>
      <c r="O417" t="str">
        <f>""</f>
        <v/>
      </c>
      <c r="P417" t="str">
        <f>""</f>
        <v/>
      </c>
      <c r="Q417" t="str">
        <f>""</f>
        <v/>
      </c>
      <c r="R417" t="str">
        <f>""</f>
        <v/>
      </c>
      <c r="S417" t="str">
        <f>""</f>
        <v/>
      </c>
    </row>
    <row r="418" spans="1:19" x14ac:dyDescent="0.25">
      <c r="A418" t="str">
        <f>$A$183</f>
        <v xml:space="preserve">        Accenture PLC</v>
      </c>
      <c r="B418" t="str">
        <f>$B$183</f>
        <v>ACN US Equity</v>
      </c>
      <c r="C418" t="str">
        <f>$C$183</f>
        <v>BI047</v>
      </c>
      <c r="D418" t="str">
        <f>$D$183</f>
        <v>BICS_SEGMENT_DATA</v>
      </c>
      <c r="E418" t="str">
        <f>$E$183</f>
        <v>Dynamic</v>
      </c>
      <c r="F418" t="e">
        <f ca="1">_xll.BDH($B$183,$C$183,$B$240,$B$241,CONCATENATE("Per=",$B$238),"Dts=H","Dir=H",CONCATENATE("Points=",$B$239),"Sort=R","Days=A","Fill=B","DZ666=001","X0001=NAUS","DZ667=1","DS276=Y",CONCATENATE("FX=", $B$237) )</f>
        <v>#NAME?</v>
      </c>
      <c r="M418" t="str">
        <f>""</f>
        <v/>
      </c>
      <c r="N418" t="str">
        <f>""</f>
        <v/>
      </c>
      <c r="O418" t="str">
        <f>""</f>
        <v/>
      </c>
      <c r="P418" t="str">
        <f>""</f>
        <v/>
      </c>
      <c r="Q418" t="str">
        <f>""</f>
        <v/>
      </c>
      <c r="R418" t="str">
        <f>""</f>
        <v/>
      </c>
      <c r="S418" t="str">
        <f>""</f>
        <v/>
      </c>
    </row>
    <row r="419" spans="1:19" x14ac:dyDescent="0.25">
      <c r="A419" t="str">
        <f>$A$184</f>
        <v xml:space="preserve">        Tata Consultancy Services Ltd</v>
      </c>
      <c r="B419" t="str">
        <f>$B$184</f>
        <v>TCS IN Equity</v>
      </c>
      <c r="C419" t="str">
        <f>$C$184</f>
        <v>BI047</v>
      </c>
      <c r="D419" t="str">
        <f>$D$184</f>
        <v>BICS_SEGMENT_DATA</v>
      </c>
      <c r="E419" t="str">
        <f>$E$184</f>
        <v>Dynamic</v>
      </c>
      <c r="F419" t="e">
        <f ca="1">_xll.BDH($B$184,$C$184,$B$240,$B$241,CONCATENATE("Per=",$B$238),"Dts=H","Dir=H",CONCATENATE("Points=",$B$239),"Sort=R","Days=A","Fill=B","DZ666=001","X0001=NA00","DZ667=1","DS276=Y",CONCATENATE("FX=", $B$237) )</f>
        <v>#NAME?</v>
      </c>
      <c r="M419" t="str">
        <f>""</f>
        <v/>
      </c>
      <c r="N419" t="str">
        <f>""</f>
        <v/>
      </c>
      <c r="O419" t="str">
        <f>""</f>
        <v/>
      </c>
      <c r="P419" t="str">
        <f>""</f>
        <v/>
      </c>
      <c r="Q419" t="str">
        <f>""</f>
        <v/>
      </c>
      <c r="R419" t="str">
        <f>""</f>
        <v/>
      </c>
      <c r="S419" t="str">
        <f>""</f>
        <v/>
      </c>
    </row>
    <row r="420" spans="1:19" x14ac:dyDescent="0.25">
      <c r="A420" t="str">
        <f>$A$185</f>
        <v xml:space="preserve">        Cognizant Technology Solutions</v>
      </c>
      <c r="B420" t="str">
        <f>$B$185</f>
        <v>CTSH US Equity</v>
      </c>
      <c r="C420" t="str">
        <f>$C$185</f>
        <v>BI047</v>
      </c>
      <c r="D420" t="str">
        <f>$D$185</f>
        <v>BICS_SEGMENT_DATA</v>
      </c>
      <c r="E420" t="str">
        <f>$E$185</f>
        <v>Dynamic</v>
      </c>
      <c r="F420" t="e">
        <f ca="1">_xll.BDH($B$185,$C$185,$B$240,$B$241,CONCATENATE("Per=",$B$238),"Dts=H","Dir=H",CONCATENATE("Points=",$B$239),"Sort=R","Days=A","Fill=B","DZ666=001","X0001=NA00","DZ667=1","DS276=Y",CONCATENATE("FX=", $B$237) )</f>
        <v>#NAME?</v>
      </c>
      <c r="M420" t="str">
        <f>""</f>
        <v/>
      </c>
      <c r="N420" t="str">
        <f>""</f>
        <v/>
      </c>
      <c r="O420" t="str">
        <f>""</f>
        <v/>
      </c>
      <c r="P420" t="str">
        <f>""</f>
        <v/>
      </c>
      <c r="Q420" t="str">
        <f>""</f>
        <v/>
      </c>
      <c r="R420" t="str">
        <f>""</f>
        <v/>
      </c>
      <c r="S420" t="str">
        <f>""</f>
        <v/>
      </c>
    </row>
    <row r="421" spans="1:19" x14ac:dyDescent="0.25">
      <c r="A421" t="str">
        <f>$A$186</f>
        <v xml:space="preserve">        Infosys Ltd</v>
      </c>
      <c r="B421" t="str">
        <f>$B$186</f>
        <v>INFY US Equity</v>
      </c>
      <c r="C421" t="str">
        <f>$C$186</f>
        <v>BI047</v>
      </c>
      <c r="D421" t="str">
        <f>$D$186</f>
        <v>BICS_SEGMENT_DATA</v>
      </c>
      <c r="E421" t="str">
        <f>$E$186</f>
        <v>Dynamic</v>
      </c>
      <c r="F421" t="e">
        <f ca="1">_xll.BDH($B$186,$C$186,$B$240,$B$241,CONCATENATE("Per=",$B$238),"Dts=H","Dir=H",CONCATENATE("Points=",$B$239),"Sort=R","Days=A","Fill=B","DZ666=001","X0001=NA00","DZ667=1","DS276=Y",CONCATENATE("FX=", $B$237) )</f>
        <v>#NAME?</v>
      </c>
      <c r="M421" t="str">
        <f>""</f>
        <v/>
      </c>
      <c r="N421" t="str">
        <f>""</f>
        <v/>
      </c>
      <c r="O421" t="str">
        <f>""</f>
        <v/>
      </c>
      <c r="P421" t="str">
        <f>""</f>
        <v/>
      </c>
      <c r="Q421" t="str">
        <f>""</f>
        <v/>
      </c>
      <c r="R421" t="str">
        <f>""</f>
        <v/>
      </c>
      <c r="S421" t="str">
        <f>""</f>
        <v/>
      </c>
    </row>
    <row r="422" spans="1:19" x14ac:dyDescent="0.25">
      <c r="A422" t="str">
        <f>$A$187</f>
        <v xml:space="preserve">        Wipro Ltd</v>
      </c>
      <c r="B422" t="str">
        <f>$B$187</f>
        <v>WIT US Equity</v>
      </c>
      <c r="C422" t="str">
        <f>$C$187</f>
        <v>BI047</v>
      </c>
      <c r="D422" t="str">
        <f>$D$187</f>
        <v>BICS_SEGMENT_DATA</v>
      </c>
      <c r="E422" t="str">
        <f>$E$187</f>
        <v>Dynamic</v>
      </c>
      <c r="F422" t="e">
        <f ca="1">_xll.BDH($B$187,$C$187,$B$240,$B$241,CONCATENATE("Per=",$B$238),"Dts=H","Dir=H",CONCATENATE("Points=",$B$239),"Sort=R","Days=A","Fill=B","DZ666=001","X0001=NAUS","DZ667=1","DS276=Y",CONCATENATE("FX=", $B$237) )</f>
        <v>#NAME?</v>
      </c>
      <c r="M422" t="str">
        <f>""</f>
        <v/>
      </c>
      <c r="N422" t="str">
        <f>""</f>
        <v/>
      </c>
      <c r="O422" t="str">
        <f>""</f>
        <v/>
      </c>
      <c r="P422" t="str">
        <f>""</f>
        <v/>
      </c>
      <c r="Q422" t="str">
        <f>""</f>
        <v/>
      </c>
      <c r="R422" t="str">
        <f>""</f>
        <v/>
      </c>
      <c r="S422" t="str">
        <f>""</f>
        <v/>
      </c>
    </row>
    <row r="423" spans="1:19" x14ac:dyDescent="0.25">
      <c r="A423" t="str">
        <f>$A$188</f>
        <v xml:space="preserve">        HCL Technologies Ltd</v>
      </c>
      <c r="B423" t="str">
        <f>$B$188</f>
        <v>HCLT IN Equity</v>
      </c>
      <c r="C423" t="str">
        <f>$C$188</f>
        <v>BI047</v>
      </c>
      <c r="D423" t="str">
        <f>$D$188</f>
        <v>BICS_SEGMENT_DATA</v>
      </c>
      <c r="E423" t="str">
        <f>$E$188</f>
        <v>Dynamic</v>
      </c>
      <c r="F423" t="e">
        <f ca="1">_xll.BDH($B$188,$C$188,$B$240,$B$241,CONCATENATE("Per=",$B$238),"Dts=H","Dir=H",CONCATENATE("Points=",$B$239),"Sort=R","Days=A","Fill=B","DZ666=001","X0001=NAUS","DZ667=1","DS276=Y",CONCATENATE("FX=", $B$237) )</f>
        <v>#NAME?</v>
      </c>
      <c r="M423" t="str">
        <f>""</f>
        <v/>
      </c>
      <c r="N423" t="str">
        <f>""</f>
        <v/>
      </c>
      <c r="O423" t="str">
        <f>""</f>
        <v/>
      </c>
      <c r="P423" t="str">
        <f>""</f>
        <v/>
      </c>
      <c r="Q423" t="str">
        <f>""</f>
        <v/>
      </c>
      <c r="R423" t="str">
        <f>""</f>
        <v/>
      </c>
      <c r="S423" t="str">
        <f>""</f>
        <v/>
      </c>
    </row>
    <row r="424" spans="1:19" x14ac:dyDescent="0.25">
      <c r="A424" t="str">
        <f>$A$191</f>
        <v xml:space="preserve">        International Business Machine</v>
      </c>
      <c r="B424" t="str">
        <f>$B$191</f>
        <v>IBM US Equity</v>
      </c>
      <c r="C424" t="str">
        <f>$C$191</f>
        <v>BI047</v>
      </c>
      <c r="D424" t="str">
        <f>$D$191</f>
        <v>BICS_SEGMENT_DATA</v>
      </c>
      <c r="E424" t="str">
        <f>$E$191</f>
        <v>Dynamic</v>
      </c>
      <c r="F424" t="e">
        <f ca="1">_xll.BDH($B$191,$C$191,$B$240,$B$241,CONCATENATE("Per=",$B$238),"Dts=H","Dir=H",CONCATENATE("Points=",$B$239),"Sort=R","Days=A","Fill=B","DZ666=001","X0001=EMEA","DZ667=1","DS276=Y",CONCATENATE("FX=", $B$237) )</f>
        <v>#NAME?</v>
      </c>
      <c r="M424" t="str">
        <f>""</f>
        <v/>
      </c>
      <c r="N424" t="str">
        <f>""</f>
        <v/>
      </c>
      <c r="O424" t="str">
        <f>""</f>
        <v/>
      </c>
      <c r="P424" t="str">
        <f>""</f>
        <v/>
      </c>
      <c r="Q424" t="str">
        <f>""</f>
        <v/>
      </c>
      <c r="R424" t="str">
        <f>""</f>
        <v/>
      </c>
      <c r="S424" t="str">
        <f>""</f>
        <v/>
      </c>
    </row>
    <row r="425" spans="1:19" x14ac:dyDescent="0.25">
      <c r="A425" t="str">
        <f>$A$192</f>
        <v xml:space="preserve">        Accenture PLC</v>
      </c>
      <c r="B425" t="str">
        <f>$B$192</f>
        <v>ACN US Equity</v>
      </c>
      <c r="C425" t="str">
        <f>$C$192</f>
        <v>BI047</v>
      </c>
      <c r="D425" t="str">
        <f>$D$192</f>
        <v>BICS_SEGMENT_DATA</v>
      </c>
      <c r="E425" t="str">
        <f>$E$192</f>
        <v>Dynamic</v>
      </c>
      <c r="F425" t="e">
        <f ca="1">_xll.BDH($B$192,$C$192,$B$240,$B$241,CONCATENATE("Per=",$B$238),"Dts=H","Dir=H",CONCATENATE("Points=",$B$239),"Sort=R","Days=A","Fill=B","DZ666=001","X0001=REST","DZ667=1","DS276=Y",CONCATENATE("FX=", $B$237) )</f>
        <v>#NAME?</v>
      </c>
      <c r="M425" t="str">
        <f>""</f>
        <v/>
      </c>
      <c r="N425" t="str">
        <f>""</f>
        <v/>
      </c>
      <c r="O425" t="str">
        <f>""</f>
        <v/>
      </c>
      <c r="P425" t="str">
        <f>""</f>
        <v/>
      </c>
      <c r="Q425" t="str">
        <f>""</f>
        <v/>
      </c>
      <c r="R425" t="str">
        <f>""</f>
        <v/>
      </c>
      <c r="S425" t="str">
        <f>""</f>
        <v/>
      </c>
    </row>
    <row r="426" spans="1:19" x14ac:dyDescent="0.25">
      <c r="A426" t="str">
        <f>$A$195</f>
        <v xml:space="preserve">        Computacenter PLC</v>
      </c>
      <c r="B426" t="str">
        <f>$B$195</f>
        <v>CCC LN Equity</v>
      </c>
      <c r="C426" t="str">
        <f>$C$195</f>
        <v>IS010</v>
      </c>
      <c r="D426" t="str">
        <f>$D$195</f>
        <v>SALES_REV_TURN</v>
      </c>
      <c r="E426" t="str">
        <f>$E$195</f>
        <v>Dynamic</v>
      </c>
      <c r="F426" t="e">
        <f ca="1">_xll.BDH($B$195,$C$195,$B$240,$B$241,CONCATENATE("Per=",$B$238),"Dts=H","Dir=H",CONCATENATE("Points=",$B$239),"Sort=R","Days=A","Fill=B",CONCATENATE("FX=", $B$237) )</f>
        <v>#NAME?</v>
      </c>
      <c r="M426" t="str">
        <f>""</f>
        <v/>
      </c>
      <c r="N426" t="str">
        <f>""</f>
        <v/>
      </c>
      <c r="O426" t="str">
        <f>""</f>
        <v/>
      </c>
      <c r="P426" t="str">
        <f>""</f>
        <v/>
      </c>
      <c r="Q426" t="str">
        <f>""</f>
        <v/>
      </c>
      <c r="R426" t="str">
        <f>""</f>
        <v/>
      </c>
      <c r="S426" t="str">
        <f>""</f>
        <v/>
      </c>
    </row>
    <row r="427" spans="1:19" x14ac:dyDescent="0.25">
      <c r="A427" t="str">
        <f>$A$197</f>
        <v xml:space="preserve">        Tata Consultancy Services Ltd</v>
      </c>
      <c r="B427" t="str">
        <f>$B$197</f>
        <v>TCS IN Equity</v>
      </c>
      <c r="C427" t="str">
        <f>$C$197</f>
        <v>BI047</v>
      </c>
      <c r="D427" t="str">
        <f>$D$197</f>
        <v>BICS_SEGMENT_DATA</v>
      </c>
      <c r="E427" t="str">
        <f>$E$197</f>
        <v>Dynamic</v>
      </c>
      <c r="F427" t="e">
        <f ca="1">_xll.BDH($B$197,$C$197,$B$240,$B$241,CONCATENATE("Per=",$B$238),"Dts=H","Dir=H",CONCATENATE("Points=",$B$239),"Sort=R","Days=A","Fill=B","DZ666=001","X0001=EU00","DZ667=1","DS276=Y",CONCATENATE("FX=", $B$237) )</f>
        <v>#NAME?</v>
      </c>
      <c r="M427" t="str">
        <f>""</f>
        <v/>
      </c>
      <c r="N427" t="str">
        <f>""</f>
        <v/>
      </c>
      <c r="O427" t="str">
        <f>""</f>
        <v/>
      </c>
      <c r="P427" t="str">
        <f>""</f>
        <v/>
      </c>
      <c r="Q427" t="str">
        <f>""</f>
        <v/>
      </c>
      <c r="R427" t="str">
        <f>""</f>
        <v/>
      </c>
      <c r="S427" t="str">
        <f>""</f>
        <v/>
      </c>
    </row>
    <row r="428" spans="1:19" x14ac:dyDescent="0.25">
      <c r="A428" t="str">
        <f>$A$198</f>
        <v xml:space="preserve">        Wipro Ltd</v>
      </c>
      <c r="B428" t="str">
        <f>$B$198</f>
        <v>WIT US Equity</v>
      </c>
      <c r="C428" t="str">
        <f>$C$198</f>
        <v>BI047</v>
      </c>
      <c r="D428" t="str">
        <f>$D$198</f>
        <v>BICS_SEGMENT_DATA</v>
      </c>
      <c r="E428" t="str">
        <f>$E$198</f>
        <v>Dynamic</v>
      </c>
      <c r="F428" t="e">
        <f ca="1">_xll.BDH($B$198,$C$198,$B$240,$B$241,CONCATENATE("Per=",$B$238),"Dts=H","Dir=H",CONCATENATE("Points=",$B$239),"Sort=R","Days=A","Fill=B","DZ666=001","X0001=EU00","DZ667=1","DS276=Y",CONCATENATE("FX=", $B$237) )</f>
        <v>#NAME?</v>
      </c>
      <c r="M428" t="str">
        <f>""</f>
        <v/>
      </c>
      <c r="N428" t="str">
        <f>""</f>
        <v/>
      </c>
      <c r="O428" t="str">
        <f>""</f>
        <v/>
      </c>
      <c r="P428" t="str">
        <f>""</f>
        <v/>
      </c>
      <c r="Q428" t="str">
        <f>""</f>
        <v/>
      </c>
      <c r="R428" t="str">
        <f>""</f>
        <v/>
      </c>
      <c r="S428" t="str">
        <f>""</f>
        <v/>
      </c>
    </row>
    <row r="429" spans="1:19" x14ac:dyDescent="0.25">
      <c r="A429" t="str">
        <f>$A$199</f>
        <v xml:space="preserve">        Cognizant Technology Solutions</v>
      </c>
      <c r="B429" t="str">
        <f>$B$199</f>
        <v>CTSH US Equity</v>
      </c>
      <c r="C429" t="str">
        <f>$C$199</f>
        <v>BI047</v>
      </c>
      <c r="D429" t="str">
        <f>$D$199</f>
        <v>BICS_SEGMENT_DATA</v>
      </c>
      <c r="E429" t="str">
        <f>$E$199</f>
        <v>Dynamic</v>
      </c>
      <c r="F429" t="e">
        <f ca="1">_xll.BDH($B$199,$C$199,$B$240,$B$241,CONCATENATE("Per=",$B$238),"Dts=H","Dir=H",CONCATENATE("Points=",$B$239),"Sort=R","Days=A","Fill=B","DZ666=001","X0001=EU00","DZ667=1","DS276=Y",CONCATENATE("FX=", $B$237) )</f>
        <v>#NAME?</v>
      </c>
      <c r="M429" t="str">
        <f>""</f>
        <v/>
      </c>
      <c r="N429" t="str">
        <f>""</f>
        <v/>
      </c>
      <c r="O429" t="str">
        <f>""</f>
        <v/>
      </c>
      <c r="P429" t="str">
        <f>""</f>
        <v/>
      </c>
      <c r="Q429" t="str">
        <f>""</f>
        <v/>
      </c>
      <c r="R429" t="str">
        <f>""</f>
        <v/>
      </c>
      <c r="S429" t="str">
        <f>""</f>
        <v/>
      </c>
    </row>
    <row r="430" spans="1:19" x14ac:dyDescent="0.25">
      <c r="A430" t="str">
        <f>$A$200</f>
        <v xml:space="preserve">        Infosys Ltd</v>
      </c>
      <c r="B430" t="str">
        <f>$B$200</f>
        <v>INFY US Equity</v>
      </c>
      <c r="C430" t="str">
        <f>$C$200</f>
        <v>BI047</v>
      </c>
      <c r="D430" t="str">
        <f>$D$200</f>
        <v>BICS_SEGMENT_DATA</v>
      </c>
      <c r="E430" t="str">
        <f>$E$200</f>
        <v>Dynamic</v>
      </c>
      <c r="F430" t="e">
        <f ca="1">_xll.BDH($B$200,$C$200,$B$240,$B$241,CONCATENATE("Per=",$B$238),"Dts=H","Dir=H",CONCATENATE("Points=",$B$239),"Sort=R","Days=A","Fill=B","DZ666=001","X0001=EU00","DZ667=1","DS276=Y",CONCATENATE("FX=", $B$237) )</f>
        <v>#NAME?</v>
      </c>
      <c r="M430" t="str">
        <f>""</f>
        <v/>
      </c>
      <c r="N430" t="str">
        <f>""</f>
        <v/>
      </c>
      <c r="O430" t="str">
        <f>""</f>
        <v/>
      </c>
      <c r="P430" t="str">
        <f>""</f>
        <v/>
      </c>
      <c r="Q430" t="str">
        <f>""</f>
        <v/>
      </c>
      <c r="R430" t="str">
        <f>""</f>
        <v/>
      </c>
      <c r="S430" t="str">
        <f>""</f>
        <v/>
      </c>
    </row>
    <row r="431" spans="1:19" x14ac:dyDescent="0.25">
      <c r="A431" t="str">
        <f>$A$201</f>
        <v xml:space="preserve">        HCL Technologies Ltd</v>
      </c>
      <c r="B431" t="str">
        <f>$B$201</f>
        <v>HCLT IN Equity</v>
      </c>
      <c r="C431" t="str">
        <f>$C$201</f>
        <v>BI047</v>
      </c>
      <c r="D431" t="str">
        <f>$D$201</f>
        <v>BICS_SEGMENT_DATA</v>
      </c>
      <c r="E431" t="str">
        <f>$E$201</f>
        <v>Dynamic</v>
      </c>
      <c r="F431" t="e">
        <f ca="1">_xll.BDH($B$201,$C$201,$B$240,$B$241,CONCATENATE("Per=",$B$238),"Dts=H","Dir=H",CONCATENATE("Points=",$B$239),"Sort=R","Days=A","Fill=B","DZ666=001","X0001=EU00","DZ667=1","DS276=Y",CONCATENATE("FX=", $B$237) )</f>
        <v>#NAME?</v>
      </c>
      <c r="M431" t="str">
        <f>""</f>
        <v/>
      </c>
      <c r="N431" t="str">
        <f>""</f>
        <v/>
      </c>
      <c r="O431" t="str">
        <f>""</f>
        <v/>
      </c>
      <c r="P431" t="str">
        <f>""</f>
        <v/>
      </c>
      <c r="Q431" t="str">
        <f>""</f>
        <v/>
      </c>
      <c r="R431" t="str">
        <f>""</f>
        <v/>
      </c>
      <c r="S431" t="str">
        <f>""</f>
        <v/>
      </c>
    </row>
    <row r="432" spans="1:19" x14ac:dyDescent="0.25">
      <c r="A432" t="str">
        <f>$A$204</f>
        <v xml:space="preserve">        International Business Machine</v>
      </c>
      <c r="B432" t="str">
        <f>$B$204</f>
        <v>IBM US Equity</v>
      </c>
      <c r="C432" t="str">
        <f>$C$204</f>
        <v>BI047</v>
      </c>
      <c r="D432" t="str">
        <f>$D$204</f>
        <v>BICS_SEGMENT_DATA</v>
      </c>
      <c r="E432" t="str">
        <f>$E$204</f>
        <v>Dynamic</v>
      </c>
      <c r="F432" t="e">
        <f ca="1">_xll.BDH($B$204,$C$204,$B$240,$B$241,CONCATENATE("Per=",$B$238),"Dts=H","Dir=H",CONCATENATE("Points=",$B$239),"Sort=R","Days=A","Fill=B","DZ666=001","X0001=AP00","DZ667=1","DS276=Y",CONCATENATE("FX=", $B$237) )</f>
        <v>#NAME?</v>
      </c>
      <c r="M432" t="str">
        <f>""</f>
        <v/>
      </c>
      <c r="N432" t="str">
        <f>""</f>
        <v/>
      </c>
      <c r="O432" t="str">
        <f>""</f>
        <v/>
      </c>
      <c r="P432" t="str">
        <f>""</f>
        <v/>
      </c>
      <c r="Q432" t="str">
        <f>""</f>
        <v/>
      </c>
      <c r="R432" t="str">
        <f>""</f>
        <v/>
      </c>
      <c r="S432" t="str">
        <f>""</f>
        <v/>
      </c>
    </row>
    <row r="433" spans="1:19" x14ac:dyDescent="0.25">
      <c r="A433" t="str">
        <f>$A$205</f>
        <v xml:space="preserve">        Accenture PLC</v>
      </c>
      <c r="B433" t="str">
        <f>$B$205</f>
        <v>ACN US Equity</v>
      </c>
      <c r="C433" t="str">
        <f>$C$205</f>
        <v>BI047</v>
      </c>
      <c r="D433" t="str">
        <f>$D$205</f>
        <v>BICS_SEGMENT_DATA</v>
      </c>
      <c r="E433" t="str">
        <f>$E$205</f>
        <v>Dynamic</v>
      </c>
      <c r="F433" t="e">
        <f ca="1">_xll.BDH($B$205,$C$205,$B$240,$B$241,CONCATENATE("Per=",$B$238),"Dts=H","Dir=H",CONCATENATE("Points=",$B$239),"Sort=R","Days=A","Fill=B","DZ666=001","X0001=AS00","DZ667=1","DS276=Y",CONCATENATE("FX=", $B$237) )</f>
        <v>#NAME?</v>
      </c>
      <c r="M433" t="str">
        <f>""</f>
        <v/>
      </c>
      <c r="N433" t="str">
        <f>""</f>
        <v/>
      </c>
      <c r="O433" t="str">
        <f>""</f>
        <v/>
      </c>
      <c r="P433" t="str">
        <f>""</f>
        <v/>
      </c>
      <c r="Q433" t="str">
        <f>""</f>
        <v/>
      </c>
      <c r="R433" t="str">
        <f>""</f>
        <v/>
      </c>
      <c r="S433" t="str">
        <f>""</f>
        <v/>
      </c>
    </row>
    <row r="434" spans="1:19" x14ac:dyDescent="0.25">
      <c r="A434" t="str">
        <f>$A$206</f>
        <v xml:space="preserve">        Tata Consultancy Services Ltd</v>
      </c>
      <c r="B434" t="str">
        <f>$B$206</f>
        <v>TCS IN Equity</v>
      </c>
      <c r="C434" t="str">
        <f>$C$206</f>
        <v>BI047</v>
      </c>
      <c r="D434" t="str">
        <f>$D$206</f>
        <v>BICS_SEGMENT_DATA</v>
      </c>
      <c r="E434" t="str">
        <f>$E$206</f>
        <v>Dynamic</v>
      </c>
      <c r="F434" t="e">
        <f ca="1">_xll.BDH($B$206,$C$206,$B$240,$B$241,CONCATENATE("Per=",$B$238),"Dts=H","Dir=H",CONCATENATE("Points=",$B$239),"Sort=R","Days=A","Fill=B","DZ666=001","X0001=AP00","DZ667=1","DS276=Y",CONCATENATE("FX=", $B$237) )</f>
        <v>#NAME?</v>
      </c>
      <c r="M434" t="str">
        <f>""</f>
        <v/>
      </c>
      <c r="N434" t="str">
        <f>""</f>
        <v/>
      </c>
      <c r="O434" t="str">
        <f>""</f>
        <v/>
      </c>
      <c r="P434" t="str">
        <f>""</f>
        <v/>
      </c>
      <c r="Q434" t="str">
        <f>""</f>
        <v/>
      </c>
      <c r="R434" t="str">
        <f>""</f>
        <v/>
      </c>
      <c r="S434" t="str">
        <f>""</f>
        <v/>
      </c>
    </row>
    <row r="435" spans="1:19" x14ac:dyDescent="0.25">
      <c r="A435" t="str">
        <f>$A$207</f>
        <v xml:space="preserve">        Wipro Ltd</v>
      </c>
      <c r="B435" t="str">
        <f>$B$207</f>
        <v>WIT US Equity</v>
      </c>
      <c r="C435" t="str">
        <f>$C$207</f>
        <v>BI047</v>
      </c>
      <c r="D435" t="str">
        <f>$D$207</f>
        <v>BICS_SEGMENT_DATA</v>
      </c>
      <c r="E435" t="str">
        <f>$E$207</f>
        <v>Dynamic</v>
      </c>
      <c r="F435" t="e">
        <f ca="1">_xll.BDH($B$207,$C$207,$B$240,$B$241,CONCATENATE("Per=",$B$238),"Dts=H","Dir=H",CONCATENATE("Points=",$B$239),"Sort=R","Days=A","Fill=B","DZ666=001","X0001=REST","DZ667=1","DS276=Y",CONCATENATE("FX=", $B$237) )</f>
        <v>#NAME?</v>
      </c>
      <c r="M435" t="str">
        <f>""</f>
        <v/>
      </c>
      <c r="N435" t="str">
        <f>""</f>
        <v/>
      </c>
      <c r="O435" t="str">
        <f>""</f>
        <v/>
      </c>
      <c r="P435" t="str">
        <f>""</f>
        <v/>
      </c>
      <c r="Q435" t="str">
        <f>""</f>
        <v/>
      </c>
      <c r="R435" t="str">
        <f>""</f>
        <v/>
      </c>
      <c r="S435" t="str">
        <f>""</f>
        <v/>
      </c>
    </row>
    <row r="436" spans="1:19" x14ac:dyDescent="0.25">
      <c r="A436" t="str">
        <f>$A$210</f>
        <v xml:space="preserve">        Wipro Ltd</v>
      </c>
      <c r="B436" t="str">
        <f>$B$210</f>
        <v>WIT US Equity</v>
      </c>
      <c r="C436" t="str">
        <f>$C$210</f>
        <v>BI047</v>
      </c>
      <c r="D436" t="str">
        <f>$D$210</f>
        <v>BICS_SEGMENT_DATA</v>
      </c>
      <c r="E436" t="str">
        <f>$E$210</f>
        <v>Dynamic</v>
      </c>
      <c r="F436" t="e">
        <f ca="1">_xll.BDH($B$210,$C$210,$B$240,$B$241,CONCATENATE("Per=",$B$238),"Dts=H","Dir=H",CONCATENATE("Points=",$B$239),"Sort=R","Days=A","Fill=B","DZ666=001","X0001=ASIN","DZ667=1","DS276=Y",CONCATENATE("FX=", $B$237) )</f>
        <v>#NAME?</v>
      </c>
      <c r="M436" t="str">
        <f>""</f>
        <v/>
      </c>
      <c r="N436" t="str">
        <f>""</f>
        <v/>
      </c>
      <c r="O436" t="str">
        <f>""</f>
        <v/>
      </c>
      <c r="P436" t="str">
        <f>""</f>
        <v/>
      </c>
      <c r="Q436" t="str">
        <f>""</f>
        <v/>
      </c>
      <c r="R436" t="str">
        <f>""</f>
        <v/>
      </c>
      <c r="S436" t="str">
        <f>""</f>
        <v/>
      </c>
    </row>
    <row r="437" spans="1:19" x14ac:dyDescent="0.25">
      <c r="A437" t="str">
        <f>$A$211</f>
        <v xml:space="preserve">        Tata Consultancy Services Ltd</v>
      </c>
      <c r="B437" t="str">
        <f>$B$211</f>
        <v>TCS IN Equity</v>
      </c>
      <c r="C437" t="str">
        <f>$C$211</f>
        <v>BI047</v>
      </c>
      <c r="D437" t="str">
        <f>$D$211</f>
        <v>BICS_SEGMENT_DATA</v>
      </c>
      <c r="E437" t="str">
        <f>$E$211</f>
        <v>Dynamic</v>
      </c>
      <c r="F437" t="e">
        <f ca="1">_xll.BDH($B$211,$C$211,$B$240,$B$241,CONCATENATE("Per=",$B$238),"Dts=H","Dir=H",CONCATENATE("Points=",$B$239),"Sort=R","Days=A","Fill=B","DZ666=001","X0001=ASIN","DZ667=1","DS276=Y",CONCATENATE("FX=", $B$237) )</f>
        <v>#NAME?</v>
      </c>
      <c r="M437" t="str">
        <f>""</f>
        <v/>
      </c>
      <c r="N437" t="str">
        <f>""</f>
        <v/>
      </c>
      <c r="O437" t="str">
        <f>""</f>
        <v/>
      </c>
      <c r="P437" t="str">
        <f>""</f>
        <v/>
      </c>
      <c r="Q437" t="str">
        <f>""</f>
        <v/>
      </c>
      <c r="R437" t="str">
        <f>""</f>
        <v/>
      </c>
      <c r="S437" t="str">
        <f>""</f>
        <v/>
      </c>
    </row>
    <row r="438" spans="1:19" x14ac:dyDescent="0.25">
      <c r="A438" t="str">
        <f>$A$212</f>
        <v xml:space="preserve">        HCL Technologies Ltd</v>
      </c>
      <c r="B438" t="str">
        <f>$B$212</f>
        <v>HCLT IN Equity</v>
      </c>
      <c r="C438" t="str">
        <f>$C$212</f>
        <v>BI047</v>
      </c>
      <c r="D438" t="str">
        <f>$D$212</f>
        <v>BICS_SEGMENT_DATA</v>
      </c>
      <c r="E438" t="str">
        <f>$E$212</f>
        <v>Dynamic</v>
      </c>
      <c r="F438" t="e">
        <f ca="1">_xll.BDH($B$212,$C$212,$B$240,$B$241,CONCATENATE("Per=",$B$238),"Dts=H","Dir=H",CONCATENATE("Points=",$B$239),"Sort=R","Days=A","Fill=B","DZ666=001","X0001=ASIN","DZ667=1","DS276=Y",CONCATENATE("FX=", $B$237) )</f>
        <v>#NAME?</v>
      </c>
      <c r="M438" t="str">
        <f>""</f>
        <v/>
      </c>
      <c r="N438" t="str">
        <f>""</f>
        <v/>
      </c>
      <c r="O438" t="str">
        <f>""</f>
        <v/>
      </c>
      <c r="P438" t="str">
        <f>""</f>
        <v/>
      </c>
      <c r="Q438" t="str">
        <f>""</f>
        <v/>
      </c>
      <c r="R438" t="str">
        <f>""</f>
        <v/>
      </c>
      <c r="S438" t="str">
        <f>""</f>
        <v/>
      </c>
    </row>
    <row r="439" spans="1:19" x14ac:dyDescent="0.25">
      <c r="A439" t="str">
        <f>$A$213</f>
        <v xml:space="preserve">        Infosys Ltd</v>
      </c>
      <c r="B439" t="str">
        <f>$B$213</f>
        <v>INFY US Equity</v>
      </c>
      <c r="C439" t="str">
        <f>$C$213</f>
        <v>BI047</v>
      </c>
      <c r="D439" t="str">
        <f>$D$213</f>
        <v>BICS_SEGMENT_DATA</v>
      </c>
      <c r="E439" t="str">
        <f>$E$213</f>
        <v>Dynamic</v>
      </c>
      <c r="F439" t="e">
        <f ca="1">_xll.BDH($B$213,$C$213,$B$240,$B$241,CONCATENATE("Per=",$B$238),"Dts=H","Dir=H",CONCATENATE("Points=",$B$239),"Sort=R","Days=A","Fill=B","DZ666=001","X0001=ASIN","DZ667=1","DS276=Y",CONCATENATE("FX=", $B$237) )</f>
        <v>#NAME?</v>
      </c>
      <c r="M439" t="str">
        <f>""</f>
        <v/>
      </c>
      <c r="N439" t="str">
        <f>""</f>
        <v/>
      </c>
      <c r="O439" t="str">
        <f>""</f>
        <v/>
      </c>
      <c r="P439" t="str">
        <f>""</f>
        <v/>
      </c>
      <c r="Q439" t="str">
        <f>""</f>
        <v/>
      </c>
      <c r="R439" t="str">
        <f>""</f>
        <v/>
      </c>
      <c r="S439" t="str">
        <f>""</f>
        <v/>
      </c>
    </row>
    <row r="440" spans="1:19" x14ac:dyDescent="0.25">
      <c r="A440" t="str">
        <f>$A$216</f>
        <v xml:space="preserve">        Accenture PLC</v>
      </c>
      <c r="B440" t="str">
        <f>$B$216</f>
        <v>ACN US Equity</v>
      </c>
      <c r="C440" t="str">
        <f>$C$216</f>
        <v>BI047</v>
      </c>
      <c r="D440" t="str">
        <f>$D$216</f>
        <v>BICS_SEGMENT_DATA</v>
      </c>
      <c r="E440" t="str">
        <f>$E$216</f>
        <v>Dynamic</v>
      </c>
      <c r="F440" t="e">
        <f ca="1">_xll.BDH($B$216,$C$216,$B$240,$B$241,CONCATENATE("Per=",$B$238),"Dts=H","Dir=H",CONCATENATE("Points=",$B$239),"Sort=R","Days=A","Fill=B","DZ666=031","DZ381=1814101013","DZ667=2","DS276=Y",CONCATENATE("FX=", $B$237) )</f>
        <v>#NAME?</v>
      </c>
      <c r="M440" t="str">
        <f>""</f>
        <v/>
      </c>
      <c r="N440" t="str">
        <f>""</f>
        <v/>
      </c>
      <c r="O440" t="str">
        <f>""</f>
        <v/>
      </c>
      <c r="P440" t="str">
        <f>""</f>
        <v/>
      </c>
      <c r="Q440" t="str">
        <f>""</f>
        <v/>
      </c>
      <c r="R440" t="str">
        <f>""</f>
        <v/>
      </c>
      <c r="S440" t="str">
        <f>""</f>
        <v/>
      </c>
    </row>
    <row r="441" spans="1:19" x14ac:dyDescent="0.25">
      <c r="A441" t="str">
        <f>$A$217</f>
        <v xml:space="preserve">        Tata Consultancy Services Ltd</v>
      </c>
      <c r="B441" t="str">
        <f>$B$217</f>
        <v>TCS IN Equity</v>
      </c>
      <c r="C441" t="str">
        <f>$C$217</f>
        <v>BI047</v>
      </c>
      <c r="D441" t="str">
        <f>$D$217</f>
        <v>BICS_SEGMENT_DATA</v>
      </c>
      <c r="E441" t="str">
        <f>$E$217</f>
        <v>Dynamic</v>
      </c>
      <c r="F441" t="e">
        <f ca="1">_xll.BDH($B$217,$C$217,$B$240,$B$241,CONCATENATE("Per=",$B$238),"Dts=H","Dir=H",CONCATENATE("Points=",$B$239),"Sort=R","Days=A","Fill=B","DZ666=077","DZ381=181210","DZ667=1","DS276=Y",CONCATENATE("FX=", $B$237) )</f>
        <v>#NAME?</v>
      </c>
      <c r="M441" t="str">
        <f>""</f>
        <v/>
      </c>
      <c r="N441" t="str">
        <f>""</f>
        <v/>
      </c>
      <c r="O441" t="str">
        <f>""</f>
        <v/>
      </c>
      <c r="P441" t="str">
        <f>""</f>
        <v/>
      </c>
      <c r="Q441" t="str">
        <f>""</f>
        <v/>
      </c>
      <c r="R441" t="str">
        <f>""</f>
        <v/>
      </c>
      <c r="S441" t="str">
        <f>""</f>
        <v/>
      </c>
    </row>
    <row r="442" spans="1:19" x14ac:dyDescent="0.25">
      <c r="A442" t="str">
        <f>$A$218</f>
        <v xml:space="preserve">        Cognizant Technology Solutions</v>
      </c>
      <c r="B442" t="str">
        <f>$B$218</f>
        <v>CTSH US Equity</v>
      </c>
      <c r="C442" t="str">
        <f>$C$218</f>
        <v>BI047</v>
      </c>
      <c r="D442" t="str">
        <f>$D$218</f>
        <v>BICS_SEGMENT_DATA</v>
      </c>
      <c r="E442" t="str">
        <f>$E$218</f>
        <v>Dynamic</v>
      </c>
      <c r="F442" t="e">
        <f ca="1">_xll.BDH($B$218,$C$218,$B$240,$B$241,CONCATENATE("Per=",$B$238),"Dts=H","Dir=H",CONCATENATE("Points=",$B$239),"Sort=R","Days=A","Fill=B","DZ666=031","DZ381=18121013","DZ667=1","DS276=Y",CONCATENATE("FX=", $B$237) )</f>
        <v>#NAME?</v>
      </c>
      <c r="M442" t="str">
        <f>""</f>
        <v/>
      </c>
      <c r="N442" t="str">
        <f>""</f>
        <v/>
      </c>
      <c r="O442" t="str">
        <f>""</f>
        <v/>
      </c>
      <c r="P442" t="str">
        <f>""</f>
        <v/>
      </c>
      <c r="Q442" t="str">
        <f>""</f>
        <v/>
      </c>
      <c r="R442" t="str">
        <f>""</f>
        <v/>
      </c>
      <c r="S442" t="str">
        <f>""</f>
        <v/>
      </c>
    </row>
    <row r="443" spans="1:19" x14ac:dyDescent="0.25">
      <c r="A443" t="str">
        <f>$A$219</f>
        <v xml:space="preserve">        Infosys Ltd</v>
      </c>
      <c r="B443" t="str">
        <f>$B$219</f>
        <v>INFY US Equity</v>
      </c>
      <c r="C443" t="str">
        <f>$C$219</f>
        <v>BI047</v>
      </c>
      <c r="D443" t="str">
        <f>$D$219</f>
        <v>BICS_SEGMENT_DATA</v>
      </c>
      <c r="E443" t="str">
        <f>$E$219</f>
        <v>Dynamic</v>
      </c>
      <c r="F443" t="e">
        <f ca="1">_xll.BDH($B$219,$C$219,$B$240,$B$241,CONCATENATE("Per=",$B$238),"Dts=H","Dir=H",CONCATENATE("Points=",$B$239),"Sort=R","Days=A","Fill=B","DZ666=077","DZ381=181210","DZ667=1","DS276=Y",CONCATENATE("FX=", $B$237) )</f>
        <v>#NAME?</v>
      </c>
      <c r="M443" t="str">
        <f>""</f>
        <v/>
      </c>
      <c r="N443" t="str">
        <f>""</f>
        <v/>
      </c>
      <c r="O443" t="str">
        <f>""</f>
        <v/>
      </c>
      <c r="P443" t="str">
        <f>""</f>
        <v/>
      </c>
      <c r="Q443" t="str">
        <f>""</f>
        <v/>
      </c>
      <c r="R443" t="str">
        <f>""</f>
        <v/>
      </c>
      <c r="S443" t="str">
        <f>""</f>
        <v/>
      </c>
    </row>
    <row r="444" spans="1:19" x14ac:dyDescent="0.25">
      <c r="A444" t="str">
        <f>$A$220</f>
        <v xml:space="preserve">        Wipro Ltd</v>
      </c>
      <c r="B444" t="str">
        <f>$B$220</f>
        <v>WIT US Equity</v>
      </c>
      <c r="C444" t="str">
        <f>$C$220</f>
        <v>BI047</v>
      </c>
      <c r="D444" t="str">
        <f>$D$220</f>
        <v>BICS_SEGMENT_DATA</v>
      </c>
      <c r="E444" t="str">
        <f>$E$220</f>
        <v>Dynamic</v>
      </c>
      <c r="F444" t="e">
        <f ca="1">_xll.BDH($B$220,$C$220,$B$240,$B$241,CONCATENATE("Per=",$B$238),"Dts=H","Dir=H",CONCATENATE("Points=",$B$239),"Sort=R","Days=A","Fill=B","DZ666=077","DZ381=181210","DZ667=3","DS276=Y",CONCATENATE("FX=", $B$237) )</f>
        <v>#NAME?</v>
      </c>
      <c r="M444" t="str">
        <f>""</f>
        <v/>
      </c>
      <c r="N444" t="str">
        <f>""</f>
        <v/>
      </c>
      <c r="O444" t="str">
        <f>""</f>
        <v/>
      </c>
      <c r="P444" t="str">
        <f>""</f>
        <v/>
      </c>
      <c r="Q444" t="str">
        <f>""</f>
        <v/>
      </c>
      <c r="R444" t="str">
        <f>""</f>
        <v/>
      </c>
      <c r="S444" t="str">
        <f>""</f>
        <v/>
      </c>
    </row>
    <row r="445" spans="1:19" x14ac:dyDescent="0.25">
      <c r="A445" t="str">
        <f>$A$222</f>
        <v xml:space="preserve">        Accenture PLC</v>
      </c>
      <c r="B445" t="str">
        <f>$B$222</f>
        <v>ACN US Equity</v>
      </c>
      <c r="C445" t="str">
        <f>$C$222</f>
        <v>BI047</v>
      </c>
      <c r="D445" t="str">
        <f>$D$222</f>
        <v>BICS_SEGMENT_DATA</v>
      </c>
      <c r="E445" t="str">
        <f>$E$222</f>
        <v>Dynamic</v>
      </c>
      <c r="F445" t="e">
        <f ca="1">_xll.BDH($B$222,$C$222,$B$240,$B$241,CONCATENATE("Per=",$B$238),"Dts=H","Dir=H",CONCATENATE("Points=",$B$239),"Sort=R","Days=A","Fill=B","DZ666=031","DZ381=1814101013","DZ667=3","DS276=Y",CONCATENATE("FX=", $B$237) )</f>
        <v>#NAME?</v>
      </c>
      <c r="M445" t="str">
        <f>""</f>
        <v/>
      </c>
      <c r="N445" t="str">
        <f>""</f>
        <v/>
      </c>
      <c r="O445" t="str">
        <f>""</f>
        <v/>
      </c>
      <c r="P445" t="str">
        <f>""</f>
        <v/>
      </c>
      <c r="Q445" t="str">
        <f>""</f>
        <v/>
      </c>
      <c r="R445" t="str">
        <f>""</f>
        <v/>
      </c>
      <c r="S445" t="str">
        <f>""</f>
        <v/>
      </c>
    </row>
    <row r="446" spans="1:19" x14ac:dyDescent="0.25">
      <c r="A446" t="str">
        <f>$A$223</f>
        <v xml:space="preserve">        Cognizant Technology Solutions</v>
      </c>
      <c r="B446" t="str">
        <f>$B$223</f>
        <v>CTSH US Equity</v>
      </c>
      <c r="C446" t="str">
        <f>$C$223</f>
        <v>BI047</v>
      </c>
      <c r="D446" t="str">
        <f>$D$223</f>
        <v>BICS_SEGMENT_DATA</v>
      </c>
      <c r="E446" t="str">
        <f>$E$223</f>
        <v>Dynamic</v>
      </c>
      <c r="F446" t="e">
        <f ca="1">_xll.BDH($B$223,$C$223,$B$240,$B$241,CONCATENATE("Per=",$B$238),"Dts=H","Dir=H",CONCATENATE("Points=",$B$239),"Sort=R","Days=A","Fill=B","DZ666=031","DZ381=1812101514","DZ667=2","DS276=Y",CONCATENATE("FX=", $B$237) )</f>
        <v>#NAME?</v>
      </c>
      <c r="M446" t="str">
        <f>""</f>
        <v/>
      </c>
      <c r="N446" t="str">
        <f>""</f>
        <v/>
      </c>
      <c r="O446" t="str">
        <f>""</f>
        <v/>
      </c>
      <c r="P446" t="str">
        <f>""</f>
        <v/>
      </c>
      <c r="Q446" t="str">
        <f>""</f>
        <v/>
      </c>
      <c r="R446" t="str">
        <f>""</f>
        <v/>
      </c>
      <c r="S446" t="str">
        <f>""</f>
        <v/>
      </c>
    </row>
    <row r="447" spans="1:19" x14ac:dyDescent="0.25">
      <c r="A447" t="str">
        <f>$A$224</f>
        <v xml:space="preserve">        Wipro Ltd</v>
      </c>
      <c r="B447" t="str">
        <f>$B$224</f>
        <v>WIT US Equity</v>
      </c>
      <c r="C447" t="str">
        <f>$C$224</f>
        <v>BI047</v>
      </c>
      <c r="D447" t="str">
        <f>$D$224</f>
        <v>BICS_SEGMENT_DATA</v>
      </c>
      <c r="E447" t="str">
        <f>$E$224</f>
        <v>Dynamic</v>
      </c>
      <c r="F447" t="e">
        <f ca="1">_xll.BDH($B$224,$C$224,$B$240,$B$241,CONCATENATE("Per=",$B$238),"Dts=H","Dir=H",CONCATENATE("Points=",$B$239),"Sort=R","Days=A","Fill=B","DZ666=077","DZ381=181210","DZ667=3","DS276=Y",CONCATENATE("FX=", $B$237) )</f>
        <v>#NAME?</v>
      </c>
      <c r="M447" t="str">
        <f>""</f>
        <v/>
      </c>
      <c r="N447" t="str">
        <f>""</f>
        <v/>
      </c>
      <c r="O447" t="str">
        <f>""</f>
        <v/>
      </c>
      <c r="P447" t="str">
        <f>""</f>
        <v/>
      </c>
      <c r="Q447" t="str">
        <f>""</f>
        <v/>
      </c>
      <c r="R447" t="str">
        <f>""</f>
        <v/>
      </c>
      <c r="S447" t="str">
        <f>""</f>
        <v/>
      </c>
    </row>
    <row r="448" spans="1:19" x14ac:dyDescent="0.25">
      <c r="A448" t="str">
        <f>$A$225</f>
        <v xml:space="preserve">        Tata Consultancy Services Ltd</v>
      </c>
      <c r="B448" t="str">
        <f>$B$225</f>
        <v>TCS IN Equity</v>
      </c>
      <c r="C448" t="str">
        <f>$C$225</f>
        <v>BI047</v>
      </c>
      <c r="D448" t="str">
        <f>$D$225</f>
        <v>BICS_SEGMENT_DATA</v>
      </c>
      <c r="E448" t="str">
        <f>$E$225</f>
        <v>Dynamic</v>
      </c>
      <c r="F448" t="e">
        <f ca="1">_xll.BDH($B$225,$C$225,$B$240,$B$241,CONCATENATE("Per=",$B$238),"Dts=H","Dir=H",CONCATENATE("Points=",$B$239),"Sort=R","Days=A","Fill=B","DZ666=077","DZ381=181210","DZ667=6","DS276=Y",CONCATENATE("FX=", $B$237) )</f>
        <v>#NAME?</v>
      </c>
      <c r="M448" t="str">
        <f>""</f>
        <v/>
      </c>
      <c r="N448" t="str">
        <f>""</f>
        <v/>
      </c>
      <c r="O448" t="str">
        <f>""</f>
        <v/>
      </c>
      <c r="P448" t="str">
        <f>""</f>
        <v/>
      </c>
      <c r="Q448" t="str">
        <f>""</f>
        <v/>
      </c>
      <c r="R448" t="str">
        <f>""</f>
        <v/>
      </c>
      <c r="S448" t="str">
        <f>""</f>
        <v/>
      </c>
    </row>
    <row r="449" spans="1:19" x14ac:dyDescent="0.25">
      <c r="A449" t="str">
        <f>""</f>
        <v/>
      </c>
      <c r="B449" t="str">
        <f>""</f>
        <v/>
      </c>
      <c r="C449" t="str">
        <f>""</f>
        <v/>
      </c>
      <c r="D449" t="str">
        <f>""</f>
        <v/>
      </c>
      <c r="E449" t="str">
        <f>""</f>
        <v/>
      </c>
      <c r="M449" t="str">
        <f>""</f>
        <v/>
      </c>
      <c r="N449" t="str">
        <f>""</f>
        <v/>
      </c>
      <c r="O449" t="str">
        <f>""</f>
        <v/>
      </c>
      <c r="P449" t="str">
        <f>""</f>
        <v/>
      </c>
      <c r="Q449" t="str">
        <f>""</f>
        <v/>
      </c>
      <c r="R449" t="str">
        <f>""</f>
        <v/>
      </c>
      <c r="S449" t="str">
        <f>""</f>
        <v/>
      </c>
    </row>
    <row r="450" spans="1:19" x14ac:dyDescent="0.25">
      <c r="A450" t="str">
        <f>""</f>
        <v/>
      </c>
      <c r="B450" t="str">
        <f>""</f>
        <v/>
      </c>
      <c r="C450" t="str">
        <f>""</f>
        <v/>
      </c>
      <c r="D450" t="str">
        <f>""</f>
        <v/>
      </c>
      <c r="E450" t="str">
        <f>""</f>
        <v/>
      </c>
      <c r="M450" t="str">
        <f>""</f>
        <v/>
      </c>
      <c r="N450" t="str">
        <f>""</f>
        <v/>
      </c>
      <c r="O450" t="str">
        <f>""</f>
        <v/>
      </c>
      <c r="P450" t="str">
        <f>""</f>
        <v/>
      </c>
      <c r="Q450" t="str">
        <f>""</f>
        <v/>
      </c>
      <c r="R450" t="str">
        <f>""</f>
        <v/>
      </c>
      <c r="S450" t="str">
        <f>""</f>
        <v/>
      </c>
    </row>
    <row r="451" spans="1:19" x14ac:dyDescent="0.25">
      <c r="A451" t="str">
        <f>""</f>
        <v/>
      </c>
      <c r="B451" t="str">
        <f>""</f>
        <v/>
      </c>
      <c r="C451" t="str">
        <f>""</f>
        <v/>
      </c>
      <c r="D451" t="str">
        <f>""</f>
        <v/>
      </c>
      <c r="E451" t="str">
        <f>""</f>
        <v/>
      </c>
      <c r="M451" t="str">
        <f>""</f>
        <v/>
      </c>
      <c r="N451" t="str">
        <f>""</f>
        <v/>
      </c>
      <c r="O451" t="str">
        <f>""</f>
        <v/>
      </c>
      <c r="P451" t="str">
        <f>""</f>
        <v/>
      </c>
      <c r="Q451" t="str">
        <f>""</f>
        <v/>
      </c>
      <c r="R451" t="str">
        <f>""</f>
        <v/>
      </c>
      <c r="S451" t="str">
        <f>""</f>
        <v/>
      </c>
    </row>
    <row r="452" spans="1:19" x14ac:dyDescent="0.25">
      <c r="A452" t="str">
        <f>""</f>
        <v/>
      </c>
      <c r="B452" t="str">
        <f>""</f>
        <v/>
      </c>
      <c r="C452" t="str">
        <f>""</f>
        <v/>
      </c>
      <c r="D452" t="str">
        <f>""</f>
        <v/>
      </c>
      <c r="E452" t="str">
        <f>""</f>
        <v/>
      </c>
      <c r="M452" t="str">
        <f>""</f>
        <v/>
      </c>
      <c r="N452" t="str">
        <f>""</f>
        <v/>
      </c>
      <c r="O452" t="str">
        <f>""</f>
        <v/>
      </c>
      <c r="P452" t="str">
        <f>""</f>
        <v/>
      </c>
      <c r="Q452" t="str">
        <f>""</f>
        <v/>
      </c>
      <c r="R452" t="str">
        <f>""</f>
        <v/>
      </c>
      <c r="S452" t="str">
        <f>""</f>
        <v/>
      </c>
    </row>
    <row r="453" spans="1:19" x14ac:dyDescent="0.25">
      <c r="A453" t="str">
        <f>""</f>
        <v/>
      </c>
      <c r="B453" t="str">
        <f>""</f>
        <v/>
      </c>
      <c r="C453" t="str">
        <f>""</f>
        <v/>
      </c>
      <c r="D453" t="str">
        <f>""</f>
        <v/>
      </c>
      <c r="E453" t="str">
        <f>""</f>
        <v/>
      </c>
      <c r="M453" t="str">
        <f>""</f>
        <v/>
      </c>
      <c r="N453" t="str">
        <f>""</f>
        <v/>
      </c>
      <c r="O453" t="str">
        <f>""</f>
        <v/>
      </c>
      <c r="P453" t="str">
        <f>""</f>
        <v/>
      </c>
      <c r="Q453" t="str">
        <f>""</f>
        <v/>
      </c>
      <c r="R453" t="str">
        <f>""</f>
        <v/>
      </c>
      <c r="S453" t="str">
        <f>""</f>
        <v/>
      </c>
    </row>
    <row r="454" spans="1:19" x14ac:dyDescent="0.25">
      <c r="A454" t="str">
        <f>"~~~~~~~~~~~~~~~~~~~~~"</f>
        <v>~~~~~~~~~~~~~~~~~~~~~</v>
      </c>
      <c r="B454" t="str">
        <f>"~~~~~~~~~~~~~~~~~~~~~"</f>
        <v>~~~~~~~~~~~~~~~~~~~~~</v>
      </c>
      <c r="C454" t="str">
        <f>"~~~~~~~~~~~~~~~~~~~~~"</f>
        <v>~~~~~~~~~~~~~~~~~~~~~</v>
      </c>
      <c r="D454" t="str">
        <f>"~~~~~~~~~~~~~~~~~~~~~"</f>
        <v>~~~~~~~~~~~~~~~~~~~~~</v>
      </c>
      <c r="E454" t="str">
        <f>"~~~~~~~~~~~~~~~~~~~~~"</f>
        <v>~~~~~~~~~~~~~~~~~~~~~</v>
      </c>
      <c r="M454" t="str">
        <f>""</f>
        <v/>
      </c>
      <c r="N454" t="str">
        <f>""</f>
        <v/>
      </c>
      <c r="O454" t="str">
        <f>""</f>
        <v/>
      </c>
      <c r="P454" t="str">
        <f>""</f>
        <v/>
      </c>
      <c r="Q454" t="str">
        <f>""</f>
        <v/>
      </c>
      <c r="R454" t="str">
        <f>""</f>
        <v/>
      </c>
      <c r="S454" t="str">
        <f>""</f>
        <v/>
      </c>
    </row>
    <row r="455" spans="1:19" x14ac:dyDescent="0.25">
      <c r="A455" t="str">
        <f>"Rows below for column date calculation"</f>
        <v>Rows below for column date calculation</v>
      </c>
      <c r="M455" t="str">
        <f>""</f>
        <v/>
      </c>
      <c r="N455" t="str">
        <f>""</f>
        <v/>
      </c>
      <c r="O455" t="str">
        <f>""</f>
        <v/>
      </c>
      <c r="P455" t="str">
        <f>""</f>
        <v/>
      </c>
      <c r="Q455" t="str">
        <f>""</f>
        <v/>
      </c>
      <c r="R455" t="str">
        <f>""</f>
        <v/>
      </c>
      <c r="S455" t="str">
        <f>""</f>
        <v/>
      </c>
    </row>
    <row r="456" spans="1:19" x14ac:dyDescent="0.25">
      <c r="A456" t="str">
        <f>"Downloaded at"</f>
        <v>Downloaded at</v>
      </c>
      <c r="B456">
        <f>DATE(2020, 6,16)</f>
        <v>43998</v>
      </c>
      <c r="C456" t="str">
        <f>""</f>
        <v/>
      </c>
      <c r="D456" t="str">
        <f>""</f>
        <v/>
      </c>
      <c r="E456" t="str">
        <f>""</f>
        <v/>
      </c>
      <c r="M456" t="str">
        <f>""</f>
        <v/>
      </c>
      <c r="N456" t="str">
        <f>""</f>
        <v/>
      </c>
      <c r="O456" t="str">
        <f>""</f>
        <v/>
      </c>
      <c r="P456" t="str">
        <f>""</f>
        <v/>
      </c>
      <c r="Q456" t="str">
        <f>""</f>
        <v/>
      </c>
      <c r="R456" t="str">
        <f>""</f>
        <v/>
      </c>
      <c r="S456" t="str">
        <f>""</f>
        <v/>
      </c>
    </row>
    <row r="457" spans="1:19" x14ac:dyDescent="0.25">
      <c r="A457" t="str">
        <f>"This is End Date"</f>
        <v>This is End Date</v>
      </c>
      <c r="B457">
        <f ca="1">$B$241</f>
        <v>44005</v>
      </c>
      <c r="C457" t="str">
        <f>""</f>
        <v/>
      </c>
      <c r="D457" t="str">
        <f>""</f>
        <v/>
      </c>
      <c r="E457" t="str">
        <f>""</f>
        <v/>
      </c>
      <c r="M457" t="str">
        <f>""</f>
        <v/>
      </c>
      <c r="N457" t="str">
        <f>""</f>
        <v/>
      </c>
      <c r="O457" t="str">
        <f>""</f>
        <v/>
      </c>
      <c r="P457" t="str">
        <f>""</f>
        <v/>
      </c>
      <c r="Q457" t="str">
        <f>""</f>
        <v/>
      </c>
      <c r="R457" t="str">
        <f>""</f>
        <v/>
      </c>
      <c r="S457" t="str">
        <f>""</f>
        <v/>
      </c>
    </row>
    <row r="458" spans="1:19" x14ac:dyDescent="0.25">
      <c r="A458" t="str">
        <f>"Description"</f>
        <v>Description</v>
      </c>
      <c r="B458" t="str">
        <f>"Ticker"</f>
        <v>Ticker</v>
      </c>
      <c r="C458" t="str">
        <f>"Field ID"</f>
        <v>Field ID</v>
      </c>
      <c r="D458" t="str">
        <f>"Field Mnemonic"</f>
        <v>Field Mnemonic</v>
      </c>
      <c r="E458" t="str">
        <f>"Data State"</f>
        <v>Data State</v>
      </c>
      <c r="M458" t="str">
        <f>""</f>
        <v/>
      </c>
      <c r="N458" t="str">
        <f>""</f>
        <v/>
      </c>
      <c r="O458" t="str">
        <f>""</f>
        <v/>
      </c>
      <c r="P458" t="str">
        <f>""</f>
        <v/>
      </c>
      <c r="Q458" t="str">
        <f>""</f>
        <v/>
      </c>
      <c r="R458" t="str">
        <f>""</f>
        <v/>
      </c>
      <c r="S458" t="str">
        <f>""</f>
        <v/>
      </c>
    </row>
    <row r="459" spans="1:19" x14ac:dyDescent="0.25">
      <c r="A459" t="str">
        <f>"Snapshot Date"</f>
        <v>Snapshot Date</v>
      </c>
      <c r="B459">
        <f>DATE(2020, 6,16)</f>
        <v>43998</v>
      </c>
      <c r="C459" t="str">
        <f>""</f>
        <v/>
      </c>
      <c r="D459" t="str">
        <f>""</f>
        <v/>
      </c>
      <c r="E459" t="str">
        <f>""</f>
        <v/>
      </c>
      <c r="M459" t="str">
        <f>""</f>
        <v/>
      </c>
      <c r="N459" t="str">
        <f>""</f>
        <v/>
      </c>
      <c r="O459" t="str">
        <f>""</f>
        <v/>
      </c>
      <c r="P459" t="str">
        <f>""</f>
        <v/>
      </c>
      <c r="Q459" t="str">
        <f>""</f>
        <v/>
      </c>
      <c r="R459" t="str">
        <f>""</f>
        <v/>
      </c>
      <c r="S459" t="str">
        <f>""</f>
        <v/>
      </c>
    </row>
    <row r="460" spans="1:19" x14ac:dyDescent="0.25">
      <c r="A460" t="str">
        <f>"Snapshot header"</f>
        <v>Snapshot header</v>
      </c>
      <c r="B460">
        <f>2</f>
        <v>2</v>
      </c>
      <c r="C460" t="str">
        <f>"2019"</f>
        <v>2019</v>
      </c>
      <c r="D460" t="str">
        <f>"2018"</f>
        <v>2018</v>
      </c>
      <c r="E460" t="str">
        <f>"2017"</f>
        <v>2017</v>
      </c>
      <c r="F460" t="str">
        <f>"2016"</f>
        <v>2016</v>
      </c>
      <c r="G460" t="str">
        <f>"2015"</f>
        <v>2015</v>
      </c>
      <c r="H460" t="str">
        <f>"2014"</f>
        <v>2014</v>
      </c>
      <c r="I460" t="str">
        <f>"2013"</f>
        <v>2013</v>
      </c>
      <c r="M460" t="str">
        <f>""</f>
        <v/>
      </c>
      <c r="N460" t="str">
        <f>""</f>
        <v/>
      </c>
      <c r="O460" t="str">
        <f>""</f>
        <v/>
      </c>
      <c r="P460" t="str">
        <f>""</f>
        <v/>
      </c>
      <c r="Q460" t="str">
        <f>""</f>
        <v/>
      </c>
      <c r="R460" t="str">
        <f>""</f>
        <v/>
      </c>
      <c r="S460" t="str">
        <f>""</f>
        <v/>
      </c>
    </row>
    <row r="461" spans="1:19" x14ac:dyDescent="0.25">
      <c r="A461" t="str">
        <f>"BDH snapshot header0"</f>
        <v>BDH snapshot header0</v>
      </c>
      <c r="B461">
        <f ca="1">IF(OR(ISERROR($C$461),ISBLANK($C$461),ISNUMBER(SEARCH("N/A",$C$461) ),ISERROR($C$462),ISBLANK($C$462)),0,1)</f>
        <v>0</v>
      </c>
      <c r="C461" t="e">
        <f ca="1">_xll.BDH($B$244,$C$244,$B$240,$B$459,"PER=CY","Dts=S","DtFmt=FI", "rows=2","Dir=H","Points=7","Sort=R","Days=A","Fill=B","DZ666=001","X0001=NA00","DZ667=1","DS276=Y","FX=USD" )</f>
        <v>#NAME?</v>
      </c>
      <c r="M461" t="str">
        <f>""</f>
        <v/>
      </c>
      <c r="N461" t="str">
        <f>""</f>
        <v/>
      </c>
      <c r="O461" t="str">
        <f>""</f>
        <v/>
      </c>
      <c r="P461" t="str">
        <f>""</f>
        <v/>
      </c>
      <c r="Q461" t="str">
        <f>""</f>
        <v/>
      </c>
      <c r="R461" t="str">
        <f>""</f>
        <v/>
      </c>
      <c r="S461" t="str">
        <f>""</f>
        <v/>
      </c>
    </row>
    <row r="462" spans="1:19" x14ac:dyDescent="0.25">
      <c r="A462" t="str">
        <f>"BDH snapshot result0"</f>
        <v>BDH snapshot result0</v>
      </c>
      <c r="M462" t="str">
        <f>""</f>
        <v/>
      </c>
      <c r="N462" t="str">
        <f>""</f>
        <v/>
      </c>
      <c r="O462" t="str">
        <f>""</f>
        <v/>
      </c>
      <c r="P462" t="str">
        <f>""</f>
        <v/>
      </c>
      <c r="Q462" t="str">
        <f>""</f>
        <v/>
      </c>
      <c r="R462" t="str">
        <f>""</f>
        <v/>
      </c>
      <c r="S462" t="str">
        <f>""</f>
        <v/>
      </c>
    </row>
    <row r="463" spans="1:19" x14ac:dyDescent="0.25">
      <c r="A463" t="str">
        <f>"BDH snapshot header1"</f>
        <v>BDH snapshot header1</v>
      </c>
      <c r="B463">
        <f ca="1">IF(OR(ISERROR($C$463),ISBLANK($C$463),ISNUMBER(SEARCH("N/A",$C$463) ),ISERROR($C$464),ISBLANK($C$464)),0,1)</f>
        <v>0</v>
      </c>
      <c r="C463" t="e">
        <f ca="1">_xll.BDH($B$245,$C$245,$B$240,$B$459,"PER=CY","Dts=S","DtFmt=FI", "rows=2","Dir=H","Points=7","Sort=R","Days=A","Fill=B","FX=USD" )</f>
        <v>#NAME?</v>
      </c>
      <c r="M463" t="str">
        <f>""</f>
        <v/>
      </c>
      <c r="N463" t="str">
        <f>""</f>
        <v/>
      </c>
      <c r="O463" t="str">
        <f>""</f>
        <v/>
      </c>
      <c r="P463" t="str">
        <f>""</f>
        <v/>
      </c>
      <c r="Q463" t="str">
        <f>""</f>
        <v/>
      </c>
      <c r="R463" t="str">
        <f>""</f>
        <v/>
      </c>
      <c r="S463" t="str">
        <f>""</f>
        <v/>
      </c>
    </row>
    <row r="464" spans="1:19" x14ac:dyDescent="0.25">
      <c r="A464" t="str">
        <f>"BDH snapshot result1"</f>
        <v>BDH snapshot result1</v>
      </c>
      <c r="M464" t="str">
        <f>""</f>
        <v/>
      </c>
      <c r="N464" t="str">
        <f>""</f>
        <v/>
      </c>
      <c r="O464" t="str">
        <f>""</f>
        <v/>
      </c>
      <c r="P464" t="str">
        <f>""</f>
        <v/>
      </c>
      <c r="Q464" t="str">
        <f>""</f>
        <v/>
      </c>
      <c r="R464" t="str">
        <f>""</f>
        <v/>
      </c>
      <c r="S464" t="str">
        <f>""</f>
        <v/>
      </c>
    </row>
    <row r="465" spans="1:19" x14ac:dyDescent="0.25">
      <c r="A465" t="str">
        <f>"BDH snapshot header2"</f>
        <v>BDH snapshot header2</v>
      </c>
      <c r="B465">
        <f ca="1">IF(OR(ISERROR($C$465),ISBLANK($C$465),ISNUMBER(SEARCH("N/A",$C$465) ),ISERROR($C$466),ISBLANK($C$466)),0,1)</f>
        <v>0</v>
      </c>
      <c r="C465" t="e">
        <f ca="1">_xll.BDH($B$246,$C$246,$B$240,$B$459,"PER=CY","Dts=S","DtFmt=FI", "rows=2","Dir=H","Points=7","Sort=R","Days=A","Fill=B","DZ666=001","X0001=NA00","DZ667=1","DS276=Y","FX=USD" )</f>
        <v>#NAME?</v>
      </c>
      <c r="M465" t="str">
        <f>""</f>
        <v/>
      </c>
      <c r="N465" t="str">
        <f>""</f>
        <v/>
      </c>
      <c r="O465" t="str">
        <f>""</f>
        <v/>
      </c>
      <c r="P465" t="str">
        <f>""</f>
        <v/>
      </c>
      <c r="Q465" t="str">
        <f>""</f>
        <v/>
      </c>
      <c r="R465" t="str">
        <f>""</f>
        <v/>
      </c>
      <c r="S465" t="str">
        <f>""</f>
        <v/>
      </c>
    </row>
    <row r="466" spans="1:19" x14ac:dyDescent="0.25">
      <c r="A466" t="str">
        <f>"BDH snapshot result2"</f>
        <v>BDH snapshot result2</v>
      </c>
      <c r="M466" t="str">
        <f>""</f>
        <v/>
      </c>
      <c r="N466" t="str">
        <f>""</f>
        <v/>
      </c>
      <c r="O466" t="str">
        <f>""</f>
        <v/>
      </c>
      <c r="P466" t="str">
        <f>""</f>
        <v/>
      </c>
      <c r="Q466" t="str">
        <f>""</f>
        <v/>
      </c>
      <c r="R466" t="str">
        <f>""</f>
        <v/>
      </c>
      <c r="S466" t="str">
        <f>""</f>
        <v/>
      </c>
    </row>
    <row r="467" spans="1:19" x14ac:dyDescent="0.25">
      <c r="A467" t="str">
        <f>"BDH snapshot"</f>
        <v>BDH snapshot</v>
      </c>
      <c r="B467">
        <f ca="1">IF($B$461&gt;=1,$B$461,IF($B$463&gt;=1,$B$463,IF($B$465&gt;=1,$B$465,$B$460)))</f>
        <v>2</v>
      </c>
      <c r="C467" t="str">
        <f ca="1">IF($B$461&gt;=1,$C$461,IF($B$463&gt;=1,$C$463,IF($B$465&gt;=1,$C$465,$C$460)))</f>
        <v>2019</v>
      </c>
      <c r="D467" t="str">
        <f ca="1">IF($B$461&gt;=1,$D$461,IF($B$463&gt;=1,$D$463,IF($B$465&gt;=1,$D$465,$D$460)))</f>
        <v>2018</v>
      </c>
      <c r="E467" t="str">
        <f ca="1">IF($B$461&gt;=1,$E$461,IF($B$463&gt;=1,$E$463,IF($B$465&gt;=1,$E$465,$E$460)))</f>
        <v>2017</v>
      </c>
      <c r="F467" t="str">
        <f ca="1">IF($B$461&gt;=1,$F$461,IF($B$463&gt;=1,$F$463,IF($B$465&gt;=1,$F$465,$F$460)))</f>
        <v>2016</v>
      </c>
      <c r="G467" t="str">
        <f ca="1">IF($B$461&gt;=1,$G$461,IF($B$463&gt;=1,$G$463,IF($B$465&gt;=1,$G$465,$G$460)))</f>
        <v>2015</v>
      </c>
      <c r="H467" t="str">
        <f ca="1">IF($B$461&gt;=1,$H$461,IF($B$463&gt;=1,$H$463,IF($B$465&gt;=1,$H$465,$H$460)))</f>
        <v>2014</v>
      </c>
      <c r="I467" t="str">
        <f ca="1">IF($B$461&gt;=1,$I$461,IF($B$463&gt;=1,$I$463,IF($B$465&gt;=1,$I$465,$I$460)))</f>
        <v>2013</v>
      </c>
      <c r="M467" t="str">
        <f>""</f>
        <v/>
      </c>
      <c r="N467" t="str">
        <f>""</f>
        <v/>
      </c>
      <c r="O467" t="str">
        <f>""</f>
        <v/>
      </c>
      <c r="P467" t="str">
        <f>""</f>
        <v/>
      </c>
      <c r="Q467" t="str">
        <f>""</f>
        <v/>
      </c>
      <c r="R467" t="str">
        <f>""</f>
        <v/>
      </c>
      <c r="S467" t="str">
        <f>""</f>
        <v/>
      </c>
    </row>
    <row r="468" spans="1:19" x14ac:dyDescent="0.25">
      <c r="A468" t="str">
        <f>"BDH snapshot title"</f>
        <v>BDH snapshot title</v>
      </c>
      <c r="B468">
        <f ca="1">$B$467</f>
        <v>2</v>
      </c>
      <c r="C468" t="str">
        <f ca="1">SUBSTITUTE(SUBSTITUTE($C$467,"CY1 ",""),"C","")</f>
        <v>2019</v>
      </c>
      <c r="D468" t="str">
        <f ca="1">SUBSTITUTE(SUBSTITUTE($D$467,"CY1 ",""),"C","")</f>
        <v>2018</v>
      </c>
      <c r="E468" t="str">
        <f ca="1">SUBSTITUTE(SUBSTITUTE($E$467,"CY1 ",""),"C","")</f>
        <v>2017</v>
      </c>
      <c r="F468" t="str">
        <f ca="1">SUBSTITUTE(SUBSTITUTE($F$467,"CY1 ",""),"C","")</f>
        <v>2016</v>
      </c>
      <c r="G468" t="str">
        <f ca="1">SUBSTITUTE(SUBSTITUTE($G$467,"CY1 ",""),"C","")</f>
        <v>2015</v>
      </c>
      <c r="H468" t="str">
        <f ca="1">SUBSTITUTE(SUBSTITUTE($H$467,"CY1 ",""),"C","")</f>
        <v>2014</v>
      </c>
      <c r="I468" t="str">
        <f ca="1">SUBSTITUTE(SUBSTITUTE($I$467,"CY1 ",""),"C","")</f>
        <v>2013</v>
      </c>
      <c r="M468" t="str">
        <f>""</f>
        <v/>
      </c>
      <c r="N468" t="str">
        <f>""</f>
        <v/>
      </c>
      <c r="O468" t="str">
        <f>""</f>
        <v/>
      </c>
      <c r="P468" t="str">
        <f>""</f>
        <v/>
      </c>
      <c r="Q468" t="str">
        <f>""</f>
        <v/>
      </c>
      <c r="R468" t="str">
        <f>""</f>
        <v/>
      </c>
      <c r="S468" t="str">
        <f>""</f>
        <v/>
      </c>
    </row>
    <row r="469" spans="1:19" x14ac:dyDescent="0.25">
      <c r="A469" t="str">
        <f>"BDH dynamic header0"</f>
        <v>BDH dynamic header0</v>
      </c>
      <c r="B469">
        <f ca="1">IF(OR(ISERROR($C$469),ISBLANK($C$469),ISNUMBER(SEARCH("N/A",$C$469) ),ISERROR($C$470),ISBLANK($C$470)),0,1)</f>
        <v>0</v>
      </c>
      <c r="C469" t="e">
        <f ca="1">_xll.BDH($B$244,$C$244,$B$240,$B$241,"PER=CY","Dts=S","DtFmt=FI", "rows=2","Dir=H","Points=7","Sort=R","Days=A","Fill=B","DZ666=001","X0001=NA00","DZ667=1","DS276=Y","FX=USD" )</f>
        <v>#NAME?</v>
      </c>
      <c r="M469" t="str">
        <f>""</f>
        <v/>
      </c>
      <c r="N469" t="str">
        <f>""</f>
        <v/>
      </c>
      <c r="O469" t="str">
        <f>""</f>
        <v/>
      </c>
      <c r="P469" t="str">
        <f>""</f>
        <v/>
      </c>
      <c r="Q469" t="str">
        <f>""</f>
        <v/>
      </c>
      <c r="R469" t="str">
        <f>""</f>
        <v/>
      </c>
      <c r="S469" t="str">
        <f>""</f>
        <v/>
      </c>
    </row>
    <row r="470" spans="1:19" x14ac:dyDescent="0.25">
      <c r="A470" t="str">
        <f>"BDH dynamic result0"</f>
        <v>BDH dynamic result0</v>
      </c>
      <c r="M470" t="str">
        <f>""</f>
        <v/>
      </c>
      <c r="N470" t="str">
        <f>""</f>
        <v/>
      </c>
      <c r="O470" t="str">
        <f>""</f>
        <v/>
      </c>
      <c r="P470" t="str">
        <f>""</f>
        <v/>
      </c>
      <c r="Q470" t="str">
        <f>""</f>
        <v/>
      </c>
      <c r="R470" t="str">
        <f>""</f>
        <v/>
      </c>
      <c r="S470" t="str">
        <f>""</f>
        <v/>
      </c>
    </row>
    <row r="471" spans="1:19" x14ac:dyDescent="0.25">
      <c r="A471" t="str">
        <f>"BDH dynamic header1"</f>
        <v>BDH dynamic header1</v>
      </c>
      <c r="B471">
        <f ca="1">IF(OR(ISERROR($C$471),ISBLANK($C$471),ISNUMBER(SEARCH("N/A",$C$471) ),ISERROR($C$472),ISBLANK($C$472)),0,1)</f>
        <v>0</v>
      </c>
      <c r="C471" t="e">
        <f ca="1">_xll.BDH($B$245,$C$245,$B$240,$B$241,"PER=CY","Dts=S","DtFmt=FI", "rows=2","Dir=H","Points=7","Sort=R","Days=A","Fill=B","FX=USD" )</f>
        <v>#NAME?</v>
      </c>
      <c r="M471" t="str">
        <f>""</f>
        <v/>
      </c>
      <c r="N471" t="str">
        <f>""</f>
        <v/>
      </c>
      <c r="O471" t="str">
        <f>""</f>
        <v/>
      </c>
      <c r="P471" t="str">
        <f>""</f>
        <v/>
      </c>
      <c r="Q471" t="str">
        <f>""</f>
        <v/>
      </c>
      <c r="R471" t="str">
        <f>""</f>
        <v/>
      </c>
      <c r="S471" t="str">
        <f>""</f>
        <v/>
      </c>
    </row>
    <row r="472" spans="1:19" x14ac:dyDescent="0.25">
      <c r="A472" t="str">
        <f>"BDH dynamic result1"</f>
        <v>BDH dynamic result1</v>
      </c>
      <c r="M472" t="str">
        <f>""</f>
        <v/>
      </c>
      <c r="N472" t="str">
        <f>""</f>
        <v/>
      </c>
      <c r="O472" t="str">
        <f>""</f>
        <v/>
      </c>
      <c r="P472" t="str">
        <f>""</f>
        <v/>
      </c>
      <c r="Q472" t="str">
        <f>""</f>
        <v/>
      </c>
      <c r="R472" t="str">
        <f>""</f>
        <v/>
      </c>
      <c r="S472" t="str">
        <f>""</f>
        <v/>
      </c>
    </row>
    <row r="473" spans="1:19" x14ac:dyDescent="0.25">
      <c r="A473" t="str">
        <f>"BDH dynamic header2"</f>
        <v>BDH dynamic header2</v>
      </c>
      <c r="B473">
        <f ca="1">IF(OR(ISERROR($C$473),ISBLANK($C$473),ISNUMBER(SEARCH("N/A",$C$473) ),ISERROR($C$474),ISBLANK($C$474)),0,1)</f>
        <v>0</v>
      </c>
      <c r="C473" t="e">
        <f ca="1">_xll.BDH($B$246,$C$246,$B$240,$B$241,"PER=CY","Dts=S","DtFmt=FI", "rows=2","Dir=H","Points=7","Sort=R","Days=A","Fill=B","DZ666=001","X0001=NA00","DZ667=1","DS276=Y","FX=USD" )</f>
        <v>#NAME?</v>
      </c>
      <c r="M473" t="str">
        <f>""</f>
        <v/>
      </c>
      <c r="N473" t="str">
        <f>""</f>
        <v/>
      </c>
      <c r="O473" t="str">
        <f>""</f>
        <v/>
      </c>
      <c r="P473" t="str">
        <f>""</f>
        <v/>
      </c>
      <c r="Q473" t="str">
        <f>""</f>
        <v/>
      </c>
      <c r="R473" t="str">
        <f>""</f>
        <v/>
      </c>
      <c r="S473" t="str">
        <f>""</f>
        <v/>
      </c>
    </row>
    <row r="474" spans="1:19" x14ac:dyDescent="0.25">
      <c r="A474" t="str">
        <f>"BDH dynamic result2"</f>
        <v>BDH dynamic result2</v>
      </c>
      <c r="M474" t="str">
        <f>""</f>
        <v/>
      </c>
      <c r="N474" t="str">
        <f>""</f>
        <v/>
      </c>
      <c r="O474" t="str">
        <f>""</f>
        <v/>
      </c>
      <c r="P474" t="str">
        <f>""</f>
        <v/>
      </c>
      <c r="Q474" t="str">
        <f>""</f>
        <v/>
      </c>
      <c r="R474" t="str">
        <f>""</f>
        <v/>
      </c>
      <c r="S474" t="str">
        <f>""</f>
        <v/>
      </c>
    </row>
    <row r="475" spans="1:19" x14ac:dyDescent="0.25">
      <c r="A475" t="str">
        <f>"BDH dynamic"</f>
        <v>BDH dynamic</v>
      </c>
      <c r="B475">
        <f ca="1">IF($B$469&gt;=1,$B$469,IF($B$471&gt;=1,$B$471,IF($B$473&gt;=1,$B$473,$B$460)))</f>
        <v>2</v>
      </c>
      <c r="C475" t="str">
        <f ca="1">IF($B$469&gt;=1,$C$469,IF($B$471&gt;=1,$C$471,IF($B$473&gt;=1,$C$473,$C$460)))</f>
        <v>2019</v>
      </c>
      <c r="D475" t="str">
        <f ca="1">IF($B$469&gt;=1,$D$469,IF($B$471&gt;=1,$D$471,IF($B$473&gt;=1,$D$473,$D$460)))</f>
        <v>2018</v>
      </c>
      <c r="E475" t="str">
        <f ca="1">IF($B$469&gt;=1,$E$469,IF($B$471&gt;=1,$E$471,IF($B$473&gt;=1,$E$473,$E$460)))</f>
        <v>2017</v>
      </c>
      <c r="F475" t="str">
        <f ca="1">IF($B$469&gt;=1,$F$469,IF($B$471&gt;=1,$F$471,IF($B$473&gt;=1,$F$473,$F$460)))</f>
        <v>2016</v>
      </c>
      <c r="G475" t="str">
        <f ca="1">IF($B$469&gt;=1,$G$469,IF($B$471&gt;=1,$G$471,IF($B$473&gt;=1,$G$473,$G$460)))</f>
        <v>2015</v>
      </c>
      <c r="H475" t="str">
        <f ca="1">IF($B$469&gt;=1,$H$469,IF($B$471&gt;=1,$H$471,IF($B$473&gt;=1,$H$473,$H$460)))</f>
        <v>2014</v>
      </c>
      <c r="I475" t="str">
        <f ca="1">IF($B$469&gt;=1,$I$469,IF($B$471&gt;=1,$I$471,IF($B$473&gt;=1,$I$473,$I$460)))</f>
        <v>2013</v>
      </c>
      <c r="M475" t="str">
        <f>""</f>
        <v/>
      </c>
      <c r="N475" t="str">
        <f>""</f>
        <v/>
      </c>
      <c r="O475" t="str">
        <f>""</f>
        <v/>
      </c>
      <c r="P475" t="str">
        <f>""</f>
        <v/>
      </c>
      <c r="Q475" t="str">
        <f>""</f>
        <v/>
      </c>
      <c r="R475" t="str">
        <f>""</f>
        <v/>
      </c>
      <c r="S475" t="str">
        <f>""</f>
        <v/>
      </c>
    </row>
    <row r="476" spans="1:19" x14ac:dyDescent="0.25">
      <c r="A476" t="str">
        <f>"BDH dynamic title"</f>
        <v>BDH dynamic title</v>
      </c>
      <c r="B476">
        <f ca="1">$B$475</f>
        <v>2</v>
      </c>
      <c r="C476" t="str">
        <f ca="1">SUBSTITUTE(SUBSTITUTE($C$475,"CY1 ",""),"C","")</f>
        <v>2019</v>
      </c>
      <c r="D476" t="str">
        <f ca="1">SUBSTITUTE(SUBSTITUTE($D$475,"CY1 ",""),"C","")</f>
        <v>2018</v>
      </c>
      <c r="E476" t="str">
        <f ca="1">SUBSTITUTE(SUBSTITUTE($E$475,"CY1 ",""),"C","")</f>
        <v>2017</v>
      </c>
      <c r="F476" t="str">
        <f ca="1">SUBSTITUTE(SUBSTITUTE($F$475,"CY1 ",""),"C","")</f>
        <v>2016</v>
      </c>
      <c r="G476" t="str">
        <f ca="1">SUBSTITUTE(SUBSTITUTE($G$475,"CY1 ",""),"C","")</f>
        <v>2015</v>
      </c>
      <c r="H476" t="str">
        <f ca="1">SUBSTITUTE(SUBSTITUTE($H$475,"CY1 ",""),"C","")</f>
        <v>2014</v>
      </c>
      <c r="I476" t="str">
        <f ca="1">SUBSTITUTE(SUBSTITUTE($I$475,"CY1 ",""),"C","")</f>
        <v>2013</v>
      </c>
      <c r="M476" t="str">
        <f>""</f>
        <v/>
      </c>
      <c r="N476" t="str">
        <f>""</f>
        <v/>
      </c>
      <c r="O476" t="str">
        <f>""</f>
        <v/>
      </c>
      <c r="P476" t="str">
        <f>""</f>
        <v/>
      </c>
      <c r="Q476" t="str">
        <f>""</f>
        <v/>
      </c>
      <c r="R476" t="str">
        <f>""</f>
        <v/>
      </c>
      <c r="S476" t="str">
        <f>""</f>
        <v/>
      </c>
    </row>
    <row r="477" spans="1:19" x14ac:dyDescent="0.25">
      <c r="A477" t="str">
        <f>"No error found"</f>
        <v>No error found</v>
      </c>
      <c r="B477" t="str">
        <f>""</f>
        <v/>
      </c>
      <c r="C477" t="str">
        <f>""</f>
        <v/>
      </c>
      <c r="D477" t="str">
        <f>""</f>
        <v/>
      </c>
      <c r="E477" t="str">
        <f>""</f>
        <v/>
      </c>
      <c r="M477" t="str">
        <f>""</f>
        <v/>
      </c>
      <c r="N477" t="str">
        <f>""</f>
        <v/>
      </c>
      <c r="O477" t="str">
        <f>""</f>
        <v/>
      </c>
      <c r="P477" t="str">
        <f>""</f>
        <v/>
      </c>
      <c r="Q477" t="str">
        <f>""</f>
        <v/>
      </c>
      <c r="R477" t="str">
        <f>""</f>
        <v/>
      </c>
      <c r="S477" t="str">
        <f>""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9AB91-808E-457E-B449-591EE262EEC4}">
  <dimension ref="A1:E7"/>
  <sheetViews>
    <sheetView workbookViewId="0">
      <selection activeCell="E8" sqref="E8"/>
    </sheetView>
  </sheetViews>
  <sheetFormatPr defaultRowHeight="15" x14ac:dyDescent="0.25"/>
  <cols>
    <col min="1" max="1" width="28" customWidth="1"/>
    <col min="2" max="5" width="16.140625" customWidth="1"/>
  </cols>
  <sheetData>
    <row r="1" spans="1:5" x14ac:dyDescent="0.25">
      <c r="A1" t="s">
        <v>211</v>
      </c>
      <c r="B1" t="s">
        <v>216</v>
      </c>
      <c r="C1" t="s">
        <v>217</v>
      </c>
      <c r="D1" t="s">
        <v>218</v>
      </c>
      <c r="E1" t="s">
        <v>219</v>
      </c>
    </row>
    <row r="2" spans="1:5" x14ac:dyDescent="0.25">
      <c r="A2" t="s">
        <v>215</v>
      </c>
      <c r="B2" s="2">
        <v>61.467546349999999</v>
      </c>
      <c r="C2" s="2">
        <v>24.138956499999999</v>
      </c>
      <c r="E2" s="2">
        <v>2.6048837410000001</v>
      </c>
    </row>
    <row r="3" spans="1:5" x14ac:dyDescent="0.25">
      <c r="A3" t="s">
        <v>214</v>
      </c>
      <c r="C3" s="2">
        <v>27.443055560000001</v>
      </c>
      <c r="E3" s="2">
        <v>3.3289955720000002</v>
      </c>
    </row>
    <row r="4" spans="1:5" x14ac:dyDescent="0.25">
      <c r="A4" t="s">
        <v>213</v>
      </c>
      <c r="B4" s="2">
        <v>52.3</v>
      </c>
      <c r="C4" s="2">
        <v>30.6</v>
      </c>
      <c r="D4">
        <v>9.3000000000000007</v>
      </c>
      <c r="E4" s="2">
        <v>5.6999999990000001</v>
      </c>
    </row>
    <row r="5" spans="1:5" x14ac:dyDescent="0.25">
      <c r="A5" t="s">
        <v>212</v>
      </c>
      <c r="B5" s="2">
        <v>57.735254789999999</v>
      </c>
      <c r="C5" s="2">
        <v>23.741134519999999</v>
      </c>
      <c r="D5">
        <v>14.08</v>
      </c>
      <c r="E5" s="2">
        <v>4.91</v>
      </c>
    </row>
    <row r="7" spans="1:5" x14ac:dyDescent="0.25">
      <c r="E7" s="2">
        <f>SUM(B4:E4)</f>
        <v>97.899999999000002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B400-B2F9-4DA2-A019-11B572D82E43}">
  <dimension ref="A2:X477"/>
  <sheetViews>
    <sheetView tabSelected="1" topLeftCell="A68" workbookViewId="0">
      <selection activeCell="F70" sqref="F70:J70"/>
    </sheetView>
  </sheetViews>
  <sheetFormatPr defaultRowHeight="15" x14ac:dyDescent="0.25"/>
  <cols>
    <col min="1" max="1" width="32.42578125" customWidth="1"/>
  </cols>
  <sheetData>
    <row r="2" spans="1:19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39</v>
      </c>
      <c r="G2" t="s">
        <v>38</v>
      </c>
      <c r="H2" t="s">
        <v>37</v>
      </c>
      <c r="I2" t="s">
        <v>36</v>
      </c>
      <c r="J2" t="s">
        <v>35</v>
      </c>
      <c r="K2" t="s">
        <v>34</v>
      </c>
      <c r="L2" t="s">
        <v>33</v>
      </c>
      <c r="M2" t="s">
        <v>39</v>
      </c>
      <c r="N2" t="s">
        <v>38</v>
      </c>
      <c r="O2" t="s">
        <v>37</v>
      </c>
      <c r="P2" t="s">
        <v>36</v>
      </c>
      <c r="Q2" t="s">
        <v>35</v>
      </c>
      <c r="R2" t="s">
        <v>34</v>
      </c>
      <c r="S2" t="s">
        <v>33</v>
      </c>
    </row>
    <row r="3" spans="1:19" x14ac:dyDescent="0.25">
      <c r="A3" t="s">
        <v>40</v>
      </c>
      <c r="B3" t="s">
        <v>41</v>
      </c>
      <c r="E3" t="s">
        <v>42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</row>
    <row r="4" spans="1:19" x14ac:dyDescent="0.25">
      <c r="A4" t="s">
        <v>43</v>
      </c>
      <c r="B4" t="s">
        <v>41</v>
      </c>
      <c r="E4" t="s">
        <v>44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 t="s">
        <v>41</v>
      </c>
    </row>
    <row r="5" spans="1:19" x14ac:dyDescent="0.25">
      <c r="A5" t="s">
        <v>45</v>
      </c>
      <c r="B5" t="s">
        <v>46</v>
      </c>
      <c r="E5" t="s">
        <v>47</v>
      </c>
      <c r="F5">
        <v>61.467546349999999</v>
      </c>
      <c r="G5">
        <v>60.523737529999998</v>
      </c>
      <c r="H5">
        <v>60.37123167</v>
      </c>
      <c r="I5">
        <v>61.923953040000001</v>
      </c>
      <c r="J5">
        <v>62.681571400000003</v>
      </c>
      <c r="K5">
        <v>61.505279549999997</v>
      </c>
      <c r="L5">
        <v>60.664632079999997</v>
      </c>
      <c r="M5">
        <v>61.467546349999999</v>
      </c>
      <c r="N5">
        <v>60.523737529999998</v>
      </c>
      <c r="O5">
        <v>60.37123167</v>
      </c>
      <c r="P5">
        <v>61.923953040000001</v>
      </c>
      <c r="Q5">
        <v>62.681571400000003</v>
      </c>
      <c r="R5">
        <v>61.505279549999997</v>
      </c>
      <c r="S5">
        <v>60.664632079999997</v>
      </c>
    </row>
    <row r="6" spans="1:19" x14ac:dyDescent="0.25">
      <c r="A6" t="s">
        <v>48</v>
      </c>
      <c r="B6" t="s">
        <v>49</v>
      </c>
      <c r="E6" t="s">
        <v>47</v>
      </c>
      <c r="F6">
        <v>52.3</v>
      </c>
      <c r="G6">
        <v>53</v>
      </c>
      <c r="H6">
        <v>53.7</v>
      </c>
      <c r="I6">
        <v>56.1</v>
      </c>
      <c r="J6">
        <v>55.200106699999999</v>
      </c>
      <c r="K6">
        <v>54.000000630000002</v>
      </c>
      <c r="L6">
        <v>55.323046169999998</v>
      </c>
      <c r="M6">
        <v>52.3</v>
      </c>
      <c r="N6">
        <v>53</v>
      </c>
      <c r="O6">
        <v>53.7</v>
      </c>
      <c r="P6">
        <v>56.1</v>
      </c>
      <c r="Q6">
        <v>55.200106699999999</v>
      </c>
      <c r="R6">
        <v>54.000000630000002</v>
      </c>
      <c r="S6">
        <v>55.323046169999998</v>
      </c>
    </row>
    <row r="7" spans="1:19" x14ac:dyDescent="0.25">
      <c r="A7" t="s">
        <v>50</v>
      </c>
      <c r="B7" t="s">
        <v>51</v>
      </c>
      <c r="E7" t="s">
        <v>47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>
        <v>55.932941640000003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  <c r="R7" t="s">
        <v>41</v>
      </c>
      <c r="S7">
        <v>55.932941640000003</v>
      </c>
    </row>
    <row r="8" spans="1:19" x14ac:dyDescent="0.25">
      <c r="A8" t="s">
        <v>52</v>
      </c>
      <c r="B8" t="s">
        <v>53</v>
      </c>
      <c r="E8" t="s">
        <v>47</v>
      </c>
      <c r="F8">
        <v>57.735254789999999</v>
      </c>
      <c r="G8">
        <v>49.623876619999997</v>
      </c>
      <c r="H8">
        <v>47.463528070000002</v>
      </c>
      <c r="I8">
        <v>52.819393820000002</v>
      </c>
      <c r="J8">
        <v>50.467371790000001</v>
      </c>
      <c r="K8">
        <v>48.414528969999999</v>
      </c>
      <c r="L8">
        <v>46.133387380000002</v>
      </c>
      <c r="M8">
        <v>57.735254789999999</v>
      </c>
      <c r="N8">
        <v>49.623876619999997</v>
      </c>
      <c r="O8">
        <v>47.463528070000002</v>
      </c>
      <c r="P8">
        <v>52.819393820000002</v>
      </c>
      <c r="Q8">
        <v>50.467371790000001</v>
      </c>
      <c r="R8">
        <v>48.414528969999999</v>
      </c>
      <c r="S8">
        <v>46.133387380000002</v>
      </c>
    </row>
    <row r="9" spans="1:19" x14ac:dyDescent="0.25">
      <c r="A9" t="s">
        <v>54</v>
      </c>
      <c r="B9" t="s">
        <v>41</v>
      </c>
      <c r="E9" t="s">
        <v>44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  <c r="R9" t="s">
        <v>41</v>
      </c>
      <c r="S9" t="s">
        <v>41</v>
      </c>
    </row>
    <row r="10" spans="1:19" x14ac:dyDescent="0.25">
      <c r="A10" t="s">
        <v>52</v>
      </c>
      <c r="B10" t="s">
        <v>53</v>
      </c>
      <c r="E10" t="s">
        <v>47</v>
      </c>
      <c r="F10">
        <v>23.741134519999999</v>
      </c>
      <c r="G10">
        <v>22.857411089999999</v>
      </c>
      <c r="H10">
        <v>23.20127149</v>
      </c>
      <c r="I10">
        <v>24.329308390000001</v>
      </c>
      <c r="J10">
        <v>24.669619860000001</v>
      </c>
      <c r="K10">
        <v>26.519928870000001</v>
      </c>
      <c r="L10">
        <v>27.83251856</v>
      </c>
      <c r="M10">
        <v>23.741134519999999</v>
      </c>
      <c r="N10">
        <v>22.857411089999999</v>
      </c>
      <c r="O10">
        <v>23.20127149</v>
      </c>
      <c r="P10">
        <v>24.329308390000001</v>
      </c>
      <c r="Q10">
        <v>24.669619860000001</v>
      </c>
      <c r="R10">
        <v>26.519928870000001</v>
      </c>
      <c r="S10">
        <v>27.83251856</v>
      </c>
    </row>
    <row r="11" spans="1:19" x14ac:dyDescent="0.25">
      <c r="A11" t="s">
        <v>50</v>
      </c>
      <c r="B11" t="s">
        <v>51</v>
      </c>
      <c r="E11" t="s">
        <v>47</v>
      </c>
      <c r="F11">
        <v>27.443055560000001</v>
      </c>
      <c r="G11">
        <v>26.742454590000001</v>
      </c>
      <c r="H11">
        <v>27.37447843</v>
      </c>
      <c r="I11">
        <v>26.717805200000001</v>
      </c>
      <c r="J11" t="s">
        <v>41</v>
      </c>
      <c r="K11" t="s">
        <v>41</v>
      </c>
      <c r="L11">
        <v>31.618620830000001</v>
      </c>
      <c r="M11">
        <v>27.443055560000001</v>
      </c>
      <c r="N11">
        <v>26.742454590000001</v>
      </c>
      <c r="O11">
        <v>27.37447843</v>
      </c>
      <c r="P11">
        <v>26.717805200000001</v>
      </c>
      <c r="Q11" t="s">
        <v>41</v>
      </c>
      <c r="R11" t="s">
        <v>41</v>
      </c>
      <c r="S11">
        <v>31.618620830000001</v>
      </c>
    </row>
    <row r="12" spans="1:19" x14ac:dyDescent="0.25">
      <c r="A12" t="s">
        <v>48</v>
      </c>
      <c r="B12" t="s">
        <v>49</v>
      </c>
      <c r="E12" t="s">
        <v>47</v>
      </c>
      <c r="F12">
        <v>30.6</v>
      </c>
      <c r="G12">
        <v>29.7</v>
      </c>
      <c r="H12">
        <v>27.7</v>
      </c>
      <c r="I12">
        <v>25.4</v>
      </c>
      <c r="J12">
        <v>26.800051799999999</v>
      </c>
      <c r="K12">
        <v>28.299999969999998</v>
      </c>
      <c r="L12">
        <v>28.643055019999998</v>
      </c>
      <c r="M12">
        <v>30.6</v>
      </c>
      <c r="N12">
        <v>29.7</v>
      </c>
      <c r="O12">
        <v>27.7</v>
      </c>
      <c r="P12">
        <v>25.4</v>
      </c>
      <c r="Q12">
        <v>26.800051799999999</v>
      </c>
      <c r="R12">
        <v>28.299999969999998</v>
      </c>
      <c r="S12">
        <v>28.643055019999998</v>
      </c>
    </row>
    <row r="13" spans="1:19" x14ac:dyDescent="0.25">
      <c r="A13" t="s">
        <v>45</v>
      </c>
      <c r="B13" t="s">
        <v>46</v>
      </c>
      <c r="E13" t="s">
        <v>47</v>
      </c>
      <c r="F13">
        <v>24.138956499999999</v>
      </c>
      <c r="G13">
        <v>24.120955550000001</v>
      </c>
      <c r="H13">
        <v>23.73443748</v>
      </c>
      <c r="I13">
        <v>22.4753227</v>
      </c>
      <c r="J13">
        <v>23.018529489999999</v>
      </c>
      <c r="K13">
        <v>24.06084135</v>
      </c>
      <c r="L13">
        <v>24.435002900000001</v>
      </c>
      <c r="M13">
        <v>24.138956499999999</v>
      </c>
      <c r="N13">
        <v>24.120955550000001</v>
      </c>
      <c r="O13">
        <v>23.73443748</v>
      </c>
      <c r="P13">
        <v>22.4753227</v>
      </c>
      <c r="Q13">
        <v>23.018529489999999</v>
      </c>
      <c r="R13">
        <v>24.06084135</v>
      </c>
      <c r="S13">
        <v>24.435002900000001</v>
      </c>
    </row>
    <row r="14" spans="1:19" x14ac:dyDescent="0.25">
      <c r="A14" t="s">
        <v>55</v>
      </c>
      <c r="B14" t="s">
        <v>41</v>
      </c>
      <c r="E14" t="s">
        <v>44</v>
      </c>
      <c r="M14" t="s">
        <v>41</v>
      </c>
      <c r="N14" t="s">
        <v>41</v>
      </c>
      <c r="O14" t="s">
        <v>41</v>
      </c>
      <c r="P14" t="s">
        <v>41</v>
      </c>
      <c r="Q14" t="s">
        <v>41</v>
      </c>
      <c r="R14" t="s">
        <v>41</v>
      </c>
      <c r="S14" t="s">
        <v>41</v>
      </c>
    </row>
    <row r="15" spans="1:19" x14ac:dyDescent="0.25">
      <c r="A15" t="s">
        <v>52</v>
      </c>
      <c r="B15" t="s">
        <v>53</v>
      </c>
      <c r="E15" t="s">
        <v>47</v>
      </c>
      <c r="F15">
        <v>4.9420548259999997</v>
      </c>
      <c r="G15">
        <v>7.9466411819999996</v>
      </c>
      <c r="H15">
        <v>9.4281031710000001</v>
      </c>
      <c r="I15">
        <v>8.4583631560000008</v>
      </c>
      <c r="J15">
        <v>10.02478339</v>
      </c>
      <c r="K15">
        <v>9.7441139890000006</v>
      </c>
      <c r="L15">
        <v>10.64662687</v>
      </c>
      <c r="M15">
        <v>4.9420548259999997</v>
      </c>
      <c r="N15">
        <v>7.9466411819999996</v>
      </c>
      <c r="O15">
        <v>9.4281031710000001</v>
      </c>
      <c r="P15">
        <v>8.4583631560000008</v>
      </c>
      <c r="Q15">
        <v>10.02478339</v>
      </c>
      <c r="R15">
        <v>9.7441139890000006</v>
      </c>
      <c r="S15">
        <v>10.64662687</v>
      </c>
    </row>
    <row r="16" spans="1:19" x14ac:dyDescent="0.25">
      <c r="A16" t="s">
        <v>48</v>
      </c>
      <c r="B16" t="s">
        <v>49</v>
      </c>
      <c r="E16" t="s">
        <v>47</v>
      </c>
      <c r="F16">
        <v>9.3000000000000007</v>
      </c>
      <c r="G16">
        <v>9.5</v>
      </c>
      <c r="H16">
        <v>9.6999999999999993</v>
      </c>
      <c r="I16">
        <v>9.7000000029999995</v>
      </c>
      <c r="J16">
        <v>9.5000183610000004</v>
      </c>
      <c r="K16">
        <v>9.2999998609999999</v>
      </c>
      <c r="L16">
        <v>7.224258936</v>
      </c>
      <c r="M16">
        <v>9.3000000000000007</v>
      </c>
      <c r="N16">
        <v>9.5</v>
      </c>
      <c r="O16">
        <v>9.6999999999999993</v>
      </c>
      <c r="P16">
        <v>9.7000000029999995</v>
      </c>
      <c r="Q16">
        <v>9.5000183610000004</v>
      </c>
      <c r="R16">
        <v>9.2999998609999999</v>
      </c>
      <c r="S16">
        <v>7.224258936</v>
      </c>
    </row>
    <row r="17" spans="1:19" x14ac:dyDescent="0.25">
      <c r="A17" t="s">
        <v>56</v>
      </c>
      <c r="B17" t="s">
        <v>41</v>
      </c>
      <c r="E17" t="s">
        <v>44</v>
      </c>
      <c r="M17" t="s">
        <v>41</v>
      </c>
      <c r="N17" t="s">
        <v>41</v>
      </c>
      <c r="O17" t="s">
        <v>41</v>
      </c>
      <c r="P17" t="s">
        <v>41</v>
      </c>
      <c r="Q17" t="s">
        <v>41</v>
      </c>
      <c r="R17" t="s">
        <v>41</v>
      </c>
      <c r="S17" t="s">
        <v>41</v>
      </c>
    </row>
    <row r="18" spans="1:19" x14ac:dyDescent="0.25">
      <c r="A18" t="s">
        <v>52</v>
      </c>
      <c r="B18" t="s">
        <v>53</v>
      </c>
      <c r="E18" t="s">
        <v>47</v>
      </c>
      <c r="F18">
        <v>23.741134519999999</v>
      </c>
      <c r="G18">
        <v>22.857411089999999</v>
      </c>
      <c r="H18">
        <v>23.20127149</v>
      </c>
      <c r="I18">
        <v>24.329308390000001</v>
      </c>
      <c r="J18">
        <v>24.669619860000001</v>
      </c>
      <c r="K18">
        <v>26.519928870000001</v>
      </c>
      <c r="L18">
        <v>27.83251856</v>
      </c>
      <c r="M18">
        <v>23.741134519999999</v>
      </c>
      <c r="N18">
        <v>22.857411089999999</v>
      </c>
      <c r="O18">
        <v>23.20127149</v>
      </c>
      <c r="P18">
        <v>24.329308390000001</v>
      </c>
      <c r="Q18">
        <v>24.669619860000001</v>
      </c>
      <c r="R18">
        <v>26.519928870000001</v>
      </c>
      <c r="S18">
        <v>27.83251856</v>
      </c>
    </row>
    <row r="19" spans="1:19" x14ac:dyDescent="0.25">
      <c r="A19" t="s">
        <v>48</v>
      </c>
      <c r="B19" t="s">
        <v>49</v>
      </c>
      <c r="E19" t="s">
        <v>47</v>
      </c>
      <c r="F19">
        <v>5.6999999990000001</v>
      </c>
      <c r="G19">
        <v>5.699999998</v>
      </c>
      <c r="H19">
        <v>6.4000000010000004</v>
      </c>
      <c r="I19">
        <v>6.300000002</v>
      </c>
      <c r="J19">
        <v>6.2000119810000003</v>
      </c>
      <c r="K19">
        <v>6.3999997449999997</v>
      </c>
      <c r="L19">
        <v>6.7080343879999997</v>
      </c>
      <c r="M19">
        <v>5.6999999990000001</v>
      </c>
      <c r="N19">
        <v>5.699999998</v>
      </c>
      <c r="O19">
        <v>6.4000000010000004</v>
      </c>
      <c r="P19">
        <v>6.300000002</v>
      </c>
      <c r="Q19">
        <v>6.2000119810000003</v>
      </c>
      <c r="R19">
        <v>6.3999997449999997</v>
      </c>
      <c r="S19">
        <v>6.7080343879999997</v>
      </c>
    </row>
    <row r="20" spans="1:19" x14ac:dyDescent="0.25">
      <c r="A20" t="s">
        <v>50</v>
      </c>
      <c r="B20" t="s">
        <v>51</v>
      </c>
      <c r="E20" t="s">
        <v>47</v>
      </c>
      <c r="F20">
        <v>3.3289955720000002</v>
      </c>
      <c r="G20">
        <v>3.5101957619999999</v>
      </c>
      <c r="H20">
        <v>3.9451047049999999</v>
      </c>
      <c r="I20">
        <v>4.1919351279999999</v>
      </c>
      <c r="J20" t="s">
        <v>41</v>
      </c>
      <c r="K20" t="s">
        <v>41</v>
      </c>
      <c r="L20" t="s">
        <v>41</v>
      </c>
      <c r="M20">
        <v>3.3289955720000002</v>
      </c>
      <c r="N20">
        <v>3.5101957619999999</v>
      </c>
      <c r="O20">
        <v>3.9451047049999999</v>
      </c>
      <c r="P20">
        <v>4.1919351279999999</v>
      </c>
      <c r="Q20" t="s">
        <v>41</v>
      </c>
      <c r="R20" t="s">
        <v>41</v>
      </c>
      <c r="S20" t="s">
        <v>41</v>
      </c>
    </row>
    <row r="21" spans="1:19" x14ac:dyDescent="0.25">
      <c r="A21" t="s">
        <v>45</v>
      </c>
      <c r="B21" t="s">
        <v>46</v>
      </c>
      <c r="E21" t="s">
        <v>47</v>
      </c>
      <c r="F21">
        <v>2.6048837410000001</v>
      </c>
      <c r="G21">
        <v>2.4771696369999998</v>
      </c>
      <c r="H21">
        <v>3.1635517960000001</v>
      </c>
      <c r="I21">
        <v>3.1832252790000002</v>
      </c>
      <c r="J21">
        <v>2.5992536959999999</v>
      </c>
      <c r="K21">
        <v>2.4081471919999999</v>
      </c>
      <c r="L21">
        <v>2.5811341809999999</v>
      </c>
      <c r="M21">
        <v>2.6048837410000001</v>
      </c>
      <c r="N21">
        <v>2.4771696369999998</v>
      </c>
      <c r="O21">
        <v>3.1635517960000001</v>
      </c>
      <c r="P21">
        <v>3.1832252790000002</v>
      </c>
      <c r="Q21">
        <v>2.5992536959999999</v>
      </c>
      <c r="R21">
        <v>2.4081471919999999</v>
      </c>
      <c r="S21">
        <v>2.5811341809999999</v>
      </c>
    </row>
    <row r="22" spans="1:19" x14ac:dyDescent="0.25">
      <c r="A22" t="s">
        <v>57</v>
      </c>
      <c r="B22" t="s">
        <v>41</v>
      </c>
      <c r="E22" t="s">
        <v>42</v>
      </c>
      <c r="F22" t="s">
        <v>41</v>
      </c>
      <c r="G22" t="s">
        <v>41</v>
      </c>
      <c r="H22" t="s">
        <v>41</v>
      </c>
      <c r="I22" t="s">
        <v>41</v>
      </c>
      <c r="J22" t="s">
        <v>41</v>
      </c>
      <c r="K22" t="s">
        <v>41</v>
      </c>
      <c r="L22" t="s">
        <v>41</v>
      </c>
      <c r="M22" t="s">
        <v>41</v>
      </c>
      <c r="N22" t="s">
        <v>41</v>
      </c>
      <c r="O22" t="s">
        <v>41</v>
      </c>
      <c r="P22" t="s">
        <v>41</v>
      </c>
      <c r="Q22" t="s">
        <v>41</v>
      </c>
      <c r="R22" t="s">
        <v>41</v>
      </c>
      <c r="S22" t="s">
        <v>41</v>
      </c>
    </row>
    <row r="23" spans="1:19" x14ac:dyDescent="0.25">
      <c r="A23" t="s">
        <v>58</v>
      </c>
      <c r="B23" t="s">
        <v>41</v>
      </c>
      <c r="E23" t="s">
        <v>44</v>
      </c>
      <c r="M23" t="s">
        <v>41</v>
      </c>
      <c r="N23" t="s">
        <v>41</v>
      </c>
      <c r="O23" t="s">
        <v>41</v>
      </c>
      <c r="P23" t="s">
        <v>41</v>
      </c>
      <c r="Q23" t="s">
        <v>41</v>
      </c>
      <c r="R23" t="s">
        <v>41</v>
      </c>
      <c r="S23" t="s">
        <v>41</v>
      </c>
    </row>
    <row r="24" spans="1:19" x14ac:dyDescent="0.25">
      <c r="A24" t="s">
        <v>52</v>
      </c>
      <c r="B24" t="s">
        <v>53</v>
      </c>
      <c r="E24" t="s">
        <v>47</v>
      </c>
      <c r="F24">
        <v>31.160986309999998</v>
      </c>
      <c r="G24">
        <v>30.9</v>
      </c>
      <c r="H24">
        <v>28.1</v>
      </c>
      <c r="I24">
        <v>25.7</v>
      </c>
      <c r="J24">
        <v>26.3</v>
      </c>
      <c r="K24">
        <v>24.561471210000001</v>
      </c>
      <c r="L24">
        <v>24.470868060000001</v>
      </c>
      <c r="M24">
        <v>31.160986309999998</v>
      </c>
      <c r="N24">
        <v>30.9</v>
      </c>
      <c r="O24">
        <v>28.1</v>
      </c>
      <c r="P24">
        <v>25.7</v>
      </c>
      <c r="Q24">
        <v>26.3</v>
      </c>
      <c r="R24">
        <v>24.561471210000001</v>
      </c>
      <c r="S24">
        <v>24.470868060000001</v>
      </c>
    </row>
    <row r="25" spans="1:19" x14ac:dyDescent="0.25">
      <c r="A25" t="s">
        <v>59</v>
      </c>
      <c r="B25" t="s">
        <v>41</v>
      </c>
      <c r="E25" t="s">
        <v>44</v>
      </c>
      <c r="M25" t="s">
        <v>41</v>
      </c>
      <c r="N25" t="s">
        <v>41</v>
      </c>
      <c r="O25" t="s">
        <v>41</v>
      </c>
      <c r="P25" t="s">
        <v>41</v>
      </c>
      <c r="Q25" t="s">
        <v>41</v>
      </c>
      <c r="R25" t="s">
        <v>41</v>
      </c>
      <c r="S25" t="s">
        <v>41</v>
      </c>
    </row>
    <row r="26" spans="1:19" x14ac:dyDescent="0.25">
      <c r="A26" t="s">
        <v>52</v>
      </c>
      <c r="B26" t="s">
        <v>53</v>
      </c>
      <c r="E26" t="s">
        <v>47</v>
      </c>
      <c r="F26">
        <v>31.160986309999998</v>
      </c>
      <c r="G26">
        <v>30.9</v>
      </c>
      <c r="H26">
        <v>28.1</v>
      </c>
      <c r="I26">
        <v>25.7</v>
      </c>
      <c r="J26">
        <v>26.3</v>
      </c>
      <c r="K26">
        <v>24.561471210000001</v>
      </c>
      <c r="L26">
        <v>24.470868060000001</v>
      </c>
      <c r="M26">
        <v>31.160986309999998</v>
      </c>
      <c r="N26">
        <v>30.9</v>
      </c>
      <c r="O26">
        <v>28.1</v>
      </c>
      <c r="P26">
        <v>25.7</v>
      </c>
      <c r="Q26">
        <v>26.3</v>
      </c>
      <c r="R26">
        <v>24.561471210000001</v>
      </c>
      <c r="S26">
        <v>24.470868060000001</v>
      </c>
    </row>
    <row r="27" spans="1:19" x14ac:dyDescent="0.25">
      <c r="A27" t="s">
        <v>45</v>
      </c>
      <c r="B27" t="s">
        <v>46</v>
      </c>
      <c r="E27" t="s">
        <v>47</v>
      </c>
      <c r="F27" t="s">
        <v>41</v>
      </c>
      <c r="G27" t="s">
        <v>41</v>
      </c>
      <c r="H27" t="s">
        <v>41</v>
      </c>
      <c r="I27">
        <v>6.6999941390000002</v>
      </c>
      <c r="J27">
        <v>7.7000016059999998</v>
      </c>
      <c r="K27">
        <v>6.8000000070000004</v>
      </c>
      <c r="L27">
        <v>6.7999940280000004</v>
      </c>
      <c r="M27" t="s">
        <v>41</v>
      </c>
      <c r="N27" t="s">
        <v>41</v>
      </c>
      <c r="O27" t="s">
        <v>41</v>
      </c>
      <c r="P27">
        <v>6.6999941390000002</v>
      </c>
      <c r="Q27">
        <v>7.7000016059999998</v>
      </c>
      <c r="R27">
        <v>6.8000000070000004</v>
      </c>
      <c r="S27">
        <v>6.7999940280000004</v>
      </c>
    </row>
    <row r="28" spans="1:19" x14ac:dyDescent="0.25">
      <c r="A28" t="s">
        <v>48</v>
      </c>
      <c r="B28" t="s">
        <v>49</v>
      </c>
      <c r="E28" t="s">
        <v>47</v>
      </c>
      <c r="F28">
        <v>8.2999999980000005</v>
      </c>
      <c r="G28">
        <v>7.4999999979999998</v>
      </c>
      <c r="H28">
        <v>7.2000000010000003</v>
      </c>
      <c r="I28">
        <v>7.4999999979999998</v>
      </c>
      <c r="J28">
        <v>7.1000137250000002</v>
      </c>
      <c r="K28">
        <v>6.3999997449999997</v>
      </c>
      <c r="L28">
        <v>5.7999999979999997</v>
      </c>
      <c r="M28">
        <v>8.2999999980000005</v>
      </c>
      <c r="N28">
        <v>7.4999999979999998</v>
      </c>
      <c r="O28">
        <v>7.2000000010000003</v>
      </c>
      <c r="P28">
        <v>7.4999999979999998</v>
      </c>
      <c r="Q28">
        <v>7.1000137250000002</v>
      </c>
      <c r="R28">
        <v>6.3999997449999997</v>
      </c>
      <c r="S28">
        <v>5.7999999979999997</v>
      </c>
    </row>
    <row r="29" spans="1:19" x14ac:dyDescent="0.25">
      <c r="A29" t="s">
        <v>60</v>
      </c>
      <c r="B29" t="s">
        <v>41</v>
      </c>
      <c r="E29" t="s">
        <v>44</v>
      </c>
      <c r="M29" t="s">
        <v>41</v>
      </c>
      <c r="N29" t="s">
        <v>41</v>
      </c>
      <c r="O29" t="s">
        <v>41</v>
      </c>
      <c r="P29" t="s">
        <v>41</v>
      </c>
      <c r="Q29" t="s">
        <v>41</v>
      </c>
      <c r="R29" t="s">
        <v>41</v>
      </c>
      <c r="S29" t="s">
        <v>41</v>
      </c>
    </row>
    <row r="30" spans="1:19" x14ac:dyDescent="0.25">
      <c r="A30" t="s">
        <v>61</v>
      </c>
      <c r="B30" t="s">
        <v>41</v>
      </c>
      <c r="E30" t="s">
        <v>62</v>
      </c>
      <c r="F30">
        <v>6.3784260916999997</v>
      </c>
      <c r="G30">
        <v>7.4959636762000006</v>
      </c>
      <c r="H30">
        <v>2.7360314546</v>
      </c>
      <c r="I30">
        <v>7.6452287456363646</v>
      </c>
      <c r="J30">
        <v>6.9634987493000011</v>
      </c>
      <c r="K30">
        <v>2.1826367089999996</v>
      </c>
      <c r="L30">
        <v>18.334436468636365</v>
      </c>
      <c r="M30">
        <v>6.3784260909999997</v>
      </c>
      <c r="N30">
        <v>7.4959636759999997</v>
      </c>
      <c r="O30">
        <v>2.736031455</v>
      </c>
      <c r="P30">
        <v>7.6452287459999999</v>
      </c>
      <c r="Q30">
        <v>6.9634987480000001</v>
      </c>
      <c r="R30">
        <v>2.1826367090000001</v>
      </c>
      <c r="S30">
        <v>18.33443647</v>
      </c>
    </row>
    <row r="31" spans="1:19" x14ac:dyDescent="0.25">
      <c r="A31" t="s">
        <v>63</v>
      </c>
      <c r="B31" t="s">
        <v>64</v>
      </c>
      <c r="C31" t="s">
        <v>65</v>
      </c>
      <c r="D31" t="s">
        <v>66</v>
      </c>
      <c r="E31" t="s">
        <v>67</v>
      </c>
      <c r="F31">
        <v>5.4216677600000001</v>
      </c>
      <c r="G31">
        <v>11.497350859999999</v>
      </c>
      <c r="H31">
        <v>5.6550266410000001</v>
      </c>
      <c r="I31">
        <v>5.7216161520000002</v>
      </c>
      <c r="J31">
        <v>3.261981188</v>
      </c>
      <c r="K31">
        <v>4.8706294620000001</v>
      </c>
      <c r="L31">
        <v>2.069649777</v>
      </c>
      <c r="M31">
        <v>5.4216677600000001</v>
      </c>
      <c r="N31">
        <v>11.497350859999999</v>
      </c>
      <c r="O31">
        <v>5.6550266410000001</v>
      </c>
      <c r="P31">
        <v>5.7216161520000002</v>
      </c>
      <c r="Q31">
        <v>3.261981188</v>
      </c>
      <c r="R31">
        <v>4.8706294620000001</v>
      </c>
      <c r="S31">
        <v>2.069649777</v>
      </c>
    </row>
    <row r="32" spans="1:19" x14ac:dyDescent="0.25">
      <c r="A32" t="s">
        <v>68</v>
      </c>
      <c r="B32" t="s">
        <v>69</v>
      </c>
      <c r="C32" t="s">
        <v>65</v>
      </c>
      <c r="D32" t="s">
        <v>66</v>
      </c>
      <c r="E32" t="s">
        <v>67</v>
      </c>
      <c r="F32">
        <v>8.827948911</v>
      </c>
      <c r="G32">
        <v>-11.23707903</v>
      </c>
      <c r="H32">
        <v>-1.167436994</v>
      </c>
      <c r="I32">
        <v>13.59037949</v>
      </c>
      <c r="J32">
        <v>18.056169350000001</v>
      </c>
      <c r="K32">
        <v>5.0681401340000001</v>
      </c>
      <c r="L32">
        <v>-2.5971529690000001</v>
      </c>
      <c r="M32">
        <v>8.827948911</v>
      </c>
      <c r="N32">
        <v>-11.23707903</v>
      </c>
      <c r="O32">
        <v>-1.167436994</v>
      </c>
      <c r="P32">
        <v>13.59037949</v>
      </c>
      <c r="Q32">
        <v>18.056169350000001</v>
      </c>
      <c r="R32">
        <v>5.0681401340000001</v>
      </c>
      <c r="S32">
        <v>-2.5971529690000001</v>
      </c>
    </row>
    <row r="33" spans="1:19" x14ac:dyDescent="0.25">
      <c r="A33" t="s">
        <v>70</v>
      </c>
      <c r="B33" t="s">
        <v>71</v>
      </c>
      <c r="C33" t="s">
        <v>65</v>
      </c>
      <c r="D33" t="s">
        <v>66</v>
      </c>
      <c r="E33" t="s">
        <v>67</v>
      </c>
      <c r="F33">
        <v>7.0319011900000001</v>
      </c>
      <c r="G33">
        <v>5.3652694609999996</v>
      </c>
      <c r="H33">
        <v>-0.11165164700000001</v>
      </c>
      <c r="I33">
        <v>5.2370960970000002</v>
      </c>
      <c r="J33">
        <v>12.692707840000001</v>
      </c>
      <c r="K33">
        <v>4.7661514069999997</v>
      </c>
      <c r="L33">
        <v>-1.6757599379999999</v>
      </c>
      <c r="M33">
        <v>7.0319011900000001</v>
      </c>
      <c r="N33">
        <v>5.3652694609999996</v>
      </c>
      <c r="O33">
        <v>-0.11165164700000001</v>
      </c>
      <c r="P33">
        <v>5.2370960970000002</v>
      </c>
      <c r="Q33">
        <v>12.692707840000001</v>
      </c>
      <c r="R33">
        <v>4.7661514069999997</v>
      </c>
      <c r="S33">
        <v>-1.6757599379999999</v>
      </c>
    </row>
    <row r="34" spans="1:19" x14ac:dyDescent="0.25">
      <c r="A34" t="s">
        <v>72</v>
      </c>
      <c r="B34" t="s">
        <v>73</v>
      </c>
      <c r="C34" t="s">
        <v>65</v>
      </c>
      <c r="D34" t="s">
        <v>66</v>
      </c>
      <c r="E34" t="s">
        <v>67</v>
      </c>
      <c r="F34">
        <v>5.2526305039999999</v>
      </c>
      <c r="G34">
        <v>6.1019361249999999</v>
      </c>
      <c r="H34">
        <v>1.5145371299999999</v>
      </c>
      <c r="I34">
        <v>3.8511160000000002</v>
      </c>
      <c r="J34">
        <v>-2.0247832030000001</v>
      </c>
      <c r="K34">
        <v>4.1158500309999999</v>
      </c>
      <c r="L34">
        <v>111.3089828</v>
      </c>
      <c r="M34">
        <v>5.2526305039999999</v>
      </c>
      <c r="N34">
        <v>6.1019361249999999</v>
      </c>
      <c r="O34">
        <v>1.5145371299999999</v>
      </c>
      <c r="P34">
        <v>3.8511160000000002</v>
      </c>
      <c r="Q34">
        <v>-2.0247832030000001</v>
      </c>
      <c r="R34">
        <v>4.1158500309999999</v>
      </c>
      <c r="S34">
        <v>111.3089828</v>
      </c>
    </row>
    <row r="35" spans="1:19" x14ac:dyDescent="0.25">
      <c r="A35" t="s">
        <v>74</v>
      </c>
      <c r="B35" t="s">
        <v>75</v>
      </c>
      <c r="C35" t="s">
        <v>65</v>
      </c>
      <c r="D35" t="s">
        <v>66</v>
      </c>
      <c r="E35" t="s">
        <v>67</v>
      </c>
      <c r="F35">
        <v>4.0806201550000001</v>
      </c>
      <c r="G35">
        <v>8.8791357190000006</v>
      </c>
      <c r="H35">
        <v>9.8094461329999998</v>
      </c>
      <c r="I35">
        <v>8.6259664950000001</v>
      </c>
      <c r="J35">
        <v>20.981807910000001</v>
      </c>
      <c r="K35">
        <v>16.05202603</v>
      </c>
      <c r="L35">
        <v>20.373275769999999</v>
      </c>
      <c r="M35">
        <v>4.0806201550000001</v>
      </c>
      <c r="N35">
        <v>8.8791357190000006</v>
      </c>
      <c r="O35">
        <v>9.8094461329999998</v>
      </c>
      <c r="P35">
        <v>8.6259664950000001</v>
      </c>
      <c r="Q35">
        <v>20.981807910000001</v>
      </c>
      <c r="R35">
        <v>16.05202603</v>
      </c>
      <c r="S35">
        <v>20.373275769999999</v>
      </c>
    </row>
    <row r="36" spans="1:19" x14ac:dyDescent="0.25">
      <c r="A36" t="s">
        <v>76</v>
      </c>
      <c r="B36" t="s">
        <v>77</v>
      </c>
      <c r="C36" t="s">
        <v>65</v>
      </c>
      <c r="D36" t="s">
        <v>66</v>
      </c>
      <c r="E36" t="s">
        <v>67</v>
      </c>
      <c r="F36" t="s">
        <v>41</v>
      </c>
      <c r="G36" t="s">
        <v>41</v>
      </c>
      <c r="H36" t="s">
        <v>41</v>
      </c>
      <c r="I36">
        <v>7.050379961</v>
      </c>
      <c r="J36">
        <v>-12.455340639999999</v>
      </c>
      <c r="K36">
        <v>-37.551931070000002</v>
      </c>
      <c r="L36">
        <v>-8.4325466710000008</v>
      </c>
      <c r="M36" t="s">
        <v>41</v>
      </c>
      <c r="N36" t="s">
        <v>41</v>
      </c>
      <c r="O36" t="s">
        <v>41</v>
      </c>
      <c r="P36">
        <v>7.050379961</v>
      </c>
      <c r="Q36">
        <v>-12.455340639999999</v>
      </c>
      <c r="R36">
        <v>-37.551931070000002</v>
      </c>
      <c r="S36">
        <v>-8.4325466710000008</v>
      </c>
    </row>
    <row r="37" spans="1:19" x14ac:dyDescent="0.25">
      <c r="A37" t="s">
        <v>78</v>
      </c>
      <c r="B37" t="s">
        <v>51</v>
      </c>
      <c r="C37" t="s">
        <v>65</v>
      </c>
      <c r="D37" t="s">
        <v>66</v>
      </c>
      <c r="E37" t="s">
        <v>67</v>
      </c>
      <c r="F37">
        <v>15.10124647</v>
      </c>
      <c r="G37">
        <v>10.053998350000001</v>
      </c>
      <c r="H37">
        <v>6.309913506</v>
      </c>
      <c r="I37">
        <v>16.585612229999999</v>
      </c>
      <c r="J37" t="s">
        <v>41</v>
      </c>
      <c r="K37" t="s">
        <v>41</v>
      </c>
      <c r="L37">
        <v>14.86114967</v>
      </c>
      <c r="M37">
        <v>15.10124647</v>
      </c>
      <c r="N37">
        <v>10.053998350000001</v>
      </c>
      <c r="O37">
        <v>6.309913506</v>
      </c>
      <c r="P37">
        <v>16.585612229999999</v>
      </c>
      <c r="Q37" t="s">
        <v>41</v>
      </c>
      <c r="R37" t="s">
        <v>41</v>
      </c>
      <c r="S37">
        <v>14.86114967</v>
      </c>
    </row>
    <row r="38" spans="1:19" x14ac:dyDescent="0.25">
      <c r="A38" t="s">
        <v>79</v>
      </c>
      <c r="B38" t="s">
        <v>46</v>
      </c>
      <c r="C38" t="s">
        <v>65</v>
      </c>
      <c r="D38" t="s">
        <v>66</v>
      </c>
      <c r="E38" t="s">
        <v>67</v>
      </c>
      <c r="F38">
        <v>9.8167523439999993</v>
      </c>
      <c r="G38">
        <v>17.23292022</v>
      </c>
      <c r="H38">
        <v>2.9758775769999999</v>
      </c>
      <c r="I38">
        <v>9.6779359720000002</v>
      </c>
      <c r="J38">
        <v>17.108347869999999</v>
      </c>
      <c r="K38">
        <v>6.355095446</v>
      </c>
      <c r="L38">
        <v>24.239195079999998</v>
      </c>
      <c r="M38">
        <v>9.8167523439999993</v>
      </c>
      <c r="N38">
        <v>17.23292022</v>
      </c>
      <c r="O38">
        <v>2.9758775769999999</v>
      </c>
      <c r="P38">
        <v>9.6779359720000002</v>
      </c>
      <c r="Q38">
        <v>17.108347869999999</v>
      </c>
      <c r="R38">
        <v>6.355095446</v>
      </c>
      <c r="S38">
        <v>24.239195079999998</v>
      </c>
    </row>
    <row r="39" spans="1:19" x14ac:dyDescent="0.25">
      <c r="A39" t="s">
        <v>80</v>
      </c>
      <c r="B39" t="s">
        <v>81</v>
      </c>
      <c r="C39" t="s">
        <v>65</v>
      </c>
      <c r="D39" t="s">
        <v>66</v>
      </c>
      <c r="E39" t="s">
        <v>67</v>
      </c>
      <c r="F39">
        <v>-3.070698948</v>
      </c>
      <c r="G39">
        <v>0.57114696899999995</v>
      </c>
      <c r="H39">
        <v>-0.97598818799999998</v>
      </c>
      <c r="I39">
        <v>-2.2289915709999999</v>
      </c>
      <c r="J39">
        <v>-11.910381170000001</v>
      </c>
      <c r="K39">
        <v>-5.6665345089999999</v>
      </c>
      <c r="L39">
        <v>-4.3810875439999997</v>
      </c>
      <c r="M39">
        <v>-3.070698948</v>
      </c>
      <c r="N39">
        <v>0.57114696899999995</v>
      </c>
      <c r="O39">
        <v>-0.97598818799999998</v>
      </c>
      <c r="P39">
        <v>-2.2289915709999999</v>
      </c>
      <c r="Q39">
        <v>-11.910381170000001</v>
      </c>
      <c r="R39">
        <v>-5.6665345089999999</v>
      </c>
      <c r="S39">
        <v>-4.3810875439999997</v>
      </c>
    </row>
    <row r="40" spans="1:19" x14ac:dyDescent="0.25">
      <c r="A40" t="s">
        <v>82</v>
      </c>
      <c r="B40" t="s">
        <v>49</v>
      </c>
      <c r="C40" t="s">
        <v>65</v>
      </c>
      <c r="D40" t="s">
        <v>66</v>
      </c>
      <c r="E40" t="s">
        <v>67</v>
      </c>
      <c r="F40">
        <v>7.1594873789999998</v>
      </c>
      <c r="G40">
        <v>18.975013000000001</v>
      </c>
      <c r="H40">
        <v>4.3554922600000001</v>
      </c>
      <c r="I40">
        <v>8.5783185759999991</v>
      </c>
      <c r="J40">
        <v>14.789038720000001</v>
      </c>
      <c r="K40">
        <v>15.69386437</v>
      </c>
      <c r="L40">
        <v>29.877814520000001</v>
      </c>
      <c r="M40">
        <v>7.1594873789999998</v>
      </c>
      <c r="N40">
        <v>18.975013000000001</v>
      </c>
      <c r="O40">
        <v>4.3554922600000001</v>
      </c>
      <c r="P40">
        <v>8.5783185759999991</v>
      </c>
      <c r="Q40">
        <v>14.789038720000001</v>
      </c>
      <c r="R40">
        <v>15.69386437</v>
      </c>
      <c r="S40">
        <v>29.877814520000001</v>
      </c>
    </row>
    <row r="41" spans="1:19" x14ac:dyDescent="0.25">
      <c r="A41" t="s">
        <v>83</v>
      </c>
      <c r="B41" t="s">
        <v>53</v>
      </c>
      <c r="C41" t="s">
        <v>65</v>
      </c>
      <c r="D41" t="s">
        <v>66</v>
      </c>
      <c r="E41" t="s">
        <v>67</v>
      </c>
      <c r="F41">
        <v>4.162705152</v>
      </c>
      <c r="G41">
        <v>7.5199450880000001</v>
      </c>
      <c r="H41">
        <v>-1.004901872</v>
      </c>
      <c r="I41">
        <v>7.4080868000000004</v>
      </c>
      <c r="J41">
        <v>9.1354396280000003</v>
      </c>
      <c r="K41">
        <v>8.1230757889999996</v>
      </c>
      <c r="L41">
        <v>16.035280660000002</v>
      </c>
      <c r="M41">
        <v>4.162705152</v>
      </c>
      <c r="N41">
        <v>7.5199450880000001</v>
      </c>
      <c r="O41">
        <v>-1.004901872</v>
      </c>
      <c r="P41">
        <v>7.4080868000000004</v>
      </c>
      <c r="Q41">
        <v>9.1354396280000003</v>
      </c>
      <c r="R41">
        <v>8.1230757889999996</v>
      </c>
      <c r="S41">
        <v>16.035280660000002</v>
      </c>
    </row>
    <row r="42" spans="1:19" x14ac:dyDescent="0.25">
      <c r="A42" t="s">
        <v>84</v>
      </c>
      <c r="B42" t="s">
        <v>41</v>
      </c>
      <c r="E42" t="s">
        <v>62</v>
      </c>
      <c r="F42">
        <v>6.3784260916999997</v>
      </c>
      <c r="G42">
        <v>7.4959636762000006</v>
      </c>
      <c r="H42">
        <v>2.7360314546</v>
      </c>
      <c r="I42">
        <v>7.6452287456363646</v>
      </c>
      <c r="J42">
        <v>6.9634987493000011</v>
      </c>
      <c r="K42">
        <v>2.1826367089999996</v>
      </c>
      <c r="L42">
        <v>18.334436468636365</v>
      </c>
      <c r="M42">
        <v>6.3784260909999997</v>
      </c>
      <c r="N42">
        <v>7.4959636759999997</v>
      </c>
      <c r="O42">
        <v>2.736031455</v>
      </c>
      <c r="P42">
        <v>7.6452287459999999</v>
      </c>
      <c r="Q42">
        <v>6.9634987480000001</v>
      </c>
      <c r="R42">
        <v>2.1826367090000001</v>
      </c>
      <c r="S42">
        <v>18.33443647</v>
      </c>
    </row>
    <row r="43" spans="1:19" x14ac:dyDescent="0.25">
      <c r="A43" t="s">
        <v>63</v>
      </c>
      <c r="B43" t="s">
        <v>64</v>
      </c>
      <c r="C43" t="s">
        <v>85</v>
      </c>
      <c r="D43" t="s">
        <v>86</v>
      </c>
      <c r="E43" t="s">
        <v>67</v>
      </c>
      <c r="F43">
        <v>5.4216677600000001</v>
      </c>
      <c r="G43">
        <v>11.497350859999999</v>
      </c>
      <c r="H43">
        <v>5.6550266410000001</v>
      </c>
      <c r="I43">
        <v>5.7216161520000002</v>
      </c>
      <c r="J43">
        <v>3.261981188</v>
      </c>
      <c r="K43">
        <v>4.8706294620000001</v>
      </c>
      <c r="L43">
        <v>2.069649777</v>
      </c>
      <c r="M43">
        <v>5.4216677600000001</v>
      </c>
      <c r="N43">
        <v>11.497350859999999</v>
      </c>
      <c r="O43">
        <v>5.6550266410000001</v>
      </c>
      <c r="P43">
        <v>5.7216161520000002</v>
      </c>
      <c r="Q43">
        <v>3.261981188</v>
      </c>
      <c r="R43">
        <v>4.8706294620000001</v>
      </c>
      <c r="S43">
        <v>2.069649777</v>
      </c>
    </row>
    <row r="44" spans="1:19" x14ac:dyDescent="0.25">
      <c r="A44" t="s">
        <v>68</v>
      </c>
      <c r="B44" t="s">
        <v>69</v>
      </c>
      <c r="C44" t="s">
        <v>85</v>
      </c>
      <c r="D44" t="s">
        <v>86</v>
      </c>
      <c r="E44" t="s">
        <v>67</v>
      </c>
      <c r="F44">
        <v>8.827948911</v>
      </c>
      <c r="G44">
        <v>-11.23707903</v>
      </c>
      <c r="H44">
        <v>-1.167436994</v>
      </c>
      <c r="I44">
        <v>13.59037949</v>
      </c>
      <c r="J44">
        <v>18.056169350000001</v>
      </c>
      <c r="K44">
        <v>5.0681401340000001</v>
      </c>
      <c r="L44">
        <v>-2.5971529690000001</v>
      </c>
      <c r="M44">
        <v>8.827948911</v>
      </c>
      <c r="N44">
        <v>-11.23707903</v>
      </c>
      <c r="O44">
        <v>-1.167436994</v>
      </c>
      <c r="P44">
        <v>13.59037949</v>
      </c>
      <c r="Q44">
        <v>18.056169350000001</v>
      </c>
      <c r="R44">
        <v>5.0681401340000001</v>
      </c>
      <c r="S44">
        <v>-2.5971529690000001</v>
      </c>
    </row>
    <row r="45" spans="1:19" x14ac:dyDescent="0.25">
      <c r="A45" t="s">
        <v>70</v>
      </c>
      <c r="B45" t="s">
        <v>71</v>
      </c>
      <c r="C45" t="s">
        <v>85</v>
      </c>
      <c r="D45" t="s">
        <v>86</v>
      </c>
      <c r="E45" t="s">
        <v>67</v>
      </c>
      <c r="F45">
        <v>7.0319011900000001</v>
      </c>
      <c r="G45">
        <v>5.3652694609999996</v>
      </c>
      <c r="H45">
        <v>-0.11165164700000001</v>
      </c>
      <c r="I45">
        <v>5.2370960970000002</v>
      </c>
      <c r="J45">
        <v>12.692707840000001</v>
      </c>
      <c r="K45">
        <v>4.7661514069999997</v>
      </c>
      <c r="L45">
        <v>-1.6757599379999999</v>
      </c>
      <c r="M45">
        <v>7.0319011900000001</v>
      </c>
      <c r="N45">
        <v>5.3652694609999996</v>
      </c>
      <c r="O45">
        <v>-0.11165164700000001</v>
      </c>
      <c r="P45">
        <v>5.2370960970000002</v>
      </c>
      <c r="Q45">
        <v>12.692707840000001</v>
      </c>
      <c r="R45">
        <v>4.7661514069999997</v>
      </c>
      <c r="S45">
        <v>-1.6757599379999999</v>
      </c>
    </row>
    <row r="46" spans="1:19" x14ac:dyDescent="0.25">
      <c r="A46" t="s">
        <v>72</v>
      </c>
      <c r="B46" t="s">
        <v>73</v>
      </c>
      <c r="C46" t="s">
        <v>85</v>
      </c>
      <c r="D46" t="s">
        <v>86</v>
      </c>
      <c r="E46" t="s">
        <v>67</v>
      </c>
      <c r="F46">
        <v>5.2526305039999999</v>
      </c>
      <c r="G46">
        <v>6.1019361249999999</v>
      </c>
      <c r="H46">
        <v>1.5145371299999999</v>
      </c>
      <c r="I46">
        <v>3.8511160000000002</v>
      </c>
      <c r="J46">
        <v>-2.0247832030000001</v>
      </c>
      <c r="K46">
        <v>4.1158500309999999</v>
      </c>
      <c r="L46">
        <v>111.3089828</v>
      </c>
      <c r="M46">
        <v>5.2526305039999999</v>
      </c>
      <c r="N46">
        <v>6.1019361249999999</v>
      </c>
      <c r="O46">
        <v>1.5145371299999999</v>
      </c>
      <c r="P46">
        <v>3.8511160000000002</v>
      </c>
      <c r="Q46">
        <v>-2.0247832030000001</v>
      </c>
      <c r="R46">
        <v>4.1158500309999999</v>
      </c>
      <c r="S46">
        <v>111.3089828</v>
      </c>
    </row>
    <row r="47" spans="1:19" x14ac:dyDescent="0.25">
      <c r="A47" t="s">
        <v>74</v>
      </c>
      <c r="B47" t="s">
        <v>75</v>
      </c>
      <c r="C47" t="s">
        <v>85</v>
      </c>
      <c r="D47" t="s">
        <v>86</v>
      </c>
      <c r="E47" t="s">
        <v>67</v>
      </c>
      <c r="F47">
        <v>4.0806201550000001</v>
      </c>
      <c r="G47">
        <v>8.8791357190000006</v>
      </c>
      <c r="H47">
        <v>9.8094461329999998</v>
      </c>
      <c r="I47">
        <v>8.6259664950000001</v>
      </c>
      <c r="J47">
        <v>20.981807910000001</v>
      </c>
      <c r="K47">
        <v>16.05202603</v>
      </c>
      <c r="L47">
        <v>20.373275769999999</v>
      </c>
      <c r="M47">
        <v>4.0806201550000001</v>
      </c>
      <c r="N47">
        <v>8.8791357190000006</v>
      </c>
      <c r="O47">
        <v>9.8094461329999998</v>
      </c>
      <c r="P47">
        <v>8.6259664950000001</v>
      </c>
      <c r="Q47">
        <v>20.981807910000001</v>
      </c>
      <c r="R47">
        <v>16.05202603</v>
      </c>
      <c r="S47">
        <v>20.373275769999999</v>
      </c>
    </row>
    <row r="48" spans="1:19" x14ac:dyDescent="0.25">
      <c r="A48" t="s">
        <v>76</v>
      </c>
      <c r="B48" t="s">
        <v>77</v>
      </c>
      <c r="C48" t="s">
        <v>85</v>
      </c>
      <c r="D48" t="s">
        <v>86</v>
      </c>
      <c r="E48" t="s">
        <v>67</v>
      </c>
      <c r="F48" t="s">
        <v>41</v>
      </c>
      <c r="G48" t="s">
        <v>41</v>
      </c>
      <c r="H48" t="s">
        <v>41</v>
      </c>
      <c r="I48">
        <v>7.050379961</v>
      </c>
      <c r="J48">
        <v>-12.455340639999999</v>
      </c>
      <c r="K48">
        <v>-37.551931070000002</v>
      </c>
      <c r="L48">
        <v>-8.4325466710000008</v>
      </c>
      <c r="M48" t="s">
        <v>41</v>
      </c>
      <c r="N48" t="s">
        <v>41</v>
      </c>
      <c r="O48" t="s">
        <v>41</v>
      </c>
      <c r="P48">
        <v>7.050379961</v>
      </c>
      <c r="Q48">
        <v>-12.455340639999999</v>
      </c>
      <c r="R48">
        <v>-37.551931070000002</v>
      </c>
      <c r="S48">
        <v>-8.4325466710000008</v>
      </c>
    </row>
    <row r="49" spans="1:19" x14ac:dyDescent="0.25">
      <c r="A49" t="s">
        <v>78</v>
      </c>
      <c r="B49" t="s">
        <v>51</v>
      </c>
      <c r="C49" t="s">
        <v>85</v>
      </c>
      <c r="D49" t="s">
        <v>86</v>
      </c>
      <c r="E49" t="s">
        <v>67</v>
      </c>
      <c r="F49">
        <v>15.10124647</v>
      </c>
      <c r="G49">
        <v>10.053998350000001</v>
      </c>
      <c r="H49">
        <v>6.309913506</v>
      </c>
      <c r="I49">
        <v>16.585612229999999</v>
      </c>
      <c r="J49" t="s">
        <v>41</v>
      </c>
      <c r="K49" t="s">
        <v>41</v>
      </c>
      <c r="L49">
        <v>14.86114967</v>
      </c>
      <c r="M49">
        <v>15.10124647</v>
      </c>
      <c r="N49">
        <v>10.053998350000001</v>
      </c>
      <c r="O49">
        <v>6.309913506</v>
      </c>
      <c r="P49">
        <v>16.585612229999999</v>
      </c>
      <c r="Q49" t="s">
        <v>41</v>
      </c>
      <c r="R49" t="s">
        <v>41</v>
      </c>
      <c r="S49">
        <v>14.86114967</v>
      </c>
    </row>
    <row r="50" spans="1:19" x14ac:dyDescent="0.25">
      <c r="A50" t="s">
        <v>79</v>
      </c>
      <c r="B50" t="s">
        <v>46</v>
      </c>
      <c r="C50" t="s">
        <v>85</v>
      </c>
      <c r="D50" t="s">
        <v>86</v>
      </c>
      <c r="E50" t="s">
        <v>67</v>
      </c>
      <c r="F50">
        <v>9.8167523439999993</v>
      </c>
      <c r="G50">
        <v>17.23292022</v>
      </c>
      <c r="H50">
        <v>2.9758775769999999</v>
      </c>
      <c r="I50">
        <v>9.6779359720000002</v>
      </c>
      <c r="J50">
        <v>17.108347869999999</v>
      </c>
      <c r="K50">
        <v>6.355095446</v>
      </c>
      <c r="L50">
        <v>24.239195079999998</v>
      </c>
      <c r="M50">
        <v>9.8167523439999993</v>
      </c>
      <c r="N50">
        <v>17.23292022</v>
      </c>
      <c r="O50">
        <v>2.9758775769999999</v>
      </c>
      <c r="P50">
        <v>9.6779359720000002</v>
      </c>
      <c r="Q50">
        <v>17.108347869999999</v>
      </c>
      <c r="R50">
        <v>6.355095446</v>
      </c>
      <c r="S50">
        <v>24.239195079999998</v>
      </c>
    </row>
    <row r="51" spans="1:19" x14ac:dyDescent="0.25">
      <c r="A51" t="s">
        <v>80</v>
      </c>
      <c r="B51" t="s">
        <v>81</v>
      </c>
      <c r="C51" t="s">
        <v>85</v>
      </c>
      <c r="D51" t="s">
        <v>86</v>
      </c>
      <c r="E51" t="s">
        <v>67</v>
      </c>
      <c r="F51">
        <v>-3.070698948</v>
      </c>
      <c r="G51">
        <v>0.57114696899999995</v>
      </c>
      <c r="H51">
        <v>-0.97598818799999998</v>
      </c>
      <c r="I51">
        <v>-2.2289915709999999</v>
      </c>
      <c r="J51">
        <v>-11.910381170000001</v>
      </c>
      <c r="K51">
        <v>-5.6665345089999999</v>
      </c>
      <c r="L51">
        <v>-4.3810875439999997</v>
      </c>
      <c r="M51">
        <v>-3.070698948</v>
      </c>
      <c r="N51">
        <v>0.57114696899999995</v>
      </c>
      <c r="O51">
        <v>-0.97598818799999998</v>
      </c>
      <c r="P51">
        <v>-2.2289915709999999</v>
      </c>
      <c r="Q51">
        <v>-11.910381170000001</v>
      </c>
      <c r="R51">
        <v>-5.6665345089999999</v>
      </c>
      <c r="S51">
        <v>-4.3810875439999997</v>
      </c>
    </row>
    <row r="52" spans="1:19" x14ac:dyDescent="0.25">
      <c r="A52" t="s">
        <v>82</v>
      </c>
      <c r="B52" t="s">
        <v>49</v>
      </c>
      <c r="C52" t="s">
        <v>85</v>
      </c>
      <c r="D52" t="s">
        <v>86</v>
      </c>
      <c r="E52" t="s">
        <v>67</v>
      </c>
      <c r="F52">
        <v>7.1594873789999998</v>
      </c>
      <c r="G52">
        <v>18.975013000000001</v>
      </c>
      <c r="H52">
        <v>4.3554922600000001</v>
      </c>
      <c r="I52">
        <v>8.5783185759999991</v>
      </c>
      <c r="J52">
        <v>14.789038720000001</v>
      </c>
      <c r="K52">
        <v>15.69386437</v>
      </c>
      <c r="L52">
        <v>29.877814520000001</v>
      </c>
      <c r="M52">
        <v>7.1594873789999998</v>
      </c>
      <c r="N52">
        <v>18.975013000000001</v>
      </c>
      <c r="O52">
        <v>4.3554922600000001</v>
      </c>
      <c r="P52">
        <v>8.5783185759999991</v>
      </c>
      <c r="Q52">
        <v>14.789038720000001</v>
      </c>
      <c r="R52">
        <v>15.69386437</v>
      </c>
      <c r="S52">
        <v>29.877814520000001</v>
      </c>
    </row>
    <row r="53" spans="1:19" x14ac:dyDescent="0.25">
      <c r="A53" t="s">
        <v>83</v>
      </c>
      <c r="B53" t="s">
        <v>53</v>
      </c>
      <c r="C53" t="s">
        <v>85</v>
      </c>
      <c r="D53" t="s">
        <v>86</v>
      </c>
      <c r="E53" t="s">
        <v>67</v>
      </c>
      <c r="F53">
        <v>4.162705152</v>
      </c>
      <c r="G53">
        <v>7.5199450880000001</v>
      </c>
      <c r="H53">
        <v>-1.004901872</v>
      </c>
      <c r="I53">
        <v>7.4080868000000004</v>
      </c>
      <c r="J53">
        <v>9.1354396280000003</v>
      </c>
      <c r="K53">
        <v>8.1230757889999996</v>
      </c>
      <c r="L53">
        <v>16.035280660000002</v>
      </c>
      <c r="M53">
        <v>4.162705152</v>
      </c>
      <c r="N53">
        <v>7.5199450880000001</v>
      </c>
      <c r="O53">
        <v>-1.004901872</v>
      </c>
      <c r="P53">
        <v>7.4080868000000004</v>
      </c>
      <c r="Q53">
        <v>9.1354396280000003</v>
      </c>
      <c r="R53">
        <v>8.1230757889999996</v>
      </c>
      <c r="S53">
        <v>16.035280660000002</v>
      </c>
    </row>
    <row r="54" spans="1:19" x14ac:dyDescent="0.25">
      <c r="A54" t="s">
        <v>87</v>
      </c>
      <c r="B54" t="s">
        <v>41</v>
      </c>
      <c r="E54" t="s">
        <v>62</v>
      </c>
      <c r="F54">
        <v>3.9333333333333331</v>
      </c>
      <c r="G54">
        <v>6.7</v>
      </c>
      <c r="H54">
        <v>2.0499999999999998</v>
      </c>
      <c r="I54">
        <v>4.3499999999999996</v>
      </c>
      <c r="J54">
        <v>2.7</v>
      </c>
      <c r="K54">
        <v>2.2999999999999998</v>
      </c>
      <c r="L54">
        <v>2.5499999999999998</v>
      </c>
      <c r="M54">
        <v>3.9333333330000002</v>
      </c>
      <c r="N54">
        <v>6.7</v>
      </c>
      <c r="O54">
        <v>2.0499999999999998</v>
      </c>
      <c r="P54">
        <v>4.3499999999999996</v>
      </c>
      <c r="Q54">
        <v>2.7</v>
      </c>
      <c r="R54">
        <v>2.2999999999999998</v>
      </c>
      <c r="S54">
        <v>2.5499999999999998</v>
      </c>
    </row>
    <row r="55" spans="1:19" x14ac:dyDescent="0.25">
      <c r="A55" t="s">
        <v>78</v>
      </c>
      <c r="B55" t="s">
        <v>51</v>
      </c>
      <c r="C55" t="s">
        <v>88</v>
      </c>
      <c r="D55" t="s">
        <v>89</v>
      </c>
      <c r="E55" t="s">
        <v>67</v>
      </c>
      <c r="F55">
        <v>0.8</v>
      </c>
      <c r="G55">
        <v>3.3</v>
      </c>
      <c r="H55">
        <v>1.2</v>
      </c>
      <c r="I55">
        <v>3.8</v>
      </c>
      <c r="J55">
        <v>1.7</v>
      </c>
      <c r="K55" t="s">
        <v>41</v>
      </c>
      <c r="L55">
        <v>2.8</v>
      </c>
      <c r="M55">
        <v>0.8</v>
      </c>
      <c r="N55">
        <v>3.3</v>
      </c>
      <c r="O55">
        <v>1.2</v>
      </c>
      <c r="P55">
        <v>3.8</v>
      </c>
      <c r="Q55">
        <v>1.7</v>
      </c>
      <c r="R55" t="s">
        <v>41</v>
      </c>
      <c r="S55">
        <v>2.8</v>
      </c>
    </row>
    <row r="56" spans="1:19" x14ac:dyDescent="0.25">
      <c r="A56" t="s">
        <v>79</v>
      </c>
      <c r="B56" t="s">
        <v>46</v>
      </c>
      <c r="C56" t="s">
        <v>88</v>
      </c>
      <c r="D56" t="s">
        <v>89</v>
      </c>
      <c r="E56" t="s">
        <v>67</v>
      </c>
      <c r="F56" t="s">
        <v>41</v>
      </c>
      <c r="G56" t="s">
        <v>41</v>
      </c>
      <c r="H56" t="s">
        <v>41</v>
      </c>
      <c r="I56" t="s">
        <v>41</v>
      </c>
      <c r="J56" t="s">
        <v>41</v>
      </c>
      <c r="K56" t="s">
        <v>41</v>
      </c>
      <c r="L56" t="s">
        <v>41</v>
      </c>
      <c r="M56" t="s">
        <v>41</v>
      </c>
      <c r="N56" t="s">
        <v>41</v>
      </c>
      <c r="O56" t="s">
        <v>41</v>
      </c>
      <c r="P56" t="s">
        <v>41</v>
      </c>
      <c r="Q56" t="s">
        <v>41</v>
      </c>
      <c r="R56" t="s">
        <v>41</v>
      </c>
      <c r="S56" t="s">
        <v>41</v>
      </c>
    </row>
    <row r="57" spans="1:19" x14ac:dyDescent="0.25">
      <c r="A57" t="s">
        <v>80</v>
      </c>
      <c r="B57" t="s">
        <v>81</v>
      </c>
      <c r="C57" t="s">
        <v>88</v>
      </c>
      <c r="D57" t="s">
        <v>89</v>
      </c>
      <c r="E57" t="s">
        <v>67</v>
      </c>
      <c r="F57" t="s">
        <v>41</v>
      </c>
      <c r="G57" t="s">
        <v>41</v>
      </c>
      <c r="H57" t="s">
        <v>41</v>
      </c>
      <c r="I57" t="s">
        <v>41</v>
      </c>
      <c r="J57" t="s">
        <v>41</v>
      </c>
      <c r="K57" t="s">
        <v>41</v>
      </c>
      <c r="L57" t="s">
        <v>41</v>
      </c>
      <c r="M57" t="s">
        <v>41</v>
      </c>
      <c r="N57" t="s">
        <v>41</v>
      </c>
      <c r="O57" t="s">
        <v>41</v>
      </c>
      <c r="P57" t="s">
        <v>41</v>
      </c>
      <c r="Q57" t="s">
        <v>41</v>
      </c>
      <c r="R57" t="s">
        <v>41</v>
      </c>
      <c r="S57" t="s">
        <v>41</v>
      </c>
    </row>
    <row r="58" spans="1:19" x14ac:dyDescent="0.25">
      <c r="A58" t="s">
        <v>82</v>
      </c>
      <c r="B58" t="s">
        <v>49</v>
      </c>
      <c r="C58" t="s">
        <v>88</v>
      </c>
      <c r="D58" t="s">
        <v>89</v>
      </c>
      <c r="E58" t="s">
        <v>67</v>
      </c>
      <c r="F58">
        <v>7.1</v>
      </c>
      <c r="G58">
        <v>11.4</v>
      </c>
      <c r="H58" t="s">
        <v>41</v>
      </c>
      <c r="I58" t="s">
        <v>41</v>
      </c>
      <c r="J58" t="s">
        <v>41</v>
      </c>
      <c r="K58" t="s">
        <v>41</v>
      </c>
      <c r="L58" t="s">
        <v>41</v>
      </c>
      <c r="M58">
        <v>7.1</v>
      </c>
      <c r="N58">
        <v>11.4</v>
      </c>
      <c r="O58" t="s">
        <v>41</v>
      </c>
      <c r="P58" t="s">
        <v>41</v>
      </c>
      <c r="Q58" t="s">
        <v>41</v>
      </c>
      <c r="R58" t="s">
        <v>41</v>
      </c>
      <c r="S58" t="s">
        <v>41</v>
      </c>
    </row>
    <row r="59" spans="1:19" x14ac:dyDescent="0.25">
      <c r="A59" t="s">
        <v>83</v>
      </c>
      <c r="B59" t="s">
        <v>53</v>
      </c>
      <c r="C59" t="s">
        <v>88</v>
      </c>
      <c r="D59" t="s">
        <v>89</v>
      </c>
      <c r="E59" t="s">
        <v>67</v>
      </c>
      <c r="F59">
        <v>3.9</v>
      </c>
      <c r="G59">
        <v>5.4</v>
      </c>
      <c r="H59">
        <v>2.9</v>
      </c>
      <c r="I59">
        <v>4.9000000000000004</v>
      </c>
      <c r="J59">
        <v>3.7</v>
      </c>
      <c r="K59">
        <v>2.2999999999999998</v>
      </c>
      <c r="L59">
        <v>2.2999999999999998</v>
      </c>
      <c r="M59">
        <v>3.9</v>
      </c>
      <c r="N59">
        <v>5.4</v>
      </c>
      <c r="O59">
        <v>2.9</v>
      </c>
      <c r="P59">
        <v>4.9000000000000004</v>
      </c>
      <c r="Q59">
        <v>3.7</v>
      </c>
      <c r="R59">
        <v>2.2999999999999998</v>
      </c>
      <c r="S59">
        <v>2.2999999999999998</v>
      </c>
    </row>
    <row r="60" spans="1:19" x14ac:dyDescent="0.25">
      <c r="A60" t="s">
        <v>90</v>
      </c>
      <c r="B60" t="s">
        <v>41</v>
      </c>
      <c r="E60" t="s">
        <v>62</v>
      </c>
      <c r="F60">
        <v>8.2799999999999994</v>
      </c>
      <c r="G60">
        <v>8.4166666666666661</v>
      </c>
      <c r="H60">
        <v>5.0999999999999996</v>
      </c>
      <c r="I60">
        <v>7.0240000000000009</v>
      </c>
      <c r="J60">
        <v>6.375</v>
      </c>
      <c r="K60">
        <v>4.2666666666666666</v>
      </c>
      <c r="L60">
        <v>5.9750000000000005</v>
      </c>
      <c r="M60">
        <v>8.2799999999999994</v>
      </c>
      <c r="N60">
        <v>8.4166666669999994</v>
      </c>
      <c r="O60">
        <v>5.0999999999999996</v>
      </c>
      <c r="P60">
        <v>7.024</v>
      </c>
      <c r="Q60">
        <v>6.375</v>
      </c>
      <c r="R60">
        <v>4.266666667</v>
      </c>
      <c r="S60">
        <v>5.9749999999999996</v>
      </c>
    </row>
    <row r="61" spans="1:19" x14ac:dyDescent="0.25">
      <c r="A61" t="s">
        <v>63</v>
      </c>
      <c r="B61" t="s">
        <v>64</v>
      </c>
      <c r="C61" t="s">
        <v>91</v>
      </c>
      <c r="D61" t="s">
        <v>92</v>
      </c>
      <c r="E61" t="s">
        <v>67</v>
      </c>
      <c r="F61">
        <v>8.5</v>
      </c>
      <c r="G61">
        <v>11</v>
      </c>
      <c r="H61">
        <v>7</v>
      </c>
      <c r="I61">
        <v>5.72</v>
      </c>
      <c r="J61">
        <v>11</v>
      </c>
      <c r="K61">
        <v>5</v>
      </c>
      <c r="L61">
        <v>4</v>
      </c>
      <c r="M61">
        <v>8.5</v>
      </c>
      <c r="N61">
        <v>11</v>
      </c>
      <c r="O61">
        <v>7</v>
      </c>
      <c r="P61">
        <v>5.72</v>
      </c>
      <c r="Q61">
        <v>11</v>
      </c>
      <c r="R61">
        <v>5</v>
      </c>
      <c r="S61">
        <v>4</v>
      </c>
    </row>
    <row r="62" spans="1:19" x14ac:dyDescent="0.25">
      <c r="A62" t="s">
        <v>78</v>
      </c>
      <c r="B62" t="s">
        <v>51</v>
      </c>
      <c r="C62" t="s">
        <v>91</v>
      </c>
      <c r="D62" t="s">
        <v>92</v>
      </c>
      <c r="E62" t="s">
        <v>67</v>
      </c>
      <c r="F62">
        <v>13.5</v>
      </c>
      <c r="G62">
        <v>15.3</v>
      </c>
      <c r="H62">
        <v>8.1999999999999993</v>
      </c>
      <c r="I62">
        <v>16.100000000000001</v>
      </c>
      <c r="J62">
        <v>8.1</v>
      </c>
      <c r="K62" t="s">
        <v>41</v>
      </c>
      <c r="L62">
        <v>13.1</v>
      </c>
      <c r="M62">
        <v>13.5</v>
      </c>
      <c r="N62">
        <v>15.3</v>
      </c>
      <c r="O62">
        <v>8.1999999999999993</v>
      </c>
      <c r="P62">
        <v>16.100000000000001</v>
      </c>
      <c r="Q62">
        <v>8.1</v>
      </c>
      <c r="R62" t="s">
        <v>41</v>
      </c>
      <c r="S62">
        <v>13.1</v>
      </c>
    </row>
    <row r="63" spans="1:19" x14ac:dyDescent="0.25">
      <c r="A63" t="s">
        <v>79</v>
      </c>
      <c r="B63" t="s">
        <v>46</v>
      </c>
      <c r="C63" t="s">
        <v>91</v>
      </c>
      <c r="D63" t="s">
        <v>92</v>
      </c>
      <c r="E63" t="s">
        <v>67</v>
      </c>
      <c r="F63">
        <v>9.8000000000000007</v>
      </c>
      <c r="G63">
        <v>9</v>
      </c>
      <c r="H63" t="s">
        <v>41</v>
      </c>
      <c r="I63" t="s">
        <v>41</v>
      </c>
      <c r="J63" t="s">
        <v>41</v>
      </c>
      <c r="K63" t="s">
        <v>41</v>
      </c>
      <c r="L63" t="s">
        <v>41</v>
      </c>
      <c r="M63">
        <v>9.8000000000000007</v>
      </c>
      <c r="N63">
        <v>9</v>
      </c>
      <c r="O63" t="s">
        <v>41</v>
      </c>
      <c r="P63" t="s">
        <v>41</v>
      </c>
      <c r="Q63" t="s">
        <v>41</v>
      </c>
      <c r="R63" t="s">
        <v>41</v>
      </c>
      <c r="S63" t="s">
        <v>41</v>
      </c>
    </row>
    <row r="64" spans="1:19" x14ac:dyDescent="0.25">
      <c r="A64" t="s">
        <v>80</v>
      </c>
      <c r="B64" t="s">
        <v>81</v>
      </c>
      <c r="C64" t="s">
        <v>91</v>
      </c>
      <c r="D64" t="s">
        <v>92</v>
      </c>
      <c r="E64" t="s">
        <v>67</v>
      </c>
      <c r="F64" t="s">
        <v>41</v>
      </c>
      <c r="G64">
        <v>0</v>
      </c>
      <c r="H64">
        <v>-1</v>
      </c>
      <c r="I64">
        <v>-2</v>
      </c>
      <c r="J64">
        <v>-1.2</v>
      </c>
      <c r="K64">
        <v>-1.5</v>
      </c>
      <c r="L64">
        <v>-2.5</v>
      </c>
      <c r="M64" t="s">
        <v>41</v>
      </c>
      <c r="N64">
        <v>0</v>
      </c>
      <c r="O64">
        <v>-1</v>
      </c>
      <c r="P64">
        <v>-2</v>
      </c>
      <c r="Q64">
        <v>-1.2</v>
      </c>
      <c r="R64">
        <v>-1.5</v>
      </c>
      <c r="S64">
        <v>-2.5</v>
      </c>
    </row>
    <row r="65" spans="1:19" x14ac:dyDescent="0.25">
      <c r="A65" t="s">
        <v>82</v>
      </c>
      <c r="B65" t="s">
        <v>49</v>
      </c>
      <c r="C65" t="s">
        <v>91</v>
      </c>
      <c r="D65" t="s">
        <v>92</v>
      </c>
      <c r="E65" t="s">
        <v>67</v>
      </c>
      <c r="F65">
        <v>7.1</v>
      </c>
      <c r="G65">
        <v>11.4</v>
      </c>
      <c r="H65">
        <v>6.7</v>
      </c>
      <c r="I65">
        <v>8.3000000000000007</v>
      </c>
      <c r="J65" t="s">
        <v>41</v>
      </c>
      <c r="K65" t="s">
        <v>41</v>
      </c>
      <c r="L65" t="s">
        <v>41</v>
      </c>
      <c r="M65">
        <v>7.1</v>
      </c>
      <c r="N65">
        <v>11.4</v>
      </c>
      <c r="O65">
        <v>6.7</v>
      </c>
      <c r="P65">
        <v>8.3000000000000007</v>
      </c>
      <c r="Q65" t="s">
        <v>41</v>
      </c>
      <c r="R65" t="s">
        <v>41</v>
      </c>
      <c r="S65" t="s">
        <v>41</v>
      </c>
    </row>
    <row r="66" spans="1:19" x14ac:dyDescent="0.25">
      <c r="A66" t="s">
        <v>83</v>
      </c>
      <c r="B66" t="s">
        <v>53</v>
      </c>
      <c r="C66" t="s">
        <v>91</v>
      </c>
      <c r="D66" t="s">
        <v>92</v>
      </c>
      <c r="E66" t="s">
        <v>67</v>
      </c>
      <c r="F66">
        <v>2.5</v>
      </c>
      <c r="G66">
        <v>3.8</v>
      </c>
      <c r="H66">
        <v>4.5999999999999996</v>
      </c>
      <c r="I66">
        <v>7</v>
      </c>
      <c r="J66">
        <v>7.6</v>
      </c>
      <c r="K66">
        <v>9.3000000000000007</v>
      </c>
      <c r="L66">
        <v>9.3000000000000007</v>
      </c>
      <c r="M66">
        <v>2.5</v>
      </c>
      <c r="N66">
        <v>3.8</v>
      </c>
      <c r="O66">
        <v>4.5999999999999996</v>
      </c>
      <c r="P66">
        <v>7</v>
      </c>
      <c r="Q66">
        <v>7.6</v>
      </c>
      <c r="R66">
        <v>9.3000000000000007</v>
      </c>
      <c r="S66">
        <v>9.3000000000000007</v>
      </c>
    </row>
    <row r="67" spans="1:19" x14ac:dyDescent="0.25">
      <c r="A67" t="s">
        <v>93</v>
      </c>
      <c r="B67" t="s">
        <v>41</v>
      </c>
      <c r="E67" t="s">
        <v>42</v>
      </c>
      <c r="F67" t="s">
        <v>41</v>
      </c>
      <c r="G67" t="s">
        <v>41</v>
      </c>
      <c r="H67" t="s">
        <v>41</v>
      </c>
      <c r="I67" t="s">
        <v>41</v>
      </c>
      <c r="J67" t="s">
        <v>41</v>
      </c>
      <c r="K67" t="s">
        <v>41</v>
      </c>
      <c r="L67" t="s">
        <v>41</v>
      </c>
      <c r="M67" t="s">
        <v>41</v>
      </c>
      <c r="N67" t="s">
        <v>41</v>
      </c>
      <c r="O67" t="s">
        <v>41</v>
      </c>
      <c r="P67" t="s">
        <v>41</v>
      </c>
      <c r="Q67" t="s">
        <v>41</v>
      </c>
      <c r="R67" t="s">
        <v>41</v>
      </c>
      <c r="S67" t="s">
        <v>41</v>
      </c>
    </row>
    <row r="68" spans="1:19" x14ac:dyDescent="0.25">
      <c r="A68" t="s">
        <v>94</v>
      </c>
      <c r="B68" t="s">
        <v>41</v>
      </c>
      <c r="E68" t="s">
        <v>44</v>
      </c>
      <c r="M68" t="s">
        <v>41</v>
      </c>
      <c r="N68" t="s">
        <v>41</v>
      </c>
      <c r="O68" t="s">
        <v>41</v>
      </c>
      <c r="P68" t="s">
        <v>41</v>
      </c>
      <c r="Q68" t="s">
        <v>41</v>
      </c>
      <c r="R68" t="s">
        <v>41</v>
      </c>
      <c r="S68" t="s">
        <v>41</v>
      </c>
    </row>
    <row r="69" spans="1:19" x14ac:dyDescent="0.25">
      <c r="A69" t="s">
        <v>95</v>
      </c>
      <c r="B69" t="s">
        <v>41</v>
      </c>
      <c r="E69" t="s">
        <v>44</v>
      </c>
      <c r="M69" t="s">
        <v>41</v>
      </c>
      <c r="N69" t="s">
        <v>41</v>
      </c>
      <c r="O69" t="s">
        <v>41</v>
      </c>
      <c r="P69" t="s">
        <v>41</v>
      </c>
      <c r="Q69" t="s">
        <v>41</v>
      </c>
      <c r="R69" t="s">
        <v>41</v>
      </c>
      <c r="S69" t="s">
        <v>41</v>
      </c>
    </row>
    <row r="70" spans="1:19" x14ac:dyDescent="0.25">
      <c r="A70" t="s">
        <v>96</v>
      </c>
      <c r="B70" t="s">
        <v>41</v>
      </c>
      <c r="E70" t="s">
        <v>97</v>
      </c>
      <c r="F70">
        <v>2159244</v>
      </c>
      <c r="G70">
        <v>2052998</v>
      </c>
      <c r="H70">
        <v>1968613</v>
      </c>
      <c r="I70">
        <v>1909542</v>
      </c>
      <c r="J70">
        <v>1783650</v>
      </c>
      <c r="K70">
        <v>1550152</v>
      </c>
      <c r="L70">
        <v>1576225</v>
      </c>
      <c r="M70">
        <v>2159244</v>
      </c>
      <c r="N70">
        <v>2052998</v>
      </c>
      <c r="O70">
        <v>1968613</v>
      </c>
      <c r="P70">
        <v>1909542</v>
      </c>
      <c r="Q70">
        <v>1783650</v>
      </c>
      <c r="R70">
        <v>1550152</v>
      </c>
      <c r="S70">
        <v>1576225</v>
      </c>
    </row>
    <row r="71" spans="1:19" x14ac:dyDescent="0.25">
      <c r="A71" t="s">
        <v>80</v>
      </c>
      <c r="B71" t="s">
        <v>81</v>
      </c>
      <c r="C71" t="s">
        <v>98</v>
      </c>
      <c r="D71" t="s">
        <v>99</v>
      </c>
      <c r="E71" t="s">
        <v>67</v>
      </c>
      <c r="F71">
        <v>350600</v>
      </c>
      <c r="G71">
        <v>350600</v>
      </c>
      <c r="H71">
        <v>366600</v>
      </c>
      <c r="I71">
        <v>380300</v>
      </c>
      <c r="J71">
        <v>377757</v>
      </c>
      <c r="K71">
        <v>379592</v>
      </c>
      <c r="L71">
        <v>431212</v>
      </c>
      <c r="M71">
        <v>350600</v>
      </c>
      <c r="N71">
        <v>350600</v>
      </c>
      <c r="O71">
        <v>366600</v>
      </c>
      <c r="P71">
        <v>380300</v>
      </c>
      <c r="Q71">
        <v>377757</v>
      </c>
      <c r="R71">
        <v>379592</v>
      </c>
      <c r="S71">
        <v>431212</v>
      </c>
    </row>
    <row r="72" spans="1:19" x14ac:dyDescent="0.25">
      <c r="A72" t="s">
        <v>63</v>
      </c>
      <c r="B72" t="s">
        <v>64</v>
      </c>
      <c r="C72" t="s">
        <v>98</v>
      </c>
      <c r="D72" t="s">
        <v>99</v>
      </c>
      <c r="E72" t="s">
        <v>67</v>
      </c>
      <c r="F72">
        <v>492000</v>
      </c>
      <c r="G72">
        <v>459000</v>
      </c>
      <c r="H72">
        <v>459000</v>
      </c>
      <c r="I72">
        <v>384000</v>
      </c>
      <c r="J72">
        <v>358498</v>
      </c>
      <c r="K72">
        <v>305000</v>
      </c>
      <c r="L72">
        <v>275000</v>
      </c>
      <c r="M72">
        <v>492000</v>
      </c>
      <c r="N72">
        <v>459000</v>
      </c>
      <c r="O72">
        <v>459000</v>
      </c>
      <c r="P72">
        <v>384000</v>
      </c>
      <c r="Q72">
        <v>358498</v>
      </c>
      <c r="R72">
        <v>305000</v>
      </c>
      <c r="S72">
        <v>275000</v>
      </c>
    </row>
    <row r="73" spans="1:19" x14ac:dyDescent="0.25">
      <c r="A73" t="s">
        <v>82</v>
      </c>
      <c r="B73" t="s">
        <v>49</v>
      </c>
      <c r="C73" t="s">
        <v>98</v>
      </c>
      <c r="D73" t="s">
        <v>99</v>
      </c>
      <c r="E73" t="s">
        <v>67</v>
      </c>
      <c r="F73">
        <v>448464</v>
      </c>
      <c r="G73">
        <v>424285</v>
      </c>
      <c r="H73">
        <v>394998</v>
      </c>
      <c r="I73">
        <v>387223</v>
      </c>
      <c r="J73">
        <v>353843</v>
      </c>
      <c r="K73">
        <v>319656</v>
      </c>
      <c r="L73">
        <v>300464</v>
      </c>
      <c r="M73">
        <v>448464</v>
      </c>
      <c r="N73">
        <v>424285</v>
      </c>
      <c r="O73">
        <v>394998</v>
      </c>
      <c r="P73">
        <v>387223</v>
      </c>
      <c r="Q73">
        <v>353843</v>
      </c>
      <c r="R73">
        <v>319656</v>
      </c>
      <c r="S73">
        <v>300464</v>
      </c>
    </row>
    <row r="74" spans="1:19" x14ac:dyDescent="0.25">
      <c r="A74" t="s">
        <v>79</v>
      </c>
      <c r="B74" t="s">
        <v>46</v>
      </c>
      <c r="C74" t="s">
        <v>98</v>
      </c>
      <c r="D74" t="s">
        <v>99</v>
      </c>
      <c r="E74" t="s">
        <v>67</v>
      </c>
      <c r="F74">
        <v>242371</v>
      </c>
      <c r="G74">
        <v>228123</v>
      </c>
      <c r="H74">
        <v>204107</v>
      </c>
      <c r="I74">
        <v>200364</v>
      </c>
      <c r="J74">
        <v>194044</v>
      </c>
      <c r="K74">
        <v>176187</v>
      </c>
      <c r="L74">
        <v>160405</v>
      </c>
      <c r="M74">
        <v>242371</v>
      </c>
      <c r="N74">
        <v>228123</v>
      </c>
      <c r="O74">
        <v>204107</v>
      </c>
      <c r="P74">
        <v>200364</v>
      </c>
      <c r="Q74">
        <v>194044</v>
      </c>
      <c r="R74">
        <v>176187</v>
      </c>
      <c r="S74">
        <v>160405</v>
      </c>
    </row>
    <row r="75" spans="1:19" x14ac:dyDescent="0.25">
      <c r="A75" t="s">
        <v>74</v>
      </c>
      <c r="B75" t="s">
        <v>75</v>
      </c>
      <c r="C75" t="s">
        <v>98</v>
      </c>
      <c r="D75" t="s">
        <v>99</v>
      </c>
      <c r="E75" t="s">
        <v>67</v>
      </c>
      <c r="F75">
        <v>292500</v>
      </c>
      <c r="G75">
        <v>281600</v>
      </c>
      <c r="H75">
        <v>260000</v>
      </c>
      <c r="I75">
        <v>260200</v>
      </c>
      <c r="J75">
        <v>221700</v>
      </c>
      <c r="K75">
        <v>211500</v>
      </c>
      <c r="L75">
        <v>171400</v>
      </c>
      <c r="M75">
        <v>292500</v>
      </c>
      <c r="N75">
        <v>281600</v>
      </c>
      <c r="O75">
        <v>260000</v>
      </c>
      <c r="P75">
        <v>260200</v>
      </c>
      <c r="Q75">
        <v>221700</v>
      </c>
      <c r="R75">
        <v>211500</v>
      </c>
      <c r="S75">
        <v>171400</v>
      </c>
    </row>
    <row r="76" spans="1:19" x14ac:dyDescent="0.25">
      <c r="A76" t="s">
        <v>83</v>
      </c>
      <c r="B76" t="s">
        <v>53</v>
      </c>
      <c r="C76" t="s">
        <v>98</v>
      </c>
      <c r="D76" t="s">
        <v>99</v>
      </c>
      <c r="E76" t="s">
        <v>67</v>
      </c>
      <c r="F76">
        <v>182886</v>
      </c>
      <c r="G76">
        <v>171425</v>
      </c>
      <c r="H76">
        <v>163827</v>
      </c>
      <c r="I76">
        <v>181482</v>
      </c>
      <c r="J76">
        <v>172912</v>
      </c>
      <c r="K76">
        <v>158217</v>
      </c>
      <c r="L76">
        <v>146053</v>
      </c>
      <c r="M76">
        <v>182886</v>
      </c>
      <c r="N76">
        <v>171425</v>
      </c>
      <c r="O76">
        <v>163827</v>
      </c>
      <c r="P76">
        <v>181482</v>
      </c>
      <c r="Q76">
        <v>172912</v>
      </c>
      <c r="R76">
        <v>158217</v>
      </c>
      <c r="S76">
        <v>146053</v>
      </c>
    </row>
    <row r="77" spans="1:19" x14ac:dyDescent="0.25">
      <c r="A77" t="s">
        <v>78</v>
      </c>
      <c r="B77" t="s">
        <v>51</v>
      </c>
      <c r="C77" t="s">
        <v>98</v>
      </c>
      <c r="D77" t="s">
        <v>99</v>
      </c>
      <c r="E77" t="s">
        <v>67</v>
      </c>
      <c r="F77">
        <v>150423</v>
      </c>
      <c r="G77">
        <v>137965</v>
      </c>
      <c r="H77">
        <v>120081</v>
      </c>
      <c r="I77">
        <v>115973</v>
      </c>
      <c r="J77">
        <v>104896</v>
      </c>
      <c r="K77" t="s">
        <v>41</v>
      </c>
      <c r="L77">
        <v>91691</v>
      </c>
      <c r="M77">
        <v>150423</v>
      </c>
      <c r="N77">
        <v>137965</v>
      </c>
      <c r="O77">
        <v>120081</v>
      </c>
      <c r="P77">
        <v>115973</v>
      </c>
      <c r="Q77">
        <v>104896</v>
      </c>
      <c r="R77" t="s">
        <v>41</v>
      </c>
      <c r="S77">
        <v>91691</v>
      </c>
    </row>
    <row r="78" spans="1:19" x14ac:dyDescent="0.25">
      <c r="A78" t="s">
        <v>100</v>
      </c>
      <c r="B78" t="s">
        <v>101</v>
      </c>
      <c r="E78" t="s">
        <v>102</v>
      </c>
      <c r="F78">
        <v>14.7</v>
      </c>
      <c r="G78">
        <v>17.649999999999999</v>
      </c>
      <c r="H78">
        <v>16.05</v>
      </c>
      <c r="I78">
        <v>16.3</v>
      </c>
      <c r="J78">
        <v>16.700000000000003</v>
      </c>
      <c r="K78">
        <v>16.5</v>
      </c>
      <c r="L78">
        <v>16</v>
      </c>
      <c r="M78">
        <v>14.7</v>
      </c>
      <c r="N78">
        <v>17.649999999999999</v>
      </c>
      <c r="O78">
        <v>16.05</v>
      </c>
      <c r="P78">
        <v>16.3</v>
      </c>
      <c r="Q78">
        <v>16.7</v>
      </c>
      <c r="R78">
        <v>16.5</v>
      </c>
      <c r="S78">
        <v>16</v>
      </c>
    </row>
    <row r="79" spans="1:19" x14ac:dyDescent="0.25">
      <c r="A79" t="s">
        <v>63</v>
      </c>
      <c r="B79" t="s">
        <v>64</v>
      </c>
      <c r="C79" t="s">
        <v>103</v>
      </c>
      <c r="D79" t="s">
        <v>104</v>
      </c>
      <c r="E79" t="s">
        <v>67</v>
      </c>
      <c r="F79" t="s">
        <v>41</v>
      </c>
      <c r="G79" t="s">
        <v>41</v>
      </c>
      <c r="H79" t="s">
        <v>41</v>
      </c>
      <c r="I79">
        <v>14</v>
      </c>
      <c r="J79">
        <v>14</v>
      </c>
      <c r="K79">
        <v>13</v>
      </c>
      <c r="L79">
        <v>12</v>
      </c>
      <c r="M79" t="s">
        <v>41</v>
      </c>
      <c r="N79" t="s">
        <v>41</v>
      </c>
      <c r="O79" t="s">
        <v>41</v>
      </c>
      <c r="P79">
        <v>14</v>
      </c>
      <c r="Q79">
        <v>14</v>
      </c>
      <c r="R79">
        <v>13</v>
      </c>
      <c r="S79">
        <v>12</v>
      </c>
    </row>
    <row r="80" spans="1:19" x14ac:dyDescent="0.25">
      <c r="A80" t="s">
        <v>82</v>
      </c>
      <c r="B80" t="s">
        <v>49</v>
      </c>
      <c r="C80" t="s">
        <v>103</v>
      </c>
      <c r="D80" t="s">
        <v>104</v>
      </c>
      <c r="E80" t="s">
        <v>67</v>
      </c>
      <c r="F80">
        <v>12.1</v>
      </c>
      <c r="G80" t="s">
        <v>41</v>
      </c>
      <c r="H80">
        <v>11</v>
      </c>
      <c r="I80">
        <v>11.5</v>
      </c>
      <c r="J80" t="s">
        <v>41</v>
      </c>
      <c r="K80" t="s">
        <v>41</v>
      </c>
      <c r="L80" t="s">
        <v>41</v>
      </c>
      <c r="M80">
        <v>12.1</v>
      </c>
      <c r="N80" t="s">
        <v>41</v>
      </c>
      <c r="O80">
        <v>11</v>
      </c>
      <c r="P80">
        <v>11.5</v>
      </c>
      <c r="Q80" t="s">
        <v>41</v>
      </c>
      <c r="R80" t="s">
        <v>41</v>
      </c>
      <c r="S80" t="s">
        <v>41</v>
      </c>
    </row>
    <row r="81" spans="1:19" x14ac:dyDescent="0.25">
      <c r="A81" t="s">
        <v>79</v>
      </c>
      <c r="B81" t="s">
        <v>46</v>
      </c>
      <c r="C81" t="s">
        <v>103</v>
      </c>
      <c r="D81" t="s">
        <v>104</v>
      </c>
      <c r="E81" t="s">
        <v>67</v>
      </c>
      <c r="F81" t="s">
        <v>41</v>
      </c>
      <c r="G81" t="s">
        <v>41</v>
      </c>
      <c r="H81">
        <v>20</v>
      </c>
      <c r="I81">
        <v>19.2</v>
      </c>
      <c r="J81">
        <v>18.7</v>
      </c>
      <c r="K81">
        <v>18.899999999999999</v>
      </c>
      <c r="L81">
        <v>18.7</v>
      </c>
      <c r="M81" t="s">
        <v>41</v>
      </c>
      <c r="N81" t="s">
        <v>41</v>
      </c>
      <c r="O81">
        <v>20</v>
      </c>
      <c r="P81">
        <v>19.2</v>
      </c>
      <c r="Q81">
        <v>18.7</v>
      </c>
      <c r="R81">
        <v>18.899999999999999</v>
      </c>
      <c r="S81">
        <v>18.7</v>
      </c>
    </row>
    <row r="82" spans="1:19" x14ac:dyDescent="0.25">
      <c r="A82" t="s">
        <v>83</v>
      </c>
      <c r="B82" t="s">
        <v>53</v>
      </c>
      <c r="C82" t="s">
        <v>103</v>
      </c>
      <c r="D82" t="s">
        <v>104</v>
      </c>
      <c r="E82" t="s">
        <v>67</v>
      </c>
      <c r="F82">
        <v>14.7</v>
      </c>
      <c r="G82">
        <v>17.600000000000001</v>
      </c>
      <c r="H82">
        <v>16.600000000000001</v>
      </c>
      <c r="I82">
        <v>16.3</v>
      </c>
      <c r="J82">
        <v>16.100000000000001</v>
      </c>
      <c r="K82">
        <v>16.5</v>
      </c>
      <c r="L82">
        <v>15.1</v>
      </c>
      <c r="M82">
        <v>14.7</v>
      </c>
      <c r="N82">
        <v>17.600000000000001</v>
      </c>
      <c r="O82">
        <v>16.600000000000001</v>
      </c>
      <c r="P82">
        <v>16.3</v>
      </c>
      <c r="Q82">
        <v>16.100000000000001</v>
      </c>
      <c r="R82">
        <v>16.5</v>
      </c>
      <c r="S82">
        <v>15.1</v>
      </c>
    </row>
    <row r="83" spans="1:19" x14ac:dyDescent="0.25">
      <c r="A83" t="s">
        <v>74</v>
      </c>
      <c r="B83" t="s">
        <v>75</v>
      </c>
      <c r="C83" t="s">
        <v>103</v>
      </c>
      <c r="D83" t="s">
        <v>104</v>
      </c>
      <c r="E83" t="s">
        <v>67</v>
      </c>
      <c r="F83" t="s">
        <v>41</v>
      </c>
      <c r="G83" t="s">
        <v>41</v>
      </c>
      <c r="H83" t="s">
        <v>41</v>
      </c>
      <c r="I83" t="s">
        <v>41</v>
      </c>
      <c r="J83" t="s">
        <v>41</v>
      </c>
      <c r="K83" t="s">
        <v>41</v>
      </c>
      <c r="L83">
        <v>16</v>
      </c>
      <c r="M83" t="s">
        <v>41</v>
      </c>
      <c r="N83" t="s">
        <v>41</v>
      </c>
      <c r="O83" t="s">
        <v>41</v>
      </c>
      <c r="P83" t="s">
        <v>41</v>
      </c>
      <c r="Q83" t="s">
        <v>41</v>
      </c>
      <c r="R83" t="s">
        <v>41</v>
      </c>
      <c r="S83">
        <v>16</v>
      </c>
    </row>
    <row r="84" spans="1:19" x14ac:dyDescent="0.25">
      <c r="A84" t="s">
        <v>78</v>
      </c>
      <c r="B84" t="s">
        <v>51</v>
      </c>
      <c r="C84" t="s">
        <v>103</v>
      </c>
      <c r="D84" t="s">
        <v>104</v>
      </c>
      <c r="E84" t="s">
        <v>67</v>
      </c>
      <c r="F84">
        <v>16.3</v>
      </c>
      <c r="G84">
        <v>17.7</v>
      </c>
      <c r="H84">
        <v>15.5</v>
      </c>
      <c r="I84">
        <v>16.899999999999999</v>
      </c>
      <c r="J84">
        <v>17.3</v>
      </c>
      <c r="K84" t="s">
        <v>41</v>
      </c>
      <c r="L84">
        <v>16.899999999999999</v>
      </c>
      <c r="M84">
        <v>16.3</v>
      </c>
      <c r="N84">
        <v>17.7</v>
      </c>
      <c r="O84">
        <v>15.5</v>
      </c>
      <c r="P84">
        <v>16.899999999999999</v>
      </c>
      <c r="Q84">
        <v>17.3</v>
      </c>
      <c r="R84" t="s">
        <v>41</v>
      </c>
      <c r="S84">
        <v>16.899999999999999</v>
      </c>
    </row>
    <row r="85" spans="1:19" x14ac:dyDescent="0.25">
      <c r="A85" t="s">
        <v>105</v>
      </c>
      <c r="B85" t="s">
        <v>41</v>
      </c>
      <c r="E85" t="s">
        <v>62</v>
      </c>
      <c r="F85">
        <v>82.45</v>
      </c>
      <c r="G85">
        <v>84.333333333333329</v>
      </c>
      <c r="H85">
        <v>83.86666666666666</v>
      </c>
      <c r="I85">
        <v>85.424999999999997</v>
      </c>
      <c r="J85">
        <v>84.025000000000006</v>
      </c>
      <c r="K85">
        <v>82.666666666666671</v>
      </c>
      <c r="L85">
        <v>81.125</v>
      </c>
      <c r="M85" t="s">
        <v>41</v>
      </c>
      <c r="N85">
        <v>84.333333330000002</v>
      </c>
      <c r="O85">
        <v>83.866666670000001</v>
      </c>
      <c r="P85">
        <v>85.424999999999997</v>
      </c>
      <c r="Q85">
        <v>84.025000000000006</v>
      </c>
      <c r="R85">
        <v>82.666666669999998</v>
      </c>
      <c r="S85">
        <v>81.125</v>
      </c>
    </row>
    <row r="86" spans="1:19" x14ac:dyDescent="0.25">
      <c r="A86" t="s">
        <v>63</v>
      </c>
      <c r="B86" t="s">
        <v>64</v>
      </c>
      <c r="C86" t="s">
        <v>106</v>
      </c>
      <c r="D86" t="s">
        <v>107</v>
      </c>
      <c r="E86" t="s">
        <v>67</v>
      </c>
      <c r="F86" t="s">
        <v>41</v>
      </c>
      <c r="G86" t="s">
        <v>41</v>
      </c>
      <c r="H86" t="s">
        <v>41</v>
      </c>
      <c r="I86">
        <v>92</v>
      </c>
      <c r="J86">
        <v>90</v>
      </c>
      <c r="K86">
        <v>88</v>
      </c>
      <c r="L86">
        <v>88</v>
      </c>
      <c r="M86" t="s">
        <v>41</v>
      </c>
      <c r="N86" t="s">
        <v>41</v>
      </c>
      <c r="O86" t="s">
        <v>41</v>
      </c>
      <c r="P86">
        <v>92</v>
      </c>
      <c r="Q86">
        <v>90</v>
      </c>
      <c r="R86">
        <v>88</v>
      </c>
      <c r="S86">
        <v>88</v>
      </c>
    </row>
    <row r="87" spans="1:19" x14ac:dyDescent="0.25">
      <c r="A87" t="s">
        <v>82</v>
      </c>
      <c r="B87" t="s">
        <v>49</v>
      </c>
      <c r="C87" t="s">
        <v>106</v>
      </c>
      <c r="D87" t="s">
        <v>107</v>
      </c>
      <c r="E87" t="s">
        <v>67</v>
      </c>
      <c r="F87" t="s">
        <v>41</v>
      </c>
      <c r="G87" t="s">
        <v>41</v>
      </c>
      <c r="H87" t="s">
        <v>41</v>
      </c>
      <c r="I87" t="s">
        <v>41</v>
      </c>
      <c r="K87" t="s">
        <v>41</v>
      </c>
      <c r="L87" t="s">
        <v>41</v>
      </c>
      <c r="M87" t="s">
        <v>41</v>
      </c>
      <c r="N87" t="s">
        <v>41</v>
      </c>
      <c r="O87" t="s">
        <v>41</v>
      </c>
      <c r="P87" t="s">
        <v>41</v>
      </c>
      <c r="Q87" t="s">
        <v>41</v>
      </c>
      <c r="R87" t="s">
        <v>41</v>
      </c>
      <c r="S87" t="s">
        <v>41</v>
      </c>
    </row>
    <row r="88" spans="1:19" x14ac:dyDescent="0.25">
      <c r="A88" t="s">
        <v>79</v>
      </c>
      <c r="B88" t="s">
        <v>46</v>
      </c>
      <c r="C88" t="s">
        <v>106</v>
      </c>
      <c r="D88" t="s">
        <v>107</v>
      </c>
      <c r="E88" t="s">
        <v>67</v>
      </c>
      <c r="F88">
        <v>84</v>
      </c>
      <c r="G88">
        <v>84.3</v>
      </c>
      <c r="H88">
        <v>84.6</v>
      </c>
      <c r="I88">
        <v>81.7</v>
      </c>
      <c r="J88">
        <v>80.599999999999994</v>
      </c>
      <c r="K88">
        <v>80.900000000000006</v>
      </c>
      <c r="L88">
        <v>77.400000000000006</v>
      </c>
      <c r="M88">
        <v>84</v>
      </c>
      <c r="N88">
        <v>84.3</v>
      </c>
      <c r="O88">
        <v>84.6</v>
      </c>
      <c r="P88">
        <v>81.7</v>
      </c>
      <c r="Q88">
        <v>80.599999999999994</v>
      </c>
      <c r="R88">
        <v>80.900000000000006</v>
      </c>
      <c r="S88">
        <v>77.400000000000006</v>
      </c>
    </row>
    <row r="89" spans="1:19" x14ac:dyDescent="0.25">
      <c r="A89" t="s">
        <v>74</v>
      </c>
      <c r="B89" t="s">
        <v>75</v>
      </c>
      <c r="C89" t="s">
        <v>106</v>
      </c>
      <c r="D89" t="s">
        <v>107</v>
      </c>
      <c r="E89" t="s">
        <v>67</v>
      </c>
      <c r="F89" t="s">
        <v>41</v>
      </c>
      <c r="G89" t="s">
        <v>41</v>
      </c>
      <c r="H89" t="s">
        <v>41</v>
      </c>
      <c r="I89" t="s">
        <v>41</v>
      </c>
      <c r="J89" t="s">
        <v>41</v>
      </c>
      <c r="K89" t="s">
        <v>41</v>
      </c>
      <c r="L89" t="s">
        <v>41</v>
      </c>
      <c r="M89" t="s">
        <v>41</v>
      </c>
      <c r="N89" t="s">
        <v>41</v>
      </c>
      <c r="O89" t="s">
        <v>41</v>
      </c>
      <c r="P89" t="s">
        <v>41</v>
      </c>
      <c r="Q89" t="s">
        <v>41</v>
      </c>
      <c r="R89" t="s">
        <v>41</v>
      </c>
      <c r="S89" t="s">
        <v>41</v>
      </c>
    </row>
    <row r="90" spans="1:19" x14ac:dyDescent="0.25">
      <c r="A90" t="s">
        <v>83</v>
      </c>
      <c r="B90" t="s">
        <v>53</v>
      </c>
      <c r="C90" t="s">
        <v>106</v>
      </c>
      <c r="D90" t="s">
        <v>107</v>
      </c>
      <c r="E90" t="s">
        <v>67</v>
      </c>
      <c r="F90">
        <v>80.900000000000006</v>
      </c>
      <c r="G90">
        <v>83.3</v>
      </c>
      <c r="H90">
        <v>81.099999999999994</v>
      </c>
      <c r="I90">
        <v>82.3</v>
      </c>
      <c r="J90">
        <v>79.900000000000006</v>
      </c>
      <c r="K90">
        <v>79.099999999999994</v>
      </c>
      <c r="L90">
        <v>74.599999999999994</v>
      </c>
      <c r="M90">
        <v>80.900000000000006</v>
      </c>
      <c r="N90">
        <v>83.3</v>
      </c>
      <c r="O90">
        <v>81.099999999999994</v>
      </c>
      <c r="P90">
        <v>82.3</v>
      </c>
      <c r="Q90">
        <v>79.900000000000006</v>
      </c>
      <c r="R90">
        <v>79.099999999999994</v>
      </c>
      <c r="S90">
        <v>74.599999999999994</v>
      </c>
    </row>
    <row r="91" spans="1:19" x14ac:dyDescent="0.25">
      <c r="A91" t="s">
        <v>78</v>
      </c>
      <c r="B91" t="s">
        <v>51</v>
      </c>
      <c r="C91" t="s">
        <v>106</v>
      </c>
      <c r="D91" t="s">
        <v>107</v>
      </c>
      <c r="E91" t="s">
        <v>67</v>
      </c>
      <c r="F91" t="s">
        <v>41</v>
      </c>
      <c r="G91">
        <v>85.4</v>
      </c>
      <c r="H91">
        <v>85.9</v>
      </c>
      <c r="I91">
        <v>85.7</v>
      </c>
      <c r="J91">
        <v>85.6</v>
      </c>
      <c r="K91" t="s">
        <v>41</v>
      </c>
      <c r="L91">
        <v>84.5</v>
      </c>
      <c r="M91" t="s">
        <v>41</v>
      </c>
      <c r="N91">
        <v>85.4</v>
      </c>
      <c r="O91">
        <v>85.9</v>
      </c>
      <c r="P91">
        <v>85.7</v>
      </c>
      <c r="Q91">
        <v>85.6</v>
      </c>
      <c r="R91" t="s">
        <v>41</v>
      </c>
      <c r="S91">
        <v>84.5</v>
      </c>
    </row>
    <row r="92" spans="1:19" x14ac:dyDescent="0.25">
      <c r="A92" t="s">
        <v>108</v>
      </c>
      <c r="B92" t="s">
        <v>41</v>
      </c>
      <c r="E92" t="s">
        <v>44</v>
      </c>
      <c r="M92" t="s">
        <v>41</v>
      </c>
      <c r="N92" t="s">
        <v>41</v>
      </c>
      <c r="O92" t="s">
        <v>41</v>
      </c>
      <c r="P92" t="s">
        <v>41</v>
      </c>
      <c r="Q92" t="s">
        <v>41</v>
      </c>
      <c r="R92" t="s">
        <v>41</v>
      </c>
      <c r="S92" t="s">
        <v>41</v>
      </c>
    </row>
    <row r="93" spans="1:19" x14ac:dyDescent="0.25">
      <c r="A93" t="s">
        <v>109</v>
      </c>
      <c r="B93" t="s">
        <v>41</v>
      </c>
      <c r="E93" t="s">
        <v>97</v>
      </c>
      <c r="F93">
        <v>2485</v>
      </c>
      <c r="G93">
        <v>2772</v>
      </c>
      <c r="H93">
        <v>2809</v>
      </c>
      <c r="I93">
        <v>2814</v>
      </c>
      <c r="J93">
        <v>2615</v>
      </c>
      <c r="K93">
        <v>2275</v>
      </c>
      <c r="L93">
        <v>3073</v>
      </c>
      <c r="M93" t="s">
        <v>41</v>
      </c>
      <c r="N93">
        <v>2772</v>
      </c>
      <c r="O93">
        <v>2809</v>
      </c>
      <c r="P93">
        <v>2814</v>
      </c>
      <c r="Q93">
        <v>2615</v>
      </c>
      <c r="R93">
        <v>2275</v>
      </c>
      <c r="S93">
        <v>3073</v>
      </c>
    </row>
    <row r="94" spans="1:19" x14ac:dyDescent="0.25">
      <c r="A94" t="s">
        <v>110</v>
      </c>
      <c r="B94" t="s">
        <v>75</v>
      </c>
      <c r="C94" t="s">
        <v>111</v>
      </c>
      <c r="D94" t="s">
        <v>112</v>
      </c>
      <c r="E94" t="s">
        <v>67</v>
      </c>
      <c r="F94" t="s">
        <v>41</v>
      </c>
      <c r="G94">
        <v>378</v>
      </c>
      <c r="H94">
        <v>357</v>
      </c>
      <c r="I94">
        <v>329</v>
      </c>
      <c r="J94">
        <v>300</v>
      </c>
      <c r="K94">
        <v>271</v>
      </c>
      <c r="L94">
        <v>1197</v>
      </c>
      <c r="M94" t="s">
        <v>41</v>
      </c>
      <c r="N94">
        <v>378</v>
      </c>
      <c r="O94">
        <v>357</v>
      </c>
      <c r="P94">
        <v>329</v>
      </c>
      <c r="Q94">
        <v>300</v>
      </c>
      <c r="R94">
        <v>271</v>
      </c>
      <c r="S94">
        <v>1197</v>
      </c>
    </row>
    <row r="95" spans="1:19" x14ac:dyDescent="0.25">
      <c r="A95" t="s">
        <v>78</v>
      </c>
      <c r="B95" t="s">
        <v>51</v>
      </c>
      <c r="C95" t="s">
        <v>111</v>
      </c>
      <c r="D95" t="s">
        <v>112</v>
      </c>
      <c r="E95" t="s">
        <v>67</v>
      </c>
      <c r="F95" t="s">
        <v>41</v>
      </c>
      <c r="G95" t="s">
        <v>41</v>
      </c>
      <c r="H95" t="s">
        <v>41</v>
      </c>
      <c r="I95" t="s">
        <v>41</v>
      </c>
      <c r="J95" t="s">
        <v>41</v>
      </c>
      <c r="K95" t="s">
        <v>41</v>
      </c>
      <c r="L95" t="s">
        <v>41</v>
      </c>
      <c r="M95" t="s">
        <v>41</v>
      </c>
      <c r="N95" t="s">
        <v>41</v>
      </c>
      <c r="O95" t="s">
        <v>41</v>
      </c>
      <c r="P95" t="s">
        <v>41</v>
      </c>
      <c r="Q95" t="s">
        <v>41</v>
      </c>
      <c r="R95" t="s">
        <v>41</v>
      </c>
      <c r="S95" t="s">
        <v>41</v>
      </c>
    </row>
    <row r="96" spans="1:19" x14ac:dyDescent="0.25">
      <c r="A96" t="s">
        <v>79</v>
      </c>
      <c r="B96" t="s">
        <v>46</v>
      </c>
      <c r="C96" t="s">
        <v>111</v>
      </c>
      <c r="D96" t="s">
        <v>112</v>
      </c>
      <c r="E96" t="s">
        <v>67</v>
      </c>
      <c r="F96">
        <v>1411</v>
      </c>
      <c r="G96">
        <v>1279</v>
      </c>
      <c r="H96">
        <v>1204</v>
      </c>
      <c r="I96">
        <v>1162</v>
      </c>
      <c r="J96">
        <v>1092</v>
      </c>
      <c r="K96">
        <v>950</v>
      </c>
      <c r="L96">
        <v>890</v>
      </c>
      <c r="M96">
        <v>1411</v>
      </c>
      <c r="N96">
        <v>1279</v>
      </c>
      <c r="O96">
        <v>1204</v>
      </c>
      <c r="P96">
        <v>1162</v>
      </c>
      <c r="Q96">
        <v>1092</v>
      </c>
      <c r="R96">
        <v>950</v>
      </c>
      <c r="S96">
        <v>890</v>
      </c>
    </row>
    <row r="97" spans="1:19" x14ac:dyDescent="0.25">
      <c r="A97" t="s">
        <v>82</v>
      </c>
      <c r="B97" t="s">
        <v>49</v>
      </c>
      <c r="C97" t="s">
        <v>111</v>
      </c>
      <c r="D97" t="s">
        <v>112</v>
      </c>
      <c r="E97" t="s">
        <v>67</v>
      </c>
      <c r="F97" t="s">
        <v>41</v>
      </c>
      <c r="G97" t="s">
        <v>41</v>
      </c>
      <c r="H97" t="s">
        <v>41</v>
      </c>
      <c r="I97" t="s">
        <v>41</v>
      </c>
      <c r="J97" t="s">
        <v>41</v>
      </c>
      <c r="K97" t="s">
        <v>41</v>
      </c>
      <c r="L97" t="s">
        <v>41</v>
      </c>
      <c r="M97" t="s">
        <v>41</v>
      </c>
      <c r="N97" t="s">
        <v>41</v>
      </c>
      <c r="O97" t="s">
        <v>41</v>
      </c>
      <c r="P97" t="s">
        <v>41</v>
      </c>
      <c r="Q97" t="s">
        <v>41</v>
      </c>
      <c r="R97" t="s">
        <v>41</v>
      </c>
      <c r="S97" t="s">
        <v>41</v>
      </c>
    </row>
    <row r="98" spans="1:19" x14ac:dyDescent="0.25">
      <c r="A98" t="s">
        <v>83</v>
      </c>
      <c r="B98" t="s">
        <v>53</v>
      </c>
      <c r="C98" t="s">
        <v>111</v>
      </c>
      <c r="D98" t="s">
        <v>112</v>
      </c>
      <c r="E98" t="s">
        <v>67</v>
      </c>
      <c r="F98">
        <v>1074</v>
      </c>
      <c r="G98">
        <v>1115</v>
      </c>
      <c r="H98">
        <v>1248</v>
      </c>
      <c r="I98">
        <v>1323</v>
      </c>
      <c r="J98">
        <v>1223</v>
      </c>
      <c r="K98">
        <v>1054</v>
      </c>
      <c r="L98">
        <v>986</v>
      </c>
      <c r="M98">
        <v>1074</v>
      </c>
      <c r="N98">
        <v>1115</v>
      </c>
      <c r="O98">
        <v>1248</v>
      </c>
      <c r="P98">
        <v>1323</v>
      </c>
      <c r="Q98">
        <v>1223</v>
      </c>
      <c r="R98">
        <v>1054</v>
      </c>
      <c r="S98">
        <v>986</v>
      </c>
    </row>
    <row r="99" spans="1:19" x14ac:dyDescent="0.25">
      <c r="A99" t="s">
        <v>113</v>
      </c>
      <c r="B99" t="s">
        <v>41</v>
      </c>
      <c r="E99" t="s">
        <v>42</v>
      </c>
      <c r="F99" t="s">
        <v>41</v>
      </c>
      <c r="G99" t="s">
        <v>41</v>
      </c>
      <c r="H99" t="s">
        <v>41</v>
      </c>
      <c r="I99" t="s">
        <v>41</v>
      </c>
      <c r="J99" t="s">
        <v>41</v>
      </c>
      <c r="K99" t="s">
        <v>41</v>
      </c>
      <c r="L99" t="s">
        <v>41</v>
      </c>
      <c r="M99" t="s">
        <v>41</v>
      </c>
      <c r="N99" t="s">
        <v>41</v>
      </c>
      <c r="O99" t="s">
        <v>41</v>
      </c>
      <c r="P99" t="s">
        <v>41</v>
      </c>
      <c r="Q99" t="s">
        <v>41</v>
      </c>
      <c r="R99" t="s">
        <v>41</v>
      </c>
      <c r="S99" t="s">
        <v>41</v>
      </c>
    </row>
    <row r="100" spans="1:19" x14ac:dyDescent="0.25">
      <c r="A100" t="s">
        <v>114</v>
      </c>
      <c r="B100" t="s">
        <v>41</v>
      </c>
      <c r="E100" t="s">
        <v>62</v>
      </c>
      <c r="F100">
        <v>3.1500000000000004</v>
      </c>
      <c r="G100">
        <v>3.7</v>
      </c>
      <c r="H100">
        <v>3.25</v>
      </c>
      <c r="I100">
        <v>3.05</v>
      </c>
      <c r="J100">
        <v>3.35</v>
      </c>
      <c r="K100">
        <v>3.5</v>
      </c>
      <c r="L100">
        <v>3.75</v>
      </c>
      <c r="M100">
        <v>3.15</v>
      </c>
      <c r="N100">
        <v>3.7</v>
      </c>
      <c r="O100">
        <v>3.25</v>
      </c>
      <c r="P100">
        <v>3.05</v>
      </c>
      <c r="Q100">
        <v>3.35</v>
      </c>
      <c r="R100">
        <v>3.5</v>
      </c>
      <c r="S100">
        <v>3.75</v>
      </c>
    </row>
    <row r="101" spans="1:19" x14ac:dyDescent="0.25">
      <c r="A101" t="s">
        <v>115</v>
      </c>
      <c r="B101" t="s">
        <v>75</v>
      </c>
      <c r="C101" t="s">
        <v>116</v>
      </c>
      <c r="D101" t="s">
        <v>117</v>
      </c>
      <c r="E101" t="s">
        <v>67</v>
      </c>
      <c r="F101" t="s">
        <v>41</v>
      </c>
      <c r="G101" t="s">
        <v>41</v>
      </c>
      <c r="H101" t="s">
        <v>41</v>
      </c>
      <c r="I101" t="s">
        <v>41</v>
      </c>
      <c r="J101" t="s">
        <v>41</v>
      </c>
      <c r="K101" t="s">
        <v>41</v>
      </c>
      <c r="L101" t="s">
        <v>41</v>
      </c>
      <c r="M101" t="s">
        <v>41</v>
      </c>
      <c r="N101" t="s">
        <v>41</v>
      </c>
      <c r="O101" t="s">
        <v>41</v>
      </c>
      <c r="P101" t="s">
        <v>41</v>
      </c>
      <c r="Q101" t="s">
        <v>41</v>
      </c>
      <c r="R101" t="s">
        <v>41</v>
      </c>
      <c r="S101" t="s">
        <v>41</v>
      </c>
    </row>
    <row r="102" spans="1:19" x14ac:dyDescent="0.25">
      <c r="A102" t="s">
        <v>50</v>
      </c>
      <c r="B102" t="s">
        <v>51</v>
      </c>
      <c r="C102" t="s">
        <v>116</v>
      </c>
      <c r="D102" t="s">
        <v>117</v>
      </c>
      <c r="E102" t="s">
        <v>67</v>
      </c>
      <c r="F102" t="s">
        <v>41</v>
      </c>
      <c r="G102" t="s">
        <v>41</v>
      </c>
      <c r="H102" t="s">
        <v>41</v>
      </c>
      <c r="I102" t="s">
        <v>41</v>
      </c>
      <c r="J102" t="s">
        <v>41</v>
      </c>
      <c r="K102" t="s">
        <v>41</v>
      </c>
      <c r="L102" t="s">
        <v>41</v>
      </c>
      <c r="M102" t="s">
        <v>41</v>
      </c>
      <c r="N102" t="s">
        <v>41</v>
      </c>
      <c r="O102" t="s">
        <v>41</v>
      </c>
      <c r="P102" t="s">
        <v>41</v>
      </c>
      <c r="Q102" t="s">
        <v>41</v>
      </c>
      <c r="R102" t="s">
        <v>41</v>
      </c>
      <c r="S102" t="s">
        <v>41</v>
      </c>
    </row>
    <row r="103" spans="1:19" x14ac:dyDescent="0.25">
      <c r="A103" t="s">
        <v>45</v>
      </c>
      <c r="B103" t="s">
        <v>46</v>
      </c>
      <c r="C103" t="s">
        <v>116</v>
      </c>
      <c r="D103" t="s">
        <v>117</v>
      </c>
      <c r="E103" t="s">
        <v>67</v>
      </c>
      <c r="F103">
        <v>3.1</v>
      </c>
      <c r="G103" t="s">
        <v>41</v>
      </c>
      <c r="H103">
        <v>3.4</v>
      </c>
      <c r="I103">
        <v>3.4</v>
      </c>
      <c r="J103">
        <v>3.6</v>
      </c>
      <c r="K103">
        <v>3.3</v>
      </c>
      <c r="L103">
        <v>3.8</v>
      </c>
      <c r="M103">
        <v>3.1</v>
      </c>
      <c r="N103" t="s">
        <v>41</v>
      </c>
      <c r="O103">
        <v>3.4</v>
      </c>
      <c r="P103">
        <v>3.4</v>
      </c>
      <c r="Q103">
        <v>3.6</v>
      </c>
      <c r="R103">
        <v>3.3</v>
      </c>
      <c r="S103">
        <v>3.8</v>
      </c>
    </row>
    <row r="104" spans="1:19" x14ac:dyDescent="0.25">
      <c r="A104" t="s">
        <v>48</v>
      </c>
      <c r="B104" t="s">
        <v>49</v>
      </c>
      <c r="C104" t="s">
        <v>116</v>
      </c>
      <c r="D104" t="s">
        <v>117</v>
      </c>
      <c r="E104" t="s">
        <v>67</v>
      </c>
      <c r="F104" t="s">
        <v>41</v>
      </c>
      <c r="G104" t="s">
        <v>41</v>
      </c>
      <c r="H104" t="s">
        <v>41</v>
      </c>
      <c r="I104" t="s">
        <v>41</v>
      </c>
      <c r="J104" t="s">
        <v>41</v>
      </c>
      <c r="K104" t="s">
        <v>41</v>
      </c>
      <c r="L104" t="s">
        <v>41</v>
      </c>
      <c r="M104" t="s">
        <v>41</v>
      </c>
      <c r="N104" t="s">
        <v>41</v>
      </c>
      <c r="O104" t="s">
        <v>41</v>
      </c>
      <c r="P104" t="s">
        <v>41</v>
      </c>
      <c r="Q104" t="s">
        <v>41</v>
      </c>
      <c r="R104" t="s">
        <v>41</v>
      </c>
      <c r="S104" t="s">
        <v>41</v>
      </c>
    </row>
    <row r="105" spans="1:19" x14ac:dyDescent="0.25">
      <c r="A105" t="s">
        <v>52</v>
      </c>
      <c r="B105" t="s">
        <v>53</v>
      </c>
      <c r="C105" t="s">
        <v>116</v>
      </c>
      <c r="D105" t="s">
        <v>117</v>
      </c>
      <c r="E105" t="s">
        <v>67</v>
      </c>
      <c r="F105">
        <v>3.2</v>
      </c>
      <c r="G105">
        <v>3.7</v>
      </c>
      <c r="H105">
        <v>3.1</v>
      </c>
      <c r="I105">
        <v>2.7</v>
      </c>
      <c r="J105">
        <v>3.1</v>
      </c>
      <c r="K105">
        <v>3.7</v>
      </c>
      <c r="L105">
        <v>3.7</v>
      </c>
      <c r="M105">
        <v>3.2</v>
      </c>
      <c r="N105">
        <v>3.7</v>
      </c>
      <c r="O105">
        <v>3.1</v>
      </c>
      <c r="P105">
        <v>2.7</v>
      </c>
      <c r="Q105">
        <v>3.1</v>
      </c>
      <c r="R105">
        <v>3.7</v>
      </c>
      <c r="S105">
        <v>3.7</v>
      </c>
    </row>
    <row r="106" spans="1:19" x14ac:dyDescent="0.25">
      <c r="A106" t="s">
        <v>118</v>
      </c>
      <c r="B106" t="s">
        <v>41</v>
      </c>
      <c r="E106" t="s">
        <v>62</v>
      </c>
      <c r="F106">
        <v>13.95</v>
      </c>
      <c r="G106">
        <v>14.85</v>
      </c>
      <c r="H106">
        <v>9.1333333333333329</v>
      </c>
      <c r="I106">
        <v>12.433333333333332</v>
      </c>
      <c r="J106">
        <v>13</v>
      </c>
      <c r="K106">
        <v>13.200000000000001</v>
      </c>
      <c r="L106">
        <v>14.049999999999999</v>
      </c>
      <c r="M106">
        <v>13.95</v>
      </c>
      <c r="N106">
        <v>14.85</v>
      </c>
      <c r="O106">
        <v>9.1333333329999995</v>
      </c>
      <c r="P106">
        <v>12.43333333</v>
      </c>
      <c r="Q106">
        <v>13</v>
      </c>
      <c r="R106">
        <v>13.2</v>
      </c>
      <c r="S106">
        <v>14.05</v>
      </c>
    </row>
    <row r="107" spans="1:19" x14ac:dyDescent="0.25">
      <c r="A107" t="s">
        <v>115</v>
      </c>
      <c r="B107" t="s">
        <v>75</v>
      </c>
      <c r="C107" t="s">
        <v>119</v>
      </c>
      <c r="D107" t="s">
        <v>120</v>
      </c>
      <c r="E107" t="s">
        <v>67</v>
      </c>
      <c r="F107" t="s">
        <v>41</v>
      </c>
      <c r="G107" t="s">
        <v>41</v>
      </c>
      <c r="H107" t="s">
        <v>41</v>
      </c>
      <c r="I107" t="s">
        <v>41</v>
      </c>
      <c r="J107" t="s">
        <v>41</v>
      </c>
      <c r="K107">
        <v>12.2</v>
      </c>
      <c r="L107">
        <v>13.2</v>
      </c>
      <c r="M107" t="s">
        <v>41</v>
      </c>
      <c r="N107" t="s">
        <v>41</v>
      </c>
      <c r="O107" t="s">
        <v>41</v>
      </c>
      <c r="P107" t="s">
        <v>41</v>
      </c>
      <c r="Q107" t="s">
        <v>41</v>
      </c>
      <c r="R107">
        <v>12.2</v>
      </c>
      <c r="S107">
        <v>13.2</v>
      </c>
    </row>
    <row r="108" spans="1:19" x14ac:dyDescent="0.25">
      <c r="A108" t="s">
        <v>50</v>
      </c>
      <c r="B108" t="s">
        <v>51</v>
      </c>
      <c r="C108" t="s">
        <v>119</v>
      </c>
      <c r="D108" t="s">
        <v>120</v>
      </c>
      <c r="E108" t="s">
        <v>67</v>
      </c>
      <c r="F108">
        <v>15.1</v>
      </c>
      <c r="G108">
        <v>17</v>
      </c>
      <c r="H108">
        <v>16.3</v>
      </c>
      <c r="I108">
        <v>14.7</v>
      </c>
      <c r="J108">
        <v>13.6</v>
      </c>
      <c r="K108" t="s">
        <v>41</v>
      </c>
      <c r="L108">
        <v>14.7</v>
      </c>
      <c r="M108">
        <v>15.1</v>
      </c>
      <c r="N108">
        <v>17</v>
      </c>
      <c r="O108">
        <v>16.3</v>
      </c>
      <c r="P108">
        <v>14.7</v>
      </c>
      <c r="Q108">
        <v>13.6</v>
      </c>
      <c r="R108" t="s">
        <v>41</v>
      </c>
      <c r="S108">
        <v>14.7</v>
      </c>
    </row>
    <row r="109" spans="1:19" x14ac:dyDescent="0.25">
      <c r="A109" t="s">
        <v>45</v>
      </c>
      <c r="B109" t="s">
        <v>46</v>
      </c>
      <c r="C109" t="s">
        <v>119</v>
      </c>
      <c r="D109" t="s">
        <v>120</v>
      </c>
      <c r="E109" t="s">
        <v>67</v>
      </c>
      <c r="F109" t="s">
        <v>41</v>
      </c>
      <c r="G109" t="s">
        <v>41</v>
      </c>
      <c r="H109">
        <v>0</v>
      </c>
      <c r="I109">
        <v>12.6</v>
      </c>
      <c r="J109">
        <v>13.8</v>
      </c>
      <c r="K109">
        <v>13.5</v>
      </c>
      <c r="L109">
        <v>14.4</v>
      </c>
      <c r="M109" t="s">
        <v>41</v>
      </c>
      <c r="N109" t="s">
        <v>41</v>
      </c>
      <c r="O109">
        <v>0</v>
      </c>
      <c r="P109">
        <v>12.6</v>
      </c>
      <c r="Q109">
        <v>13.8</v>
      </c>
      <c r="R109">
        <v>13.5</v>
      </c>
      <c r="S109">
        <v>14.4</v>
      </c>
    </row>
    <row r="110" spans="1:19" x14ac:dyDescent="0.25">
      <c r="A110" t="s">
        <v>48</v>
      </c>
      <c r="B110" t="s">
        <v>49</v>
      </c>
      <c r="C110" t="s">
        <v>119</v>
      </c>
      <c r="D110" t="s">
        <v>120</v>
      </c>
      <c r="E110" t="s">
        <v>67</v>
      </c>
      <c r="F110" t="s">
        <v>41</v>
      </c>
      <c r="G110" t="s">
        <v>41</v>
      </c>
      <c r="H110" t="s">
        <v>41</v>
      </c>
      <c r="I110" t="s">
        <v>41</v>
      </c>
      <c r="J110" t="s">
        <v>41</v>
      </c>
      <c r="K110" t="s">
        <v>41</v>
      </c>
      <c r="L110" t="s">
        <v>41</v>
      </c>
      <c r="M110" t="s">
        <v>41</v>
      </c>
      <c r="N110" t="s">
        <v>41</v>
      </c>
      <c r="O110" t="s">
        <v>41</v>
      </c>
      <c r="P110" t="s">
        <v>41</v>
      </c>
      <c r="Q110" t="s">
        <v>41</v>
      </c>
      <c r="R110" t="s">
        <v>41</v>
      </c>
      <c r="S110" t="s">
        <v>41</v>
      </c>
    </row>
    <row r="111" spans="1:19" x14ac:dyDescent="0.25">
      <c r="A111" t="s">
        <v>52</v>
      </c>
      <c r="B111" t="s">
        <v>53</v>
      </c>
      <c r="C111" t="s">
        <v>119</v>
      </c>
      <c r="D111" t="s">
        <v>120</v>
      </c>
      <c r="E111" t="s">
        <v>67</v>
      </c>
      <c r="F111">
        <v>12.8</v>
      </c>
      <c r="G111">
        <v>12.7</v>
      </c>
      <c r="H111">
        <v>11.1</v>
      </c>
      <c r="I111">
        <v>10</v>
      </c>
      <c r="J111">
        <v>11.6</v>
      </c>
      <c r="K111">
        <v>13.9</v>
      </c>
      <c r="L111">
        <v>13.9</v>
      </c>
      <c r="M111">
        <v>12.8</v>
      </c>
      <c r="N111">
        <v>12.7</v>
      </c>
      <c r="O111">
        <v>11.1</v>
      </c>
      <c r="P111">
        <v>10</v>
      </c>
      <c r="Q111">
        <v>11.6</v>
      </c>
      <c r="R111">
        <v>13.9</v>
      </c>
      <c r="S111">
        <v>13.9</v>
      </c>
    </row>
    <row r="112" spans="1:19" x14ac:dyDescent="0.25">
      <c r="A112" t="s">
        <v>121</v>
      </c>
      <c r="B112" t="s">
        <v>41</v>
      </c>
      <c r="E112" t="s">
        <v>62</v>
      </c>
      <c r="F112">
        <v>20.85</v>
      </c>
      <c r="G112">
        <v>21.8</v>
      </c>
      <c r="H112">
        <v>20.3</v>
      </c>
      <c r="I112">
        <v>20.066666666666666</v>
      </c>
      <c r="J112">
        <v>21.2</v>
      </c>
      <c r="K112">
        <v>22.233333333333334</v>
      </c>
      <c r="L112">
        <v>23.2</v>
      </c>
      <c r="M112">
        <v>20.85</v>
      </c>
      <c r="N112">
        <v>21.8</v>
      </c>
      <c r="O112">
        <v>20.3</v>
      </c>
      <c r="P112">
        <v>20.06666667</v>
      </c>
      <c r="Q112">
        <v>21.2</v>
      </c>
      <c r="R112">
        <v>22.233333330000001</v>
      </c>
      <c r="S112">
        <v>23.2</v>
      </c>
    </row>
    <row r="113" spans="1:19" x14ac:dyDescent="0.25">
      <c r="A113" t="s">
        <v>115</v>
      </c>
      <c r="B113" t="s">
        <v>75</v>
      </c>
      <c r="C113" t="s">
        <v>122</v>
      </c>
      <c r="D113" t="s">
        <v>123</v>
      </c>
      <c r="E113" t="s">
        <v>67</v>
      </c>
      <c r="F113" t="s">
        <v>41</v>
      </c>
      <c r="G113" t="s">
        <v>41</v>
      </c>
      <c r="H113" t="s">
        <v>41</v>
      </c>
      <c r="I113" t="s">
        <v>41</v>
      </c>
      <c r="J113" t="s">
        <v>41</v>
      </c>
      <c r="K113">
        <v>21.3</v>
      </c>
      <c r="L113">
        <v>22.6</v>
      </c>
      <c r="M113" t="s">
        <v>41</v>
      </c>
      <c r="N113" t="s">
        <v>41</v>
      </c>
      <c r="O113" t="s">
        <v>41</v>
      </c>
      <c r="P113" t="s">
        <v>41</v>
      </c>
      <c r="Q113" t="s">
        <v>41</v>
      </c>
      <c r="R113">
        <v>21.3</v>
      </c>
      <c r="S113">
        <v>22.6</v>
      </c>
    </row>
    <row r="114" spans="1:19" x14ac:dyDescent="0.25">
      <c r="A114" t="s">
        <v>50</v>
      </c>
      <c r="B114" t="s">
        <v>51</v>
      </c>
      <c r="C114" t="s">
        <v>122</v>
      </c>
      <c r="D114" t="s">
        <v>123</v>
      </c>
      <c r="E114" t="s">
        <v>67</v>
      </c>
      <c r="F114">
        <v>22</v>
      </c>
      <c r="G114">
        <v>24.1</v>
      </c>
      <c r="H114">
        <v>23.8</v>
      </c>
      <c r="I114">
        <v>22.1</v>
      </c>
      <c r="J114">
        <v>21.8</v>
      </c>
      <c r="K114" t="s">
        <v>41</v>
      </c>
      <c r="L114">
        <v>23.7</v>
      </c>
      <c r="M114">
        <v>22</v>
      </c>
      <c r="N114">
        <v>24.1</v>
      </c>
      <c r="O114">
        <v>23.8</v>
      </c>
      <c r="P114">
        <v>22.1</v>
      </c>
      <c r="Q114">
        <v>21.8</v>
      </c>
      <c r="R114" t="s">
        <v>41</v>
      </c>
      <c r="S114">
        <v>23.7</v>
      </c>
    </row>
    <row r="115" spans="1:19" x14ac:dyDescent="0.25">
      <c r="A115" t="s">
        <v>45</v>
      </c>
      <c r="B115" t="s">
        <v>46</v>
      </c>
      <c r="C115" t="s">
        <v>122</v>
      </c>
      <c r="D115" t="s">
        <v>123</v>
      </c>
      <c r="E115" t="s">
        <v>67</v>
      </c>
      <c r="F115" t="s">
        <v>41</v>
      </c>
      <c r="G115" t="s">
        <v>41</v>
      </c>
      <c r="H115">
        <v>19.3</v>
      </c>
      <c r="I115">
        <v>21</v>
      </c>
      <c r="J115">
        <v>22.5</v>
      </c>
      <c r="K115">
        <v>22.7</v>
      </c>
      <c r="L115">
        <v>23.8</v>
      </c>
      <c r="M115" t="s">
        <v>41</v>
      </c>
      <c r="N115" t="s">
        <v>41</v>
      </c>
      <c r="O115">
        <v>19.3</v>
      </c>
      <c r="P115">
        <v>21</v>
      </c>
      <c r="Q115">
        <v>22.5</v>
      </c>
      <c r="R115">
        <v>22.7</v>
      </c>
      <c r="S115">
        <v>23.8</v>
      </c>
    </row>
    <row r="116" spans="1:19" x14ac:dyDescent="0.25">
      <c r="A116" t="s">
        <v>48</v>
      </c>
      <c r="B116" t="s">
        <v>49</v>
      </c>
      <c r="C116" t="s">
        <v>122</v>
      </c>
      <c r="D116" t="s">
        <v>123</v>
      </c>
      <c r="E116" t="s">
        <v>67</v>
      </c>
      <c r="F116" t="s">
        <v>41</v>
      </c>
      <c r="G116" t="s">
        <v>41</v>
      </c>
      <c r="H116" t="s">
        <v>41</v>
      </c>
      <c r="I116" t="s">
        <v>41</v>
      </c>
      <c r="J116" t="s">
        <v>41</v>
      </c>
      <c r="K116" t="s">
        <v>41</v>
      </c>
      <c r="L116" t="s">
        <v>41</v>
      </c>
      <c r="M116" t="s">
        <v>41</v>
      </c>
      <c r="N116" t="s">
        <v>41</v>
      </c>
      <c r="O116" t="s">
        <v>41</v>
      </c>
      <c r="P116" t="s">
        <v>41</v>
      </c>
      <c r="Q116" t="s">
        <v>41</v>
      </c>
      <c r="R116" t="s">
        <v>41</v>
      </c>
      <c r="S116" t="s">
        <v>41</v>
      </c>
    </row>
    <row r="117" spans="1:19" x14ac:dyDescent="0.25">
      <c r="A117" t="s">
        <v>52</v>
      </c>
      <c r="B117" t="s">
        <v>53</v>
      </c>
      <c r="C117" t="s">
        <v>122</v>
      </c>
      <c r="D117" t="s">
        <v>123</v>
      </c>
      <c r="E117" t="s">
        <v>67</v>
      </c>
      <c r="F117">
        <v>19.7</v>
      </c>
      <c r="G117">
        <v>19.5</v>
      </c>
      <c r="H117">
        <v>17.8</v>
      </c>
      <c r="I117">
        <v>17.100000000000001</v>
      </c>
      <c r="J117">
        <v>19.3</v>
      </c>
      <c r="K117">
        <v>22.7</v>
      </c>
      <c r="L117">
        <v>22.7</v>
      </c>
      <c r="M117">
        <v>19.7</v>
      </c>
      <c r="N117">
        <v>19.5</v>
      </c>
      <c r="O117">
        <v>17.8</v>
      </c>
      <c r="P117">
        <v>17.100000000000001</v>
      </c>
      <c r="Q117">
        <v>19.3</v>
      </c>
      <c r="R117">
        <v>22.7</v>
      </c>
      <c r="S117">
        <v>22.7</v>
      </c>
    </row>
    <row r="118" spans="1:19" x14ac:dyDescent="0.25">
      <c r="A118" t="s">
        <v>124</v>
      </c>
      <c r="B118" t="s">
        <v>41</v>
      </c>
      <c r="E118" t="s">
        <v>42</v>
      </c>
      <c r="F118" t="s">
        <v>41</v>
      </c>
      <c r="G118" t="s">
        <v>41</v>
      </c>
      <c r="H118" t="s">
        <v>41</v>
      </c>
      <c r="I118" t="s">
        <v>41</v>
      </c>
      <c r="J118" t="s">
        <v>41</v>
      </c>
      <c r="K118" t="s">
        <v>41</v>
      </c>
      <c r="L118" t="s">
        <v>41</v>
      </c>
      <c r="M118" t="s">
        <v>41</v>
      </c>
      <c r="N118" t="s">
        <v>41</v>
      </c>
      <c r="O118" t="s">
        <v>41</v>
      </c>
      <c r="P118" t="s">
        <v>41</v>
      </c>
      <c r="Q118" t="s">
        <v>41</v>
      </c>
      <c r="R118" t="s">
        <v>41</v>
      </c>
      <c r="S118" t="s">
        <v>41</v>
      </c>
    </row>
    <row r="119" spans="1:19" x14ac:dyDescent="0.25">
      <c r="A119" t="s">
        <v>125</v>
      </c>
      <c r="B119" t="s">
        <v>41</v>
      </c>
      <c r="E119" t="s">
        <v>97</v>
      </c>
      <c r="F119">
        <v>3496</v>
      </c>
      <c r="G119">
        <v>2195</v>
      </c>
      <c r="H119">
        <v>3158</v>
      </c>
      <c r="I119">
        <v>2957</v>
      </c>
      <c r="J119">
        <v>1921</v>
      </c>
      <c r="K119">
        <v>1382</v>
      </c>
      <c r="L119">
        <v>1709</v>
      </c>
      <c r="M119">
        <v>3496</v>
      </c>
      <c r="N119">
        <v>2195</v>
      </c>
      <c r="O119">
        <v>3158</v>
      </c>
      <c r="P119">
        <v>2957</v>
      </c>
      <c r="Q119">
        <v>1921</v>
      </c>
      <c r="R119">
        <v>1382</v>
      </c>
      <c r="S119">
        <v>1709</v>
      </c>
    </row>
    <row r="120" spans="1:19" x14ac:dyDescent="0.25">
      <c r="A120" t="s">
        <v>115</v>
      </c>
      <c r="B120" t="s">
        <v>75</v>
      </c>
      <c r="C120" t="s">
        <v>126</v>
      </c>
      <c r="D120" t="s">
        <v>127</v>
      </c>
      <c r="E120" t="s">
        <v>67</v>
      </c>
      <c r="F120" t="s">
        <v>41</v>
      </c>
      <c r="G120" t="s">
        <v>41</v>
      </c>
      <c r="H120" t="s">
        <v>41</v>
      </c>
      <c r="I120" t="s">
        <v>41</v>
      </c>
      <c r="J120" t="s">
        <v>41</v>
      </c>
      <c r="K120" t="s">
        <v>41</v>
      </c>
      <c r="L120" t="s">
        <v>41</v>
      </c>
      <c r="M120" t="s">
        <v>41</v>
      </c>
      <c r="N120" t="s">
        <v>41</v>
      </c>
      <c r="O120" t="s">
        <v>41</v>
      </c>
      <c r="P120" t="s">
        <v>41</v>
      </c>
      <c r="Q120" t="s">
        <v>41</v>
      </c>
      <c r="R120" t="s">
        <v>41</v>
      </c>
      <c r="S120" t="s">
        <v>41</v>
      </c>
    </row>
    <row r="121" spans="1:19" x14ac:dyDescent="0.25">
      <c r="A121" t="s">
        <v>50</v>
      </c>
      <c r="B121" t="s">
        <v>51</v>
      </c>
      <c r="C121" t="s">
        <v>126</v>
      </c>
      <c r="D121" t="s">
        <v>127</v>
      </c>
      <c r="E121" t="s">
        <v>67</v>
      </c>
      <c r="F121">
        <v>791</v>
      </c>
      <c r="G121">
        <v>623</v>
      </c>
      <c r="H121">
        <v>561</v>
      </c>
      <c r="I121">
        <v>506</v>
      </c>
      <c r="J121">
        <v>482</v>
      </c>
      <c r="K121" t="s">
        <v>41</v>
      </c>
      <c r="L121">
        <v>429</v>
      </c>
      <c r="M121">
        <v>791</v>
      </c>
      <c r="N121">
        <v>623</v>
      </c>
      <c r="O121">
        <v>561</v>
      </c>
      <c r="P121">
        <v>506</v>
      </c>
      <c r="Q121">
        <v>482</v>
      </c>
      <c r="R121" t="s">
        <v>41</v>
      </c>
      <c r="S121">
        <v>429</v>
      </c>
    </row>
    <row r="122" spans="1:19" x14ac:dyDescent="0.25">
      <c r="A122" t="s">
        <v>45</v>
      </c>
      <c r="B122" t="s">
        <v>46</v>
      </c>
      <c r="C122" t="s">
        <v>126</v>
      </c>
      <c r="D122" t="s">
        <v>127</v>
      </c>
      <c r="E122" t="s">
        <v>67</v>
      </c>
      <c r="F122">
        <v>718</v>
      </c>
      <c r="G122">
        <v>662</v>
      </c>
      <c r="H122">
        <v>634</v>
      </c>
      <c r="I122">
        <v>598</v>
      </c>
      <c r="J122">
        <v>558</v>
      </c>
      <c r="K122">
        <v>529</v>
      </c>
      <c r="L122">
        <v>501</v>
      </c>
      <c r="M122">
        <v>718</v>
      </c>
      <c r="N122">
        <v>662</v>
      </c>
      <c r="O122">
        <v>634</v>
      </c>
      <c r="P122">
        <v>598</v>
      </c>
      <c r="Q122">
        <v>558</v>
      </c>
      <c r="R122">
        <v>529</v>
      </c>
      <c r="S122">
        <v>501</v>
      </c>
    </row>
    <row r="123" spans="1:19" x14ac:dyDescent="0.25">
      <c r="A123" t="s">
        <v>48</v>
      </c>
      <c r="B123" t="s">
        <v>49</v>
      </c>
      <c r="C123" t="s">
        <v>126</v>
      </c>
      <c r="D123" t="s">
        <v>127</v>
      </c>
      <c r="E123" t="s">
        <v>67</v>
      </c>
      <c r="F123">
        <v>1072</v>
      </c>
      <c r="G123" t="s">
        <v>41</v>
      </c>
      <c r="H123">
        <v>963</v>
      </c>
      <c r="I123">
        <v>897</v>
      </c>
      <c r="J123" t="s">
        <v>41</v>
      </c>
      <c r="K123" t="s">
        <v>41</v>
      </c>
      <c r="L123" t="s">
        <v>41</v>
      </c>
      <c r="M123">
        <v>1072</v>
      </c>
      <c r="N123" t="s">
        <v>41</v>
      </c>
      <c r="O123">
        <v>963</v>
      </c>
      <c r="P123">
        <v>897</v>
      </c>
      <c r="Q123" t="s">
        <v>41</v>
      </c>
      <c r="R123" t="s">
        <v>41</v>
      </c>
      <c r="S123" t="s">
        <v>41</v>
      </c>
    </row>
    <row r="124" spans="1:19" x14ac:dyDescent="0.25">
      <c r="A124" t="s">
        <v>52</v>
      </c>
      <c r="B124" t="s">
        <v>53</v>
      </c>
      <c r="C124" t="s">
        <v>126</v>
      </c>
      <c r="D124" t="s">
        <v>127</v>
      </c>
      <c r="E124" t="s">
        <v>67</v>
      </c>
      <c r="F124">
        <v>915</v>
      </c>
      <c r="G124">
        <v>910</v>
      </c>
      <c r="H124">
        <v>1000</v>
      </c>
      <c r="I124">
        <v>956</v>
      </c>
      <c r="J124">
        <v>881</v>
      </c>
      <c r="K124">
        <v>853</v>
      </c>
      <c r="L124">
        <v>779</v>
      </c>
      <c r="M124">
        <v>915</v>
      </c>
      <c r="N124">
        <v>910</v>
      </c>
      <c r="O124">
        <v>1000</v>
      </c>
      <c r="P124">
        <v>956</v>
      </c>
      <c r="Q124">
        <v>881</v>
      </c>
      <c r="R124">
        <v>853</v>
      </c>
      <c r="S124">
        <v>779</v>
      </c>
    </row>
    <row r="125" spans="1:19" x14ac:dyDescent="0.25">
      <c r="A125" t="s">
        <v>128</v>
      </c>
      <c r="B125" t="s">
        <v>41</v>
      </c>
      <c r="E125" t="s">
        <v>97</v>
      </c>
      <c r="F125">
        <v>1133</v>
      </c>
      <c r="G125">
        <v>545</v>
      </c>
      <c r="H125">
        <v>1331</v>
      </c>
      <c r="I125">
        <v>1255</v>
      </c>
      <c r="J125">
        <v>749</v>
      </c>
      <c r="K125">
        <v>475</v>
      </c>
      <c r="L125">
        <v>639</v>
      </c>
      <c r="M125">
        <v>1133</v>
      </c>
      <c r="N125">
        <v>545</v>
      </c>
      <c r="O125">
        <v>1331</v>
      </c>
      <c r="P125">
        <v>1255</v>
      </c>
      <c r="Q125">
        <v>749</v>
      </c>
      <c r="R125">
        <v>475</v>
      </c>
      <c r="S125">
        <v>639</v>
      </c>
    </row>
    <row r="126" spans="1:19" x14ac:dyDescent="0.25">
      <c r="A126" t="s">
        <v>115</v>
      </c>
      <c r="B126" t="s">
        <v>75</v>
      </c>
      <c r="C126" t="s">
        <v>129</v>
      </c>
      <c r="D126" t="s">
        <v>130</v>
      </c>
      <c r="E126" t="s">
        <v>67</v>
      </c>
      <c r="F126" t="s">
        <v>41</v>
      </c>
      <c r="G126" t="s">
        <v>41</v>
      </c>
      <c r="H126" t="s">
        <v>41</v>
      </c>
      <c r="I126" t="s">
        <v>41</v>
      </c>
      <c r="J126" t="s">
        <v>41</v>
      </c>
      <c r="K126" t="s">
        <v>41</v>
      </c>
      <c r="L126" t="s">
        <v>41</v>
      </c>
      <c r="M126" t="s">
        <v>41</v>
      </c>
      <c r="N126" t="s">
        <v>41</v>
      </c>
      <c r="O126" t="s">
        <v>41</v>
      </c>
      <c r="P126" t="s">
        <v>41</v>
      </c>
      <c r="Q126" t="s">
        <v>41</v>
      </c>
      <c r="R126" t="s">
        <v>41</v>
      </c>
      <c r="S126" t="s">
        <v>41</v>
      </c>
    </row>
    <row r="127" spans="1:19" x14ac:dyDescent="0.25">
      <c r="A127" t="s">
        <v>50</v>
      </c>
      <c r="B127" t="s">
        <v>51</v>
      </c>
      <c r="C127" t="s">
        <v>129</v>
      </c>
      <c r="D127" t="s">
        <v>130</v>
      </c>
      <c r="E127" t="s">
        <v>67</v>
      </c>
      <c r="F127">
        <v>308</v>
      </c>
      <c r="G127">
        <v>283</v>
      </c>
      <c r="H127">
        <v>264</v>
      </c>
      <c r="I127">
        <v>246</v>
      </c>
      <c r="J127">
        <v>233</v>
      </c>
      <c r="K127" t="s">
        <v>41</v>
      </c>
      <c r="L127">
        <v>187</v>
      </c>
      <c r="M127">
        <v>308</v>
      </c>
      <c r="N127">
        <v>283</v>
      </c>
      <c r="O127">
        <v>264</v>
      </c>
      <c r="P127">
        <v>246</v>
      </c>
      <c r="Q127">
        <v>233</v>
      </c>
      <c r="R127" t="s">
        <v>41</v>
      </c>
      <c r="S127">
        <v>187</v>
      </c>
    </row>
    <row r="128" spans="1:19" x14ac:dyDescent="0.25">
      <c r="A128" t="s">
        <v>45</v>
      </c>
      <c r="B128" t="s">
        <v>46</v>
      </c>
      <c r="C128" t="s">
        <v>129</v>
      </c>
      <c r="D128" t="s">
        <v>130</v>
      </c>
      <c r="E128" t="s">
        <v>67</v>
      </c>
      <c r="F128" t="s">
        <v>41</v>
      </c>
      <c r="G128" t="s">
        <v>41</v>
      </c>
      <c r="H128">
        <v>295</v>
      </c>
      <c r="I128">
        <v>282</v>
      </c>
      <c r="J128">
        <v>268</v>
      </c>
      <c r="K128">
        <v>244</v>
      </c>
      <c r="L128">
        <v>232</v>
      </c>
      <c r="M128" t="s">
        <v>41</v>
      </c>
      <c r="N128" t="s">
        <v>41</v>
      </c>
      <c r="O128">
        <v>295</v>
      </c>
      <c r="P128">
        <v>282</v>
      </c>
      <c r="Q128">
        <v>268</v>
      </c>
      <c r="R128">
        <v>244</v>
      </c>
      <c r="S128">
        <v>232</v>
      </c>
    </row>
    <row r="129" spans="1:19" x14ac:dyDescent="0.25">
      <c r="A129" t="s">
        <v>48</v>
      </c>
      <c r="B129" t="s">
        <v>49</v>
      </c>
      <c r="C129" t="s">
        <v>129</v>
      </c>
      <c r="D129" t="s">
        <v>130</v>
      </c>
      <c r="E129" t="s">
        <v>67</v>
      </c>
      <c r="F129">
        <v>565</v>
      </c>
      <c r="G129" t="s">
        <v>41</v>
      </c>
      <c r="H129">
        <v>495</v>
      </c>
      <c r="I129">
        <v>459</v>
      </c>
      <c r="J129" t="s">
        <v>41</v>
      </c>
      <c r="K129" t="s">
        <v>41</v>
      </c>
      <c r="L129" t="s">
        <v>41</v>
      </c>
      <c r="M129">
        <v>565</v>
      </c>
      <c r="N129" t="s">
        <v>41</v>
      </c>
      <c r="O129">
        <v>495</v>
      </c>
      <c r="P129">
        <v>459</v>
      </c>
      <c r="Q129" t="s">
        <v>41</v>
      </c>
      <c r="R129" t="s">
        <v>41</v>
      </c>
      <c r="S129" t="s">
        <v>41</v>
      </c>
    </row>
    <row r="130" spans="1:19" x14ac:dyDescent="0.25">
      <c r="A130" t="s">
        <v>52</v>
      </c>
      <c r="B130" t="s">
        <v>53</v>
      </c>
      <c r="C130" t="s">
        <v>129</v>
      </c>
      <c r="D130" t="s">
        <v>130</v>
      </c>
      <c r="E130" t="s">
        <v>67</v>
      </c>
      <c r="F130">
        <v>260</v>
      </c>
      <c r="G130">
        <v>262</v>
      </c>
      <c r="H130">
        <v>277</v>
      </c>
      <c r="I130">
        <v>268</v>
      </c>
      <c r="J130">
        <v>248</v>
      </c>
      <c r="K130">
        <v>231</v>
      </c>
      <c r="L130">
        <v>220</v>
      </c>
      <c r="M130">
        <v>260</v>
      </c>
      <c r="N130">
        <v>262</v>
      </c>
      <c r="O130">
        <v>277</v>
      </c>
      <c r="P130">
        <v>268</v>
      </c>
      <c r="Q130">
        <v>248</v>
      </c>
      <c r="R130">
        <v>231</v>
      </c>
      <c r="S130">
        <v>220</v>
      </c>
    </row>
    <row r="131" spans="1:19" x14ac:dyDescent="0.25">
      <c r="A131" t="s">
        <v>131</v>
      </c>
      <c r="B131" t="s">
        <v>41</v>
      </c>
      <c r="E131" t="s">
        <v>97</v>
      </c>
      <c r="F131">
        <v>962</v>
      </c>
      <c r="G131">
        <v>560</v>
      </c>
      <c r="H131">
        <v>879</v>
      </c>
      <c r="I131">
        <v>815</v>
      </c>
      <c r="J131">
        <v>481</v>
      </c>
      <c r="K131">
        <v>309</v>
      </c>
      <c r="L131">
        <v>405</v>
      </c>
      <c r="M131">
        <v>962</v>
      </c>
      <c r="N131">
        <v>560</v>
      </c>
      <c r="O131">
        <v>879</v>
      </c>
      <c r="P131">
        <v>815</v>
      </c>
      <c r="Q131">
        <v>481</v>
      </c>
      <c r="R131">
        <v>309</v>
      </c>
      <c r="S131">
        <v>405</v>
      </c>
    </row>
    <row r="132" spans="1:19" x14ac:dyDescent="0.25">
      <c r="A132" t="s">
        <v>115</v>
      </c>
      <c r="B132" t="s">
        <v>75</v>
      </c>
      <c r="C132" t="s">
        <v>132</v>
      </c>
      <c r="D132" t="s">
        <v>133</v>
      </c>
      <c r="E132" t="s">
        <v>67</v>
      </c>
      <c r="F132" t="s">
        <v>41</v>
      </c>
      <c r="G132" t="s">
        <v>41</v>
      </c>
      <c r="H132" t="s">
        <v>41</v>
      </c>
      <c r="I132" t="s">
        <v>41</v>
      </c>
      <c r="J132" t="s">
        <v>41</v>
      </c>
      <c r="K132" t="s">
        <v>41</v>
      </c>
      <c r="L132" t="s">
        <v>41</v>
      </c>
      <c r="M132" t="s">
        <v>41</v>
      </c>
      <c r="N132" t="s">
        <v>41</v>
      </c>
      <c r="O132" t="s">
        <v>41</v>
      </c>
      <c r="P132" t="s">
        <v>41</v>
      </c>
      <c r="Q132" t="s">
        <v>41</v>
      </c>
      <c r="R132" t="s">
        <v>41</v>
      </c>
      <c r="S132" t="s">
        <v>41</v>
      </c>
    </row>
    <row r="133" spans="1:19" x14ac:dyDescent="0.25">
      <c r="A133" t="s">
        <v>50</v>
      </c>
      <c r="B133" t="s">
        <v>51</v>
      </c>
      <c r="C133" t="s">
        <v>132</v>
      </c>
      <c r="D133" t="s">
        <v>133</v>
      </c>
      <c r="E133" t="s">
        <v>67</v>
      </c>
      <c r="F133">
        <v>171</v>
      </c>
      <c r="G133">
        <v>166</v>
      </c>
      <c r="H133">
        <v>160</v>
      </c>
      <c r="I133">
        <v>153</v>
      </c>
      <c r="J133">
        <v>144</v>
      </c>
      <c r="K133" t="s">
        <v>41</v>
      </c>
      <c r="L133">
        <v>114</v>
      </c>
      <c r="M133">
        <v>171</v>
      </c>
      <c r="N133">
        <v>166</v>
      </c>
      <c r="O133">
        <v>160</v>
      </c>
      <c r="P133">
        <v>153</v>
      </c>
      <c r="Q133">
        <v>144</v>
      </c>
      <c r="R133" t="s">
        <v>41</v>
      </c>
      <c r="S133">
        <v>114</v>
      </c>
    </row>
    <row r="134" spans="1:19" x14ac:dyDescent="0.25">
      <c r="A134" t="s">
        <v>45</v>
      </c>
      <c r="B134" t="s">
        <v>46</v>
      </c>
      <c r="C134" t="s">
        <v>132</v>
      </c>
      <c r="D134" t="s">
        <v>133</v>
      </c>
      <c r="E134" t="s">
        <v>67</v>
      </c>
      <c r="F134">
        <v>234</v>
      </c>
      <c r="G134">
        <v>222</v>
      </c>
      <c r="H134">
        <v>198</v>
      </c>
      <c r="I134">
        <v>189</v>
      </c>
      <c r="J134">
        <v>177</v>
      </c>
      <c r="K134">
        <v>159</v>
      </c>
      <c r="L134">
        <v>148</v>
      </c>
      <c r="M134">
        <v>234</v>
      </c>
      <c r="N134">
        <v>222</v>
      </c>
      <c r="O134">
        <v>198</v>
      </c>
      <c r="P134">
        <v>189</v>
      </c>
      <c r="Q134">
        <v>177</v>
      </c>
      <c r="R134">
        <v>159</v>
      </c>
      <c r="S134">
        <v>148</v>
      </c>
    </row>
    <row r="135" spans="1:19" x14ac:dyDescent="0.25">
      <c r="A135" t="s">
        <v>48</v>
      </c>
      <c r="B135" t="s">
        <v>49</v>
      </c>
      <c r="C135" t="s">
        <v>132</v>
      </c>
      <c r="D135" t="s">
        <v>133</v>
      </c>
      <c r="E135" t="s">
        <v>67</v>
      </c>
      <c r="F135">
        <v>391</v>
      </c>
      <c r="G135" t="s">
        <v>41</v>
      </c>
      <c r="H135">
        <v>350</v>
      </c>
      <c r="I135">
        <v>310</v>
      </c>
      <c r="J135" t="s">
        <v>41</v>
      </c>
      <c r="K135" t="s">
        <v>41</v>
      </c>
      <c r="L135" t="s">
        <v>41</v>
      </c>
      <c r="M135">
        <v>391</v>
      </c>
      <c r="N135" t="s">
        <v>41</v>
      </c>
      <c r="O135">
        <v>350</v>
      </c>
      <c r="P135">
        <v>310</v>
      </c>
      <c r="Q135" t="s">
        <v>41</v>
      </c>
      <c r="R135" t="s">
        <v>41</v>
      </c>
      <c r="S135" t="s">
        <v>41</v>
      </c>
    </row>
    <row r="136" spans="1:19" x14ac:dyDescent="0.25">
      <c r="A136" t="s">
        <v>52</v>
      </c>
      <c r="B136" t="s">
        <v>53</v>
      </c>
      <c r="C136" t="s">
        <v>132</v>
      </c>
      <c r="D136" t="s">
        <v>133</v>
      </c>
      <c r="E136" t="s">
        <v>67</v>
      </c>
      <c r="F136">
        <v>166</v>
      </c>
      <c r="G136">
        <v>172</v>
      </c>
      <c r="H136">
        <v>171</v>
      </c>
      <c r="I136">
        <v>163</v>
      </c>
      <c r="J136">
        <v>160</v>
      </c>
      <c r="K136">
        <v>150</v>
      </c>
      <c r="L136">
        <v>143</v>
      </c>
      <c r="M136">
        <v>166</v>
      </c>
      <c r="N136">
        <v>172</v>
      </c>
      <c r="O136">
        <v>171</v>
      </c>
      <c r="P136">
        <v>163</v>
      </c>
      <c r="Q136">
        <v>160</v>
      </c>
      <c r="R136">
        <v>150</v>
      </c>
      <c r="S136">
        <v>143</v>
      </c>
    </row>
    <row r="137" spans="1:19" x14ac:dyDescent="0.25">
      <c r="A137" t="s">
        <v>134</v>
      </c>
      <c r="B137" t="s">
        <v>41</v>
      </c>
      <c r="E137" t="s">
        <v>97</v>
      </c>
      <c r="F137">
        <v>432</v>
      </c>
      <c r="G137">
        <v>191</v>
      </c>
      <c r="H137">
        <v>494</v>
      </c>
      <c r="I137">
        <v>457</v>
      </c>
      <c r="J137">
        <v>252</v>
      </c>
      <c r="K137">
        <v>169</v>
      </c>
      <c r="L137">
        <v>240</v>
      </c>
      <c r="M137">
        <v>432</v>
      </c>
      <c r="N137">
        <v>191</v>
      </c>
      <c r="O137">
        <v>494</v>
      </c>
      <c r="P137">
        <v>457</v>
      </c>
      <c r="Q137">
        <v>252</v>
      </c>
      <c r="R137">
        <v>169</v>
      </c>
      <c r="S137">
        <v>240</v>
      </c>
    </row>
    <row r="138" spans="1:19" x14ac:dyDescent="0.25">
      <c r="A138" t="s">
        <v>115</v>
      </c>
      <c r="B138" t="s">
        <v>75</v>
      </c>
      <c r="C138" t="s">
        <v>135</v>
      </c>
      <c r="D138" t="s">
        <v>136</v>
      </c>
      <c r="E138" t="s">
        <v>67</v>
      </c>
      <c r="F138" t="s">
        <v>41</v>
      </c>
      <c r="G138" t="s">
        <v>41</v>
      </c>
      <c r="H138" t="s">
        <v>41</v>
      </c>
      <c r="I138" t="s">
        <v>41</v>
      </c>
      <c r="J138" t="s">
        <v>41</v>
      </c>
      <c r="K138" t="s">
        <v>41</v>
      </c>
      <c r="L138" t="s">
        <v>41</v>
      </c>
      <c r="M138" t="s">
        <v>41</v>
      </c>
      <c r="N138" t="s">
        <v>41</v>
      </c>
      <c r="O138" t="s">
        <v>41</v>
      </c>
      <c r="P138" t="s">
        <v>41</v>
      </c>
      <c r="Q138" t="s">
        <v>41</v>
      </c>
      <c r="R138" t="s">
        <v>41</v>
      </c>
      <c r="S138" t="s">
        <v>41</v>
      </c>
    </row>
    <row r="139" spans="1:19" x14ac:dyDescent="0.25">
      <c r="A139" t="s">
        <v>50</v>
      </c>
      <c r="B139" t="s">
        <v>51</v>
      </c>
      <c r="C139" t="s">
        <v>135</v>
      </c>
      <c r="D139" t="s">
        <v>136</v>
      </c>
      <c r="E139" t="s">
        <v>67</v>
      </c>
      <c r="F139">
        <v>96</v>
      </c>
      <c r="G139">
        <v>95</v>
      </c>
      <c r="H139">
        <v>87</v>
      </c>
      <c r="I139">
        <v>85</v>
      </c>
      <c r="J139">
        <v>75</v>
      </c>
      <c r="K139" t="s">
        <v>41</v>
      </c>
      <c r="L139">
        <v>67</v>
      </c>
      <c r="M139">
        <v>96</v>
      </c>
      <c r="N139">
        <v>95</v>
      </c>
      <c r="O139">
        <v>87</v>
      </c>
      <c r="P139">
        <v>85</v>
      </c>
      <c r="Q139">
        <v>75</v>
      </c>
      <c r="R139" t="s">
        <v>41</v>
      </c>
      <c r="S139">
        <v>67</v>
      </c>
    </row>
    <row r="140" spans="1:19" x14ac:dyDescent="0.25">
      <c r="A140" t="s">
        <v>45</v>
      </c>
      <c r="B140" t="s">
        <v>46</v>
      </c>
      <c r="C140" t="s">
        <v>135</v>
      </c>
      <c r="D140" t="s">
        <v>136</v>
      </c>
      <c r="E140" t="s">
        <v>67</v>
      </c>
      <c r="F140" t="s">
        <v>41</v>
      </c>
      <c r="G140" t="s">
        <v>41</v>
      </c>
      <c r="H140">
        <v>105</v>
      </c>
      <c r="I140">
        <v>91</v>
      </c>
      <c r="J140">
        <v>88</v>
      </c>
      <c r="K140">
        <v>83</v>
      </c>
      <c r="L140">
        <v>91</v>
      </c>
      <c r="M140" t="s">
        <v>41</v>
      </c>
      <c r="N140" t="s">
        <v>41</v>
      </c>
      <c r="O140">
        <v>105</v>
      </c>
      <c r="P140">
        <v>91</v>
      </c>
      <c r="Q140">
        <v>88</v>
      </c>
      <c r="R140">
        <v>83</v>
      </c>
      <c r="S140">
        <v>91</v>
      </c>
    </row>
    <row r="141" spans="1:19" x14ac:dyDescent="0.25">
      <c r="A141" t="s">
        <v>48</v>
      </c>
      <c r="B141" t="s">
        <v>49</v>
      </c>
      <c r="C141" t="s">
        <v>135</v>
      </c>
      <c r="D141" t="s">
        <v>136</v>
      </c>
      <c r="E141" t="s">
        <v>67</v>
      </c>
      <c r="F141">
        <v>240</v>
      </c>
      <c r="G141" t="s">
        <v>41</v>
      </c>
      <c r="H141">
        <v>207</v>
      </c>
      <c r="I141">
        <v>190</v>
      </c>
      <c r="J141" t="s">
        <v>41</v>
      </c>
      <c r="K141" t="s">
        <v>41</v>
      </c>
      <c r="L141" t="s">
        <v>41</v>
      </c>
      <c r="M141">
        <v>240</v>
      </c>
      <c r="N141" t="s">
        <v>41</v>
      </c>
      <c r="O141">
        <v>207</v>
      </c>
      <c r="P141">
        <v>190</v>
      </c>
      <c r="Q141" t="s">
        <v>41</v>
      </c>
      <c r="R141" t="s">
        <v>41</v>
      </c>
      <c r="S141" t="s">
        <v>41</v>
      </c>
    </row>
    <row r="142" spans="1:19" x14ac:dyDescent="0.25">
      <c r="A142" t="s">
        <v>52</v>
      </c>
      <c r="B142" t="s">
        <v>53</v>
      </c>
      <c r="C142" t="s">
        <v>135</v>
      </c>
      <c r="D142" t="s">
        <v>136</v>
      </c>
      <c r="E142" t="s">
        <v>67</v>
      </c>
      <c r="F142">
        <v>96</v>
      </c>
      <c r="G142">
        <v>96</v>
      </c>
      <c r="H142">
        <v>95</v>
      </c>
      <c r="I142">
        <v>91</v>
      </c>
      <c r="J142">
        <v>89</v>
      </c>
      <c r="K142">
        <v>86</v>
      </c>
      <c r="L142">
        <v>82</v>
      </c>
      <c r="M142">
        <v>96</v>
      </c>
      <c r="N142">
        <v>96</v>
      </c>
      <c r="O142">
        <v>95</v>
      </c>
      <c r="P142">
        <v>91</v>
      </c>
      <c r="Q142">
        <v>89</v>
      </c>
      <c r="R142">
        <v>86</v>
      </c>
      <c r="S142">
        <v>82</v>
      </c>
    </row>
    <row r="143" spans="1:19" x14ac:dyDescent="0.25">
      <c r="A143" t="s">
        <v>137</v>
      </c>
      <c r="B143" t="s">
        <v>41</v>
      </c>
      <c r="E143" t="s">
        <v>97</v>
      </c>
      <c r="F143" t="s">
        <v>41</v>
      </c>
      <c r="G143" t="s">
        <v>41</v>
      </c>
      <c r="H143">
        <v>58</v>
      </c>
      <c r="I143">
        <v>49</v>
      </c>
      <c r="J143">
        <v>43</v>
      </c>
      <c r="K143" t="s">
        <v>41</v>
      </c>
      <c r="L143">
        <v>107</v>
      </c>
      <c r="M143" t="s">
        <v>41</v>
      </c>
      <c r="N143" t="s">
        <v>41</v>
      </c>
      <c r="O143">
        <v>58</v>
      </c>
      <c r="P143">
        <v>49</v>
      </c>
      <c r="Q143">
        <v>43</v>
      </c>
      <c r="R143" t="s">
        <v>41</v>
      </c>
      <c r="S143">
        <v>107</v>
      </c>
    </row>
    <row r="144" spans="1:19" x14ac:dyDescent="0.25">
      <c r="A144" t="s">
        <v>115</v>
      </c>
      <c r="B144" t="s">
        <v>75</v>
      </c>
      <c r="C144" t="s">
        <v>138</v>
      </c>
      <c r="D144" t="s">
        <v>139</v>
      </c>
      <c r="E144" t="s">
        <v>67</v>
      </c>
      <c r="F144" t="s">
        <v>41</v>
      </c>
      <c r="G144" t="s">
        <v>41</v>
      </c>
      <c r="H144" t="s">
        <v>41</v>
      </c>
      <c r="I144" t="s">
        <v>41</v>
      </c>
      <c r="J144" t="s">
        <v>41</v>
      </c>
      <c r="K144" t="s">
        <v>41</v>
      </c>
      <c r="L144" t="s">
        <v>41</v>
      </c>
      <c r="M144" t="s">
        <v>41</v>
      </c>
      <c r="N144" t="s">
        <v>41</v>
      </c>
      <c r="O144" t="s">
        <v>41</v>
      </c>
      <c r="P144" t="s">
        <v>41</v>
      </c>
      <c r="Q144" t="s">
        <v>41</v>
      </c>
      <c r="R144" t="s">
        <v>41</v>
      </c>
      <c r="S144" t="s">
        <v>41</v>
      </c>
    </row>
    <row r="145" spans="1:19" x14ac:dyDescent="0.25">
      <c r="A145" t="s">
        <v>50</v>
      </c>
      <c r="B145" t="s">
        <v>51</v>
      </c>
      <c r="C145" t="s">
        <v>138</v>
      </c>
      <c r="D145" t="s">
        <v>139</v>
      </c>
      <c r="E145" t="s">
        <v>67</v>
      </c>
      <c r="F145" t="s">
        <v>41</v>
      </c>
      <c r="G145" t="s">
        <v>41</v>
      </c>
      <c r="H145">
        <v>58</v>
      </c>
      <c r="I145">
        <v>49</v>
      </c>
      <c r="J145">
        <v>43</v>
      </c>
      <c r="K145" t="s">
        <v>41</v>
      </c>
      <c r="L145">
        <v>37</v>
      </c>
      <c r="M145" t="s">
        <v>41</v>
      </c>
      <c r="N145" t="s">
        <v>41</v>
      </c>
      <c r="O145">
        <v>58</v>
      </c>
      <c r="P145">
        <v>49</v>
      </c>
      <c r="Q145">
        <v>43</v>
      </c>
      <c r="R145" t="s">
        <v>41</v>
      </c>
      <c r="S145">
        <v>37</v>
      </c>
    </row>
    <row r="146" spans="1:19" x14ac:dyDescent="0.25">
      <c r="A146" t="s">
        <v>45</v>
      </c>
      <c r="B146" t="s">
        <v>46</v>
      </c>
      <c r="C146" t="s">
        <v>138</v>
      </c>
      <c r="D146" t="s">
        <v>139</v>
      </c>
      <c r="E146" t="s">
        <v>67</v>
      </c>
      <c r="F146" t="s">
        <v>41</v>
      </c>
      <c r="G146" t="s">
        <v>41</v>
      </c>
      <c r="H146" t="s">
        <v>41</v>
      </c>
      <c r="I146" t="s">
        <v>41</v>
      </c>
      <c r="J146" t="s">
        <v>41</v>
      </c>
      <c r="K146" t="s">
        <v>41</v>
      </c>
      <c r="L146">
        <v>70</v>
      </c>
      <c r="M146" t="s">
        <v>41</v>
      </c>
      <c r="N146" t="s">
        <v>41</v>
      </c>
      <c r="O146" t="s">
        <v>41</v>
      </c>
      <c r="P146" t="s">
        <v>41</v>
      </c>
      <c r="Q146" t="s">
        <v>41</v>
      </c>
      <c r="R146" t="s">
        <v>41</v>
      </c>
      <c r="S146">
        <v>70</v>
      </c>
    </row>
    <row r="147" spans="1:19" x14ac:dyDescent="0.25">
      <c r="A147" t="s">
        <v>48</v>
      </c>
      <c r="B147" t="s">
        <v>49</v>
      </c>
      <c r="C147" t="s">
        <v>138</v>
      </c>
      <c r="D147" t="s">
        <v>139</v>
      </c>
      <c r="E147" t="s">
        <v>67</v>
      </c>
      <c r="F147" t="s">
        <v>41</v>
      </c>
      <c r="G147" t="s">
        <v>41</v>
      </c>
      <c r="H147" t="s">
        <v>41</v>
      </c>
      <c r="I147" t="s">
        <v>41</v>
      </c>
      <c r="J147" t="s">
        <v>41</v>
      </c>
      <c r="K147" t="s">
        <v>41</v>
      </c>
      <c r="L147" t="s">
        <v>41</v>
      </c>
      <c r="M147" t="s">
        <v>41</v>
      </c>
      <c r="N147" t="s">
        <v>41</v>
      </c>
      <c r="O147" t="s">
        <v>41</v>
      </c>
      <c r="P147" t="s">
        <v>41</v>
      </c>
      <c r="Q147" t="s">
        <v>41</v>
      </c>
      <c r="R147" t="s">
        <v>41</v>
      </c>
      <c r="S147" t="s">
        <v>41</v>
      </c>
    </row>
    <row r="148" spans="1:19" x14ac:dyDescent="0.25">
      <c r="A148" t="s">
        <v>52</v>
      </c>
      <c r="B148" t="s">
        <v>53</v>
      </c>
      <c r="C148" t="s">
        <v>138</v>
      </c>
      <c r="D148" t="s">
        <v>139</v>
      </c>
      <c r="E148" t="s">
        <v>67</v>
      </c>
      <c r="F148" t="s">
        <v>41</v>
      </c>
      <c r="G148" t="s">
        <v>41</v>
      </c>
      <c r="H148" t="s">
        <v>41</v>
      </c>
      <c r="I148" t="s">
        <v>41</v>
      </c>
      <c r="J148" t="s">
        <v>41</v>
      </c>
      <c r="K148" t="s">
        <v>41</v>
      </c>
      <c r="L148" t="s">
        <v>41</v>
      </c>
      <c r="M148" t="s">
        <v>41</v>
      </c>
      <c r="N148" t="s">
        <v>41</v>
      </c>
      <c r="O148" t="s">
        <v>41</v>
      </c>
      <c r="P148" t="s">
        <v>41</v>
      </c>
      <c r="Q148" t="s">
        <v>41</v>
      </c>
      <c r="R148" t="s">
        <v>41</v>
      </c>
      <c r="S148" t="s">
        <v>41</v>
      </c>
    </row>
    <row r="149" spans="1:19" x14ac:dyDescent="0.25">
      <c r="A149" t="s">
        <v>140</v>
      </c>
      <c r="B149" t="s">
        <v>41</v>
      </c>
      <c r="E149" t="s">
        <v>97</v>
      </c>
      <c r="F149" t="s">
        <v>41</v>
      </c>
      <c r="G149" t="s">
        <v>41</v>
      </c>
      <c r="H149">
        <v>40</v>
      </c>
      <c r="I149">
        <v>34</v>
      </c>
      <c r="J149">
        <v>29</v>
      </c>
      <c r="K149" t="s">
        <v>41</v>
      </c>
      <c r="L149">
        <v>75</v>
      </c>
      <c r="M149" t="s">
        <v>41</v>
      </c>
      <c r="N149" t="s">
        <v>41</v>
      </c>
      <c r="O149">
        <v>40</v>
      </c>
      <c r="P149">
        <v>34</v>
      </c>
      <c r="Q149">
        <v>29</v>
      </c>
      <c r="R149" t="s">
        <v>41</v>
      </c>
      <c r="S149">
        <v>75</v>
      </c>
    </row>
    <row r="150" spans="1:19" x14ac:dyDescent="0.25">
      <c r="A150" t="s">
        <v>115</v>
      </c>
      <c r="B150" t="s">
        <v>75</v>
      </c>
      <c r="C150" t="s">
        <v>141</v>
      </c>
      <c r="D150" t="s">
        <v>142</v>
      </c>
      <c r="E150" t="s">
        <v>67</v>
      </c>
      <c r="F150" t="s">
        <v>41</v>
      </c>
      <c r="G150" t="s">
        <v>41</v>
      </c>
      <c r="H150" t="s">
        <v>41</v>
      </c>
      <c r="I150" t="s">
        <v>41</v>
      </c>
      <c r="J150" t="s">
        <v>41</v>
      </c>
      <c r="K150" t="s">
        <v>41</v>
      </c>
      <c r="L150" t="s">
        <v>41</v>
      </c>
      <c r="M150" t="s">
        <v>41</v>
      </c>
      <c r="N150" t="s">
        <v>41</v>
      </c>
      <c r="O150" t="s">
        <v>41</v>
      </c>
      <c r="P150" t="s">
        <v>41</v>
      </c>
      <c r="Q150" t="s">
        <v>41</v>
      </c>
      <c r="R150" t="s">
        <v>41</v>
      </c>
      <c r="S150" t="s">
        <v>41</v>
      </c>
    </row>
    <row r="151" spans="1:19" x14ac:dyDescent="0.25">
      <c r="A151" t="s">
        <v>50</v>
      </c>
      <c r="B151" t="s">
        <v>51</v>
      </c>
      <c r="C151" t="s">
        <v>141</v>
      </c>
      <c r="D151" t="s">
        <v>142</v>
      </c>
      <c r="E151" t="s">
        <v>67</v>
      </c>
      <c r="F151" t="s">
        <v>41</v>
      </c>
      <c r="G151" t="s">
        <v>41</v>
      </c>
      <c r="H151">
        <v>40</v>
      </c>
      <c r="I151">
        <v>34</v>
      </c>
      <c r="J151">
        <v>29</v>
      </c>
      <c r="K151" t="s">
        <v>41</v>
      </c>
      <c r="L151">
        <v>18</v>
      </c>
      <c r="M151" t="s">
        <v>41</v>
      </c>
      <c r="N151" t="s">
        <v>41</v>
      </c>
      <c r="O151">
        <v>40</v>
      </c>
      <c r="P151">
        <v>34</v>
      </c>
      <c r="Q151">
        <v>29</v>
      </c>
      <c r="R151" t="s">
        <v>41</v>
      </c>
      <c r="S151">
        <v>18</v>
      </c>
    </row>
    <row r="152" spans="1:19" x14ac:dyDescent="0.25">
      <c r="A152" t="s">
        <v>45</v>
      </c>
      <c r="B152" t="s">
        <v>46</v>
      </c>
      <c r="C152" t="s">
        <v>141</v>
      </c>
      <c r="D152" t="s">
        <v>142</v>
      </c>
      <c r="E152" t="s">
        <v>67</v>
      </c>
      <c r="F152" t="s">
        <v>41</v>
      </c>
      <c r="G152" t="s">
        <v>41</v>
      </c>
      <c r="H152" t="s">
        <v>41</v>
      </c>
      <c r="I152" t="s">
        <v>41</v>
      </c>
      <c r="J152" t="s">
        <v>41</v>
      </c>
      <c r="K152" t="s">
        <v>41</v>
      </c>
      <c r="L152">
        <v>57</v>
      </c>
      <c r="M152" t="s">
        <v>41</v>
      </c>
      <c r="N152" t="s">
        <v>41</v>
      </c>
      <c r="O152" t="s">
        <v>41</v>
      </c>
      <c r="P152" t="s">
        <v>41</v>
      </c>
      <c r="Q152" t="s">
        <v>41</v>
      </c>
      <c r="R152" t="s">
        <v>41</v>
      </c>
      <c r="S152">
        <v>57</v>
      </c>
    </row>
    <row r="153" spans="1:19" x14ac:dyDescent="0.25">
      <c r="A153" t="s">
        <v>48</v>
      </c>
      <c r="B153" t="s">
        <v>49</v>
      </c>
      <c r="C153" t="s">
        <v>141</v>
      </c>
      <c r="D153" t="s">
        <v>142</v>
      </c>
      <c r="E153" t="s">
        <v>67</v>
      </c>
      <c r="F153" t="s">
        <v>41</v>
      </c>
      <c r="G153" t="s">
        <v>41</v>
      </c>
      <c r="H153" t="s">
        <v>41</v>
      </c>
      <c r="I153" t="s">
        <v>41</v>
      </c>
      <c r="J153" t="s">
        <v>41</v>
      </c>
      <c r="K153" t="s">
        <v>41</v>
      </c>
      <c r="L153" t="s">
        <v>41</v>
      </c>
      <c r="M153" t="s">
        <v>41</v>
      </c>
      <c r="N153" t="s">
        <v>41</v>
      </c>
      <c r="O153" t="s">
        <v>41</v>
      </c>
      <c r="P153" t="s">
        <v>41</v>
      </c>
      <c r="Q153" t="s">
        <v>41</v>
      </c>
      <c r="R153" t="s">
        <v>41</v>
      </c>
      <c r="S153" t="s">
        <v>41</v>
      </c>
    </row>
    <row r="154" spans="1:19" x14ac:dyDescent="0.25">
      <c r="A154" t="s">
        <v>52</v>
      </c>
      <c r="B154" t="s">
        <v>53</v>
      </c>
      <c r="C154" t="s">
        <v>141</v>
      </c>
      <c r="D154" t="s">
        <v>142</v>
      </c>
      <c r="E154" t="s">
        <v>67</v>
      </c>
      <c r="F154" t="s">
        <v>41</v>
      </c>
      <c r="G154" t="s">
        <v>41</v>
      </c>
      <c r="H154" t="s">
        <v>41</v>
      </c>
      <c r="I154" t="s">
        <v>41</v>
      </c>
      <c r="J154" t="s">
        <v>41</v>
      </c>
      <c r="K154" t="s">
        <v>41</v>
      </c>
      <c r="L154" t="s">
        <v>41</v>
      </c>
      <c r="M154" t="s">
        <v>41</v>
      </c>
      <c r="N154" t="s">
        <v>41</v>
      </c>
      <c r="O154" t="s">
        <v>41</v>
      </c>
      <c r="P154" t="s">
        <v>41</v>
      </c>
      <c r="Q154" t="s">
        <v>41</v>
      </c>
      <c r="R154" t="s">
        <v>41</v>
      </c>
      <c r="S154" t="s">
        <v>41</v>
      </c>
    </row>
    <row r="155" spans="1:19" x14ac:dyDescent="0.25">
      <c r="A155" t="s">
        <v>143</v>
      </c>
      <c r="B155" t="s">
        <v>41</v>
      </c>
      <c r="E155" t="s">
        <v>97</v>
      </c>
      <c r="F155">
        <v>258</v>
      </c>
      <c r="G155">
        <v>152</v>
      </c>
      <c r="H155">
        <v>276</v>
      </c>
      <c r="I155">
        <v>248</v>
      </c>
      <c r="J155">
        <v>153</v>
      </c>
      <c r="K155">
        <v>122</v>
      </c>
      <c r="L155">
        <v>205</v>
      </c>
      <c r="M155">
        <v>258</v>
      </c>
      <c r="N155">
        <v>152</v>
      </c>
      <c r="O155">
        <v>276</v>
      </c>
      <c r="P155">
        <v>248</v>
      </c>
      <c r="Q155">
        <v>153</v>
      </c>
      <c r="R155">
        <v>122</v>
      </c>
      <c r="S155">
        <v>205</v>
      </c>
    </row>
    <row r="156" spans="1:19" x14ac:dyDescent="0.25">
      <c r="A156" t="s">
        <v>115</v>
      </c>
      <c r="B156" t="s">
        <v>75</v>
      </c>
      <c r="C156" t="s">
        <v>144</v>
      </c>
      <c r="D156" t="s">
        <v>145</v>
      </c>
      <c r="E156" t="s">
        <v>67</v>
      </c>
      <c r="F156" t="s">
        <v>41</v>
      </c>
      <c r="G156" t="s">
        <v>41</v>
      </c>
      <c r="H156" t="s">
        <v>41</v>
      </c>
      <c r="I156" t="s">
        <v>41</v>
      </c>
      <c r="J156" t="s">
        <v>41</v>
      </c>
      <c r="K156" t="s">
        <v>41</v>
      </c>
      <c r="L156" t="s">
        <v>41</v>
      </c>
      <c r="M156" t="s">
        <v>41</v>
      </c>
      <c r="N156" t="s">
        <v>41</v>
      </c>
      <c r="O156" t="s">
        <v>41</v>
      </c>
      <c r="P156" t="s">
        <v>41</v>
      </c>
      <c r="Q156" t="s">
        <v>41</v>
      </c>
      <c r="R156" t="s">
        <v>41</v>
      </c>
      <c r="S156" t="s">
        <v>41</v>
      </c>
    </row>
    <row r="157" spans="1:19" x14ac:dyDescent="0.25">
      <c r="A157" t="s">
        <v>50</v>
      </c>
      <c r="B157" t="s">
        <v>51</v>
      </c>
      <c r="C157" t="s">
        <v>144</v>
      </c>
      <c r="D157" t="s">
        <v>145</v>
      </c>
      <c r="E157" t="s">
        <v>67</v>
      </c>
      <c r="F157">
        <v>30</v>
      </c>
      <c r="G157">
        <v>29</v>
      </c>
      <c r="H157">
        <v>28</v>
      </c>
      <c r="I157">
        <v>25</v>
      </c>
      <c r="J157">
        <v>19</v>
      </c>
      <c r="K157" t="s">
        <v>41</v>
      </c>
      <c r="L157">
        <v>15</v>
      </c>
      <c r="M157">
        <v>30</v>
      </c>
      <c r="N157">
        <v>29</v>
      </c>
      <c r="O157">
        <v>28</v>
      </c>
      <c r="P157">
        <v>25</v>
      </c>
      <c r="Q157">
        <v>19</v>
      </c>
      <c r="R157" t="s">
        <v>41</v>
      </c>
      <c r="S157">
        <v>15</v>
      </c>
    </row>
    <row r="158" spans="1:19" x14ac:dyDescent="0.25">
      <c r="A158" t="s">
        <v>45</v>
      </c>
      <c r="B158" t="s">
        <v>46</v>
      </c>
      <c r="C158" t="s">
        <v>144</v>
      </c>
      <c r="D158" t="s">
        <v>145</v>
      </c>
      <c r="E158" t="s">
        <v>67</v>
      </c>
      <c r="F158">
        <v>61</v>
      </c>
      <c r="G158">
        <v>60</v>
      </c>
      <c r="H158">
        <v>92</v>
      </c>
      <c r="I158">
        <v>87</v>
      </c>
      <c r="J158">
        <v>83</v>
      </c>
      <c r="K158">
        <v>76</v>
      </c>
      <c r="L158">
        <v>147</v>
      </c>
      <c r="M158">
        <v>61</v>
      </c>
      <c r="N158">
        <v>60</v>
      </c>
      <c r="O158">
        <v>92</v>
      </c>
      <c r="P158">
        <v>87</v>
      </c>
      <c r="Q158">
        <v>83</v>
      </c>
      <c r="R158">
        <v>76</v>
      </c>
      <c r="S158">
        <v>147</v>
      </c>
    </row>
    <row r="159" spans="1:19" x14ac:dyDescent="0.25">
      <c r="A159" t="s">
        <v>48</v>
      </c>
      <c r="B159" t="s">
        <v>49</v>
      </c>
      <c r="C159" t="s">
        <v>144</v>
      </c>
      <c r="D159" t="s">
        <v>145</v>
      </c>
      <c r="E159" t="s">
        <v>67</v>
      </c>
      <c r="F159">
        <v>105</v>
      </c>
      <c r="G159" t="s">
        <v>41</v>
      </c>
      <c r="H159">
        <v>97</v>
      </c>
      <c r="I159">
        <v>84</v>
      </c>
      <c r="J159" t="s">
        <v>41</v>
      </c>
      <c r="K159" t="s">
        <v>41</v>
      </c>
      <c r="L159" t="s">
        <v>41</v>
      </c>
      <c r="M159">
        <v>105</v>
      </c>
      <c r="N159" t="s">
        <v>41</v>
      </c>
      <c r="O159">
        <v>97</v>
      </c>
      <c r="P159">
        <v>84</v>
      </c>
      <c r="Q159" t="s">
        <v>41</v>
      </c>
      <c r="R159" t="s">
        <v>41</v>
      </c>
      <c r="S159" t="s">
        <v>41</v>
      </c>
    </row>
    <row r="160" spans="1:19" x14ac:dyDescent="0.25">
      <c r="A160" t="s">
        <v>52</v>
      </c>
      <c r="B160" t="s">
        <v>53</v>
      </c>
      <c r="C160" t="s">
        <v>144</v>
      </c>
      <c r="D160" t="s">
        <v>145</v>
      </c>
      <c r="E160" t="s">
        <v>67</v>
      </c>
      <c r="F160">
        <v>62</v>
      </c>
      <c r="G160">
        <v>63</v>
      </c>
      <c r="H160">
        <v>59</v>
      </c>
      <c r="I160">
        <v>52</v>
      </c>
      <c r="J160">
        <v>51</v>
      </c>
      <c r="K160">
        <v>46</v>
      </c>
      <c r="L160">
        <v>43</v>
      </c>
      <c r="M160">
        <v>62</v>
      </c>
      <c r="N160">
        <v>63</v>
      </c>
      <c r="O160">
        <v>59</v>
      </c>
      <c r="P160">
        <v>52</v>
      </c>
      <c r="Q160">
        <v>51</v>
      </c>
      <c r="R160">
        <v>46</v>
      </c>
      <c r="S160">
        <v>43</v>
      </c>
    </row>
    <row r="161" spans="1:19" x14ac:dyDescent="0.25">
      <c r="A161" t="s">
        <v>146</v>
      </c>
      <c r="B161" t="s">
        <v>41</v>
      </c>
      <c r="E161" t="s">
        <v>97</v>
      </c>
      <c r="F161">
        <v>107</v>
      </c>
      <c r="G161">
        <v>45</v>
      </c>
      <c r="H161">
        <v>74</v>
      </c>
      <c r="I161">
        <v>78</v>
      </c>
      <c r="J161">
        <v>38</v>
      </c>
      <c r="K161">
        <v>30</v>
      </c>
      <c r="L161">
        <v>33</v>
      </c>
      <c r="M161">
        <v>107</v>
      </c>
      <c r="N161">
        <v>45</v>
      </c>
      <c r="O161">
        <v>74</v>
      </c>
      <c r="P161">
        <v>78</v>
      </c>
      <c r="Q161">
        <v>38</v>
      </c>
      <c r="R161">
        <v>30</v>
      </c>
      <c r="S161">
        <v>33</v>
      </c>
    </row>
    <row r="162" spans="1:19" x14ac:dyDescent="0.25">
      <c r="A162" t="s">
        <v>115</v>
      </c>
      <c r="B162" t="s">
        <v>75</v>
      </c>
      <c r="C162" t="s">
        <v>147</v>
      </c>
      <c r="D162" t="s">
        <v>148</v>
      </c>
      <c r="E162" t="s">
        <v>67</v>
      </c>
      <c r="F162" t="s">
        <v>41</v>
      </c>
      <c r="G162" t="s">
        <v>41</v>
      </c>
      <c r="H162" t="s">
        <v>41</v>
      </c>
      <c r="I162" t="s">
        <v>41</v>
      </c>
      <c r="J162" t="s">
        <v>41</v>
      </c>
      <c r="K162" t="s">
        <v>41</v>
      </c>
      <c r="L162" t="s">
        <v>41</v>
      </c>
      <c r="M162" t="s">
        <v>41</v>
      </c>
      <c r="N162" t="s">
        <v>41</v>
      </c>
      <c r="O162" t="s">
        <v>41</v>
      </c>
      <c r="P162" t="s">
        <v>41</v>
      </c>
      <c r="Q162" t="s">
        <v>41</v>
      </c>
      <c r="R162" t="s">
        <v>41</v>
      </c>
      <c r="S162" t="s">
        <v>41</v>
      </c>
    </row>
    <row r="163" spans="1:19" x14ac:dyDescent="0.25">
      <c r="A163" t="s">
        <v>50</v>
      </c>
      <c r="B163" t="s">
        <v>51</v>
      </c>
      <c r="C163" t="s">
        <v>147</v>
      </c>
      <c r="D163" t="s">
        <v>148</v>
      </c>
      <c r="E163" t="s">
        <v>67</v>
      </c>
      <c r="F163">
        <v>15</v>
      </c>
      <c r="G163">
        <v>10</v>
      </c>
      <c r="H163">
        <v>8</v>
      </c>
      <c r="I163">
        <v>8</v>
      </c>
      <c r="J163">
        <v>8</v>
      </c>
      <c r="K163" t="s">
        <v>41</v>
      </c>
      <c r="L163">
        <v>6</v>
      </c>
      <c r="M163">
        <v>15</v>
      </c>
      <c r="N163">
        <v>10</v>
      </c>
      <c r="O163">
        <v>8</v>
      </c>
      <c r="P163">
        <v>8</v>
      </c>
      <c r="Q163">
        <v>8</v>
      </c>
      <c r="R163" t="s">
        <v>41</v>
      </c>
      <c r="S163">
        <v>6</v>
      </c>
    </row>
    <row r="164" spans="1:19" x14ac:dyDescent="0.25">
      <c r="A164" t="s">
        <v>45</v>
      </c>
      <c r="B164" t="s">
        <v>46</v>
      </c>
      <c r="C164" t="s">
        <v>147</v>
      </c>
      <c r="D164" t="s">
        <v>148</v>
      </c>
      <c r="E164" t="s">
        <v>67</v>
      </c>
      <c r="F164">
        <v>28</v>
      </c>
      <c r="G164">
        <v>25</v>
      </c>
      <c r="H164">
        <v>20</v>
      </c>
      <c r="I164">
        <v>26</v>
      </c>
      <c r="J164">
        <v>21</v>
      </c>
      <c r="K164">
        <v>19</v>
      </c>
      <c r="L164">
        <v>17</v>
      </c>
      <c r="M164">
        <v>28</v>
      </c>
      <c r="N164">
        <v>25</v>
      </c>
      <c r="O164">
        <v>20</v>
      </c>
      <c r="P164">
        <v>26</v>
      </c>
      <c r="Q164">
        <v>21</v>
      </c>
      <c r="R164">
        <v>19</v>
      </c>
      <c r="S164">
        <v>17</v>
      </c>
    </row>
    <row r="165" spans="1:19" x14ac:dyDescent="0.25">
      <c r="A165" t="s">
        <v>48</v>
      </c>
      <c r="B165" t="s">
        <v>49</v>
      </c>
      <c r="C165" t="s">
        <v>147</v>
      </c>
      <c r="D165" t="s">
        <v>148</v>
      </c>
      <c r="E165" t="s">
        <v>67</v>
      </c>
      <c r="F165">
        <v>49</v>
      </c>
      <c r="G165" t="s">
        <v>41</v>
      </c>
      <c r="H165">
        <v>38</v>
      </c>
      <c r="I165">
        <v>35</v>
      </c>
      <c r="J165" t="s">
        <v>41</v>
      </c>
      <c r="K165" t="s">
        <v>41</v>
      </c>
      <c r="L165" t="s">
        <v>41</v>
      </c>
      <c r="M165">
        <v>49</v>
      </c>
      <c r="N165" t="s">
        <v>41</v>
      </c>
      <c r="O165">
        <v>38</v>
      </c>
      <c r="P165">
        <v>35</v>
      </c>
      <c r="Q165" t="s">
        <v>41</v>
      </c>
      <c r="R165" t="s">
        <v>41</v>
      </c>
      <c r="S165" t="s">
        <v>41</v>
      </c>
    </row>
    <row r="166" spans="1:19" x14ac:dyDescent="0.25">
      <c r="A166" t="s">
        <v>52</v>
      </c>
      <c r="B166" t="s">
        <v>53</v>
      </c>
      <c r="C166" t="s">
        <v>147</v>
      </c>
      <c r="D166" t="s">
        <v>148</v>
      </c>
      <c r="E166" t="s">
        <v>67</v>
      </c>
      <c r="F166">
        <v>15</v>
      </c>
      <c r="G166">
        <v>10</v>
      </c>
      <c r="H166">
        <v>8</v>
      </c>
      <c r="I166">
        <v>9</v>
      </c>
      <c r="J166">
        <v>9</v>
      </c>
      <c r="K166">
        <v>11</v>
      </c>
      <c r="L166">
        <v>10</v>
      </c>
      <c r="M166">
        <v>15</v>
      </c>
      <c r="N166">
        <v>10</v>
      </c>
      <c r="O166">
        <v>8</v>
      </c>
      <c r="P166">
        <v>9</v>
      </c>
      <c r="Q166">
        <v>9</v>
      </c>
      <c r="R166">
        <v>11</v>
      </c>
      <c r="S166">
        <v>10</v>
      </c>
    </row>
    <row r="167" spans="1:19" x14ac:dyDescent="0.25">
      <c r="A167" t="s">
        <v>149</v>
      </c>
      <c r="B167" t="s">
        <v>41</v>
      </c>
      <c r="E167" t="s">
        <v>44</v>
      </c>
      <c r="M167" t="s">
        <v>41</v>
      </c>
      <c r="N167" t="s">
        <v>41</v>
      </c>
      <c r="O167" t="s">
        <v>41</v>
      </c>
      <c r="P167" t="s">
        <v>41</v>
      </c>
      <c r="Q167" t="s">
        <v>41</v>
      </c>
      <c r="R167" t="s">
        <v>41</v>
      </c>
      <c r="S167" t="s">
        <v>41</v>
      </c>
    </row>
    <row r="168" spans="1:19" x14ac:dyDescent="0.25">
      <c r="A168" t="s">
        <v>150</v>
      </c>
      <c r="B168" t="s">
        <v>41</v>
      </c>
      <c r="E168" t="s">
        <v>62</v>
      </c>
      <c r="F168">
        <v>65.349999999999994</v>
      </c>
      <c r="G168">
        <v>61.05</v>
      </c>
      <c r="H168">
        <v>56.433333333333337</v>
      </c>
      <c r="I168">
        <v>51.199999999999996</v>
      </c>
      <c r="J168">
        <v>48.125</v>
      </c>
      <c r="K168">
        <v>43.866666666666667</v>
      </c>
      <c r="L168">
        <v>45.650000000000006</v>
      </c>
      <c r="M168">
        <v>65.349999999999994</v>
      </c>
      <c r="N168">
        <v>61.05</v>
      </c>
      <c r="O168">
        <v>56.433333330000004</v>
      </c>
      <c r="P168">
        <v>51.2</v>
      </c>
      <c r="Q168">
        <v>48.125</v>
      </c>
      <c r="R168">
        <v>43.866666670000001</v>
      </c>
      <c r="S168">
        <v>45.65</v>
      </c>
    </row>
    <row r="169" spans="1:19" x14ac:dyDescent="0.25">
      <c r="A169" t="s">
        <v>110</v>
      </c>
      <c r="B169" t="s">
        <v>75</v>
      </c>
      <c r="C169" t="s">
        <v>151</v>
      </c>
      <c r="D169" t="s">
        <v>152</v>
      </c>
      <c r="E169" t="s">
        <v>67</v>
      </c>
      <c r="F169" t="s">
        <v>41</v>
      </c>
      <c r="G169" t="s">
        <v>41</v>
      </c>
      <c r="H169" t="s">
        <v>41</v>
      </c>
      <c r="I169">
        <v>37.9</v>
      </c>
      <c r="J169">
        <v>36.5</v>
      </c>
      <c r="K169">
        <v>35.5</v>
      </c>
      <c r="L169">
        <v>34</v>
      </c>
      <c r="M169" t="s">
        <v>41</v>
      </c>
      <c r="N169" t="s">
        <v>41</v>
      </c>
      <c r="O169" t="s">
        <v>41</v>
      </c>
      <c r="P169">
        <v>37.9</v>
      </c>
      <c r="Q169">
        <v>36.5</v>
      </c>
      <c r="R169">
        <v>35.5</v>
      </c>
      <c r="S169">
        <v>34</v>
      </c>
    </row>
    <row r="170" spans="1:19" x14ac:dyDescent="0.25">
      <c r="A170" t="s">
        <v>78</v>
      </c>
      <c r="B170" t="s">
        <v>51</v>
      </c>
      <c r="C170" t="s">
        <v>151</v>
      </c>
      <c r="D170" t="s">
        <v>152</v>
      </c>
      <c r="E170" t="s">
        <v>67</v>
      </c>
      <c r="F170">
        <v>68.3</v>
      </c>
      <c r="G170">
        <v>62.7</v>
      </c>
      <c r="H170">
        <v>60.7</v>
      </c>
      <c r="I170">
        <v>61.8</v>
      </c>
      <c r="J170">
        <v>56.8</v>
      </c>
      <c r="K170" t="s">
        <v>41</v>
      </c>
      <c r="L170">
        <v>56.5</v>
      </c>
      <c r="M170">
        <v>68.3</v>
      </c>
      <c r="N170">
        <v>62.7</v>
      </c>
      <c r="O170">
        <v>60.7</v>
      </c>
      <c r="P170">
        <v>61.8</v>
      </c>
      <c r="Q170">
        <v>56.8</v>
      </c>
      <c r="R170" t="s">
        <v>41</v>
      </c>
      <c r="S170">
        <v>56.5</v>
      </c>
    </row>
    <row r="171" spans="1:19" x14ac:dyDescent="0.25">
      <c r="A171" t="s">
        <v>79</v>
      </c>
      <c r="B171" t="s">
        <v>46</v>
      </c>
      <c r="C171" t="s">
        <v>151</v>
      </c>
      <c r="D171" t="s">
        <v>152</v>
      </c>
      <c r="E171" t="s">
        <v>67</v>
      </c>
      <c r="F171" t="s">
        <v>41</v>
      </c>
      <c r="G171" t="s">
        <v>41</v>
      </c>
      <c r="H171">
        <v>50.5</v>
      </c>
      <c r="I171">
        <v>48</v>
      </c>
      <c r="J171">
        <v>44</v>
      </c>
      <c r="K171">
        <v>42.1</v>
      </c>
      <c r="L171">
        <v>40.799999999999997</v>
      </c>
      <c r="M171" t="s">
        <v>41</v>
      </c>
      <c r="N171" t="s">
        <v>41</v>
      </c>
      <c r="O171">
        <v>50.5</v>
      </c>
      <c r="P171">
        <v>48</v>
      </c>
      <c r="Q171">
        <v>44</v>
      </c>
      <c r="R171">
        <v>42.1</v>
      </c>
      <c r="S171">
        <v>40.799999999999997</v>
      </c>
    </row>
    <row r="172" spans="1:19" x14ac:dyDescent="0.25">
      <c r="A172" t="s">
        <v>82</v>
      </c>
      <c r="B172" t="s">
        <v>49</v>
      </c>
      <c r="C172" t="s">
        <v>151</v>
      </c>
      <c r="D172" t="s">
        <v>152</v>
      </c>
      <c r="E172" t="s">
        <v>67</v>
      </c>
      <c r="F172" t="s">
        <v>41</v>
      </c>
      <c r="G172" t="s">
        <v>41</v>
      </c>
      <c r="H172" t="s">
        <v>41</v>
      </c>
      <c r="I172" t="s">
        <v>41</v>
      </c>
      <c r="J172" t="s">
        <v>41</v>
      </c>
      <c r="K172" t="s">
        <v>41</v>
      </c>
      <c r="L172" t="s">
        <v>41</v>
      </c>
      <c r="M172" t="s">
        <v>41</v>
      </c>
      <c r="N172" t="s">
        <v>41</v>
      </c>
      <c r="O172" t="s">
        <v>41</v>
      </c>
      <c r="P172" t="s">
        <v>41</v>
      </c>
      <c r="Q172" t="s">
        <v>41</v>
      </c>
      <c r="R172" t="s">
        <v>41</v>
      </c>
      <c r="S172" t="s">
        <v>41</v>
      </c>
    </row>
    <row r="173" spans="1:19" x14ac:dyDescent="0.25">
      <c r="A173" t="s">
        <v>83</v>
      </c>
      <c r="B173" t="s">
        <v>53</v>
      </c>
      <c r="C173" t="s">
        <v>151</v>
      </c>
      <c r="D173" t="s">
        <v>152</v>
      </c>
      <c r="E173" t="s">
        <v>67</v>
      </c>
      <c r="F173">
        <v>62.4</v>
      </c>
      <c r="G173">
        <v>59.4</v>
      </c>
      <c r="H173">
        <v>58.1</v>
      </c>
      <c r="I173">
        <v>57.1</v>
      </c>
      <c r="J173">
        <v>55.2</v>
      </c>
      <c r="K173">
        <v>54</v>
      </c>
      <c r="L173">
        <v>51.3</v>
      </c>
      <c r="M173">
        <v>62.4</v>
      </c>
      <c r="N173">
        <v>59.4</v>
      </c>
      <c r="O173">
        <v>58.1</v>
      </c>
      <c r="P173">
        <v>57.1</v>
      </c>
      <c r="Q173">
        <v>55.2</v>
      </c>
      <c r="R173">
        <v>54</v>
      </c>
      <c r="S173">
        <v>51.3</v>
      </c>
    </row>
    <row r="174" spans="1:19" x14ac:dyDescent="0.25">
      <c r="A174" t="s">
        <v>153</v>
      </c>
      <c r="B174" t="s">
        <v>41</v>
      </c>
      <c r="E174" t="s">
        <v>62</v>
      </c>
      <c r="F174">
        <v>31.7</v>
      </c>
      <c r="G174">
        <v>36.299999999999997</v>
      </c>
      <c r="H174">
        <v>44.4</v>
      </c>
      <c r="I174">
        <v>42.699999999999996</v>
      </c>
      <c r="J174">
        <v>45.233333333333327</v>
      </c>
      <c r="K174">
        <v>46.7</v>
      </c>
      <c r="L174">
        <v>45.566666666666663</v>
      </c>
      <c r="M174">
        <v>31.7</v>
      </c>
      <c r="N174">
        <v>36.299999999999997</v>
      </c>
      <c r="O174">
        <v>44.4</v>
      </c>
      <c r="P174">
        <v>42.7</v>
      </c>
      <c r="Q174">
        <v>45.233333330000001</v>
      </c>
      <c r="R174">
        <v>46.7</v>
      </c>
      <c r="S174">
        <v>45.566666669999996</v>
      </c>
    </row>
    <row r="175" spans="1:19" x14ac:dyDescent="0.25">
      <c r="A175" t="s">
        <v>110</v>
      </c>
      <c r="B175" t="s">
        <v>75</v>
      </c>
      <c r="C175" t="s">
        <v>154</v>
      </c>
      <c r="D175" t="s">
        <v>155</v>
      </c>
      <c r="E175" t="s">
        <v>67</v>
      </c>
      <c r="F175" t="s">
        <v>41</v>
      </c>
      <c r="G175" t="s">
        <v>41</v>
      </c>
      <c r="H175" t="s">
        <v>41</v>
      </c>
      <c r="I175">
        <v>37.9</v>
      </c>
      <c r="J175">
        <v>36.5</v>
      </c>
      <c r="K175">
        <v>35.5</v>
      </c>
      <c r="L175">
        <v>34</v>
      </c>
      <c r="M175" t="s">
        <v>41</v>
      </c>
      <c r="N175" t="s">
        <v>41</v>
      </c>
      <c r="O175" t="s">
        <v>41</v>
      </c>
      <c r="P175">
        <v>37.9</v>
      </c>
      <c r="Q175">
        <v>36.5</v>
      </c>
      <c r="R175">
        <v>35.5</v>
      </c>
      <c r="S175">
        <v>34</v>
      </c>
    </row>
    <row r="176" spans="1:19" x14ac:dyDescent="0.25">
      <c r="A176" t="s">
        <v>78</v>
      </c>
      <c r="B176" t="s">
        <v>51</v>
      </c>
      <c r="C176" t="s">
        <v>154</v>
      </c>
      <c r="D176" t="s">
        <v>155</v>
      </c>
      <c r="E176" t="s">
        <v>67</v>
      </c>
      <c r="F176">
        <v>31.7</v>
      </c>
      <c r="G176">
        <v>36.299999999999997</v>
      </c>
      <c r="H176">
        <v>39.299999999999997</v>
      </c>
      <c r="I176">
        <v>38.200000000000003</v>
      </c>
      <c r="J176">
        <v>43.2</v>
      </c>
      <c r="K176" t="s">
        <v>41</v>
      </c>
      <c r="L176">
        <v>43.5</v>
      </c>
      <c r="M176">
        <v>31.7</v>
      </c>
      <c r="N176">
        <v>36.299999999999997</v>
      </c>
      <c r="O176">
        <v>39.299999999999997</v>
      </c>
      <c r="P176">
        <v>38.200000000000003</v>
      </c>
      <c r="Q176">
        <v>43.2</v>
      </c>
      <c r="R176" t="s">
        <v>41</v>
      </c>
      <c r="S176">
        <v>43.5</v>
      </c>
    </row>
    <row r="177" spans="1:19" x14ac:dyDescent="0.25">
      <c r="A177" t="s">
        <v>79</v>
      </c>
      <c r="B177" t="s">
        <v>46</v>
      </c>
      <c r="C177" t="s">
        <v>154</v>
      </c>
      <c r="D177" t="s">
        <v>155</v>
      </c>
      <c r="E177" t="s">
        <v>67</v>
      </c>
      <c r="F177" t="s">
        <v>41</v>
      </c>
      <c r="G177" t="s">
        <v>41</v>
      </c>
      <c r="H177">
        <v>49.5</v>
      </c>
      <c r="I177">
        <v>52</v>
      </c>
      <c r="J177">
        <v>56</v>
      </c>
      <c r="K177">
        <v>57.9</v>
      </c>
      <c r="L177">
        <v>59.2</v>
      </c>
      <c r="M177" t="s">
        <v>41</v>
      </c>
      <c r="N177" t="s">
        <v>41</v>
      </c>
      <c r="O177">
        <v>49.5</v>
      </c>
      <c r="P177">
        <v>52</v>
      </c>
      <c r="Q177">
        <v>56</v>
      </c>
      <c r="R177">
        <v>57.9</v>
      </c>
      <c r="S177">
        <v>59.2</v>
      </c>
    </row>
    <row r="178" spans="1:19" x14ac:dyDescent="0.25">
      <c r="A178" t="s">
        <v>82</v>
      </c>
      <c r="B178" t="s">
        <v>49</v>
      </c>
      <c r="C178" t="s">
        <v>154</v>
      </c>
      <c r="D178" t="s">
        <v>155</v>
      </c>
      <c r="E178" t="s">
        <v>67</v>
      </c>
      <c r="F178" t="s">
        <v>41</v>
      </c>
      <c r="G178" t="s">
        <v>41</v>
      </c>
      <c r="H178" t="s">
        <v>41</v>
      </c>
      <c r="I178" t="s">
        <v>41</v>
      </c>
      <c r="J178" t="s">
        <v>41</v>
      </c>
      <c r="K178" t="s">
        <v>41</v>
      </c>
      <c r="L178" t="s">
        <v>41</v>
      </c>
      <c r="M178" t="s">
        <v>41</v>
      </c>
      <c r="N178" t="s">
        <v>41</v>
      </c>
      <c r="O178" t="s">
        <v>41</v>
      </c>
      <c r="P178" t="s">
        <v>41</v>
      </c>
      <c r="Q178" t="s">
        <v>41</v>
      </c>
      <c r="R178" t="s">
        <v>41</v>
      </c>
      <c r="S178" t="s">
        <v>41</v>
      </c>
    </row>
    <row r="179" spans="1:19" x14ac:dyDescent="0.25">
      <c r="A179" t="s">
        <v>83</v>
      </c>
      <c r="B179" t="s">
        <v>53</v>
      </c>
      <c r="C179" t="s">
        <v>154</v>
      </c>
      <c r="D179" t="s">
        <v>155</v>
      </c>
      <c r="E179" t="s">
        <v>67</v>
      </c>
      <c r="F179" t="s">
        <v>41</v>
      </c>
      <c r="G179" t="s">
        <v>41</v>
      </c>
      <c r="H179" t="s">
        <v>41</v>
      </c>
      <c r="I179" t="s">
        <v>41</v>
      </c>
      <c r="J179" t="s">
        <v>41</v>
      </c>
      <c r="K179" t="s">
        <v>41</v>
      </c>
      <c r="L179" t="s">
        <v>41</v>
      </c>
      <c r="M179" t="s">
        <v>41</v>
      </c>
      <c r="N179" t="s">
        <v>41</v>
      </c>
      <c r="O179" t="s">
        <v>41</v>
      </c>
      <c r="P179" t="s">
        <v>41</v>
      </c>
      <c r="Q179" t="s">
        <v>41</v>
      </c>
      <c r="R179" t="s">
        <v>41</v>
      </c>
      <c r="S179" t="s">
        <v>41</v>
      </c>
    </row>
    <row r="180" spans="1:19" x14ac:dyDescent="0.25">
      <c r="A180" t="s">
        <v>156</v>
      </c>
      <c r="B180" t="s">
        <v>41</v>
      </c>
      <c r="E180" t="s">
        <v>42</v>
      </c>
      <c r="F180" t="s">
        <v>41</v>
      </c>
      <c r="G180" t="s">
        <v>41</v>
      </c>
      <c r="H180" t="s">
        <v>41</v>
      </c>
      <c r="I180" t="s">
        <v>41</v>
      </c>
      <c r="J180" t="s">
        <v>41</v>
      </c>
      <c r="K180" t="s">
        <v>41</v>
      </c>
      <c r="L180" t="s">
        <v>41</v>
      </c>
      <c r="M180" t="s">
        <v>41</v>
      </c>
      <c r="N180" t="s">
        <v>41</v>
      </c>
      <c r="O180" t="s">
        <v>41</v>
      </c>
      <c r="P180" t="s">
        <v>41</v>
      </c>
      <c r="Q180" t="s">
        <v>41</v>
      </c>
      <c r="R180" t="s">
        <v>41</v>
      </c>
      <c r="S180" t="s">
        <v>41</v>
      </c>
    </row>
    <row r="181" spans="1:19" x14ac:dyDescent="0.25">
      <c r="A181" t="s">
        <v>43</v>
      </c>
      <c r="B181" t="s">
        <v>41</v>
      </c>
      <c r="E181" t="s">
        <v>97</v>
      </c>
      <c r="F181">
        <v>93412.932560000001</v>
      </c>
      <c r="G181">
        <v>89559.516973999984</v>
      </c>
      <c r="H181">
        <v>86089.592843999999</v>
      </c>
      <c r="I181">
        <v>84245.954841999992</v>
      </c>
      <c r="J181">
        <v>81562.873418999996</v>
      </c>
      <c r="K181">
        <v>79532.529924000002</v>
      </c>
      <c r="L181">
        <v>82476.899517999991</v>
      </c>
      <c r="M181">
        <v>93412.932560000001</v>
      </c>
      <c r="N181">
        <v>89559.516969999997</v>
      </c>
      <c r="O181">
        <v>86089.592850000001</v>
      </c>
      <c r="P181">
        <v>84245.954840000006</v>
      </c>
      <c r="Q181">
        <v>81562.873420000004</v>
      </c>
      <c r="R181">
        <v>79532.529920000001</v>
      </c>
      <c r="S181">
        <v>82476.899520000006</v>
      </c>
    </row>
    <row r="182" spans="1:19" x14ac:dyDescent="0.25">
      <c r="A182" t="s">
        <v>157</v>
      </c>
      <c r="B182" t="s">
        <v>81</v>
      </c>
      <c r="C182" t="s">
        <v>158</v>
      </c>
      <c r="D182" t="s">
        <v>159</v>
      </c>
      <c r="E182" t="s">
        <v>67</v>
      </c>
      <c r="F182">
        <v>36274</v>
      </c>
      <c r="G182">
        <v>36994</v>
      </c>
      <c r="H182">
        <v>37479</v>
      </c>
      <c r="I182">
        <v>37513</v>
      </c>
      <c r="J182">
        <v>38486</v>
      </c>
      <c r="K182">
        <v>41410</v>
      </c>
      <c r="L182">
        <v>43249</v>
      </c>
      <c r="M182">
        <v>36274</v>
      </c>
      <c r="N182">
        <v>36994</v>
      </c>
      <c r="O182">
        <v>37479</v>
      </c>
      <c r="P182">
        <v>37513</v>
      </c>
      <c r="Q182">
        <v>38486</v>
      </c>
      <c r="R182">
        <v>41410</v>
      </c>
      <c r="S182">
        <v>43249</v>
      </c>
    </row>
    <row r="183" spans="1:19" x14ac:dyDescent="0.25">
      <c r="A183" t="s">
        <v>160</v>
      </c>
      <c r="B183" t="s">
        <v>64</v>
      </c>
      <c r="C183" t="s">
        <v>158</v>
      </c>
      <c r="D183" t="s">
        <v>159</v>
      </c>
      <c r="E183" t="s">
        <v>67</v>
      </c>
      <c r="F183">
        <v>19986.135999999999</v>
      </c>
      <c r="G183">
        <v>17849</v>
      </c>
      <c r="H183">
        <v>16291</v>
      </c>
      <c r="I183">
        <v>15653.29</v>
      </c>
      <c r="J183">
        <v>14209.387000000001</v>
      </c>
      <c r="K183">
        <v>12796.846</v>
      </c>
      <c r="L183">
        <v>13518.623</v>
      </c>
      <c r="M183">
        <v>19986.135999999999</v>
      </c>
      <c r="N183">
        <v>17849</v>
      </c>
      <c r="O183">
        <v>16291</v>
      </c>
      <c r="P183">
        <v>15653.29</v>
      </c>
      <c r="Q183">
        <v>14209.387000000001</v>
      </c>
      <c r="R183">
        <v>12796.846</v>
      </c>
      <c r="S183">
        <v>13518.623</v>
      </c>
    </row>
    <row r="184" spans="1:19" x14ac:dyDescent="0.25">
      <c r="A184" t="s">
        <v>48</v>
      </c>
      <c r="B184" t="s">
        <v>49</v>
      </c>
      <c r="C184" t="s">
        <v>158</v>
      </c>
      <c r="D184" t="s">
        <v>159</v>
      </c>
      <c r="E184" t="s">
        <v>67</v>
      </c>
      <c r="F184">
        <v>11581.67619</v>
      </c>
      <c r="G184">
        <v>11105.56691</v>
      </c>
      <c r="H184">
        <v>10254.11529</v>
      </c>
      <c r="I184">
        <v>9871.4766469999995</v>
      </c>
      <c r="J184">
        <v>9169.8668369999996</v>
      </c>
      <c r="K184">
        <v>8361.6576760000007</v>
      </c>
      <c r="L184">
        <v>7496.0403919999999</v>
      </c>
      <c r="M184">
        <v>11581.67619</v>
      </c>
      <c r="N184">
        <v>11105.56691</v>
      </c>
      <c r="O184">
        <v>10254.11529</v>
      </c>
      <c r="P184">
        <v>9871.4766469999995</v>
      </c>
      <c r="Q184">
        <v>9169.8668369999996</v>
      </c>
      <c r="R184">
        <v>8361.6576760000007</v>
      </c>
      <c r="S184">
        <v>7496.0403919999999</v>
      </c>
    </row>
    <row r="185" spans="1:19" x14ac:dyDescent="0.25">
      <c r="A185" t="s">
        <v>161</v>
      </c>
      <c r="B185" t="s">
        <v>75</v>
      </c>
      <c r="C185" t="s">
        <v>158</v>
      </c>
      <c r="D185" t="s">
        <v>159</v>
      </c>
      <c r="E185" t="s">
        <v>67</v>
      </c>
      <c r="F185">
        <v>12726</v>
      </c>
      <c r="G185">
        <v>12293</v>
      </c>
      <c r="H185">
        <v>11450</v>
      </c>
      <c r="I185">
        <v>10546</v>
      </c>
      <c r="J185">
        <v>9759</v>
      </c>
      <c r="K185">
        <v>7879.8</v>
      </c>
      <c r="L185">
        <v>6860.067</v>
      </c>
      <c r="M185">
        <v>12726</v>
      </c>
      <c r="N185">
        <v>12293</v>
      </c>
      <c r="O185">
        <v>11450</v>
      </c>
      <c r="P185">
        <v>10546</v>
      </c>
      <c r="Q185">
        <v>9759</v>
      </c>
      <c r="R185">
        <v>7879.8</v>
      </c>
      <c r="S185">
        <v>6860.067</v>
      </c>
    </row>
    <row r="186" spans="1:19" x14ac:dyDescent="0.25">
      <c r="A186" t="s">
        <v>45</v>
      </c>
      <c r="B186" t="s">
        <v>46</v>
      </c>
      <c r="C186" t="s">
        <v>158</v>
      </c>
      <c r="D186" t="s">
        <v>159</v>
      </c>
      <c r="E186" t="s">
        <v>67</v>
      </c>
      <c r="F186">
        <v>7874.0805579999997</v>
      </c>
      <c r="G186">
        <v>7158.7448009999998</v>
      </c>
      <c r="H186">
        <v>6603.9899299999997</v>
      </c>
      <c r="I186">
        <v>6325.7234129999997</v>
      </c>
      <c r="J186">
        <v>5984.3790710000003</v>
      </c>
      <c r="K186">
        <v>5365.1230679999999</v>
      </c>
      <c r="L186">
        <v>5037.1177109999999</v>
      </c>
      <c r="M186">
        <v>7874.0805579999997</v>
      </c>
      <c r="N186">
        <v>7158.7448009999998</v>
      </c>
      <c r="O186">
        <v>6603.9899299999997</v>
      </c>
      <c r="P186">
        <v>6325.7234129999997</v>
      </c>
      <c r="Q186">
        <v>5984.3790710000003</v>
      </c>
      <c r="R186">
        <v>5365.1230679999999</v>
      </c>
      <c r="S186">
        <v>5037.1177109999999</v>
      </c>
    </row>
    <row r="187" spans="1:19" x14ac:dyDescent="0.25">
      <c r="A187" t="s">
        <v>52</v>
      </c>
      <c r="B187" t="s">
        <v>53</v>
      </c>
      <c r="C187" t="s">
        <v>158</v>
      </c>
      <c r="D187" t="s">
        <v>159</v>
      </c>
      <c r="E187" t="s">
        <v>67</v>
      </c>
      <c r="F187">
        <v>4971.039812</v>
      </c>
      <c r="G187">
        <v>4159.2052629999998</v>
      </c>
      <c r="H187">
        <v>4011.4876239999999</v>
      </c>
      <c r="I187">
        <v>4336.464782</v>
      </c>
      <c r="J187">
        <v>3954.240511</v>
      </c>
      <c r="K187">
        <v>3719.1031800000001</v>
      </c>
      <c r="L187">
        <v>3318.1576089999999</v>
      </c>
      <c r="M187">
        <v>4971.039812</v>
      </c>
      <c r="N187">
        <v>4159.2052629999998</v>
      </c>
      <c r="O187">
        <v>4011.4876239999999</v>
      </c>
      <c r="P187">
        <v>4336.464782</v>
      </c>
      <c r="Q187">
        <v>3954.240511</v>
      </c>
      <c r="R187">
        <v>3719.1031800000001</v>
      </c>
      <c r="S187">
        <v>3318.1576089999999</v>
      </c>
    </row>
    <row r="188" spans="1:19" x14ac:dyDescent="0.25">
      <c r="A188" t="s">
        <v>50</v>
      </c>
      <c r="B188" t="s">
        <v>51</v>
      </c>
      <c r="C188" t="s">
        <v>158</v>
      </c>
      <c r="D188" t="s">
        <v>159</v>
      </c>
      <c r="E188" t="s">
        <v>67</v>
      </c>
      <c r="F188" t="s">
        <v>41</v>
      </c>
      <c r="G188" t="s">
        <v>41</v>
      </c>
      <c r="H188" t="s">
        <v>41</v>
      </c>
      <c r="I188" t="s">
        <v>41</v>
      </c>
      <c r="J188" t="s">
        <v>41</v>
      </c>
      <c r="K188" t="s">
        <v>41</v>
      </c>
      <c r="L188">
        <v>2997.893806</v>
      </c>
      <c r="M188" t="s">
        <v>41</v>
      </c>
      <c r="N188" t="s">
        <v>41</v>
      </c>
      <c r="O188" t="s">
        <v>41</v>
      </c>
      <c r="P188" t="s">
        <v>41</v>
      </c>
      <c r="Q188" t="s">
        <v>41</v>
      </c>
      <c r="R188" t="s">
        <v>41</v>
      </c>
      <c r="S188">
        <v>2997.893806</v>
      </c>
    </row>
    <row r="189" spans="1:19" x14ac:dyDescent="0.25">
      <c r="A189" t="s">
        <v>162</v>
      </c>
      <c r="B189" t="s">
        <v>41</v>
      </c>
      <c r="E189" t="s">
        <v>42</v>
      </c>
      <c r="F189" t="s">
        <v>41</v>
      </c>
      <c r="G189" t="s">
        <v>41</v>
      </c>
      <c r="H189" t="s">
        <v>41</v>
      </c>
      <c r="I189" t="s">
        <v>41</v>
      </c>
      <c r="J189" t="s">
        <v>41</v>
      </c>
      <c r="K189" t="s">
        <v>41</v>
      </c>
      <c r="L189" t="s">
        <v>41</v>
      </c>
      <c r="M189" t="s">
        <v>41</v>
      </c>
      <c r="N189" t="s">
        <v>41</v>
      </c>
      <c r="O189" t="s">
        <v>41</v>
      </c>
      <c r="P189" t="s">
        <v>41</v>
      </c>
      <c r="Q189" t="s">
        <v>41</v>
      </c>
      <c r="R189" t="s">
        <v>41</v>
      </c>
      <c r="S189" t="s">
        <v>41</v>
      </c>
    </row>
    <row r="190" spans="1:19" x14ac:dyDescent="0.25">
      <c r="A190" t="s">
        <v>54</v>
      </c>
      <c r="B190" t="s">
        <v>41</v>
      </c>
      <c r="E190" t="s">
        <v>97</v>
      </c>
      <c r="F190">
        <v>65613.823447000002</v>
      </c>
      <c r="G190">
        <v>63984.768227000008</v>
      </c>
      <c r="H190">
        <v>57748.904397999999</v>
      </c>
      <c r="I190">
        <v>55288.363975</v>
      </c>
      <c r="J190">
        <v>52266.253587999992</v>
      </c>
      <c r="K190">
        <v>64933.132611000001</v>
      </c>
      <c r="L190">
        <v>75210.062690000006</v>
      </c>
      <c r="M190">
        <v>65613.823449999996</v>
      </c>
      <c r="N190">
        <v>63984.768230000001</v>
      </c>
      <c r="O190">
        <v>57748.904399999999</v>
      </c>
      <c r="P190">
        <v>55288.363980000002</v>
      </c>
      <c r="Q190">
        <v>52266.25359</v>
      </c>
      <c r="R190">
        <v>64933.132610000001</v>
      </c>
      <c r="S190">
        <v>75210.062690000006</v>
      </c>
    </row>
    <row r="191" spans="1:19" x14ac:dyDescent="0.25">
      <c r="A191" t="s">
        <v>157</v>
      </c>
      <c r="B191" t="s">
        <v>81</v>
      </c>
      <c r="C191" t="s">
        <v>158</v>
      </c>
      <c r="D191" t="s">
        <v>159</v>
      </c>
      <c r="E191" t="s">
        <v>67</v>
      </c>
      <c r="F191">
        <v>24443</v>
      </c>
      <c r="G191">
        <v>25491</v>
      </c>
      <c r="H191">
        <v>24345</v>
      </c>
      <c r="I191">
        <v>24769</v>
      </c>
      <c r="J191">
        <v>26073</v>
      </c>
      <c r="K191">
        <v>30700</v>
      </c>
      <c r="L191">
        <v>31628</v>
      </c>
      <c r="M191">
        <v>24443</v>
      </c>
      <c r="N191">
        <v>25491</v>
      </c>
      <c r="O191">
        <v>24345</v>
      </c>
      <c r="P191">
        <v>24769</v>
      </c>
      <c r="Q191">
        <v>26073</v>
      </c>
      <c r="R191">
        <v>30700</v>
      </c>
      <c r="S191">
        <v>31628</v>
      </c>
    </row>
    <row r="192" spans="1:19" x14ac:dyDescent="0.25">
      <c r="A192" t="s">
        <v>160</v>
      </c>
      <c r="B192" t="s">
        <v>64</v>
      </c>
      <c r="C192" t="s">
        <v>158</v>
      </c>
      <c r="D192" t="s">
        <v>159</v>
      </c>
      <c r="E192" t="s">
        <v>67</v>
      </c>
      <c r="F192">
        <v>14680.739</v>
      </c>
      <c r="G192">
        <v>14112</v>
      </c>
      <c r="H192">
        <v>12002</v>
      </c>
      <c r="I192">
        <v>11448.361000000001</v>
      </c>
      <c r="J192">
        <v>10929.572</v>
      </c>
      <c r="K192">
        <v>11254.953</v>
      </c>
      <c r="L192">
        <v>11047.416999999999</v>
      </c>
      <c r="M192">
        <v>14680.739</v>
      </c>
      <c r="N192">
        <v>14112</v>
      </c>
      <c r="O192">
        <v>12002</v>
      </c>
      <c r="P192">
        <v>11448.361000000001</v>
      </c>
      <c r="Q192">
        <v>10929.572</v>
      </c>
      <c r="R192">
        <v>11254.953</v>
      </c>
      <c r="S192">
        <v>11047.416999999999</v>
      </c>
    </row>
    <row r="193" spans="1:24" x14ac:dyDescent="0.25">
      <c r="A193" t="s">
        <v>163</v>
      </c>
      <c r="B193" t="s">
        <v>69</v>
      </c>
      <c r="E193" t="s">
        <v>47</v>
      </c>
      <c r="F193" t="s">
        <v>41</v>
      </c>
      <c r="G193" t="s">
        <v>41</v>
      </c>
      <c r="H193" t="s">
        <v>41</v>
      </c>
      <c r="I193" t="s">
        <v>41</v>
      </c>
      <c r="J193" t="s">
        <v>41</v>
      </c>
      <c r="K193" t="s">
        <v>41</v>
      </c>
      <c r="L193">
        <v>9536.3462980000004</v>
      </c>
      <c r="M193" t="s">
        <v>41</v>
      </c>
      <c r="N193" t="s">
        <v>41</v>
      </c>
      <c r="O193" t="s">
        <v>41</v>
      </c>
      <c r="P193" t="s">
        <v>41</v>
      </c>
      <c r="Q193" t="s">
        <v>41</v>
      </c>
      <c r="R193" t="s">
        <v>41</v>
      </c>
      <c r="S193">
        <v>9536.3462980000004</v>
      </c>
    </row>
    <row r="194" spans="1:24" x14ac:dyDescent="0.25">
      <c r="A194" t="s">
        <v>164</v>
      </c>
      <c r="B194" t="s">
        <v>71</v>
      </c>
      <c r="E194" t="s">
        <v>47</v>
      </c>
      <c r="F194" t="s">
        <v>41</v>
      </c>
      <c r="G194" t="s">
        <v>41</v>
      </c>
      <c r="H194" t="s">
        <v>41</v>
      </c>
      <c r="I194" t="s">
        <v>41</v>
      </c>
      <c r="J194" t="s">
        <v>41</v>
      </c>
      <c r="K194">
        <v>7456.7908209999996</v>
      </c>
      <c r="L194">
        <v>7005.514518</v>
      </c>
      <c r="M194" t="s">
        <v>41</v>
      </c>
      <c r="N194" t="s">
        <v>41</v>
      </c>
      <c r="O194" t="s">
        <v>41</v>
      </c>
      <c r="P194" t="s">
        <v>41</v>
      </c>
      <c r="Q194" t="s">
        <v>41</v>
      </c>
      <c r="R194">
        <v>7456.7908209999996</v>
      </c>
      <c r="S194">
        <v>7005.514518</v>
      </c>
    </row>
    <row r="195" spans="1:24" x14ac:dyDescent="0.25">
      <c r="A195" t="s">
        <v>165</v>
      </c>
      <c r="B195" t="s">
        <v>166</v>
      </c>
      <c r="C195" t="s">
        <v>167</v>
      </c>
      <c r="D195" t="s">
        <v>168</v>
      </c>
      <c r="E195" t="s">
        <v>67</v>
      </c>
      <c r="F195">
        <v>6451.0690889999996</v>
      </c>
      <c r="G195">
        <v>5811.0322409999999</v>
      </c>
      <c r="H195">
        <v>4888.1111709999996</v>
      </c>
      <c r="I195">
        <v>4398.7554499999997</v>
      </c>
      <c r="J195">
        <v>4673.0792339999998</v>
      </c>
      <c r="K195">
        <v>5119.6211450000001</v>
      </c>
      <c r="L195">
        <v>4807.1172219999999</v>
      </c>
      <c r="M195">
        <v>6451.0690889999996</v>
      </c>
      <c r="N195">
        <v>5811.0322409999999</v>
      </c>
      <c r="O195">
        <v>4888.1111709999996</v>
      </c>
      <c r="P195">
        <v>4398.7554499999997</v>
      </c>
      <c r="Q195">
        <v>4673.0792339999998</v>
      </c>
      <c r="R195">
        <v>5119.6211450000001</v>
      </c>
      <c r="S195">
        <v>4807.1172219999999</v>
      </c>
    </row>
    <row r="196" spans="1:24" x14ac:dyDescent="0.25">
      <c r="A196" t="s">
        <v>169</v>
      </c>
      <c r="B196" t="s">
        <v>170</v>
      </c>
      <c r="E196" t="s">
        <v>47</v>
      </c>
      <c r="F196">
        <v>2395.6356209999999</v>
      </c>
      <c r="G196">
        <v>2433.1018899999999</v>
      </c>
      <c r="H196">
        <v>2121.9690529999998</v>
      </c>
      <c r="I196">
        <v>1868.734121</v>
      </c>
      <c r="J196" t="s">
        <v>41</v>
      </c>
      <c r="K196" t="s">
        <v>41</v>
      </c>
      <c r="L196" t="s">
        <v>41</v>
      </c>
      <c r="M196">
        <v>2395.6356209999999</v>
      </c>
      <c r="N196">
        <v>2433.1018899999999</v>
      </c>
      <c r="O196">
        <v>2121.9690529999998</v>
      </c>
      <c r="P196">
        <v>1868.734121</v>
      </c>
      <c r="Q196" t="s">
        <v>41</v>
      </c>
      <c r="R196" t="s">
        <v>41</v>
      </c>
      <c r="S196" t="s">
        <v>41</v>
      </c>
    </row>
    <row r="197" spans="1:24" x14ac:dyDescent="0.25">
      <c r="A197" t="s">
        <v>48</v>
      </c>
      <c r="B197" t="s">
        <v>49</v>
      </c>
      <c r="C197" t="s">
        <v>158</v>
      </c>
      <c r="D197" t="s">
        <v>159</v>
      </c>
      <c r="E197" t="s">
        <v>67</v>
      </c>
      <c r="F197">
        <v>6776.2770840000003</v>
      </c>
      <c r="G197">
        <v>6223.30825</v>
      </c>
      <c r="H197">
        <v>5289.3667329999998</v>
      </c>
      <c r="I197">
        <v>4469.4386240000003</v>
      </c>
      <c r="J197">
        <v>4452.0367980000001</v>
      </c>
      <c r="K197">
        <v>4382.1279480000003</v>
      </c>
      <c r="L197">
        <v>3881.0136510000002</v>
      </c>
      <c r="M197">
        <v>6776.2770840000003</v>
      </c>
      <c r="N197">
        <v>6223.30825</v>
      </c>
      <c r="O197">
        <v>5289.3667329999998</v>
      </c>
      <c r="P197">
        <v>4469.4386240000003</v>
      </c>
      <c r="Q197">
        <v>4452.0367980000001</v>
      </c>
      <c r="R197">
        <v>4382.1279480000003</v>
      </c>
      <c r="S197">
        <v>3881.0136510000002</v>
      </c>
    </row>
    <row r="198" spans="1:24" x14ac:dyDescent="0.25">
      <c r="A198" t="s">
        <v>52</v>
      </c>
      <c r="B198" t="s">
        <v>53</v>
      </c>
      <c r="C198" t="s">
        <v>158</v>
      </c>
      <c r="D198" t="s">
        <v>159</v>
      </c>
      <c r="E198" t="s">
        <v>67</v>
      </c>
      <c r="F198">
        <v>2044.1258170000001</v>
      </c>
      <c r="G198">
        <v>1915.784719</v>
      </c>
      <c r="H198">
        <v>1960.9080329999999</v>
      </c>
      <c r="I198">
        <v>1997.432787</v>
      </c>
      <c r="J198">
        <v>1932.924319</v>
      </c>
      <c r="K198">
        <v>2037.205647</v>
      </c>
      <c r="L198">
        <v>2001.8621760000001</v>
      </c>
      <c r="M198">
        <v>2044.1258170000001</v>
      </c>
      <c r="N198">
        <v>1915.784719</v>
      </c>
      <c r="O198">
        <v>1960.9080329999999</v>
      </c>
      <c r="P198">
        <v>1997.432787</v>
      </c>
      <c r="Q198">
        <v>1932.924319</v>
      </c>
      <c r="R198">
        <v>2037.205647</v>
      </c>
      <c r="S198">
        <v>2001.8621760000001</v>
      </c>
    </row>
    <row r="199" spans="1:24" x14ac:dyDescent="0.25">
      <c r="A199" t="s">
        <v>161</v>
      </c>
      <c r="B199" t="s">
        <v>75</v>
      </c>
      <c r="C199" t="s">
        <v>158</v>
      </c>
      <c r="D199" t="s">
        <v>159</v>
      </c>
      <c r="E199" t="s">
        <v>67</v>
      </c>
      <c r="F199">
        <v>3004</v>
      </c>
      <c r="G199">
        <v>2837</v>
      </c>
      <c r="H199">
        <v>2398</v>
      </c>
      <c r="I199">
        <v>2145</v>
      </c>
      <c r="J199">
        <v>2008</v>
      </c>
      <c r="K199">
        <v>1883.6</v>
      </c>
      <c r="L199">
        <v>1579.2049999999999</v>
      </c>
      <c r="M199">
        <v>3004</v>
      </c>
      <c r="N199">
        <v>2837</v>
      </c>
      <c r="O199">
        <v>2398</v>
      </c>
      <c r="P199">
        <v>2145</v>
      </c>
      <c r="Q199">
        <v>2008</v>
      </c>
      <c r="R199">
        <v>1883.6</v>
      </c>
      <c r="S199">
        <v>1579.2049999999999</v>
      </c>
    </row>
    <row r="200" spans="1:24" x14ac:dyDescent="0.25">
      <c r="A200" t="s">
        <v>45</v>
      </c>
      <c r="B200" t="s">
        <v>46</v>
      </c>
      <c r="C200" t="s">
        <v>158</v>
      </c>
      <c r="D200" t="s">
        <v>159</v>
      </c>
      <c r="E200" t="s">
        <v>67</v>
      </c>
      <c r="F200">
        <v>3092.2348360000001</v>
      </c>
      <c r="G200">
        <v>2853.0254770000001</v>
      </c>
      <c r="H200">
        <v>2596.3026060000002</v>
      </c>
      <c r="I200">
        <v>2295.9237589999998</v>
      </c>
      <c r="J200">
        <v>2197.6412369999998</v>
      </c>
      <c r="K200">
        <v>2098.8340499999999</v>
      </c>
      <c r="L200">
        <v>2028.8919860000001</v>
      </c>
      <c r="M200">
        <v>3092.2348360000001</v>
      </c>
      <c r="N200">
        <v>2853.0254770000001</v>
      </c>
      <c r="O200">
        <v>2596.3026060000002</v>
      </c>
      <c r="P200">
        <v>2295.9237589999998</v>
      </c>
      <c r="Q200">
        <v>2197.6412369999998</v>
      </c>
      <c r="R200">
        <v>2098.8340499999999</v>
      </c>
      <c r="S200">
        <v>2028.8919860000001</v>
      </c>
    </row>
    <row r="201" spans="1:24" x14ac:dyDescent="0.25">
      <c r="A201" t="s">
        <v>50</v>
      </c>
      <c r="B201" t="s">
        <v>51</v>
      </c>
      <c r="C201" t="s">
        <v>158</v>
      </c>
      <c r="D201" t="s">
        <v>159</v>
      </c>
      <c r="E201" t="s">
        <v>67</v>
      </c>
      <c r="F201">
        <v>2726.7420000000002</v>
      </c>
      <c r="G201">
        <v>2308.5156499999998</v>
      </c>
      <c r="H201">
        <v>2147.2468020000001</v>
      </c>
      <c r="I201">
        <v>1895.7182339999999</v>
      </c>
      <c r="J201" t="s">
        <v>41</v>
      </c>
      <c r="K201" t="s">
        <v>41</v>
      </c>
      <c r="L201">
        <v>1694.694839</v>
      </c>
      <c r="M201">
        <v>2726.7420000000002</v>
      </c>
      <c r="N201">
        <v>2308.5156499999998</v>
      </c>
      <c r="O201">
        <v>2147.2468020000001</v>
      </c>
      <c r="P201">
        <v>1895.7182339999999</v>
      </c>
      <c r="Q201" t="s">
        <v>41</v>
      </c>
      <c r="R201" t="s">
        <v>41</v>
      </c>
      <c r="S201">
        <v>1694.694839</v>
      </c>
    </row>
    <row r="202" spans="1:24" x14ac:dyDescent="0.25">
      <c r="A202" t="s">
        <v>162</v>
      </c>
      <c r="B202" t="s">
        <v>41</v>
      </c>
      <c r="E202" t="s">
        <v>42</v>
      </c>
      <c r="F202" t="s">
        <v>41</v>
      </c>
      <c r="G202" t="s">
        <v>41</v>
      </c>
      <c r="H202" t="s">
        <v>41</v>
      </c>
      <c r="I202" t="s">
        <v>41</v>
      </c>
      <c r="J202" t="s">
        <v>41</v>
      </c>
      <c r="K202" t="s">
        <v>41</v>
      </c>
      <c r="L202" t="s">
        <v>41</v>
      </c>
      <c r="M202" t="s">
        <v>41</v>
      </c>
      <c r="N202" t="s">
        <v>41</v>
      </c>
      <c r="O202" t="s">
        <v>41</v>
      </c>
      <c r="P202" t="s">
        <v>41</v>
      </c>
      <c r="Q202" t="s">
        <v>41</v>
      </c>
      <c r="R202" t="s">
        <v>41</v>
      </c>
      <c r="S202" t="s">
        <v>41</v>
      </c>
    </row>
    <row r="203" spans="1:24" x14ac:dyDescent="0.25">
      <c r="A203" t="s">
        <v>171</v>
      </c>
      <c r="B203" t="s">
        <v>41</v>
      </c>
      <c r="E203" t="s">
        <v>97</v>
      </c>
      <c r="F203">
        <v>28251.687766999999</v>
      </c>
      <c r="G203">
        <v>27897.012433</v>
      </c>
      <c r="H203">
        <v>26618.658156999998</v>
      </c>
      <c r="I203">
        <v>26038.901795999998</v>
      </c>
      <c r="J203">
        <v>25579.856834000002</v>
      </c>
      <c r="K203">
        <v>28842.122028000002</v>
      </c>
      <c r="L203">
        <v>29061.007946000002</v>
      </c>
      <c r="M203">
        <v>28251.68777</v>
      </c>
      <c r="N203">
        <v>27897.012429999999</v>
      </c>
      <c r="O203">
        <v>26618.658159999999</v>
      </c>
      <c r="P203">
        <v>26038.9018</v>
      </c>
      <c r="Q203">
        <v>25579.856830000001</v>
      </c>
      <c r="R203">
        <v>28842.122029999999</v>
      </c>
      <c r="S203">
        <v>29061.007949999999</v>
      </c>
    </row>
    <row r="204" spans="1:24" x14ac:dyDescent="0.25">
      <c r="A204" t="s">
        <v>157</v>
      </c>
      <c r="B204" t="s">
        <v>81</v>
      </c>
      <c r="C204" t="s">
        <v>158</v>
      </c>
      <c r="D204" t="s">
        <v>159</v>
      </c>
      <c r="E204" t="s">
        <v>67</v>
      </c>
      <c r="F204">
        <v>16430</v>
      </c>
      <c r="G204">
        <v>17106</v>
      </c>
      <c r="H204">
        <v>16970</v>
      </c>
      <c r="I204">
        <v>17313</v>
      </c>
      <c r="J204">
        <v>16871</v>
      </c>
      <c r="K204">
        <v>20216</v>
      </c>
      <c r="L204">
        <v>22923</v>
      </c>
      <c r="M204">
        <v>16430</v>
      </c>
      <c r="N204">
        <v>17106</v>
      </c>
      <c r="O204">
        <v>16970</v>
      </c>
      <c r="P204">
        <v>17313</v>
      </c>
      <c r="Q204">
        <v>16871</v>
      </c>
      <c r="R204">
        <v>20216</v>
      </c>
      <c r="S204">
        <v>22923</v>
      </c>
    </row>
    <row r="205" spans="1:24" x14ac:dyDescent="0.25">
      <c r="A205" t="s">
        <v>160</v>
      </c>
      <c r="B205" t="s">
        <v>64</v>
      </c>
      <c r="C205" t="s">
        <v>158</v>
      </c>
      <c r="D205" t="s">
        <v>159</v>
      </c>
      <c r="E205" t="s">
        <v>67</v>
      </c>
      <c r="F205">
        <v>8548.1380000000008</v>
      </c>
      <c r="G205">
        <v>7613</v>
      </c>
      <c r="H205">
        <v>6557</v>
      </c>
      <c r="I205">
        <v>5781.0720000000001</v>
      </c>
      <c r="J205">
        <v>5908.9719999999998</v>
      </c>
      <c r="K205">
        <v>5950.5950000000003</v>
      </c>
      <c r="L205">
        <v>3996.77</v>
      </c>
      <c r="M205">
        <v>8548.1380000000008</v>
      </c>
      <c r="N205">
        <v>7613</v>
      </c>
      <c r="O205">
        <v>6557</v>
      </c>
      <c r="P205">
        <v>5781.0720000000001</v>
      </c>
      <c r="Q205">
        <v>5908.9719999999998</v>
      </c>
      <c r="R205">
        <v>5950.5950000000003</v>
      </c>
      <c r="S205">
        <v>3996.77</v>
      </c>
    </row>
    <row r="206" spans="1:24" x14ac:dyDescent="0.25">
      <c r="A206" t="s">
        <v>48</v>
      </c>
      <c r="B206" t="s">
        <v>49</v>
      </c>
      <c r="C206" t="s">
        <v>158</v>
      </c>
      <c r="D206" t="s">
        <v>159</v>
      </c>
      <c r="E206" t="s">
        <v>67</v>
      </c>
      <c r="F206">
        <v>2059.4567609999999</v>
      </c>
      <c r="G206">
        <v>1990.620484</v>
      </c>
      <c r="H206">
        <v>1852.2331160000001</v>
      </c>
      <c r="I206">
        <v>1706.8328610000001</v>
      </c>
      <c r="J206">
        <v>1578.1473719999999</v>
      </c>
      <c r="K206">
        <v>1440.063228</v>
      </c>
      <c r="L206">
        <v>978.85674300000005</v>
      </c>
      <c r="M206">
        <v>2059.4567609999999</v>
      </c>
      <c r="N206">
        <v>1990.620484</v>
      </c>
      <c r="O206">
        <v>1852.2331160000001</v>
      </c>
      <c r="P206">
        <v>1706.8328610000001</v>
      </c>
      <c r="Q206">
        <v>1578.1473719999999</v>
      </c>
      <c r="R206">
        <v>1440.063228</v>
      </c>
      <c r="S206">
        <v>978.85674300000005</v>
      </c>
      <c r="X206">
        <f>F207/(F210+F207+F198+F187)</f>
        <v>0.1402801756250194</v>
      </c>
    </row>
    <row r="207" spans="1:24" x14ac:dyDescent="0.25">
      <c r="A207" t="s">
        <v>52</v>
      </c>
      <c r="B207" t="s">
        <v>53</v>
      </c>
      <c r="C207" t="s">
        <v>158</v>
      </c>
      <c r="D207" t="s">
        <v>159</v>
      </c>
      <c r="E207" t="s">
        <v>67</v>
      </c>
      <c r="F207">
        <v>1214.0930060000001</v>
      </c>
      <c r="G207">
        <v>1187.3919490000001</v>
      </c>
      <c r="H207">
        <v>1239.425041</v>
      </c>
      <c r="I207">
        <v>1237.9969349999999</v>
      </c>
      <c r="J207">
        <v>1221.7374620000001</v>
      </c>
      <c r="K207">
        <v>1235.4638</v>
      </c>
      <c r="L207">
        <v>1162.3812029999999</v>
      </c>
      <c r="M207">
        <v>1214.0930060000001</v>
      </c>
      <c r="N207">
        <v>1187.3919490000001</v>
      </c>
      <c r="O207">
        <v>1239.425041</v>
      </c>
      <c r="P207">
        <v>1237.9969349999999</v>
      </c>
      <c r="Q207">
        <v>1221.7374620000001</v>
      </c>
      <c r="R207">
        <v>1235.4638</v>
      </c>
      <c r="S207">
        <v>1162.3812029999999</v>
      </c>
    </row>
    <row r="208" spans="1:24" x14ac:dyDescent="0.25">
      <c r="A208" t="s">
        <v>162</v>
      </c>
      <c r="B208" t="s">
        <v>41</v>
      </c>
      <c r="E208" t="s">
        <v>42</v>
      </c>
      <c r="F208" t="s">
        <v>41</v>
      </c>
      <c r="G208" t="s">
        <v>41</v>
      </c>
      <c r="H208" t="s">
        <v>41</v>
      </c>
      <c r="I208" t="s">
        <v>41</v>
      </c>
      <c r="J208" t="s">
        <v>41</v>
      </c>
      <c r="K208" t="s">
        <v>41</v>
      </c>
      <c r="L208" t="s">
        <v>41</v>
      </c>
      <c r="M208" t="s">
        <v>41</v>
      </c>
      <c r="N208" t="s">
        <v>41</v>
      </c>
      <c r="O208" t="s">
        <v>41</v>
      </c>
      <c r="P208" t="s">
        <v>41</v>
      </c>
      <c r="Q208" t="s">
        <v>41</v>
      </c>
      <c r="R208" t="s">
        <v>41</v>
      </c>
      <c r="S208" t="s">
        <v>41</v>
      </c>
    </row>
    <row r="209" spans="1:19" x14ac:dyDescent="0.25">
      <c r="A209" t="s">
        <v>56</v>
      </c>
      <c r="B209" t="s">
        <v>41</v>
      </c>
      <c r="E209" t="s">
        <v>97</v>
      </c>
      <c r="F209">
        <v>2352.2198862999999</v>
      </c>
      <c r="G209">
        <v>2456.4304709999997</v>
      </c>
      <c r="H209">
        <v>2674.4423491000002</v>
      </c>
      <c r="I209">
        <v>2425.6001944</v>
      </c>
      <c r="J209">
        <v>2063.5725868</v>
      </c>
      <c r="K209">
        <v>1949.5971164999999</v>
      </c>
      <c r="L209">
        <v>1888.9895317</v>
      </c>
      <c r="M209">
        <v>2352.2198859999999</v>
      </c>
      <c r="N209">
        <v>2456.4304710000001</v>
      </c>
      <c r="O209">
        <v>2674.4423489999999</v>
      </c>
      <c r="P209">
        <v>2425.6001940000001</v>
      </c>
      <c r="Q209">
        <v>2063.5725870000001</v>
      </c>
      <c r="R209">
        <v>1949.597117</v>
      </c>
      <c r="S209">
        <v>1888.9895320000001</v>
      </c>
    </row>
    <row r="210" spans="1:19" x14ac:dyDescent="0.25">
      <c r="A210" t="s">
        <v>52</v>
      </c>
      <c r="B210" t="s">
        <v>53</v>
      </c>
      <c r="C210" t="s">
        <v>158</v>
      </c>
      <c r="D210" t="s">
        <v>159</v>
      </c>
      <c r="E210" t="s">
        <v>67</v>
      </c>
      <c r="F210">
        <v>425.51386289999999</v>
      </c>
      <c r="G210">
        <v>666.04453460000002</v>
      </c>
      <c r="H210">
        <v>796.83750250000003</v>
      </c>
      <c r="I210">
        <v>694.43042230000003</v>
      </c>
      <c r="J210">
        <v>785.46599879999997</v>
      </c>
      <c r="K210">
        <v>748.52252150000004</v>
      </c>
      <c r="L210">
        <v>765.76180369999997</v>
      </c>
      <c r="M210">
        <v>425.51386289999999</v>
      </c>
      <c r="N210">
        <v>666.04453460000002</v>
      </c>
      <c r="O210">
        <v>796.83750250000003</v>
      </c>
      <c r="P210">
        <v>694.43042230000003</v>
      </c>
      <c r="Q210">
        <v>785.46599879999997</v>
      </c>
      <c r="R210">
        <v>748.52252150000004</v>
      </c>
      <c r="S210">
        <v>765.76180369999997</v>
      </c>
    </row>
    <row r="211" spans="1:19" x14ac:dyDescent="0.25">
      <c r="A211" t="s">
        <v>48</v>
      </c>
      <c r="B211" t="s">
        <v>49</v>
      </c>
      <c r="C211" t="s">
        <v>158</v>
      </c>
      <c r="D211" t="s">
        <v>159</v>
      </c>
      <c r="E211" t="s">
        <v>67</v>
      </c>
      <c r="F211">
        <v>1262.2476919999999</v>
      </c>
      <c r="G211">
        <v>1194.37229</v>
      </c>
      <c r="H211">
        <v>1222.0919530000001</v>
      </c>
      <c r="I211">
        <v>1108.561549</v>
      </c>
      <c r="J211">
        <v>1029.948811</v>
      </c>
      <c r="K211">
        <v>991.0112292</v>
      </c>
      <c r="L211">
        <v>908.91048479999995</v>
      </c>
      <c r="M211">
        <v>1262.2476919999999</v>
      </c>
      <c r="N211">
        <v>1194.37229</v>
      </c>
      <c r="O211">
        <v>1222.0919530000001</v>
      </c>
      <c r="P211">
        <v>1108.561549</v>
      </c>
      <c r="Q211">
        <v>1029.948811</v>
      </c>
      <c r="R211">
        <v>991.0112292</v>
      </c>
      <c r="S211">
        <v>908.91048479999995</v>
      </c>
    </row>
    <row r="212" spans="1:19" x14ac:dyDescent="0.25">
      <c r="A212" t="s">
        <v>50</v>
      </c>
      <c r="B212" t="s">
        <v>51</v>
      </c>
      <c r="C212" t="s">
        <v>158</v>
      </c>
      <c r="D212" t="s">
        <v>159</v>
      </c>
      <c r="E212" t="s">
        <v>67</v>
      </c>
      <c r="F212">
        <v>330.76900000000001</v>
      </c>
      <c r="G212">
        <v>303.014139</v>
      </c>
      <c r="H212">
        <v>309.45296330000002</v>
      </c>
      <c r="I212">
        <v>297.43191109999998</v>
      </c>
      <c r="J212" t="s">
        <v>41</v>
      </c>
      <c r="K212" t="s">
        <v>41</v>
      </c>
      <c r="L212" t="s">
        <v>41</v>
      </c>
      <c r="M212">
        <v>330.76900000000001</v>
      </c>
      <c r="N212">
        <v>303.014139</v>
      </c>
      <c r="O212">
        <v>309.45296330000002</v>
      </c>
      <c r="P212">
        <v>297.43191109999998</v>
      </c>
      <c r="Q212" t="s">
        <v>41</v>
      </c>
      <c r="R212" t="s">
        <v>41</v>
      </c>
      <c r="S212" t="s">
        <v>41</v>
      </c>
    </row>
    <row r="213" spans="1:19" x14ac:dyDescent="0.25">
      <c r="A213" t="s">
        <v>45</v>
      </c>
      <c r="B213" t="s">
        <v>46</v>
      </c>
      <c r="C213" t="s">
        <v>158</v>
      </c>
      <c r="D213" t="s">
        <v>159</v>
      </c>
      <c r="E213" t="s">
        <v>67</v>
      </c>
      <c r="F213">
        <v>333.68933140000001</v>
      </c>
      <c r="G213">
        <v>292.99950740000003</v>
      </c>
      <c r="H213">
        <v>346.05993030000002</v>
      </c>
      <c r="I213">
        <v>325.176312</v>
      </c>
      <c r="J213">
        <v>248.15777700000001</v>
      </c>
      <c r="K213">
        <v>210.06336580000001</v>
      </c>
      <c r="L213">
        <v>214.31724320000001</v>
      </c>
      <c r="M213">
        <v>333.68933140000001</v>
      </c>
      <c r="N213">
        <v>292.99950740000003</v>
      </c>
      <c r="O213">
        <v>346.05993030000002</v>
      </c>
      <c r="P213">
        <v>325.176312</v>
      </c>
      <c r="Q213">
        <v>248.15777700000001</v>
      </c>
      <c r="R213">
        <v>210.06336580000001</v>
      </c>
      <c r="S213">
        <v>214.31724320000001</v>
      </c>
    </row>
    <row r="214" spans="1:19" x14ac:dyDescent="0.25">
      <c r="A214" t="s">
        <v>172</v>
      </c>
      <c r="B214" t="s">
        <v>41</v>
      </c>
      <c r="E214" t="s">
        <v>42</v>
      </c>
      <c r="F214" t="s">
        <v>41</v>
      </c>
      <c r="G214" t="s">
        <v>41</v>
      </c>
      <c r="H214" t="s">
        <v>41</v>
      </c>
      <c r="I214" t="s">
        <v>41</v>
      </c>
      <c r="J214" t="s">
        <v>41</v>
      </c>
      <c r="K214" t="s">
        <v>41</v>
      </c>
      <c r="L214" t="s">
        <v>41</v>
      </c>
      <c r="M214" t="s">
        <v>41</v>
      </c>
      <c r="N214" t="s">
        <v>41</v>
      </c>
      <c r="O214" t="s">
        <v>41</v>
      </c>
      <c r="P214" t="s">
        <v>41</v>
      </c>
      <c r="Q214" t="s">
        <v>41</v>
      </c>
      <c r="R214" t="s">
        <v>41</v>
      </c>
      <c r="S214" t="s">
        <v>41</v>
      </c>
    </row>
    <row r="215" spans="1:19" x14ac:dyDescent="0.25">
      <c r="A215" t="s">
        <v>58</v>
      </c>
      <c r="B215" t="s">
        <v>41</v>
      </c>
      <c r="E215" t="s">
        <v>97</v>
      </c>
      <c r="F215">
        <v>11176.798473999999</v>
      </c>
      <c r="G215">
        <v>10827.853074000001</v>
      </c>
      <c r="H215">
        <v>9768.8801729999996</v>
      </c>
      <c r="I215">
        <v>9141.0193749999999</v>
      </c>
      <c r="J215">
        <v>8695.4395420000001</v>
      </c>
      <c r="K215">
        <v>8397.989012</v>
      </c>
      <c r="L215">
        <v>7925.7374639999998</v>
      </c>
      <c r="M215">
        <v>11176.79847</v>
      </c>
      <c r="N215">
        <v>10827.853069999999</v>
      </c>
      <c r="O215">
        <v>9768.8801729999996</v>
      </c>
      <c r="P215">
        <v>9141.0193749999999</v>
      </c>
      <c r="Q215">
        <v>8695.4395420000001</v>
      </c>
      <c r="R215">
        <v>8397.989012</v>
      </c>
      <c r="S215">
        <v>7925.7374639999998</v>
      </c>
    </row>
    <row r="216" spans="1:19" x14ac:dyDescent="0.25">
      <c r="A216" t="s">
        <v>160</v>
      </c>
      <c r="B216" t="s">
        <v>64</v>
      </c>
      <c r="C216" t="s">
        <v>158</v>
      </c>
      <c r="D216" t="s">
        <v>159</v>
      </c>
      <c r="E216" t="s">
        <v>67</v>
      </c>
      <c r="F216">
        <v>8493.8189999999995</v>
      </c>
      <c r="G216">
        <v>8237.982</v>
      </c>
      <c r="H216">
        <v>7393.9449999999997</v>
      </c>
      <c r="I216">
        <v>7031.0529999999999</v>
      </c>
      <c r="J216">
        <v>6634.7709999999997</v>
      </c>
      <c r="K216">
        <v>6511.2280000000001</v>
      </c>
      <c r="L216">
        <v>6165.6629999999996</v>
      </c>
      <c r="M216">
        <v>8493.8189999999995</v>
      </c>
      <c r="N216">
        <v>8237.982</v>
      </c>
      <c r="O216">
        <v>7393.9449999999997</v>
      </c>
      <c r="P216">
        <v>7031.0529999999999</v>
      </c>
      <c r="Q216">
        <v>6634.7709999999997</v>
      </c>
      <c r="R216">
        <v>6511.2280000000001</v>
      </c>
      <c r="S216">
        <v>6165.6629999999996</v>
      </c>
    </row>
    <row r="217" spans="1:19" x14ac:dyDescent="0.25">
      <c r="A217" t="s">
        <v>48</v>
      </c>
      <c r="B217" t="s">
        <v>49</v>
      </c>
      <c r="C217" t="s">
        <v>158</v>
      </c>
      <c r="D217" t="s">
        <v>159</v>
      </c>
      <c r="E217" t="s">
        <v>67</v>
      </c>
      <c r="F217" t="s">
        <v>41</v>
      </c>
      <c r="G217" t="s">
        <v>41</v>
      </c>
      <c r="H217" t="s">
        <v>41</v>
      </c>
      <c r="I217" t="s">
        <v>41</v>
      </c>
      <c r="J217" t="s">
        <v>41</v>
      </c>
      <c r="K217" t="s">
        <v>41</v>
      </c>
      <c r="L217" t="s">
        <v>41</v>
      </c>
      <c r="M217" t="s">
        <v>41</v>
      </c>
      <c r="N217" t="s">
        <v>41</v>
      </c>
      <c r="O217" t="s">
        <v>41</v>
      </c>
      <c r="P217" t="s">
        <v>41</v>
      </c>
      <c r="Q217" t="s">
        <v>41</v>
      </c>
      <c r="R217" t="s">
        <v>41</v>
      </c>
      <c r="S217" t="s">
        <v>41</v>
      </c>
    </row>
    <row r="218" spans="1:19" x14ac:dyDescent="0.25">
      <c r="A218" t="s">
        <v>161</v>
      </c>
      <c r="B218" t="s">
        <v>75</v>
      </c>
      <c r="C218" t="s">
        <v>158</v>
      </c>
      <c r="D218" t="s">
        <v>159</v>
      </c>
      <c r="E218" t="s">
        <v>67</v>
      </c>
      <c r="F218" t="s">
        <v>41</v>
      </c>
      <c r="G218" t="s">
        <v>41</v>
      </c>
      <c r="H218" t="s">
        <v>41</v>
      </c>
      <c r="I218" t="s">
        <v>41</v>
      </c>
      <c r="J218" t="s">
        <v>41</v>
      </c>
      <c r="K218" t="s">
        <v>41</v>
      </c>
      <c r="L218" t="s">
        <v>41</v>
      </c>
      <c r="M218" t="s">
        <v>41</v>
      </c>
      <c r="N218" t="s">
        <v>41</v>
      </c>
      <c r="O218" t="s">
        <v>41</v>
      </c>
      <c r="P218" t="s">
        <v>41</v>
      </c>
      <c r="Q218" t="s">
        <v>41</v>
      </c>
      <c r="R218" t="s">
        <v>41</v>
      </c>
      <c r="S218" t="s">
        <v>41</v>
      </c>
    </row>
    <row r="219" spans="1:19" x14ac:dyDescent="0.25">
      <c r="A219" t="s">
        <v>45</v>
      </c>
      <c r="B219" t="s">
        <v>46</v>
      </c>
      <c r="C219" t="s">
        <v>158</v>
      </c>
      <c r="D219" t="s">
        <v>159</v>
      </c>
      <c r="E219" t="s">
        <v>67</v>
      </c>
      <c r="F219" t="s">
        <v>41</v>
      </c>
      <c r="G219" t="s">
        <v>41</v>
      </c>
      <c r="H219" t="s">
        <v>41</v>
      </c>
      <c r="I219" t="s">
        <v>41</v>
      </c>
      <c r="J219" t="s">
        <v>41</v>
      </c>
      <c r="K219" t="s">
        <v>41</v>
      </c>
      <c r="L219" t="s">
        <v>41</v>
      </c>
      <c r="M219" t="s">
        <v>41</v>
      </c>
      <c r="N219" t="s">
        <v>41</v>
      </c>
      <c r="O219" t="s">
        <v>41</v>
      </c>
      <c r="P219" t="s">
        <v>41</v>
      </c>
      <c r="Q219" t="s">
        <v>41</v>
      </c>
      <c r="R219" t="s">
        <v>41</v>
      </c>
      <c r="S219" t="s">
        <v>41</v>
      </c>
    </row>
    <row r="220" spans="1:19" x14ac:dyDescent="0.25">
      <c r="A220" t="s">
        <v>52</v>
      </c>
      <c r="B220" t="s">
        <v>53</v>
      </c>
      <c r="C220" t="s">
        <v>158</v>
      </c>
      <c r="D220" t="s">
        <v>159</v>
      </c>
      <c r="E220" t="s">
        <v>67</v>
      </c>
      <c r="F220">
        <v>2682.9794740000002</v>
      </c>
      <c r="G220">
        <v>2589.8710740000001</v>
      </c>
      <c r="H220">
        <v>2374.9351729999998</v>
      </c>
      <c r="I220">
        <v>2109.966375</v>
      </c>
      <c r="J220">
        <v>2060.6685419999999</v>
      </c>
      <c r="K220">
        <v>1886.7610119999999</v>
      </c>
      <c r="L220">
        <v>1760.074464</v>
      </c>
      <c r="M220">
        <v>2682.9794740000002</v>
      </c>
      <c r="N220">
        <v>2589.8710740000001</v>
      </c>
      <c r="O220">
        <v>2374.9351729999998</v>
      </c>
      <c r="P220">
        <v>2109.966375</v>
      </c>
      <c r="Q220">
        <v>2060.6685419999999</v>
      </c>
      <c r="R220">
        <v>1886.7610119999999</v>
      </c>
      <c r="S220">
        <v>1760.074464</v>
      </c>
    </row>
    <row r="221" spans="1:19" x14ac:dyDescent="0.25">
      <c r="A221" t="s">
        <v>59</v>
      </c>
      <c r="B221" t="s">
        <v>41</v>
      </c>
      <c r="E221" t="s">
        <v>97</v>
      </c>
      <c r="F221">
        <v>4520.9892710000004</v>
      </c>
      <c r="G221">
        <v>10849.880561</v>
      </c>
      <c r="H221">
        <v>9927.6346199999989</v>
      </c>
      <c r="I221">
        <v>13971.985637000002</v>
      </c>
      <c r="J221">
        <v>13105.816020999999</v>
      </c>
      <c r="K221">
        <v>11182.030180199999</v>
      </c>
      <c r="L221">
        <v>10114.877550300002</v>
      </c>
      <c r="M221" t="s">
        <v>41</v>
      </c>
      <c r="N221">
        <v>10849.88056</v>
      </c>
      <c r="O221">
        <v>9927.6346200000007</v>
      </c>
      <c r="P221">
        <v>13971.985640000001</v>
      </c>
      <c r="Q221">
        <v>13105.81602</v>
      </c>
      <c r="R221">
        <v>11182.03018</v>
      </c>
      <c r="S221">
        <v>10114.877549999999</v>
      </c>
    </row>
    <row r="222" spans="1:19" x14ac:dyDescent="0.25">
      <c r="A222" t="s">
        <v>160</v>
      </c>
      <c r="B222" t="s">
        <v>64</v>
      </c>
      <c r="C222" t="s">
        <v>158</v>
      </c>
      <c r="D222" t="s">
        <v>159</v>
      </c>
      <c r="E222" t="s">
        <v>67</v>
      </c>
      <c r="F222" t="s">
        <v>41</v>
      </c>
      <c r="G222">
        <v>6688.4669999999996</v>
      </c>
      <c r="H222">
        <v>6177.8459999999995</v>
      </c>
      <c r="I222">
        <v>5986.8779999999997</v>
      </c>
      <c r="J222">
        <v>5462.55</v>
      </c>
      <c r="K222">
        <v>5021.692</v>
      </c>
      <c r="L222">
        <v>4739.4830000000002</v>
      </c>
      <c r="M222" t="s">
        <v>41</v>
      </c>
      <c r="N222">
        <v>6688.4669999999996</v>
      </c>
      <c r="O222">
        <v>6177.8459999999995</v>
      </c>
      <c r="P222">
        <v>5986.8779999999997</v>
      </c>
      <c r="Q222">
        <v>5462.55</v>
      </c>
      <c r="R222">
        <v>5021.692</v>
      </c>
      <c r="S222">
        <v>4739.4830000000002</v>
      </c>
    </row>
    <row r="223" spans="1:19" x14ac:dyDescent="0.25">
      <c r="A223" t="s">
        <v>161</v>
      </c>
      <c r="B223" t="s">
        <v>75</v>
      </c>
      <c r="C223" t="s">
        <v>158</v>
      </c>
      <c r="D223" t="s">
        <v>159</v>
      </c>
      <c r="E223" t="s">
        <v>67</v>
      </c>
      <c r="F223" t="s">
        <v>41</v>
      </c>
      <c r="G223" t="s">
        <v>41</v>
      </c>
      <c r="H223" t="s">
        <v>41</v>
      </c>
      <c r="I223">
        <v>3871</v>
      </c>
      <c r="J223">
        <v>3668</v>
      </c>
      <c r="K223">
        <v>2689.4</v>
      </c>
      <c r="L223">
        <v>2264.826</v>
      </c>
      <c r="M223" t="s">
        <v>41</v>
      </c>
      <c r="N223" t="s">
        <v>41</v>
      </c>
      <c r="O223" t="s">
        <v>41</v>
      </c>
      <c r="P223">
        <v>3871</v>
      </c>
      <c r="Q223">
        <v>3668</v>
      </c>
      <c r="R223">
        <v>2689.4</v>
      </c>
      <c r="S223">
        <v>2264.826</v>
      </c>
    </row>
    <row r="224" spans="1:19" x14ac:dyDescent="0.25">
      <c r="A224" t="s">
        <v>52</v>
      </c>
      <c r="B224" t="s">
        <v>53</v>
      </c>
      <c r="C224" t="s">
        <v>158</v>
      </c>
      <c r="D224" t="s">
        <v>159</v>
      </c>
      <c r="E224" t="s">
        <v>67</v>
      </c>
      <c r="F224">
        <v>2682.9794740000002</v>
      </c>
      <c r="G224">
        <v>2589.8710740000001</v>
      </c>
      <c r="H224">
        <v>2374.9351729999998</v>
      </c>
      <c r="I224">
        <v>2109.966375</v>
      </c>
      <c r="J224">
        <v>2060.6685419999999</v>
      </c>
      <c r="K224">
        <v>1886.7610119999999</v>
      </c>
      <c r="L224">
        <v>1760.074464</v>
      </c>
      <c r="M224">
        <v>2682.9794740000002</v>
      </c>
      <c r="N224">
        <v>2589.8710740000001</v>
      </c>
      <c r="O224">
        <v>2374.9351729999998</v>
      </c>
      <c r="P224">
        <v>2109.966375</v>
      </c>
      <c r="Q224">
        <v>2060.6685419999999</v>
      </c>
      <c r="R224">
        <v>1886.7610119999999</v>
      </c>
      <c r="S224">
        <v>1760.074464</v>
      </c>
    </row>
    <row r="225" spans="1:19" x14ac:dyDescent="0.25">
      <c r="A225" t="s">
        <v>48</v>
      </c>
      <c r="B225" t="s">
        <v>49</v>
      </c>
      <c r="C225" t="s">
        <v>158</v>
      </c>
      <c r="D225" t="s">
        <v>159</v>
      </c>
      <c r="E225" t="s">
        <v>67</v>
      </c>
      <c r="F225">
        <v>1838.0097969999999</v>
      </c>
      <c r="G225">
        <v>1571.5424869999999</v>
      </c>
      <c r="H225">
        <v>1374.853447</v>
      </c>
      <c r="I225">
        <v>1319.7161289999999</v>
      </c>
      <c r="J225">
        <v>1179.45751</v>
      </c>
      <c r="K225">
        <v>991.0112292</v>
      </c>
      <c r="L225">
        <v>785.87563929999999</v>
      </c>
      <c r="M225">
        <v>1838.0097969999999</v>
      </c>
      <c r="N225">
        <v>1571.5424869999999</v>
      </c>
      <c r="O225">
        <v>1374.853447</v>
      </c>
      <c r="P225">
        <v>1319.7161289999999</v>
      </c>
      <c r="Q225">
        <v>1179.45751</v>
      </c>
      <c r="R225">
        <v>991.0112292</v>
      </c>
      <c r="S225">
        <v>785.87563929999999</v>
      </c>
    </row>
    <row r="226" spans="1:19" x14ac:dyDescent="0.25">
      <c r="A226" t="s">
        <v>45</v>
      </c>
      <c r="B226" t="s">
        <v>46</v>
      </c>
      <c r="E226" t="s">
        <v>47</v>
      </c>
      <c r="F226" t="s">
        <v>41</v>
      </c>
      <c r="G226" t="s">
        <v>41</v>
      </c>
      <c r="H226" t="s">
        <v>41</v>
      </c>
      <c r="I226">
        <v>684.42513299999996</v>
      </c>
      <c r="J226">
        <v>735.13996899999995</v>
      </c>
      <c r="K226">
        <v>593.16593899999998</v>
      </c>
      <c r="L226">
        <v>564.61844699999995</v>
      </c>
      <c r="M226" t="s">
        <v>41</v>
      </c>
      <c r="N226" t="s">
        <v>41</v>
      </c>
      <c r="O226" t="s">
        <v>41</v>
      </c>
      <c r="P226">
        <v>684.42513299999996</v>
      </c>
      <c r="Q226">
        <v>735.13996899999995</v>
      </c>
      <c r="R226">
        <v>593.16593899999998</v>
      </c>
      <c r="S226">
        <v>564.61844699999995</v>
      </c>
    </row>
    <row r="227" spans="1:19" x14ac:dyDescent="0.25">
      <c r="M227" t="s">
        <v>41</v>
      </c>
      <c r="N227" t="s">
        <v>41</v>
      </c>
      <c r="O227" t="s">
        <v>41</v>
      </c>
      <c r="P227" t="s">
        <v>41</v>
      </c>
      <c r="Q227" t="s">
        <v>41</v>
      </c>
      <c r="R227" t="s">
        <v>41</v>
      </c>
      <c r="S227" t="s">
        <v>41</v>
      </c>
    </row>
    <row r="228" spans="1:19" x14ac:dyDescent="0.25">
      <c r="M228" t="s">
        <v>41</v>
      </c>
      <c r="N228" t="s">
        <v>41</v>
      </c>
      <c r="O228" t="s">
        <v>41</v>
      </c>
      <c r="P228" t="s">
        <v>41</v>
      </c>
      <c r="Q228" t="s">
        <v>41</v>
      </c>
      <c r="R228" t="s">
        <v>41</v>
      </c>
      <c r="S228" t="s">
        <v>41</v>
      </c>
    </row>
    <row r="229" spans="1:19" x14ac:dyDescent="0.25">
      <c r="M229" t="s">
        <v>41</v>
      </c>
      <c r="N229" t="s">
        <v>41</v>
      </c>
      <c r="O229" t="s">
        <v>41</v>
      </c>
      <c r="P229" t="s">
        <v>41</v>
      </c>
      <c r="Q229" t="s">
        <v>41</v>
      </c>
      <c r="R229" t="s">
        <v>41</v>
      </c>
      <c r="S229" t="s">
        <v>41</v>
      </c>
    </row>
    <row r="230" spans="1:19" x14ac:dyDescent="0.25">
      <c r="M230" t="s">
        <v>41</v>
      </c>
      <c r="N230" t="s">
        <v>41</v>
      </c>
      <c r="O230" t="s">
        <v>41</v>
      </c>
      <c r="P230" t="s">
        <v>41</v>
      </c>
      <c r="Q230" t="s">
        <v>41</v>
      </c>
      <c r="R230" t="s">
        <v>41</v>
      </c>
      <c r="S230" t="s">
        <v>41</v>
      </c>
    </row>
    <row r="231" spans="1:19" x14ac:dyDescent="0.25">
      <c r="M231" t="s">
        <v>41</v>
      </c>
      <c r="N231" t="s">
        <v>41</v>
      </c>
      <c r="O231" t="s">
        <v>41</v>
      </c>
      <c r="P231" t="s">
        <v>41</v>
      </c>
      <c r="Q231" t="s">
        <v>41</v>
      </c>
      <c r="R231" t="s">
        <v>41</v>
      </c>
      <c r="S231" t="s">
        <v>41</v>
      </c>
    </row>
    <row r="232" spans="1:19" x14ac:dyDescent="0.25">
      <c r="M232" t="s">
        <v>41</v>
      </c>
      <c r="N232" t="s">
        <v>41</v>
      </c>
      <c r="O232" t="s">
        <v>41</v>
      </c>
      <c r="P232" t="s">
        <v>41</v>
      </c>
      <c r="Q232" t="s">
        <v>41</v>
      </c>
      <c r="R232" t="s">
        <v>41</v>
      </c>
      <c r="S232" t="s">
        <v>41</v>
      </c>
    </row>
    <row r="233" spans="1:19" x14ac:dyDescent="0.25">
      <c r="M233" t="s">
        <v>41</v>
      </c>
      <c r="N233" t="s">
        <v>41</v>
      </c>
      <c r="O233" t="s">
        <v>41</v>
      </c>
      <c r="P233" t="s">
        <v>41</v>
      </c>
      <c r="Q233" t="s">
        <v>41</v>
      </c>
      <c r="R233" t="s">
        <v>41</v>
      </c>
      <c r="S233" t="s">
        <v>41</v>
      </c>
    </row>
    <row r="234" spans="1:19" x14ac:dyDescent="0.25">
      <c r="A234" t="s">
        <v>173</v>
      </c>
      <c r="B234" t="s">
        <v>173</v>
      </c>
      <c r="C234" t="s">
        <v>173</v>
      </c>
      <c r="D234" t="s">
        <v>173</v>
      </c>
      <c r="E234" t="s">
        <v>173</v>
      </c>
      <c r="F234" t="s">
        <v>173</v>
      </c>
      <c r="G234" t="s">
        <v>173</v>
      </c>
      <c r="H234" t="s">
        <v>173</v>
      </c>
      <c r="I234" t="s">
        <v>173</v>
      </c>
      <c r="J234" t="s">
        <v>173</v>
      </c>
      <c r="K234" t="s">
        <v>173</v>
      </c>
      <c r="L234" t="s">
        <v>173</v>
      </c>
      <c r="M234" t="s">
        <v>41</v>
      </c>
      <c r="N234" t="s">
        <v>41</v>
      </c>
      <c r="O234" t="s">
        <v>41</v>
      </c>
      <c r="P234" t="s">
        <v>41</v>
      </c>
      <c r="Q234" t="s">
        <v>41</v>
      </c>
      <c r="R234" t="s">
        <v>41</v>
      </c>
      <c r="S234" t="s">
        <v>41</v>
      </c>
    </row>
    <row r="235" spans="1:19" x14ac:dyDescent="0.25">
      <c r="A235" t="s">
        <v>174</v>
      </c>
      <c r="M235" t="s">
        <v>41</v>
      </c>
      <c r="N235" t="s">
        <v>41</v>
      </c>
      <c r="O235" t="s">
        <v>41</v>
      </c>
      <c r="P235" t="s">
        <v>41</v>
      </c>
      <c r="Q235" t="s">
        <v>41</v>
      </c>
      <c r="R235" t="s">
        <v>41</v>
      </c>
      <c r="S235" t="s">
        <v>41</v>
      </c>
    </row>
    <row r="236" spans="1:19" x14ac:dyDescent="0.25">
      <c r="A236">
        <v>0</v>
      </c>
      <c r="M236" t="s">
        <v>41</v>
      </c>
      <c r="N236" t="s">
        <v>41</v>
      </c>
      <c r="O236" t="s">
        <v>41</v>
      </c>
      <c r="P236" t="s">
        <v>41</v>
      </c>
      <c r="Q236" t="s">
        <v>41</v>
      </c>
      <c r="R236" t="s">
        <v>41</v>
      </c>
      <c r="S236" t="s">
        <v>41</v>
      </c>
    </row>
    <row r="237" spans="1:19" x14ac:dyDescent="0.25">
      <c r="A237" t="s">
        <v>175</v>
      </c>
      <c r="B237" t="s">
        <v>176</v>
      </c>
      <c r="M237" t="s">
        <v>41</v>
      </c>
      <c r="N237" t="s">
        <v>41</v>
      </c>
      <c r="O237" t="s">
        <v>41</v>
      </c>
      <c r="P237" t="s">
        <v>41</v>
      </c>
      <c r="Q237" t="s">
        <v>41</v>
      </c>
      <c r="R237" t="s">
        <v>41</v>
      </c>
      <c r="S237" t="s">
        <v>41</v>
      </c>
    </row>
    <row r="238" spans="1:19" x14ac:dyDescent="0.25">
      <c r="A238" t="s">
        <v>177</v>
      </c>
      <c r="B238" t="s">
        <v>178</v>
      </c>
      <c r="C238" t="s">
        <v>179</v>
      </c>
      <c r="M238" t="s">
        <v>41</v>
      </c>
      <c r="N238" t="s">
        <v>41</v>
      </c>
      <c r="O238" t="s">
        <v>41</v>
      </c>
      <c r="P238" t="s">
        <v>41</v>
      </c>
      <c r="Q238" t="s">
        <v>41</v>
      </c>
      <c r="R238" t="s">
        <v>41</v>
      </c>
      <c r="S238" t="s">
        <v>41</v>
      </c>
    </row>
    <row r="239" spans="1:19" x14ac:dyDescent="0.25">
      <c r="A239" t="s">
        <v>180</v>
      </c>
      <c r="B239">
        <v>7</v>
      </c>
      <c r="M239" t="s">
        <v>41</v>
      </c>
      <c r="N239" t="s">
        <v>41</v>
      </c>
      <c r="O239" t="s">
        <v>41</v>
      </c>
      <c r="P239" t="s">
        <v>41</v>
      </c>
      <c r="Q239" t="s">
        <v>41</v>
      </c>
      <c r="R239" t="s">
        <v>41</v>
      </c>
      <c r="S239" t="s">
        <v>41</v>
      </c>
    </row>
    <row r="240" spans="1:19" x14ac:dyDescent="0.25">
      <c r="A240" t="s">
        <v>181</v>
      </c>
      <c r="B240" t="s">
        <v>182</v>
      </c>
      <c r="C240" t="s">
        <v>183</v>
      </c>
      <c r="M240" t="s">
        <v>41</v>
      </c>
      <c r="N240" t="s">
        <v>41</v>
      </c>
      <c r="O240" t="s">
        <v>41</v>
      </c>
      <c r="P240" t="s">
        <v>41</v>
      </c>
      <c r="Q240" t="s">
        <v>41</v>
      </c>
      <c r="R240" t="s">
        <v>41</v>
      </c>
      <c r="S240" t="s">
        <v>41</v>
      </c>
    </row>
    <row r="241" spans="1:19" x14ac:dyDescent="0.25">
      <c r="A241" t="s">
        <v>184</v>
      </c>
      <c r="B241">
        <v>43998</v>
      </c>
      <c r="M241" t="s">
        <v>41</v>
      </c>
      <c r="N241" t="s">
        <v>41</v>
      </c>
      <c r="O241" t="s">
        <v>41</v>
      </c>
      <c r="P241" t="s">
        <v>41</v>
      </c>
      <c r="Q241" t="s">
        <v>41</v>
      </c>
      <c r="R241" t="s">
        <v>41</v>
      </c>
      <c r="S241" t="s">
        <v>41</v>
      </c>
    </row>
    <row r="242" spans="1:19" x14ac:dyDescent="0.25">
      <c r="A242" t="s">
        <v>185</v>
      </c>
      <c r="M242" t="s">
        <v>41</v>
      </c>
      <c r="N242" t="s">
        <v>41</v>
      </c>
      <c r="O242" t="s">
        <v>41</v>
      </c>
      <c r="P242" t="s">
        <v>41</v>
      </c>
      <c r="Q242" t="s">
        <v>41</v>
      </c>
      <c r="R242" t="s">
        <v>41</v>
      </c>
      <c r="S242" t="s">
        <v>41</v>
      </c>
    </row>
    <row r="243" spans="1:19" x14ac:dyDescent="0.25">
      <c r="M243" t="s">
        <v>41</v>
      </c>
      <c r="N243" t="s">
        <v>41</v>
      </c>
      <c r="O243" t="s">
        <v>41</v>
      </c>
      <c r="P243" t="s">
        <v>41</v>
      </c>
      <c r="Q243" t="s">
        <v>41</v>
      </c>
      <c r="R243" t="s">
        <v>41</v>
      </c>
      <c r="S243" t="s">
        <v>41</v>
      </c>
    </row>
    <row r="244" spans="1:19" x14ac:dyDescent="0.25">
      <c r="B244" t="s">
        <v>46</v>
      </c>
      <c r="C244" t="s">
        <v>158</v>
      </c>
      <c r="D244" t="s">
        <v>159</v>
      </c>
      <c r="E244" t="s">
        <v>67</v>
      </c>
      <c r="F244">
        <v>7874.0806000000002</v>
      </c>
      <c r="M244" t="s">
        <v>41</v>
      </c>
      <c r="N244" t="s">
        <v>41</v>
      </c>
      <c r="O244" t="s">
        <v>41</v>
      </c>
      <c r="P244" t="s">
        <v>41</v>
      </c>
      <c r="Q244" t="s">
        <v>41</v>
      </c>
      <c r="R244" t="s">
        <v>41</v>
      </c>
      <c r="S244" t="s">
        <v>41</v>
      </c>
    </row>
    <row r="245" spans="1:19" x14ac:dyDescent="0.25">
      <c r="B245" t="s">
        <v>46</v>
      </c>
      <c r="C245" t="s">
        <v>167</v>
      </c>
      <c r="D245" t="s">
        <v>168</v>
      </c>
      <c r="E245" t="s">
        <v>67</v>
      </c>
      <c r="F245">
        <v>12897.905199999999</v>
      </c>
      <c r="M245" t="s">
        <v>41</v>
      </c>
      <c r="N245" t="s">
        <v>41</v>
      </c>
      <c r="O245" t="s">
        <v>41</v>
      </c>
      <c r="P245" t="s">
        <v>41</v>
      </c>
      <c r="Q245" t="s">
        <v>41</v>
      </c>
      <c r="R245" t="s">
        <v>41</v>
      </c>
      <c r="S245" t="s">
        <v>41</v>
      </c>
    </row>
    <row r="246" spans="1:19" x14ac:dyDescent="0.25">
      <c r="B246" t="s">
        <v>49</v>
      </c>
      <c r="C246" t="s">
        <v>158</v>
      </c>
      <c r="D246" t="s">
        <v>159</v>
      </c>
      <c r="E246" t="s">
        <v>67</v>
      </c>
      <c r="F246">
        <v>11581.67619</v>
      </c>
      <c r="M246" t="s">
        <v>41</v>
      </c>
      <c r="N246" t="s">
        <v>41</v>
      </c>
      <c r="O246" t="s">
        <v>41</v>
      </c>
      <c r="P246" t="s">
        <v>41</v>
      </c>
      <c r="Q246" t="s">
        <v>41</v>
      </c>
      <c r="R246" t="s">
        <v>41</v>
      </c>
      <c r="S246" t="s">
        <v>41</v>
      </c>
    </row>
    <row r="247" spans="1:19" x14ac:dyDescent="0.25">
      <c r="B247" t="s">
        <v>49</v>
      </c>
      <c r="C247" t="s">
        <v>167</v>
      </c>
      <c r="D247" t="s">
        <v>168</v>
      </c>
      <c r="E247" t="s">
        <v>67</v>
      </c>
      <c r="F247">
        <v>22144.696400000001</v>
      </c>
      <c r="M247" t="s">
        <v>41</v>
      </c>
      <c r="N247" t="s">
        <v>41</v>
      </c>
      <c r="O247" t="s">
        <v>41</v>
      </c>
      <c r="P247" t="s">
        <v>41</v>
      </c>
      <c r="Q247" t="s">
        <v>41</v>
      </c>
      <c r="R247" t="s">
        <v>41</v>
      </c>
      <c r="S247" t="s">
        <v>41</v>
      </c>
    </row>
    <row r="248" spans="1:19" x14ac:dyDescent="0.25">
      <c r="B248" t="s">
        <v>51</v>
      </c>
      <c r="C248" t="s">
        <v>158</v>
      </c>
      <c r="D248" t="s">
        <v>159</v>
      </c>
      <c r="E248" t="s">
        <v>67</v>
      </c>
      <c r="F248" t="s">
        <v>41</v>
      </c>
      <c r="M248" t="s">
        <v>41</v>
      </c>
      <c r="N248" t="s">
        <v>41</v>
      </c>
      <c r="O248" t="s">
        <v>41</v>
      </c>
      <c r="P248" t="s">
        <v>41</v>
      </c>
      <c r="Q248" t="s">
        <v>41</v>
      </c>
      <c r="R248" t="s">
        <v>41</v>
      </c>
      <c r="S248" t="s">
        <v>41</v>
      </c>
    </row>
    <row r="249" spans="1:19" x14ac:dyDescent="0.25">
      <c r="B249" t="s">
        <v>51</v>
      </c>
      <c r="C249" t="s">
        <v>167</v>
      </c>
      <c r="D249" t="s">
        <v>168</v>
      </c>
      <c r="E249" t="s">
        <v>67</v>
      </c>
      <c r="F249">
        <v>9936</v>
      </c>
      <c r="M249" t="s">
        <v>41</v>
      </c>
      <c r="N249" t="s">
        <v>41</v>
      </c>
      <c r="O249" t="s">
        <v>41</v>
      </c>
      <c r="P249" t="s">
        <v>41</v>
      </c>
      <c r="Q249" t="s">
        <v>41</v>
      </c>
      <c r="R249" t="s">
        <v>41</v>
      </c>
      <c r="S249" t="s">
        <v>41</v>
      </c>
    </row>
    <row r="250" spans="1:19" x14ac:dyDescent="0.25">
      <c r="B250" t="s">
        <v>53</v>
      </c>
      <c r="C250" t="s">
        <v>158</v>
      </c>
      <c r="D250" t="s">
        <v>159</v>
      </c>
      <c r="E250" t="s">
        <v>67</v>
      </c>
      <c r="F250">
        <v>4971.0397999999996</v>
      </c>
      <c r="M250" t="s">
        <v>41</v>
      </c>
      <c r="N250" t="s">
        <v>41</v>
      </c>
      <c r="O250" t="s">
        <v>41</v>
      </c>
      <c r="P250" t="s">
        <v>41</v>
      </c>
      <c r="Q250" t="s">
        <v>41</v>
      </c>
      <c r="R250" t="s">
        <v>41</v>
      </c>
      <c r="S250" t="s">
        <v>41</v>
      </c>
    </row>
    <row r="251" spans="1:19" x14ac:dyDescent="0.25">
      <c r="B251" t="s">
        <v>53</v>
      </c>
      <c r="C251" t="s">
        <v>167</v>
      </c>
      <c r="D251" t="s">
        <v>168</v>
      </c>
      <c r="E251" t="s">
        <v>67</v>
      </c>
      <c r="F251">
        <v>8669.0470999999998</v>
      </c>
      <c r="M251" t="s">
        <v>41</v>
      </c>
      <c r="N251" t="s">
        <v>41</v>
      </c>
      <c r="O251" t="s">
        <v>41</v>
      </c>
      <c r="P251" t="s">
        <v>41</v>
      </c>
      <c r="Q251" t="s">
        <v>41</v>
      </c>
      <c r="R251" t="s">
        <v>41</v>
      </c>
      <c r="S251" t="s">
        <v>41</v>
      </c>
    </row>
    <row r="252" spans="1:19" x14ac:dyDescent="0.25">
      <c r="B252" t="s">
        <v>53</v>
      </c>
      <c r="C252" t="s">
        <v>158</v>
      </c>
      <c r="D252" t="s">
        <v>159</v>
      </c>
      <c r="E252" t="s">
        <v>67</v>
      </c>
      <c r="F252">
        <v>2044.1258</v>
      </c>
      <c r="M252" t="s">
        <v>41</v>
      </c>
      <c r="N252" t="s">
        <v>41</v>
      </c>
      <c r="O252" t="s">
        <v>41</v>
      </c>
      <c r="P252" t="s">
        <v>41</v>
      </c>
      <c r="Q252" t="s">
        <v>41</v>
      </c>
      <c r="R252" t="s">
        <v>41</v>
      </c>
      <c r="S252" t="s">
        <v>41</v>
      </c>
    </row>
    <row r="253" spans="1:19" x14ac:dyDescent="0.25">
      <c r="B253" t="s">
        <v>53</v>
      </c>
      <c r="C253" t="s">
        <v>167</v>
      </c>
      <c r="D253" t="s">
        <v>168</v>
      </c>
      <c r="E253" t="s">
        <v>67</v>
      </c>
      <c r="F253">
        <v>8669.0470999999998</v>
      </c>
      <c r="M253" t="s">
        <v>41</v>
      </c>
      <c r="N253" t="s">
        <v>41</v>
      </c>
      <c r="O253" t="s">
        <v>41</v>
      </c>
      <c r="P253" t="s">
        <v>41</v>
      </c>
      <c r="Q253" t="s">
        <v>41</v>
      </c>
      <c r="R253" t="s">
        <v>41</v>
      </c>
      <c r="S253" t="s">
        <v>41</v>
      </c>
    </row>
    <row r="254" spans="1:19" x14ac:dyDescent="0.25">
      <c r="B254" t="s">
        <v>51</v>
      </c>
      <c r="C254" t="s">
        <v>158</v>
      </c>
      <c r="D254" t="s">
        <v>159</v>
      </c>
      <c r="E254" t="s">
        <v>67</v>
      </c>
      <c r="F254">
        <v>2726.7420000000002</v>
      </c>
      <c r="M254" t="s">
        <v>41</v>
      </c>
      <c r="N254" t="s">
        <v>41</v>
      </c>
      <c r="O254" t="s">
        <v>41</v>
      </c>
      <c r="P254" t="s">
        <v>41</v>
      </c>
      <c r="Q254" t="s">
        <v>41</v>
      </c>
      <c r="R254" t="s">
        <v>41</v>
      </c>
      <c r="S254" t="s">
        <v>41</v>
      </c>
    </row>
    <row r="255" spans="1:19" x14ac:dyDescent="0.25">
      <c r="B255" t="s">
        <v>51</v>
      </c>
      <c r="C255" t="s">
        <v>167</v>
      </c>
      <c r="D255" t="s">
        <v>168</v>
      </c>
      <c r="E255" t="s">
        <v>67</v>
      </c>
      <c r="F255">
        <v>9936</v>
      </c>
      <c r="M255" t="s">
        <v>41</v>
      </c>
      <c r="N255" t="s">
        <v>41</v>
      </c>
      <c r="O255" t="s">
        <v>41</v>
      </c>
      <c r="P255" t="s">
        <v>41</v>
      </c>
      <c r="Q255" t="s">
        <v>41</v>
      </c>
      <c r="R255" t="s">
        <v>41</v>
      </c>
      <c r="S255" t="s">
        <v>41</v>
      </c>
    </row>
    <row r="256" spans="1:19" x14ac:dyDescent="0.25">
      <c r="B256" t="s">
        <v>49</v>
      </c>
      <c r="C256" t="s">
        <v>158</v>
      </c>
      <c r="D256" t="s">
        <v>159</v>
      </c>
      <c r="E256" t="s">
        <v>67</v>
      </c>
      <c r="F256">
        <v>6776.2770799999998</v>
      </c>
      <c r="M256" t="s">
        <v>41</v>
      </c>
      <c r="N256" t="s">
        <v>41</v>
      </c>
      <c r="O256" t="s">
        <v>41</v>
      </c>
      <c r="P256" t="s">
        <v>41</v>
      </c>
      <c r="Q256" t="s">
        <v>41</v>
      </c>
      <c r="R256" t="s">
        <v>41</v>
      </c>
      <c r="S256" t="s">
        <v>41</v>
      </c>
    </row>
    <row r="257" spans="2:19" x14ac:dyDescent="0.25">
      <c r="B257" t="s">
        <v>49</v>
      </c>
      <c r="C257" t="s">
        <v>167</v>
      </c>
      <c r="D257" t="s">
        <v>168</v>
      </c>
      <c r="E257" t="s">
        <v>67</v>
      </c>
      <c r="F257">
        <v>22144.696400000001</v>
      </c>
      <c r="M257" t="s">
        <v>41</v>
      </c>
      <c r="N257" t="s">
        <v>41</v>
      </c>
      <c r="O257" t="s">
        <v>41</v>
      </c>
      <c r="P257" t="s">
        <v>41</v>
      </c>
      <c r="Q257" t="s">
        <v>41</v>
      </c>
      <c r="R257" t="s">
        <v>41</v>
      </c>
      <c r="S257" t="s">
        <v>41</v>
      </c>
    </row>
    <row r="258" spans="2:19" x14ac:dyDescent="0.25">
      <c r="B258" t="s">
        <v>46</v>
      </c>
      <c r="C258" t="s">
        <v>158</v>
      </c>
      <c r="D258" t="s">
        <v>159</v>
      </c>
      <c r="E258" t="s">
        <v>67</v>
      </c>
      <c r="F258">
        <v>3092.2348000000002</v>
      </c>
      <c r="M258" t="s">
        <v>41</v>
      </c>
      <c r="N258" t="s">
        <v>41</v>
      </c>
      <c r="O258" t="s">
        <v>41</v>
      </c>
      <c r="P258" t="s">
        <v>41</v>
      </c>
      <c r="Q258" t="s">
        <v>41</v>
      </c>
      <c r="R258" t="s">
        <v>41</v>
      </c>
      <c r="S258" t="s">
        <v>41</v>
      </c>
    </row>
    <row r="259" spans="2:19" x14ac:dyDescent="0.25">
      <c r="B259" t="s">
        <v>46</v>
      </c>
      <c r="C259" t="s">
        <v>167</v>
      </c>
      <c r="D259" t="s">
        <v>168</v>
      </c>
      <c r="E259" t="s">
        <v>67</v>
      </c>
      <c r="F259">
        <v>12897.905199999999</v>
      </c>
      <c r="M259" t="s">
        <v>41</v>
      </c>
      <c r="N259" t="s">
        <v>41</v>
      </c>
      <c r="O259" t="s">
        <v>41</v>
      </c>
      <c r="P259" t="s">
        <v>41</v>
      </c>
      <c r="Q259" t="s">
        <v>41</v>
      </c>
      <c r="R259" t="s">
        <v>41</v>
      </c>
      <c r="S259" t="s">
        <v>41</v>
      </c>
    </row>
    <row r="260" spans="2:19" x14ac:dyDescent="0.25">
      <c r="B260" t="s">
        <v>53</v>
      </c>
      <c r="C260" t="s">
        <v>158</v>
      </c>
      <c r="D260" t="s">
        <v>159</v>
      </c>
      <c r="E260" t="s">
        <v>67</v>
      </c>
      <c r="F260">
        <v>425.51389999999998</v>
      </c>
      <c r="M260" t="s">
        <v>41</v>
      </c>
      <c r="N260" t="s">
        <v>41</v>
      </c>
      <c r="O260" t="s">
        <v>41</v>
      </c>
      <c r="P260" t="s">
        <v>41</v>
      </c>
      <c r="Q260" t="s">
        <v>41</v>
      </c>
      <c r="R260" t="s">
        <v>41</v>
      </c>
      <c r="S260" t="s">
        <v>41</v>
      </c>
    </row>
    <row r="261" spans="2:19" x14ac:dyDescent="0.25">
      <c r="B261" t="s">
        <v>53</v>
      </c>
      <c r="C261" t="s">
        <v>167</v>
      </c>
      <c r="D261" t="s">
        <v>168</v>
      </c>
      <c r="E261" t="s">
        <v>67</v>
      </c>
      <c r="F261">
        <v>8669.0470999999998</v>
      </c>
      <c r="M261" t="s">
        <v>41</v>
      </c>
      <c r="N261" t="s">
        <v>41</v>
      </c>
      <c r="O261" t="s">
        <v>41</v>
      </c>
      <c r="P261" t="s">
        <v>41</v>
      </c>
      <c r="Q261" t="s">
        <v>41</v>
      </c>
      <c r="R261" t="s">
        <v>41</v>
      </c>
      <c r="S261" t="s">
        <v>41</v>
      </c>
    </row>
    <row r="262" spans="2:19" x14ac:dyDescent="0.25">
      <c r="B262" t="s">
        <v>49</v>
      </c>
      <c r="C262" t="s">
        <v>158</v>
      </c>
      <c r="D262" t="s">
        <v>159</v>
      </c>
      <c r="E262" t="s">
        <v>67</v>
      </c>
      <c r="F262">
        <v>2059.45676</v>
      </c>
      <c r="M262" t="s">
        <v>41</v>
      </c>
      <c r="N262" t="s">
        <v>41</v>
      </c>
      <c r="O262" t="s">
        <v>41</v>
      </c>
      <c r="P262" t="s">
        <v>41</v>
      </c>
      <c r="Q262" t="s">
        <v>41</v>
      </c>
      <c r="R262" t="s">
        <v>41</v>
      </c>
      <c r="S262" t="s">
        <v>41</v>
      </c>
    </row>
    <row r="263" spans="2:19" x14ac:dyDescent="0.25">
      <c r="B263" t="s">
        <v>49</v>
      </c>
      <c r="C263" t="s">
        <v>167</v>
      </c>
      <c r="D263" t="s">
        <v>168</v>
      </c>
      <c r="E263" t="s">
        <v>67</v>
      </c>
      <c r="F263">
        <v>22144.696400000001</v>
      </c>
      <c r="M263" t="s">
        <v>41</v>
      </c>
      <c r="N263" t="s">
        <v>41</v>
      </c>
      <c r="O263" t="s">
        <v>41</v>
      </c>
      <c r="P263" t="s">
        <v>41</v>
      </c>
      <c r="Q263" t="s">
        <v>41</v>
      </c>
      <c r="R263" t="s">
        <v>41</v>
      </c>
      <c r="S263" t="s">
        <v>41</v>
      </c>
    </row>
    <row r="264" spans="2:19" x14ac:dyDescent="0.25">
      <c r="B264" t="s">
        <v>53</v>
      </c>
      <c r="C264" t="s">
        <v>158</v>
      </c>
      <c r="D264" t="s">
        <v>159</v>
      </c>
      <c r="E264" t="s">
        <v>67</v>
      </c>
      <c r="F264">
        <v>2044.1258</v>
      </c>
      <c r="M264" t="s">
        <v>41</v>
      </c>
      <c r="N264" t="s">
        <v>41</v>
      </c>
      <c r="O264" t="s">
        <v>41</v>
      </c>
      <c r="P264" t="s">
        <v>41</v>
      </c>
      <c r="Q264" t="s">
        <v>41</v>
      </c>
      <c r="R264" t="s">
        <v>41</v>
      </c>
      <c r="S264" t="s">
        <v>41</v>
      </c>
    </row>
    <row r="265" spans="2:19" x14ac:dyDescent="0.25">
      <c r="B265" t="s">
        <v>53</v>
      </c>
      <c r="C265" t="s">
        <v>167</v>
      </c>
      <c r="D265" t="s">
        <v>168</v>
      </c>
      <c r="E265" t="s">
        <v>67</v>
      </c>
      <c r="F265">
        <v>8669.0470999999998</v>
      </c>
      <c r="M265" t="s">
        <v>41</v>
      </c>
      <c r="N265" t="s">
        <v>41</v>
      </c>
      <c r="O265" t="s">
        <v>41</v>
      </c>
      <c r="P265" t="s">
        <v>41</v>
      </c>
      <c r="Q265" t="s">
        <v>41</v>
      </c>
      <c r="R265" t="s">
        <v>41</v>
      </c>
      <c r="S265" t="s">
        <v>41</v>
      </c>
    </row>
    <row r="266" spans="2:19" x14ac:dyDescent="0.25">
      <c r="B266" t="s">
        <v>49</v>
      </c>
      <c r="C266" t="s">
        <v>158</v>
      </c>
      <c r="D266" t="s">
        <v>159</v>
      </c>
      <c r="E266" t="s">
        <v>67</v>
      </c>
      <c r="F266">
        <v>1262.2476899999999</v>
      </c>
      <c r="M266" t="s">
        <v>41</v>
      </c>
      <c r="N266" t="s">
        <v>41</v>
      </c>
      <c r="O266" t="s">
        <v>41</v>
      </c>
      <c r="P266" t="s">
        <v>41</v>
      </c>
      <c r="Q266" t="s">
        <v>41</v>
      </c>
      <c r="R266" t="s">
        <v>41</v>
      </c>
      <c r="S266" t="s">
        <v>41</v>
      </c>
    </row>
    <row r="267" spans="2:19" x14ac:dyDescent="0.25">
      <c r="B267" t="s">
        <v>49</v>
      </c>
      <c r="C267" t="s">
        <v>167</v>
      </c>
      <c r="D267" t="s">
        <v>168</v>
      </c>
      <c r="E267" t="s">
        <v>67</v>
      </c>
      <c r="F267">
        <v>22144.696400000001</v>
      </c>
      <c r="M267" t="s">
        <v>41</v>
      </c>
      <c r="N267" t="s">
        <v>41</v>
      </c>
      <c r="O267" t="s">
        <v>41</v>
      </c>
      <c r="P267" t="s">
        <v>41</v>
      </c>
      <c r="Q267" t="s">
        <v>41</v>
      </c>
      <c r="R267" t="s">
        <v>41</v>
      </c>
      <c r="S267" t="s">
        <v>41</v>
      </c>
    </row>
    <row r="268" spans="2:19" x14ac:dyDescent="0.25">
      <c r="B268" t="s">
        <v>51</v>
      </c>
      <c r="C268" t="s">
        <v>158</v>
      </c>
      <c r="D268" t="s">
        <v>159</v>
      </c>
      <c r="E268" t="s">
        <v>67</v>
      </c>
      <c r="F268">
        <v>330.76900000000001</v>
      </c>
      <c r="M268" t="s">
        <v>41</v>
      </c>
      <c r="N268" t="s">
        <v>41</v>
      </c>
      <c r="O268" t="s">
        <v>41</v>
      </c>
      <c r="P268" t="s">
        <v>41</v>
      </c>
      <c r="Q268" t="s">
        <v>41</v>
      </c>
      <c r="R268" t="s">
        <v>41</v>
      </c>
      <c r="S268" t="s">
        <v>41</v>
      </c>
    </row>
    <row r="269" spans="2:19" x14ac:dyDescent="0.25">
      <c r="B269" t="s">
        <v>51</v>
      </c>
      <c r="C269" t="s">
        <v>167</v>
      </c>
      <c r="D269" t="s">
        <v>168</v>
      </c>
      <c r="E269" t="s">
        <v>67</v>
      </c>
      <c r="F269">
        <v>9936</v>
      </c>
      <c r="M269" t="s">
        <v>41</v>
      </c>
      <c r="N269" t="s">
        <v>41</v>
      </c>
      <c r="O269" t="s">
        <v>41</v>
      </c>
      <c r="P269" t="s">
        <v>41</v>
      </c>
      <c r="Q269" t="s">
        <v>41</v>
      </c>
      <c r="R269" t="s">
        <v>41</v>
      </c>
      <c r="S269" t="s">
        <v>41</v>
      </c>
    </row>
    <row r="270" spans="2:19" x14ac:dyDescent="0.25">
      <c r="B270" t="s">
        <v>46</v>
      </c>
      <c r="C270" t="s">
        <v>158</v>
      </c>
      <c r="D270" t="s">
        <v>159</v>
      </c>
      <c r="E270" t="s">
        <v>67</v>
      </c>
      <c r="F270">
        <v>333.6893</v>
      </c>
      <c r="M270" t="s">
        <v>41</v>
      </c>
      <c r="N270" t="s">
        <v>41</v>
      </c>
      <c r="O270" t="s">
        <v>41</v>
      </c>
      <c r="P270" t="s">
        <v>41</v>
      </c>
      <c r="Q270" t="s">
        <v>41</v>
      </c>
      <c r="R270" t="s">
        <v>41</v>
      </c>
      <c r="S270" t="s">
        <v>41</v>
      </c>
    </row>
    <row r="271" spans="2:19" x14ac:dyDescent="0.25">
      <c r="B271" t="s">
        <v>46</v>
      </c>
      <c r="C271" t="s">
        <v>167</v>
      </c>
      <c r="D271" t="s">
        <v>168</v>
      </c>
      <c r="E271" t="s">
        <v>67</v>
      </c>
      <c r="F271">
        <v>12897.905199999999</v>
      </c>
      <c r="M271" t="s">
        <v>41</v>
      </c>
      <c r="N271" t="s">
        <v>41</v>
      </c>
      <c r="O271" t="s">
        <v>41</v>
      </c>
      <c r="P271" t="s">
        <v>41</v>
      </c>
      <c r="Q271" t="s">
        <v>41</v>
      </c>
      <c r="R271" t="s">
        <v>41</v>
      </c>
      <c r="S271" t="s">
        <v>41</v>
      </c>
    </row>
    <row r="272" spans="2:19" x14ac:dyDescent="0.25">
      <c r="B272" t="s">
        <v>53</v>
      </c>
      <c r="C272" t="s">
        <v>158</v>
      </c>
      <c r="D272" t="s">
        <v>159</v>
      </c>
      <c r="E272" t="s">
        <v>67</v>
      </c>
      <c r="F272">
        <v>2682.9794999999999</v>
      </c>
      <c r="M272" t="s">
        <v>41</v>
      </c>
      <c r="N272" t="s">
        <v>41</v>
      </c>
      <c r="O272" t="s">
        <v>41</v>
      </c>
      <c r="P272" t="s">
        <v>41</v>
      </c>
      <c r="Q272" t="s">
        <v>41</v>
      </c>
      <c r="R272" t="s">
        <v>41</v>
      </c>
      <c r="S272" t="s">
        <v>41</v>
      </c>
    </row>
    <row r="273" spans="2:19" x14ac:dyDescent="0.25">
      <c r="B273" t="s">
        <v>53</v>
      </c>
      <c r="C273" t="s">
        <v>167</v>
      </c>
      <c r="D273" t="s">
        <v>168</v>
      </c>
      <c r="E273" t="s">
        <v>67</v>
      </c>
      <c r="F273">
        <v>8669.0470999999998</v>
      </c>
      <c r="M273" t="s">
        <v>41</v>
      </c>
      <c r="N273" t="s">
        <v>41</v>
      </c>
      <c r="O273" t="s">
        <v>41</v>
      </c>
      <c r="P273" t="s">
        <v>41</v>
      </c>
      <c r="Q273" t="s">
        <v>41</v>
      </c>
      <c r="R273" t="s">
        <v>41</v>
      </c>
      <c r="S273" t="s">
        <v>41</v>
      </c>
    </row>
    <row r="274" spans="2:19" x14ac:dyDescent="0.25">
      <c r="B274" t="s">
        <v>53</v>
      </c>
      <c r="C274" t="s">
        <v>158</v>
      </c>
      <c r="D274" t="s">
        <v>159</v>
      </c>
      <c r="E274" t="s">
        <v>67</v>
      </c>
      <c r="F274">
        <v>2682.9794999999999</v>
      </c>
      <c r="M274" t="s">
        <v>41</v>
      </c>
      <c r="N274" t="s">
        <v>41</v>
      </c>
      <c r="O274" t="s">
        <v>41</v>
      </c>
      <c r="P274" t="s">
        <v>41</v>
      </c>
      <c r="Q274" t="s">
        <v>41</v>
      </c>
      <c r="R274" t="s">
        <v>41</v>
      </c>
      <c r="S274" t="s">
        <v>41</v>
      </c>
    </row>
    <row r="275" spans="2:19" x14ac:dyDescent="0.25">
      <c r="B275" t="s">
        <v>53</v>
      </c>
      <c r="C275" t="s">
        <v>167</v>
      </c>
      <c r="D275" t="s">
        <v>168</v>
      </c>
      <c r="E275" t="s">
        <v>67</v>
      </c>
      <c r="F275">
        <v>8669.0470999999998</v>
      </c>
      <c r="M275" t="s">
        <v>41</v>
      </c>
      <c r="N275" t="s">
        <v>41</v>
      </c>
      <c r="O275" t="s">
        <v>41</v>
      </c>
      <c r="P275" t="s">
        <v>41</v>
      </c>
      <c r="Q275" t="s">
        <v>41</v>
      </c>
      <c r="R275" t="s">
        <v>41</v>
      </c>
      <c r="S275" t="s">
        <v>41</v>
      </c>
    </row>
    <row r="276" spans="2:19" x14ac:dyDescent="0.25">
      <c r="B276" t="s">
        <v>46</v>
      </c>
      <c r="C276" t="s">
        <v>158</v>
      </c>
      <c r="D276" t="s">
        <v>159</v>
      </c>
      <c r="E276" t="s">
        <v>67</v>
      </c>
      <c r="F276" t="s">
        <v>41</v>
      </c>
      <c r="M276" t="s">
        <v>41</v>
      </c>
      <c r="N276" t="s">
        <v>41</v>
      </c>
      <c r="O276" t="s">
        <v>41</v>
      </c>
      <c r="P276" t="s">
        <v>41</v>
      </c>
      <c r="Q276" t="s">
        <v>41</v>
      </c>
      <c r="R276" t="s">
        <v>41</v>
      </c>
      <c r="S276" t="s">
        <v>41</v>
      </c>
    </row>
    <row r="277" spans="2:19" x14ac:dyDescent="0.25">
      <c r="B277" t="s">
        <v>46</v>
      </c>
      <c r="C277" t="s">
        <v>158</v>
      </c>
      <c r="D277" t="s">
        <v>159</v>
      </c>
      <c r="E277" t="s">
        <v>67</v>
      </c>
      <c r="F277" t="s">
        <v>41</v>
      </c>
      <c r="M277" t="s">
        <v>41</v>
      </c>
      <c r="N277" t="s">
        <v>41</v>
      </c>
      <c r="O277" t="s">
        <v>41</v>
      </c>
      <c r="P277" t="s">
        <v>41</v>
      </c>
      <c r="Q277" t="s">
        <v>41</v>
      </c>
      <c r="R277" t="s">
        <v>41</v>
      </c>
      <c r="S277" t="s">
        <v>41</v>
      </c>
    </row>
    <row r="278" spans="2:19" x14ac:dyDescent="0.25">
      <c r="B278" t="s">
        <v>46</v>
      </c>
      <c r="C278" t="s">
        <v>167</v>
      </c>
      <c r="D278" t="s">
        <v>168</v>
      </c>
      <c r="E278" t="s">
        <v>67</v>
      </c>
      <c r="F278">
        <v>12897.905199999999</v>
      </c>
      <c r="M278" t="s">
        <v>41</v>
      </c>
      <c r="N278" t="s">
        <v>41</v>
      </c>
      <c r="O278" t="s">
        <v>41</v>
      </c>
      <c r="P278" t="s">
        <v>41</v>
      </c>
      <c r="Q278" t="s">
        <v>41</v>
      </c>
      <c r="R278" t="s">
        <v>41</v>
      </c>
      <c r="S278" t="s">
        <v>41</v>
      </c>
    </row>
    <row r="279" spans="2:19" x14ac:dyDescent="0.25">
      <c r="B279" t="s">
        <v>49</v>
      </c>
      <c r="C279" t="s">
        <v>158</v>
      </c>
      <c r="D279" t="s">
        <v>159</v>
      </c>
      <c r="E279" t="s">
        <v>67</v>
      </c>
      <c r="F279">
        <v>1838.0098</v>
      </c>
      <c r="M279" t="s">
        <v>41</v>
      </c>
      <c r="N279" t="s">
        <v>41</v>
      </c>
      <c r="O279" t="s">
        <v>41</v>
      </c>
      <c r="P279" t="s">
        <v>41</v>
      </c>
      <c r="Q279" t="s">
        <v>41</v>
      </c>
      <c r="R279" t="s">
        <v>41</v>
      </c>
      <c r="S279" t="s">
        <v>41</v>
      </c>
    </row>
    <row r="280" spans="2:19" x14ac:dyDescent="0.25">
      <c r="B280" t="s">
        <v>49</v>
      </c>
      <c r="C280" t="s">
        <v>167</v>
      </c>
      <c r="D280" t="s">
        <v>168</v>
      </c>
      <c r="E280" t="s">
        <v>67</v>
      </c>
      <c r="F280">
        <v>22144.696400000001</v>
      </c>
      <c r="M280" t="s">
        <v>41</v>
      </c>
      <c r="N280" t="s">
        <v>41</v>
      </c>
      <c r="O280" t="s">
        <v>41</v>
      </c>
      <c r="P280" t="s">
        <v>41</v>
      </c>
      <c r="Q280" t="s">
        <v>41</v>
      </c>
      <c r="R280" t="s">
        <v>41</v>
      </c>
      <c r="S280" t="s">
        <v>41</v>
      </c>
    </row>
    <row r="281" spans="2:19" x14ac:dyDescent="0.25">
      <c r="B281" t="s">
        <v>69</v>
      </c>
      <c r="C281" t="s">
        <v>158</v>
      </c>
      <c r="D281" t="s">
        <v>159</v>
      </c>
      <c r="E281" t="s">
        <v>67</v>
      </c>
      <c r="F281" t="s">
        <v>41</v>
      </c>
      <c r="M281" t="s">
        <v>41</v>
      </c>
      <c r="N281" t="s">
        <v>41</v>
      </c>
      <c r="O281" t="s">
        <v>41</v>
      </c>
      <c r="P281" t="s">
        <v>41</v>
      </c>
      <c r="Q281" t="s">
        <v>41</v>
      </c>
      <c r="R281" t="s">
        <v>41</v>
      </c>
      <c r="S281" t="s">
        <v>41</v>
      </c>
    </row>
    <row r="282" spans="2:19" x14ac:dyDescent="0.25">
      <c r="B282" t="s">
        <v>69</v>
      </c>
      <c r="C282" t="s">
        <v>158</v>
      </c>
      <c r="D282" t="s">
        <v>159</v>
      </c>
      <c r="E282" t="s">
        <v>67</v>
      </c>
      <c r="F282">
        <v>2425.9300800000001</v>
      </c>
      <c r="M282" t="s">
        <v>41</v>
      </c>
      <c r="N282" t="s">
        <v>41</v>
      </c>
      <c r="O282" t="s">
        <v>41</v>
      </c>
      <c r="P282" t="s">
        <v>41</v>
      </c>
      <c r="Q282" t="s">
        <v>41</v>
      </c>
      <c r="R282" t="s">
        <v>41</v>
      </c>
      <c r="S282" t="s">
        <v>41</v>
      </c>
    </row>
    <row r="283" spans="2:19" x14ac:dyDescent="0.25">
      <c r="B283" t="s">
        <v>69</v>
      </c>
      <c r="C283" t="s">
        <v>158</v>
      </c>
      <c r="D283" t="s">
        <v>159</v>
      </c>
      <c r="E283" t="s">
        <v>67</v>
      </c>
      <c r="F283">
        <v>2001.6442</v>
      </c>
      <c r="M283" t="s">
        <v>41</v>
      </c>
      <c r="N283" t="s">
        <v>41</v>
      </c>
      <c r="O283" t="s">
        <v>41</v>
      </c>
      <c r="P283" t="s">
        <v>41</v>
      </c>
      <c r="Q283" t="s">
        <v>41</v>
      </c>
      <c r="R283" t="s">
        <v>41</v>
      </c>
      <c r="S283" t="s">
        <v>41</v>
      </c>
    </row>
    <row r="284" spans="2:19" x14ac:dyDescent="0.25">
      <c r="B284" t="s">
        <v>69</v>
      </c>
      <c r="C284" t="s">
        <v>158</v>
      </c>
      <c r="D284" t="s">
        <v>159</v>
      </c>
      <c r="E284" t="s">
        <v>67</v>
      </c>
      <c r="F284">
        <v>1172.10374</v>
      </c>
      <c r="M284" t="s">
        <v>41</v>
      </c>
      <c r="N284" t="s">
        <v>41</v>
      </c>
      <c r="O284" t="s">
        <v>41</v>
      </c>
      <c r="P284" t="s">
        <v>41</v>
      </c>
      <c r="Q284" t="s">
        <v>41</v>
      </c>
      <c r="R284" t="s">
        <v>41</v>
      </c>
      <c r="S284" t="s">
        <v>41</v>
      </c>
    </row>
    <row r="285" spans="2:19" x14ac:dyDescent="0.25">
      <c r="B285" t="s">
        <v>69</v>
      </c>
      <c r="C285" t="s">
        <v>158</v>
      </c>
      <c r="D285" t="s">
        <v>159</v>
      </c>
      <c r="E285" t="s">
        <v>67</v>
      </c>
      <c r="F285" t="s">
        <v>41</v>
      </c>
      <c r="M285" t="s">
        <v>41</v>
      </c>
      <c r="N285" t="s">
        <v>41</v>
      </c>
      <c r="O285" t="s">
        <v>41</v>
      </c>
      <c r="P285" t="s">
        <v>41</v>
      </c>
      <c r="Q285" t="s">
        <v>41</v>
      </c>
      <c r="R285" t="s">
        <v>41</v>
      </c>
      <c r="S285" t="s">
        <v>41</v>
      </c>
    </row>
    <row r="286" spans="2:19" x14ac:dyDescent="0.25">
      <c r="B286" t="s">
        <v>69</v>
      </c>
      <c r="C286" t="s">
        <v>158</v>
      </c>
      <c r="D286" t="s">
        <v>159</v>
      </c>
      <c r="E286" t="s">
        <v>67</v>
      </c>
      <c r="F286" t="s">
        <v>41</v>
      </c>
      <c r="M286" t="s">
        <v>41</v>
      </c>
      <c r="N286" t="s">
        <v>41</v>
      </c>
      <c r="O286" t="s">
        <v>41</v>
      </c>
      <c r="P286" t="s">
        <v>41</v>
      </c>
      <c r="Q286" t="s">
        <v>41</v>
      </c>
      <c r="R286" t="s">
        <v>41</v>
      </c>
      <c r="S286" t="s">
        <v>41</v>
      </c>
    </row>
    <row r="287" spans="2:19" x14ac:dyDescent="0.25">
      <c r="B287" t="s">
        <v>71</v>
      </c>
      <c r="C287" t="s">
        <v>158</v>
      </c>
      <c r="D287" t="s">
        <v>159</v>
      </c>
      <c r="E287" t="s">
        <v>67</v>
      </c>
      <c r="F287">
        <v>3377.4947200000001</v>
      </c>
      <c r="M287" t="s">
        <v>41</v>
      </c>
      <c r="N287" t="s">
        <v>41</v>
      </c>
      <c r="O287" t="s">
        <v>41</v>
      </c>
      <c r="P287" t="s">
        <v>41</v>
      </c>
      <c r="Q287" t="s">
        <v>41</v>
      </c>
      <c r="R287" t="s">
        <v>41</v>
      </c>
      <c r="S287" t="s">
        <v>41</v>
      </c>
    </row>
    <row r="288" spans="2:19" x14ac:dyDescent="0.25">
      <c r="B288" t="s">
        <v>71</v>
      </c>
      <c r="C288" t="s">
        <v>158</v>
      </c>
      <c r="D288" t="s">
        <v>159</v>
      </c>
      <c r="E288" t="s">
        <v>67</v>
      </c>
      <c r="F288">
        <v>1850.5133499999999</v>
      </c>
      <c r="M288" t="s">
        <v>41</v>
      </c>
      <c r="N288" t="s">
        <v>41</v>
      </c>
      <c r="O288" t="s">
        <v>41</v>
      </c>
      <c r="P288" t="s">
        <v>41</v>
      </c>
      <c r="Q288" t="s">
        <v>41</v>
      </c>
      <c r="R288" t="s">
        <v>41</v>
      </c>
      <c r="S288" t="s">
        <v>41</v>
      </c>
    </row>
    <row r="289" spans="1:19" x14ac:dyDescent="0.25">
      <c r="B289" t="s">
        <v>71</v>
      </c>
      <c r="C289" t="s">
        <v>158</v>
      </c>
      <c r="D289" t="s">
        <v>159</v>
      </c>
      <c r="E289" t="s">
        <v>67</v>
      </c>
      <c r="F289" t="s">
        <v>41</v>
      </c>
      <c r="M289" t="s">
        <v>41</v>
      </c>
      <c r="N289" t="s">
        <v>41</v>
      </c>
      <c r="O289" t="s">
        <v>41</v>
      </c>
      <c r="P289" t="s">
        <v>41</v>
      </c>
      <c r="Q289" t="s">
        <v>41</v>
      </c>
      <c r="R289" t="s">
        <v>41</v>
      </c>
      <c r="S289" t="s">
        <v>41</v>
      </c>
    </row>
    <row r="290" spans="1:19" x14ac:dyDescent="0.25">
      <c r="B290" t="s">
        <v>170</v>
      </c>
      <c r="C290" t="s">
        <v>158</v>
      </c>
      <c r="D290" t="s">
        <v>159</v>
      </c>
      <c r="E290" t="s">
        <v>67</v>
      </c>
      <c r="F290">
        <v>1781.0368100000001</v>
      </c>
      <c r="M290" t="s">
        <v>41</v>
      </c>
      <c r="N290" t="s">
        <v>41</v>
      </c>
      <c r="O290" t="s">
        <v>41</v>
      </c>
      <c r="P290" t="s">
        <v>41</v>
      </c>
      <c r="Q290" t="s">
        <v>41</v>
      </c>
      <c r="R290" t="s">
        <v>41</v>
      </c>
      <c r="S290" t="s">
        <v>41</v>
      </c>
    </row>
    <row r="291" spans="1:19" x14ac:dyDescent="0.25">
      <c r="B291" t="s">
        <v>170</v>
      </c>
      <c r="C291" t="s">
        <v>158</v>
      </c>
      <c r="D291" t="s">
        <v>159</v>
      </c>
      <c r="E291" t="s">
        <v>67</v>
      </c>
      <c r="F291">
        <v>614.59880999999996</v>
      </c>
      <c r="M291" t="s">
        <v>41</v>
      </c>
      <c r="N291" t="s">
        <v>41</v>
      </c>
      <c r="O291" t="s">
        <v>41</v>
      </c>
      <c r="P291" t="s">
        <v>41</v>
      </c>
      <c r="Q291" t="s">
        <v>41</v>
      </c>
      <c r="R291" t="s">
        <v>41</v>
      </c>
      <c r="S291" t="s">
        <v>41</v>
      </c>
    </row>
    <row r="292" spans="1:19" x14ac:dyDescent="0.25">
      <c r="B292" t="s">
        <v>170</v>
      </c>
      <c r="C292" t="s">
        <v>158</v>
      </c>
      <c r="D292" t="s">
        <v>159</v>
      </c>
      <c r="E292" t="s">
        <v>67</v>
      </c>
      <c r="F292" t="s">
        <v>41</v>
      </c>
      <c r="M292" t="s">
        <v>41</v>
      </c>
      <c r="N292" t="s">
        <v>41</v>
      </c>
      <c r="O292" t="s">
        <v>41</v>
      </c>
      <c r="P292" t="s">
        <v>41</v>
      </c>
      <c r="Q292" t="s">
        <v>41</v>
      </c>
      <c r="R292" t="s">
        <v>41</v>
      </c>
      <c r="S292" t="s">
        <v>41</v>
      </c>
    </row>
    <row r="293" spans="1:19" x14ac:dyDescent="0.25">
      <c r="B293" t="s">
        <v>46</v>
      </c>
      <c r="C293" t="s">
        <v>158</v>
      </c>
      <c r="D293" t="s">
        <v>159</v>
      </c>
      <c r="E293" t="s">
        <v>67</v>
      </c>
      <c r="F293" t="s">
        <v>41</v>
      </c>
      <c r="M293" t="s">
        <v>41</v>
      </c>
      <c r="N293" t="s">
        <v>41</v>
      </c>
      <c r="O293" t="s">
        <v>41</v>
      </c>
      <c r="P293" t="s">
        <v>41</v>
      </c>
      <c r="Q293" t="s">
        <v>41</v>
      </c>
      <c r="R293" t="s">
        <v>41</v>
      </c>
      <c r="S293" t="s">
        <v>41</v>
      </c>
    </row>
    <row r="294" spans="1:19" x14ac:dyDescent="0.25">
      <c r="B294" t="s">
        <v>46</v>
      </c>
      <c r="C294" t="s">
        <v>158</v>
      </c>
      <c r="D294" t="s">
        <v>159</v>
      </c>
      <c r="E294" t="s">
        <v>67</v>
      </c>
      <c r="F294" t="s">
        <v>41</v>
      </c>
      <c r="M294" t="s">
        <v>41</v>
      </c>
      <c r="N294" t="s">
        <v>41</v>
      </c>
      <c r="O294" t="s">
        <v>41</v>
      </c>
      <c r="P294" t="s">
        <v>41</v>
      </c>
      <c r="Q294" t="s">
        <v>41</v>
      </c>
      <c r="R294" t="s">
        <v>41</v>
      </c>
      <c r="S294" t="s">
        <v>41</v>
      </c>
    </row>
    <row r="295" spans="1:19" x14ac:dyDescent="0.25">
      <c r="A295" t="s">
        <v>63</v>
      </c>
      <c r="B295" t="s">
        <v>64</v>
      </c>
      <c r="C295" t="s">
        <v>65</v>
      </c>
      <c r="D295" t="s">
        <v>66</v>
      </c>
      <c r="E295" t="s">
        <v>67</v>
      </c>
      <c r="F295">
        <v>5.4217000000000004</v>
      </c>
      <c r="M295" t="s">
        <v>41</v>
      </c>
      <c r="N295" t="s">
        <v>41</v>
      </c>
      <c r="O295" t="s">
        <v>41</v>
      </c>
      <c r="P295" t="s">
        <v>41</v>
      </c>
      <c r="Q295" t="s">
        <v>41</v>
      </c>
      <c r="R295" t="s">
        <v>41</v>
      </c>
      <c r="S295" t="s">
        <v>41</v>
      </c>
    </row>
    <row r="296" spans="1:19" x14ac:dyDescent="0.25">
      <c r="A296" t="s">
        <v>68</v>
      </c>
      <c r="B296" t="s">
        <v>69</v>
      </c>
      <c r="C296" t="s">
        <v>65</v>
      </c>
      <c r="D296" t="s">
        <v>66</v>
      </c>
      <c r="E296" t="s">
        <v>67</v>
      </c>
      <c r="F296">
        <v>8.8278999999999996</v>
      </c>
      <c r="M296" t="s">
        <v>41</v>
      </c>
      <c r="N296" t="s">
        <v>41</v>
      </c>
      <c r="O296" t="s">
        <v>41</v>
      </c>
      <c r="P296" t="s">
        <v>41</v>
      </c>
      <c r="Q296" t="s">
        <v>41</v>
      </c>
      <c r="R296" t="s">
        <v>41</v>
      </c>
      <c r="S296" t="s">
        <v>41</v>
      </c>
    </row>
    <row r="297" spans="1:19" x14ac:dyDescent="0.25">
      <c r="A297" t="s">
        <v>70</v>
      </c>
      <c r="B297" t="s">
        <v>71</v>
      </c>
      <c r="C297" t="s">
        <v>65</v>
      </c>
      <c r="D297" t="s">
        <v>66</v>
      </c>
      <c r="E297" t="s">
        <v>67</v>
      </c>
      <c r="F297">
        <v>7.0319000000000003</v>
      </c>
      <c r="M297" t="s">
        <v>41</v>
      </c>
      <c r="N297" t="s">
        <v>41</v>
      </c>
      <c r="O297" t="s">
        <v>41</v>
      </c>
      <c r="P297" t="s">
        <v>41</v>
      </c>
      <c r="Q297" t="s">
        <v>41</v>
      </c>
      <c r="R297" t="s">
        <v>41</v>
      </c>
      <c r="S297" t="s">
        <v>41</v>
      </c>
    </row>
    <row r="298" spans="1:19" x14ac:dyDescent="0.25">
      <c r="A298" t="s">
        <v>72</v>
      </c>
      <c r="B298" t="s">
        <v>73</v>
      </c>
      <c r="C298" t="s">
        <v>65</v>
      </c>
      <c r="D298" t="s">
        <v>66</v>
      </c>
      <c r="E298" t="s">
        <v>67</v>
      </c>
      <c r="F298">
        <v>5.2526000000000002</v>
      </c>
      <c r="M298" t="s">
        <v>41</v>
      </c>
      <c r="N298" t="s">
        <v>41</v>
      </c>
      <c r="O298" t="s">
        <v>41</v>
      </c>
      <c r="P298" t="s">
        <v>41</v>
      </c>
      <c r="Q298" t="s">
        <v>41</v>
      </c>
      <c r="R298" t="s">
        <v>41</v>
      </c>
      <c r="S298" t="s">
        <v>41</v>
      </c>
    </row>
    <row r="299" spans="1:19" x14ac:dyDescent="0.25">
      <c r="A299" t="s">
        <v>74</v>
      </c>
      <c r="B299" t="s">
        <v>75</v>
      </c>
      <c r="C299" t="s">
        <v>65</v>
      </c>
      <c r="D299" t="s">
        <v>66</v>
      </c>
      <c r="E299" t="s">
        <v>67</v>
      </c>
      <c r="F299">
        <v>4.0806000000000004</v>
      </c>
      <c r="M299" t="s">
        <v>41</v>
      </c>
      <c r="N299" t="s">
        <v>41</v>
      </c>
      <c r="O299" t="s">
        <v>41</v>
      </c>
      <c r="P299" t="s">
        <v>41</v>
      </c>
      <c r="Q299" t="s">
        <v>41</v>
      </c>
      <c r="R299" t="s">
        <v>41</v>
      </c>
      <c r="S299" t="s">
        <v>41</v>
      </c>
    </row>
    <row r="300" spans="1:19" x14ac:dyDescent="0.25">
      <c r="A300" t="s">
        <v>76</v>
      </c>
      <c r="B300" t="s">
        <v>77</v>
      </c>
      <c r="C300" t="s">
        <v>65</v>
      </c>
      <c r="D300" t="s">
        <v>66</v>
      </c>
      <c r="E300" t="s">
        <v>67</v>
      </c>
      <c r="F300" t="s">
        <v>41</v>
      </c>
      <c r="M300" t="s">
        <v>41</v>
      </c>
      <c r="N300" t="s">
        <v>41</v>
      </c>
      <c r="O300" t="s">
        <v>41</v>
      </c>
      <c r="P300" t="s">
        <v>41</v>
      </c>
      <c r="Q300" t="s">
        <v>41</v>
      </c>
      <c r="R300" t="s">
        <v>41</v>
      </c>
      <c r="S300" t="s">
        <v>41</v>
      </c>
    </row>
    <row r="301" spans="1:19" x14ac:dyDescent="0.25">
      <c r="A301" t="s">
        <v>78</v>
      </c>
      <c r="B301" t="s">
        <v>51</v>
      </c>
      <c r="C301" t="s">
        <v>65</v>
      </c>
      <c r="D301" t="s">
        <v>66</v>
      </c>
      <c r="E301" t="s">
        <v>67</v>
      </c>
      <c r="F301">
        <v>15.1012</v>
      </c>
      <c r="M301" t="s">
        <v>41</v>
      </c>
      <c r="N301" t="s">
        <v>41</v>
      </c>
      <c r="O301" t="s">
        <v>41</v>
      </c>
      <c r="P301" t="s">
        <v>41</v>
      </c>
      <c r="Q301" t="s">
        <v>41</v>
      </c>
      <c r="R301" t="s">
        <v>41</v>
      </c>
      <c r="S301" t="s">
        <v>41</v>
      </c>
    </row>
    <row r="302" spans="1:19" x14ac:dyDescent="0.25">
      <c r="A302" t="s">
        <v>79</v>
      </c>
      <c r="B302" t="s">
        <v>46</v>
      </c>
      <c r="C302" t="s">
        <v>65</v>
      </c>
      <c r="D302" t="s">
        <v>66</v>
      </c>
      <c r="E302" t="s">
        <v>67</v>
      </c>
      <c r="F302">
        <v>9.8168000000000006</v>
      </c>
      <c r="M302" t="s">
        <v>41</v>
      </c>
      <c r="N302" t="s">
        <v>41</v>
      </c>
      <c r="O302" t="s">
        <v>41</v>
      </c>
      <c r="P302" t="s">
        <v>41</v>
      </c>
      <c r="Q302" t="s">
        <v>41</v>
      </c>
      <c r="R302" t="s">
        <v>41</v>
      </c>
      <c r="S302" t="s">
        <v>41</v>
      </c>
    </row>
    <row r="303" spans="1:19" x14ac:dyDescent="0.25">
      <c r="A303" t="s">
        <v>80</v>
      </c>
      <c r="B303" t="s">
        <v>81</v>
      </c>
      <c r="C303" t="s">
        <v>65</v>
      </c>
      <c r="D303" t="s">
        <v>66</v>
      </c>
      <c r="E303" t="s">
        <v>67</v>
      </c>
      <c r="F303">
        <v>-3.0707</v>
      </c>
      <c r="M303" t="s">
        <v>41</v>
      </c>
      <c r="N303" t="s">
        <v>41</v>
      </c>
      <c r="O303" t="s">
        <v>41</v>
      </c>
      <c r="P303" t="s">
        <v>41</v>
      </c>
      <c r="Q303" t="s">
        <v>41</v>
      </c>
      <c r="R303" t="s">
        <v>41</v>
      </c>
      <c r="S303" t="s">
        <v>41</v>
      </c>
    </row>
    <row r="304" spans="1:19" x14ac:dyDescent="0.25">
      <c r="A304" t="s">
        <v>82</v>
      </c>
      <c r="B304" t="s">
        <v>49</v>
      </c>
      <c r="C304" t="s">
        <v>65</v>
      </c>
      <c r="D304" t="s">
        <v>66</v>
      </c>
      <c r="E304" t="s">
        <v>67</v>
      </c>
      <c r="F304">
        <v>7.1595000000000004</v>
      </c>
      <c r="M304" t="s">
        <v>41</v>
      </c>
      <c r="N304" t="s">
        <v>41</v>
      </c>
      <c r="O304" t="s">
        <v>41</v>
      </c>
      <c r="P304" t="s">
        <v>41</v>
      </c>
      <c r="Q304" t="s">
        <v>41</v>
      </c>
      <c r="R304" t="s">
        <v>41</v>
      </c>
      <c r="S304" t="s">
        <v>41</v>
      </c>
    </row>
    <row r="305" spans="1:19" x14ac:dyDescent="0.25">
      <c r="A305" t="s">
        <v>83</v>
      </c>
      <c r="B305" t="s">
        <v>53</v>
      </c>
      <c r="C305" t="s">
        <v>65</v>
      </c>
      <c r="D305" t="s">
        <v>66</v>
      </c>
      <c r="E305" t="s">
        <v>67</v>
      </c>
      <c r="F305">
        <v>4.1627000000000001</v>
      </c>
      <c r="M305" t="s">
        <v>41</v>
      </c>
      <c r="N305" t="s">
        <v>41</v>
      </c>
      <c r="O305" t="s">
        <v>41</v>
      </c>
      <c r="P305" t="s">
        <v>41</v>
      </c>
      <c r="Q305" t="s">
        <v>41</v>
      </c>
      <c r="R305" t="s">
        <v>41</v>
      </c>
      <c r="S305" t="s">
        <v>41</v>
      </c>
    </row>
    <row r="306" spans="1:19" x14ac:dyDescent="0.25">
      <c r="A306" t="s">
        <v>63</v>
      </c>
      <c r="B306" t="s">
        <v>64</v>
      </c>
      <c r="C306" t="s">
        <v>85</v>
      </c>
      <c r="D306" t="s">
        <v>86</v>
      </c>
      <c r="E306" t="s">
        <v>67</v>
      </c>
      <c r="F306">
        <v>5.4217000000000004</v>
      </c>
      <c r="M306" t="s">
        <v>41</v>
      </c>
      <c r="N306" t="s">
        <v>41</v>
      </c>
      <c r="O306" t="s">
        <v>41</v>
      </c>
      <c r="P306" t="s">
        <v>41</v>
      </c>
      <c r="Q306" t="s">
        <v>41</v>
      </c>
      <c r="R306" t="s">
        <v>41</v>
      </c>
      <c r="S306" t="s">
        <v>41</v>
      </c>
    </row>
    <row r="307" spans="1:19" x14ac:dyDescent="0.25">
      <c r="A307" t="s">
        <v>68</v>
      </c>
      <c r="B307" t="s">
        <v>69</v>
      </c>
      <c r="C307" t="s">
        <v>85</v>
      </c>
      <c r="D307" t="s">
        <v>86</v>
      </c>
      <c r="E307" t="s">
        <v>67</v>
      </c>
      <c r="F307">
        <v>8.8278999999999996</v>
      </c>
      <c r="M307" t="s">
        <v>41</v>
      </c>
      <c r="N307" t="s">
        <v>41</v>
      </c>
      <c r="O307" t="s">
        <v>41</v>
      </c>
      <c r="P307" t="s">
        <v>41</v>
      </c>
      <c r="Q307" t="s">
        <v>41</v>
      </c>
      <c r="R307" t="s">
        <v>41</v>
      </c>
      <c r="S307" t="s">
        <v>41</v>
      </c>
    </row>
    <row r="308" spans="1:19" x14ac:dyDescent="0.25">
      <c r="A308" t="s">
        <v>70</v>
      </c>
      <c r="B308" t="s">
        <v>71</v>
      </c>
      <c r="C308" t="s">
        <v>85</v>
      </c>
      <c r="D308" t="s">
        <v>86</v>
      </c>
      <c r="E308" t="s">
        <v>67</v>
      </c>
      <c r="F308">
        <v>7.0319000000000003</v>
      </c>
      <c r="M308" t="s">
        <v>41</v>
      </c>
      <c r="N308" t="s">
        <v>41</v>
      </c>
      <c r="O308" t="s">
        <v>41</v>
      </c>
      <c r="P308" t="s">
        <v>41</v>
      </c>
      <c r="Q308" t="s">
        <v>41</v>
      </c>
      <c r="R308" t="s">
        <v>41</v>
      </c>
      <c r="S308" t="s">
        <v>41</v>
      </c>
    </row>
    <row r="309" spans="1:19" x14ac:dyDescent="0.25">
      <c r="A309" t="s">
        <v>72</v>
      </c>
      <c r="B309" t="s">
        <v>73</v>
      </c>
      <c r="C309" t="s">
        <v>85</v>
      </c>
      <c r="D309" t="s">
        <v>86</v>
      </c>
      <c r="E309" t="s">
        <v>67</v>
      </c>
      <c r="F309">
        <v>5.2526000000000002</v>
      </c>
      <c r="M309" t="s">
        <v>41</v>
      </c>
      <c r="N309" t="s">
        <v>41</v>
      </c>
      <c r="O309" t="s">
        <v>41</v>
      </c>
      <c r="P309" t="s">
        <v>41</v>
      </c>
      <c r="Q309" t="s">
        <v>41</v>
      </c>
      <c r="R309" t="s">
        <v>41</v>
      </c>
      <c r="S309" t="s">
        <v>41</v>
      </c>
    </row>
    <row r="310" spans="1:19" x14ac:dyDescent="0.25">
      <c r="A310" t="s">
        <v>74</v>
      </c>
      <c r="B310" t="s">
        <v>75</v>
      </c>
      <c r="C310" t="s">
        <v>85</v>
      </c>
      <c r="D310" t="s">
        <v>86</v>
      </c>
      <c r="E310" t="s">
        <v>67</v>
      </c>
      <c r="F310">
        <v>4.0806000000000004</v>
      </c>
      <c r="M310" t="s">
        <v>41</v>
      </c>
      <c r="N310" t="s">
        <v>41</v>
      </c>
      <c r="O310" t="s">
        <v>41</v>
      </c>
      <c r="P310" t="s">
        <v>41</v>
      </c>
      <c r="Q310" t="s">
        <v>41</v>
      </c>
      <c r="R310" t="s">
        <v>41</v>
      </c>
      <c r="S310" t="s">
        <v>41</v>
      </c>
    </row>
    <row r="311" spans="1:19" x14ac:dyDescent="0.25">
      <c r="A311" t="s">
        <v>76</v>
      </c>
      <c r="B311" t="s">
        <v>77</v>
      </c>
      <c r="C311" t="s">
        <v>85</v>
      </c>
      <c r="D311" t="s">
        <v>86</v>
      </c>
      <c r="E311" t="s">
        <v>67</v>
      </c>
      <c r="F311" t="s">
        <v>41</v>
      </c>
      <c r="M311" t="s">
        <v>41</v>
      </c>
      <c r="N311" t="s">
        <v>41</v>
      </c>
      <c r="O311" t="s">
        <v>41</v>
      </c>
      <c r="P311" t="s">
        <v>41</v>
      </c>
      <c r="Q311" t="s">
        <v>41</v>
      </c>
      <c r="R311" t="s">
        <v>41</v>
      </c>
      <c r="S311" t="s">
        <v>41</v>
      </c>
    </row>
    <row r="312" spans="1:19" x14ac:dyDescent="0.25">
      <c r="A312" t="s">
        <v>78</v>
      </c>
      <c r="B312" t="s">
        <v>51</v>
      </c>
      <c r="C312" t="s">
        <v>85</v>
      </c>
      <c r="D312" t="s">
        <v>86</v>
      </c>
      <c r="E312" t="s">
        <v>67</v>
      </c>
      <c r="F312">
        <v>15.1012</v>
      </c>
      <c r="M312" t="s">
        <v>41</v>
      </c>
      <c r="N312" t="s">
        <v>41</v>
      </c>
      <c r="O312" t="s">
        <v>41</v>
      </c>
      <c r="P312" t="s">
        <v>41</v>
      </c>
      <c r="Q312" t="s">
        <v>41</v>
      </c>
      <c r="R312" t="s">
        <v>41</v>
      </c>
      <c r="S312" t="s">
        <v>41</v>
      </c>
    </row>
    <row r="313" spans="1:19" x14ac:dyDescent="0.25">
      <c r="A313" t="s">
        <v>79</v>
      </c>
      <c r="B313" t="s">
        <v>46</v>
      </c>
      <c r="C313" t="s">
        <v>85</v>
      </c>
      <c r="D313" t="s">
        <v>86</v>
      </c>
      <c r="E313" t="s">
        <v>67</v>
      </c>
      <c r="F313">
        <v>9.8168000000000006</v>
      </c>
      <c r="M313" t="s">
        <v>41</v>
      </c>
      <c r="N313" t="s">
        <v>41</v>
      </c>
      <c r="O313" t="s">
        <v>41</v>
      </c>
      <c r="P313" t="s">
        <v>41</v>
      </c>
      <c r="Q313" t="s">
        <v>41</v>
      </c>
      <c r="R313" t="s">
        <v>41</v>
      </c>
      <c r="S313" t="s">
        <v>41</v>
      </c>
    </row>
    <row r="314" spans="1:19" x14ac:dyDescent="0.25">
      <c r="A314" t="s">
        <v>80</v>
      </c>
      <c r="B314" t="s">
        <v>81</v>
      </c>
      <c r="C314" t="s">
        <v>85</v>
      </c>
      <c r="D314" t="s">
        <v>86</v>
      </c>
      <c r="E314" t="s">
        <v>67</v>
      </c>
      <c r="F314">
        <v>-3.0707</v>
      </c>
      <c r="M314" t="s">
        <v>41</v>
      </c>
      <c r="N314" t="s">
        <v>41</v>
      </c>
      <c r="O314" t="s">
        <v>41</v>
      </c>
      <c r="P314" t="s">
        <v>41</v>
      </c>
      <c r="Q314" t="s">
        <v>41</v>
      </c>
      <c r="R314" t="s">
        <v>41</v>
      </c>
      <c r="S314" t="s">
        <v>41</v>
      </c>
    </row>
    <row r="315" spans="1:19" x14ac:dyDescent="0.25">
      <c r="A315" t="s">
        <v>82</v>
      </c>
      <c r="B315" t="s">
        <v>49</v>
      </c>
      <c r="C315" t="s">
        <v>85</v>
      </c>
      <c r="D315" t="s">
        <v>86</v>
      </c>
      <c r="E315" t="s">
        <v>67</v>
      </c>
      <c r="F315">
        <v>7.1595000000000004</v>
      </c>
      <c r="M315" t="s">
        <v>41</v>
      </c>
      <c r="N315" t="s">
        <v>41</v>
      </c>
      <c r="O315" t="s">
        <v>41</v>
      </c>
      <c r="P315" t="s">
        <v>41</v>
      </c>
      <c r="Q315" t="s">
        <v>41</v>
      </c>
      <c r="R315" t="s">
        <v>41</v>
      </c>
      <c r="S315" t="s">
        <v>41</v>
      </c>
    </row>
    <row r="316" spans="1:19" x14ac:dyDescent="0.25">
      <c r="A316" t="s">
        <v>83</v>
      </c>
      <c r="B316" t="s">
        <v>53</v>
      </c>
      <c r="C316" t="s">
        <v>85</v>
      </c>
      <c r="D316" t="s">
        <v>86</v>
      </c>
      <c r="E316" t="s">
        <v>67</v>
      </c>
      <c r="F316">
        <v>4.1627000000000001</v>
      </c>
      <c r="M316" t="s">
        <v>41</v>
      </c>
      <c r="N316" t="s">
        <v>41</v>
      </c>
      <c r="O316" t="s">
        <v>41</v>
      </c>
      <c r="P316" t="s">
        <v>41</v>
      </c>
      <c r="Q316" t="s">
        <v>41</v>
      </c>
      <c r="R316" t="s">
        <v>41</v>
      </c>
      <c r="S316" t="s">
        <v>41</v>
      </c>
    </row>
    <row r="317" spans="1:19" x14ac:dyDescent="0.25">
      <c r="A317" t="s">
        <v>78</v>
      </c>
      <c r="B317" t="s">
        <v>51</v>
      </c>
      <c r="C317" t="s">
        <v>88</v>
      </c>
      <c r="D317" t="s">
        <v>89</v>
      </c>
      <c r="E317" t="s">
        <v>67</v>
      </c>
      <c r="F317">
        <v>0.8</v>
      </c>
      <c r="M317" t="s">
        <v>41</v>
      </c>
      <c r="N317" t="s">
        <v>41</v>
      </c>
      <c r="O317" t="s">
        <v>41</v>
      </c>
      <c r="P317" t="s">
        <v>41</v>
      </c>
      <c r="Q317" t="s">
        <v>41</v>
      </c>
      <c r="R317" t="s">
        <v>41</v>
      </c>
      <c r="S317" t="s">
        <v>41</v>
      </c>
    </row>
    <row r="318" spans="1:19" x14ac:dyDescent="0.25">
      <c r="A318" t="s">
        <v>79</v>
      </c>
      <c r="B318" t="s">
        <v>46</v>
      </c>
      <c r="C318" t="s">
        <v>88</v>
      </c>
      <c r="D318" t="s">
        <v>89</v>
      </c>
      <c r="E318" t="s">
        <v>67</v>
      </c>
      <c r="F318" t="s">
        <v>41</v>
      </c>
      <c r="M318" t="s">
        <v>41</v>
      </c>
      <c r="N318" t="s">
        <v>41</v>
      </c>
      <c r="O318" t="s">
        <v>41</v>
      </c>
      <c r="P318" t="s">
        <v>41</v>
      </c>
      <c r="Q318" t="s">
        <v>41</v>
      </c>
      <c r="R318" t="s">
        <v>41</v>
      </c>
      <c r="S318" t="s">
        <v>41</v>
      </c>
    </row>
    <row r="319" spans="1:19" x14ac:dyDescent="0.25">
      <c r="A319" t="s">
        <v>80</v>
      </c>
      <c r="B319" t="s">
        <v>81</v>
      </c>
      <c r="C319" t="s">
        <v>88</v>
      </c>
      <c r="D319" t="s">
        <v>89</v>
      </c>
      <c r="E319" t="s">
        <v>67</v>
      </c>
      <c r="F319" t="s">
        <v>41</v>
      </c>
      <c r="M319" t="s">
        <v>41</v>
      </c>
      <c r="N319" t="s">
        <v>41</v>
      </c>
      <c r="O319" t="s">
        <v>41</v>
      </c>
      <c r="P319" t="s">
        <v>41</v>
      </c>
      <c r="Q319" t="s">
        <v>41</v>
      </c>
      <c r="R319" t="s">
        <v>41</v>
      </c>
      <c r="S319" t="s">
        <v>41</v>
      </c>
    </row>
    <row r="320" spans="1:19" x14ac:dyDescent="0.25">
      <c r="A320" t="s">
        <v>82</v>
      </c>
      <c r="B320" t="s">
        <v>49</v>
      </c>
      <c r="C320" t="s">
        <v>88</v>
      </c>
      <c r="D320" t="s">
        <v>89</v>
      </c>
      <c r="E320" t="s">
        <v>67</v>
      </c>
      <c r="F320">
        <v>7.1</v>
      </c>
      <c r="M320" t="s">
        <v>41</v>
      </c>
      <c r="N320" t="s">
        <v>41</v>
      </c>
      <c r="O320" t="s">
        <v>41</v>
      </c>
      <c r="P320" t="s">
        <v>41</v>
      </c>
      <c r="Q320" t="s">
        <v>41</v>
      </c>
      <c r="R320" t="s">
        <v>41</v>
      </c>
      <c r="S320" t="s">
        <v>41</v>
      </c>
    </row>
    <row r="321" spans="1:19" x14ac:dyDescent="0.25">
      <c r="A321" t="s">
        <v>83</v>
      </c>
      <c r="B321" t="s">
        <v>53</v>
      </c>
      <c r="C321" t="s">
        <v>88</v>
      </c>
      <c r="D321" t="s">
        <v>89</v>
      </c>
      <c r="E321" t="s">
        <v>67</v>
      </c>
      <c r="F321">
        <v>3.9</v>
      </c>
      <c r="M321" t="s">
        <v>41</v>
      </c>
      <c r="N321" t="s">
        <v>41</v>
      </c>
      <c r="O321" t="s">
        <v>41</v>
      </c>
      <c r="P321" t="s">
        <v>41</v>
      </c>
      <c r="Q321" t="s">
        <v>41</v>
      </c>
      <c r="R321" t="s">
        <v>41</v>
      </c>
      <c r="S321" t="s">
        <v>41</v>
      </c>
    </row>
    <row r="322" spans="1:19" x14ac:dyDescent="0.25">
      <c r="A322" t="s">
        <v>63</v>
      </c>
      <c r="B322" t="s">
        <v>64</v>
      </c>
      <c r="C322" t="s">
        <v>91</v>
      </c>
      <c r="D322" t="s">
        <v>92</v>
      </c>
      <c r="E322" t="s">
        <v>67</v>
      </c>
      <c r="F322">
        <v>8.5</v>
      </c>
      <c r="M322" t="s">
        <v>41</v>
      </c>
      <c r="N322" t="s">
        <v>41</v>
      </c>
      <c r="O322" t="s">
        <v>41</v>
      </c>
      <c r="P322" t="s">
        <v>41</v>
      </c>
      <c r="Q322" t="s">
        <v>41</v>
      </c>
      <c r="R322" t="s">
        <v>41</v>
      </c>
      <c r="S322" t="s">
        <v>41</v>
      </c>
    </row>
    <row r="323" spans="1:19" x14ac:dyDescent="0.25">
      <c r="A323" t="s">
        <v>78</v>
      </c>
      <c r="B323" t="s">
        <v>51</v>
      </c>
      <c r="C323" t="s">
        <v>91</v>
      </c>
      <c r="D323" t="s">
        <v>92</v>
      </c>
      <c r="E323" t="s">
        <v>67</v>
      </c>
      <c r="F323">
        <v>13.5</v>
      </c>
      <c r="M323" t="s">
        <v>41</v>
      </c>
      <c r="N323" t="s">
        <v>41</v>
      </c>
      <c r="O323" t="s">
        <v>41</v>
      </c>
      <c r="P323" t="s">
        <v>41</v>
      </c>
      <c r="Q323" t="s">
        <v>41</v>
      </c>
      <c r="R323" t="s">
        <v>41</v>
      </c>
      <c r="S323" t="s">
        <v>41</v>
      </c>
    </row>
    <row r="324" spans="1:19" x14ac:dyDescent="0.25">
      <c r="A324" t="s">
        <v>79</v>
      </c>
      <c r="B324" t="s">
        <v>46</v>
      </c>
      <c r="C324" t="s">
        <v>91</v>
      </c>
      <c r="D324" t="s">
        <v>92</v>
      </c>
      <c r="E324" t="s">
        <v>67</v>
      </c>
      <c r="F324">
        <v>9.8000000000000007</v>
      </c>
      <c r="M324" t="s">
        <v>41</v>
      </c>
      <c r="N324" t="s">
        <v>41</v>
      </c>
      <c r="O324" t="s">
        <v>41</v>
      </c>
      <c r="P324" t="s">
        <v>41</v>
      </c>
      <c r="Q324" t="s">
        <v>41</v>
      </c>
      <c r="R324" t="s">
        <v>41</v>
      </c>
      <c r="S324" t="s">
        <v>41</v>
      </c>
    </row>
    <row r="325" spans="1:19" x14ac:dyDescent="0.25">
      <c r="A325" t="s">
        <v>80</v>
      </c>
      <c r="B325" t="s">
        <v>81</v>
      </c>
      <c r="C325" t="s">
        <v>91</v>
      </c>
      <c r="D325" t="s">
        <v>92</v>
      </c>
      <c r="E325" t="s">
        <v>67</v>
      </c>
      <c r="F325" t="s">
        <v>41</v>
      </c>
      <c r="M325" t="s">
        <v>41</v>
      </c>
      <c r="N325" t="s">
        <v>41</v>
      </c>
      <c r="O325" t="s">
        <v>41</v>
      </c>
      <c r="P325" t="s">
        <v>41</v>
      </c>
      <c r="Q325" t="s">
        <v>41</v>
      </c>
      <c r="R325" t="s">
        <v>41</v>
      </c>
      <c r="S325" t="s">
        <v>41</v>
      </c>
    </row>
    <row r="326" spans="1:19" x14ac:dyDescent="0.25">
      <c r="A326" t="s">
        <v>82</v>
      </c>
      <c r="B326" t="s">
        <v>49</v>
      </c>
      <c r="C326" t="s">
        <v>91</v>
      </c>
      <c r="D326" t="s">
        <v>92</v>
      </c>
      <c r="E326" t="s">
        <v>67</v>
      </c>
      <c r="F326">
        <v>7.1</v>
      </c>
      <c r="M326" t="s">
        <v>41</v>
      </c>
      <c r="N326" t="s">
        <v>41</v>
      </c>
      <c r="O326" t="s">
        <v>41</v>
      </c>
      <c r="P326" t="s">
        <v>41</v>
      </c>
      <c r="Q326" t="s">
        <v>41</v>
      </c>
      <c r="R326" t="s">
        <v>41</v>
      </c>
      <c r="S326" t="s">
        <v>41</v>
      </c>
    </row>
    <row r="327" spans="1:19" x14ac:dyDescent="0.25">
      <c r="A327" t="s">
        <v>83</v>
      </c>
      <c r="B327" t="s">
        <v>53</v>
      </c>
      <c r="C327" t="s">
        <v>91</v>
      </c>
      <c r="D327" t="s">
        <v>92</v>
      </c>
      <c r="E327" t="s">
        <v>67</v>
      </c>
      <c r="F327">
        <v>2.5</v>
      </c>
      <c r="M327" t="s">
        <v>41</v>
      </c>
      <c r="N327" t="s">
        <v>41</v>
      </c>
      <c r="O327" t="s">
        <v>41</v>
      </c>
      <c r="P327" t="s">
        <v>41</v>
      </c>
      <c r="Q327" t="s">
        <v>41</v>
      </c>
      <c r="R327" t="s">
        <v>41</v>
      </c>
      <c r="S327" t="s">
        <v>41</v>
      </c>
    </row>
    <row r="328" spans="1:19" x14ac:dyDescent="0.25">
      <c r="A328" t="s">
        <v>80</v>
      </c>
      <c r="B328" t="s">
        <v>81</v>
      </c>
      <c r="C328" t="s">
        <v>98</v>
      </c>
      <c r="D328" t="s">
        <v>99</v>
      </c>
      <c r="E328" t="s">
        <v>67</v>
      </c>
      <c r="F328">
        <v>350600</v>
      </c>
      <c r="M328" t="s">
        <v>41</v>
      </c>
      <c r="N328" t="s">
        <v>41</v>
      </c>
      <c r="O328" t="s">
        <v>41</v>
      </c>
      <c r="P328" t="s">
        <v>41</v>
      </c>
      <c r="Q328" t="s">
        <v>41</v>
      </c>
      <c r="R328" t="s">
        <v>41</v>
      </c>
      <c r="S328" t="s">
        <v>41</v>
      </c>
    </row>
    <row r="329" spans="1:19" x14ac:dyDescent="0.25">
      <c r="A329" t="s">
        <v>63</v>
      </c>
      <c r="B329" t="s">
        <v>64</v>
      </c>
      <c r="C329" t="s">
        <v>98</v>
      </c>
      <c r="D329" t="s">
        <v>99</v>
      </c>
      <c r="E329" t="s">
        <v>67</v>
      </c>
      <c r="F329">
        <v>492000</v>
      </c>
      <c r="M329" t="s">
        <v>41</v>
      </c>
      <c r="N329" t="s">
        <v>41</v>
      </c>
      <c r="O329" t="s">
        <v>41</v>
      </c>
      <c r="P329" t="s">
        <v>41</v>
      </c>
      <c r="Q329" t="s">
        <v>41</v>
      </c>
      <c r="R329" t="s">
        <v>41</v>
      </c>
      <c r="S329" t="s">
        <v>41</v>
      </c>
    </row>
    <row r="330" spans="1:19" x14ac:dyDescent="0.25">
      <c r="A330" t="s">
        <v>82</v>
      </c>
      <c r="B330" t="s">
        <v>49</v>
      </c>
      <c r="C330" t="s">
        <v>98</v>
      </c>
      <c r="D330" t="s">
        <v>99</v>
      </c>
      <c r="E330" t="s">
        <v>67</v>
      </c>
      <c r="F330">
        <v>448464</v>
      </c>
      <c r="M330" t="s">
        <v>41</v>
      </c>
      <c r="N330" t="s">
        <v>41</v>
      </c>
      <c r="O330" t="s">
        <v>41</v>
      </c>
      <c r="P330" t="s">
        <v>41</v>
      </c>
      <c r="Q330" t="s">
        <v>41</v>
      </c>
      <c r="R330" t="s">
        <v>41</v>
      </c>
      <c r="S330" t="s">
        <v>41</v>
      </c>
    </row>
    <row r="331" spans="1:19" x14ac:dyDescent="0.25">
      <c r="A331" t="s">
        <v>79</v>
      </c>
      <c r="B331" t="s">
        <v>46</v>
      </c>
      <c r="C331" t="s">
        <v>98</v>
      </c>
      <c r="D331" t="s">
        <v>99</v>
      </c>
      <c r="E331" t="s">
        <v>67</v>
      </c>
      <c r="F331">
        <v>242371</v>
      </c>
      <c r="M331" t="s">
        <v>41</v>
      </c>
      <c r="N331" t="s">
        <v>41</v>
      </c>
      <c r="O331" t="s">
        <v>41</v>
      </c>
      <c r="P331" t="s">
        <v>41</v>
      </c>
      <c r="Q331" t="s">
        <v>41</v>
      </c>
      <c r="R331" t="s">
        <v>41</v>
      </c>
      <c r="S331" t="s">
        <v>41</v>
      </c>
    </row>
    <row r="332" spans="1:19" x14ac:dyDescent="0.25">
      <c r="A332" t="s">
        <v>74</v>
      </c>
      <c r="B332" t="s">
        <v>75</v>
      </c>
      <c r="C332" t="s">
        <v>98</v>
      </c>
      <c r="D332" t="s">
        <v>99</v>
      </c>
      <c r="E332" t="s">
        <v>67</v>
      </c>
      <c r="F332">
        <v>292500</v>
      </c>
      <c r="M332" t="s">
        <v>41</v>
      </c>
      <c r="N332" t="s">
        <v>41</v>
      </c>
      <c r="O332" t="s">
        <v>41</v>
      </c>
      <c r="P332" t="s">
        <v>41</v>
      </c>
      <c r="Q332" t="s">
        <v>41</v>
      </c>
      <c r="R332" t="s">
        <v>41</v>
      </c>
      <c r="S332" t="s">
        <v>41</v>
      </c>
    </row>
    <row r="333" spans="1:19" x14ac:dyDescent="0.25">
      <c r="A333" t="s">
        <v>83</v>
      </c>
      <c r="B333" t="s">
        <v>53</v>
      </c>
      <c r="C333" t="s">
        <v>98</v>
      </c>
      <c r="D333" t="s">
        <v>99</v>
      </c>
      <c r="E333" t="s">
        <v>67</v>
      </c>
      <c r="F333">
        <v>182886</v>
      </c>
      <c r="M333" t="s">
        <v>41</v>
      </c>
      <c r="N333" t="s">
        <v>41</v>
      </c>
      <c r="O333" t="s">
        <v>41</v>
      </c>
      <c r="P333" t="s">
        <v>41</v>
      </c>
      <c r="Q333" t="s">
        <v>41</v>
      </c>
      <c r="R333" t="s">
        <v>41</v>
      </c>
      <c r="S333" t="s">
        <v>41</v>
      </c>
    </row>
    <row r="334" spans="1:19" x14ac:dyDescent="0.25">
      <c r="A334" t="s">
        <v>78</v>
      </c>
      <c r="B334" t="s">
        <v>51</v>
      </c>
      <c r="C334" t="s">
        <v>98</v>
      </c>
      <c r="D334" t="s">
        <v>99</v>
      </c>
      <c r="E334" t="s">
        <v>67</v>
      </c>
      <c r="F334">
        <v>150423</v>
      </c>
      <c r="M334" t="s">
        <v>41</v>
      </c>
      <c r="N334" t="s">
        <v>41</v>
      </c>
      <c r="O334" t="s">
        <v>41</v>
      </c>
      <c r="P334" t="s">
        <v>41</v>
      </c>
      <c r="Q334" t="s">
        <v>41</v>
      </c>
      <c r="R334" t="s">
        <v>41</v>
      </c>
      <c r="S334" t="s">
        <v>41</v>
      </c>
    </row>
    <row r="335" spans="1:19" x14ac:dyDescent="0.25">
      <c r="A335" t="s">
        <v>63</v>
      </c>
      <c r="B335" t="s">
        <v>64</v>
      </c>
      <c r="C335" t="s">
        <v>103</v>
      </c>
      <c r="D335" t="s">
        <v>104</v>
      </c>
      <c r="E335" t="s">
        <v>67</v>
      </c>
      <c r="F335" t="s">
        <v>41</v>
      </c>
      <c r="M335" t="s">
        <v>41</v>
      </c>
      <c r="N335" t="s">
        <v>41</v>
      </c>
      <c r="O335" t="s">
        <v>41</v>
      </c>
      <c r="P335" t="s">
        <v>41</v>
      </c>
      <c r="Q335" t="s">
        <v>41</v>
      </c>
      <c r="R335" t="s">
        <v>41</v>
      </c>
      <c r="S335" t="s">
        <v>41</v>
      </c>
    </row>
    <row r="336" spans="1:19" x14ac:dyDescent="0.25">
      <c r="A336" t="s">
        <v>82</v>
      </c>
      <c r="B336" t="s">
        <v>49</v>
      </c>
      <c r="C336" t="s">
        <v>103</v>
      </c>
      <c r="D336" t="s">
        <v>104</v>
      </c>
      <c r="E336" t="s">
        <v>67</v>
      </c>
      <c r="F336">
        <v>12.1</v>
      </c>
      <c r="M336" t="s">
        <v>41</v>
      </c>
      <c r="N336" t="s">
        <v>41</v>
      </c>
      <c r="O336" t="s">
        <v>41</v>
      </c>
      <c r="P336" t="s">
        <v>41</v>
      </c>
      <c r="Q336" t="s">
        <v>41</v>
      </c>
      <c r="R336" t="s">
        <v>41</v>
      </c>
      <c r="S336" t="s">
        <v>41</v>
      </c>
    </row>
    <row r="337" spans="1:19" x14ac:dyDescent="0.25">
      <c r="A337" t="s">
        <v>79</v>
      </c>
      <c r="B337" t="s">
        <v>46</v>
      </c>
      <c r="C337" t="s">
        <v>103</v>
      </c>
      <c r="D337" t="s">
        <v>104</v>
      </c>
      <c r="E337" t="s">
        <v>67</v>
      </c>
      <c r="F337" t="s">
        <v>41</v>
      </c>
      <c r="M337" t="s">
        <v>41</v>
      </c>
      <c r="N337" t="s">
        <v>41</v>
      </c>
      <c r="O337" t="s">
        <v>41</v>
      </c>
      <c r="P337" t="s">
        <v>41</v>
      </c>
      <c r="Q337" t="s">
        <v>41</v>
      </c>
      <c r="R337" t="s">
        <v>41</v>
      </c>
      <c r="S337" t="s">
        <v>41</v>
      </c>
    </row>
    <row r="338" spans="1:19" x14ac:dyDescent="0.25">
      <c r="A338" t="s">
        <v>83</v>
      </c>
      <c r="B338" t="s">
        <v>53</v>
      </c>
      <c r="C338" t="s">
        <v>103</v>
      </c>
      <c r="D338" t="s">
        <v>104</v>
      </c>
      <c r="E338" t="s">
        <v>67</v>
      </c>
      <c r="F338">
        <v>14.7</v>
      </c>
      <c r="M338" t="s">
        <v>41</v>
      </c>
      <c r="N338" t="s">
        <v>41</v>
      </c>
      <c r="O338" t="s">
        <v>41</v>
      </c>
      <c r="P338" t="s">
        <v>41</v>
      </c>
      <c r="Q338" t="s">
        <v>41</v>
      </c>
      <c r="R338" t="s">
        <v>41</v>
      </c>
      <c r="S338" t="s">
        <v>41</v>
      </c>
    </row>
    <row r="339" spans="1:19" x14ac:dyDescent="0.25">
      <c r="A339" t="s">
        <v>74</v>
      </c>
      <c r="B339" t="s">
        <v>75</v>
      </c>
      <c r="C339" t="s">
        <v>103</v>
      </c>
      <c r="D339" t="s">
        <v>104</v>
      </c>
      <c r="E339" t="s">
        <v>67</v>
      </c>
      <c r="F339" t="s">
        <v>41</v>
      </c>
      <c r="M339" t="s">
        <v>41</v>
      </c>
      <c r="N339" t="s">
        <v>41</v>
      </c>
      <c r="O339" t="s">
        <v>41</v>
      </c>
      <c r="P339" t="s">
        <v>41</v>
      </c>
      <c r="Q339" t="s">
        <v>41</v>
      </c>
      <c r="R339" t="s">
        <v>41</v>
      </c>
      <c r="S339" t="s">
        <v>41</v>
      </c>
    </row>
    <row r="340" spans="1:19" x14ac:dyDescent="0.25">
      <c r="A340" t="s">
        <v>78</v>
      </c>
      <c r="B340" t="s">
        <v>51</v>
      </c>
      <c r="C340" t="s">
        <v>103</v>
      </c>
      <c r="D340" t="s">
        <v>104</v>
      </c>
      <c r="E340" t="s">
        <v>67</v>
      </c>
      <c r="F340">
        <v>16.3</v>
      </c>
      <c r="M340" t="s">
        <v>41</v>
      </c>
      <c r="N340" t="s">
        <v>41</v>
      </c>
      <c r="O340" t="s">
        <v>41</v>
      </c>
      <c r="P340" t="s">
        <v>41</v>
      </c>
      <c r="Q340" t="s">
        <v>41</v>
      </c>
      <c r="R340" t="s">
        <v>41</v>
      </c>
      <c r="S340" t="s">
        <v>41</v>
      </c>
    </row>
    <row r="341" spans="1:19" x14ac:dyDescent="0.25">
      <c r="A341" t="s">
        <v>63</v>
      </c>
      <c r="B341" t="s">
        <v>64</v>
      </c>
      <c r="C341" t="s">
        <v>106</v>
      </c>
      <c r="D341" t="s">
        <v>107</v>
      </c>
      <c r="E341" t="s">
        <v>67</v>
      </c>
      <c r="F341" t="s">
        <v>41</v>
      </c>
      <c r="M341" t="s">
        <v>41</v>
      </c>
      <c r="N341" t="s">
        <v>41</v>
      </c>
      <c r="O341" t="s">
        <v>41</v>
      </c>
      <c r="P341" t="s">
        <v>41</v>
      </c>
      <c r="Q341" t="s">
        <v>41</v>
      </c>
      <c r="R341" t="s">
        <v>41</v>
      </c>
      <c r="S341" t="s">
        <v>41</v>
      </c>
    </row>
    <row r="342" spans="1:19" x14ac:dyDescent="0.25">
      <c r="A342" t="s">
        <v>82</v>
      </c>
      <c r="B342" t="s">
        <v>49</v>
      </c>
      <c r="C342" t="s">
        <v>106</v>
      </c>
      <c r="D342" t="s">
        <v>107</v>
      </c>
      <c r="E342" t="s">
        <v>67</v>
      </c>
      <c r="F342" t="s">
        <v>41</v>
      </c>
      <c r="M342" t="s">
        <v>41</v>
      </c>
      <c r="N342" t="s">
        <v>41</v>
      </c>
      <c r="O342" t="s">
        <v>41</v>
      </c>
      <c r="P342" t="s">
        <v>41</v>
      </c>
      <c r="Q342" t="s">
        <v>41</v>
      </c>
      <c r="R342" t="s">
        <v>41</v>
      </c>
      <c r="S342" t="s">
        <v>41</v>
      </c>
    </row>
    <row r="343" spans="1:19" x14ac:dyDescent="0.25">
      <c r="A343" t="s">
        <v>79</v>
      </c>
      <c r="B343" t="s">
        <v>46</v>
      </c>
      <c r="C343" t="s">
        <v>106</v>
      </c>
      <c r="D343" t="s">
        <v>107</v>
      </c>
      <c r="E343" t="s">
        <v>67</v>
      </c>
      <c r="F343">
        <v>84</v>
      </c>
      <c r="M343" t="s">
        <v>41</v>
      </c>
      <c r="N343" t="s">
        <v>41</v>
      </c>
      <c r="O343" t="s">
        <v>41</v>
      </c>
      <c r="P343" t="s">
        <v>41</v>
      </c>
      <c r="Q343" t="s">
        <v>41</v>
      </c>
      <c r="R343" t="s">
        <v>41</v>
      </c>
      <c r="S343" t="s">
        <v>41</v>
      </c>
    </row>
    <row r="344" spans="1:19" x14ac:dyDescent="0.25">
      <c r="A344" t="s">
        <v>74</v>
      </c>
      <c r="B344" t="s">
        <v>75</v>
      </c>
      <c r="C344" t="s">
        <v>106</v>
      </c>
      <c r="D344" t="s">
        <v>107</v>
      </c>
      <c r="E344" t="s">
        <v>67</v>
      </c>
      <c r="F344" t="s">
        <v>41</v>
      </c>
      <c r="M344" t="s">
        <v>41</v>
      </c>
      <c r="N344" t="s">
        <v>41</v>
      </c>
      <c r="O344" t="s">
        <v>41</v>
      </c>
      <c r="P344" t="s">
        <v>41</v>
      </c>
      <c r="Q344" t="s">
        <v>41</v>
      </c>
      <c r="R344" t="s">
        <v>41</v>
      </c>
      <c r="S344" t="s">
        <v>41</v>
      </c>
    </row>
    <row r="345" spans="1:19" x14ac:dyDescent="0.25">
      <c r="A345" t="s">
        <v>83</v>
      </c>
      <c r="B345" t="s">
        <v>53</v>
      </c>
      <c r="C345" t="s">
        <v>106</v>
      </c>
      <c r="D345" t="s">
        <v>107</v>
      </c>
      <c r="E345" t="s">
        <v>67</v>
      </c>
      <c r="F345">
        <v>80.900000000000006</v>
      </c>
      <c r="M345" t="s">
        <v>41</v>
      </c>
      <c r="N345" t="s">
        <v>41</v>
      </c>
      <c r="O345" t="s">
        <v>41</v>
      </c>
      <c r="P345" t="s">
        <v>41</v>
      </c>
      <c r="Q345" t="s">
        <v>41</v>
      </c>
      <c r="R345" t="s">
        <v>41</v>
      </c>
      <c r="S345" t="s">
        <v>41</v>
      </c>
    </row>
    <row r="346" spans="1:19" x14ac:dyDescent="0.25">
      <c r="A346" t="s">
        <v>78</v>
      </c>
      <c r="B346" t="s">
        <v>51</v>
      </c>
      <c r="C346" t="s">
        <v>106</v>
      </c>
      <c r="D346" t="s">
        <v>107</v>
      </c>
      <c r="E346" t="s">
        <v>67</v>
      </c>
      <c r="F346" t="s">
        <v>41</v>
      </c>
      <c r="M346" t="s">
        <v>41</v>
      </c>
      <c r="N346" t="s">
        <v>41</v>
      </c>
      <c r="O346" t="s">
        <v>41</v>
      </c>
      <c r="P346" t="s">
        <v>41</v>
      </c>
      <c r="Q346" t="s">
        <v>41</v>
      </c>
      <c r="R346" t="s">
        <v>41</v>
      </c>
      <c r="S346" t="s">
        <v>41</v>
      </c>
    </row>
    <row r="347" spans="1:19" x14ac:dyDescent="0.25">
      <c r="A347" t="s">
        <v>110</v>
      </c>
      <c r="B347" t="s">
        <v>75</v>
      </c>
      <c r="C347" t="s">
        <v>111</v>
      </c>
      <c r="D347" t="s">
        <v>112</v>
      </c>
      <c r="E347" t="s">
        <v>67</v>
      </c>
      <c r="F347" t="s">
        <v>41</v>
      </c>
      <c r="M347" t="s">
        <v>41</v>
      </c>
      <c r="N347" t="s">
        <v>41</v>
      </c>
      <c r="O347" t="s">
        <v>41</v>
      </c>
      <c r="P347" t="s">
        <v>41</v>
      </c>
      <c r="Q347" t="s">
        <v>41</v>
      </c>
      <c r="R347" t="s">
        <v>41</v>
      </c>
      <c r="S347" t="s">
        <v>41</v>
      </c>
    </row>
    <row r="348" spans="1:19" x14ac:dyDescent="0.25">
      <c r="A348" t="s">
        <v>78</v>
      </c>
      <c r="B348" t="s">
        <v>51</v>
      </c>
      <c r="C348" t="s">
        <v>111</v>
      </c>
      <c r="D348" t="s">
        <v>112</v>
      </c>
      <c r="E348" t="s">
        <v>67</v>
      </c>
      <c r="F348" t="s">
        <v>41</v>
      </c>
      <c r="M348" t="s">
        <v>41</v>
      </c>
      <c r="N348" t="s">
        <v>41</v>
      </c>
      <c r="O348" t="s">
        <v>41</v>
      </c>
      <c r="P348" t="s">
        <v>41</v>
      </c>
      <c r="Q348" t="s">
        <v>41</v>
      </c>
      <c r="R348" t="s">
        <v>41</v>
      </c>
      <c r="S348" t="s">
        <v>41</v>
      </c>
    </row>
    <row r="349" spans="1:19" x14ac:dyDescent="0.25">
      <c r="A349" t="s">
        <v>79</v>
      </c>
      <c r="B349" t="s">
        <v>46</v>
      </c>
      <c r="C349" t="s">
        <v>111</v>
      </c>
      <c r="D349" t="s">
        <v>112</v>
      </c>
      <c r="E349" t="s">
        <v>67</v>
      </c>
      <c r="F349">
        <v>1411</v>
      </c>
      <c r="M349" t="s">
        <v>41</v>
      </c>
      <c r="N349" t="s">
        <v>41</v>
      </c>
      <c r="O349" t="s">
        <v>41</v>
      </c>
      <c r="P349" t="s">
        <v>41</v>
      </c>
      <c r="Q349" t="s">
        <v>41</v>
      </c>
      <c r="R349" t="s">
        <v>41</v>
      </c>
      <c r="S349" t="s">
        <v>41</v>
      </c>
    </row>
    <row r="350" spans="1:19" x14ac:dyDescent="0.25">
      <c r="A350" t="s">
        <v>82</v>
      </c>
      <c r="B350" t="s">
        <v>49</v>
      </c>
      <c r="C350" t="s">
        <v>111</v>
      </c>
      <c r="D350" t="s">
        <v>112</v>
      </c>
      <c r="E350" t="s">
        <v>67</v>
      </c>
      <c r="F350" t="s">
        <v>41</v>
      </c>
      <c r="M350" t="s">
        <v>41</v>
      </c>
      <c r="N350" t="s">
        <v>41</v>
      </c>
      <c r="O350" t="s">
        <v>41</v>
      </c>
      <c r="P350" t="s">
        <v>41</v>
      </c>
      <c r="Q350" t="s">
        <v>41</v>
      </c>
      <c r="R350" t="s">
        <v>41</v>
      </c>
      <c r="S350" t="s">
        <v>41</v>
      </c>
    </row>
    <row r="351" spans="1:19" x14ac:dyDescent="0.25">
      <c r="A351" t="s">
        <v>83</v>
      </c>
      <c r="B351" t="s">
        <v>53</v>
      </c>
      <c r="C351" t="s">
        <v>111</v>
      </c>
      <c r="D351" t="s">
        <v>112</v>
      </c>
      <c r="E351" t="s">
        <v>67</v>
      </c>
      <c r="F351">
        <v>1074</v>
      </c>
      <c r="M351" t="s">
        <v>41</v>
      </c>
      <c r="N351" t="s">
        <v>41</v>
      </c>
      <c r="O351" t="s">
        <v>41</v>
      </c>
      <c r="P351" t="s">
        <v>41</v>
      </c>
      <c r="Q351" t="s">
        <v>41</v>
      </c>
      <c r="R351" t="s">
        <v>41</v>
      </c>
      <c r="S351" t="s">
        <v>41</v>
      </c>
    </row>
    <row r="352" spans="1:19" x14ac:dyDescent="0.25">
      <c r="A352" t="s">
        <v>115</v>
      </c>
      <c r="B352" t="s">
        <v>75</v>
      </c>
      <c r="C352" t="s">
        <v>116</v>
      </c>
      <c r="D352" t="s">
        <v>117</v>
      </c>
      <c r="E352" t="s">
        <v>67</v>
      </c>
      <c r="F352" t="s">
        <v>41</v>
      </c>
      <c r="M352" t="s">
        <v>41</v>
      </c>
      <c r="N352" t="s">
        <v>41</v>
      </c>
      <c r="O352" t="s">
        <v>41</v>
      </c>
      <c r="P352" t="s">
        <v>41</v>
      </c>
      <c r="Q352" t="s">
        <v>41</v>
      </c>
      <c r="R352" t="s">
        <v>41</v>
      </c>
      <c r="S352" t="s">
        <v>41</v>
      </c>
    </row>
    <row r="353" spans="1:19" x14ac:dyDescent="0.25">
      <c r="A353" t="s">
        <v>50</v>
      </c>
      <c r="B353" t="s">
        <v>51</v>
      </c>
      <c r="C353" t="s">
        <v>116</v>
      </c>
      <c r="D353" t="s">
        <v>117</v>
      </c>
      <c r="E353" t="s">
        <v>67</v>
      </c>
      <c r="F353" t="s">
        <v>41</v>
      </c>
      <c r="M353" t="s">
        <v>41</v>
      </c>
      <c r="N353" t="s">
        <v>41</v>
      </c>
      <c r="O353" t="s">
        <v>41</v>
      </c>
      <c r="P353" t="s">
        <v>41</v>
      </c>
      <c r="Q353" t="s">
        <v>41</v>
      </c>
      <c r="R353" t="s">
        <v>41</v>
      </c>
      <c r="S353" t="s">
        <v>41</v>
      </c>
    </row>
    <row r="354" spans="1:19" x14ac:dyDescent="0.25">
      <c r="A354" t="s">
        <v>45</v>
      </c>
      <c r="B354" t="s">
        <v>46</v>
      </c>
      <c r="C354" t="s">
        <v>116</v>
      </c>
      <c r="D354" t="s">
        <v>117</v>
      </c>
      <c r="E354" t="s">
        <v>67</v>
      </c>
      <c r="F354">
        <v>3.1</v>
      </c>
      <c r="M354" t="s">
        <v>41</v>
      </c>
      <c r="N354" t="s">
        <v>41</v>
      </c>
      <c r="O354" t="s">
        <v>41</v>
      </c>
      <c r="P354" t="s">
        <v>41</v>
      </c>
      <c r="Q354" t="s">
        <v>41</v>
      </c>
      <c r="R354" t="s">
        <v>41</v>
      </c>
      <c r="S354" t="s">
        <v>41</v>
      </c>
    </row>
    <row r="355" spans="1:19" x14ac:dyDescent="0.25">
      <c r="A355" t="s">
        <v>48</v>
      </c>
      <c r="B355" t="s">
        <v>49</v>
      </c>
      <c r="C355" t="s">
        <v>116</v>
      </c>
      <c r="D355" t="s">
        <v>117</v>
      </c>
      <c r="E355" t="s">
        <v>67</v>
      </c>
      <c r="F355" t="s">
        <v>41</v>
      </c>
      <c r="M355" t="s">
        <v>41</v>
      </c>
      <c r="N355" t="s">
        <v>41</v>
      </c>
      <c r="O355" t="s">
        <v>41</v>
      </c>
      <c r="P355" t="s">
        <v>41</v>
      </c>
      <c r="Q355" t="s">
        <v>41</v>
      </c>
      <c r="R355" t="s">
        <v>41</v>
      </c>
      <c r="S355" t="s">
        <v>41</v>
      </c>
    </row>
    <row r="356" spans="1:19" x14ac:dyDescent="0.25">
      <c r="A356" t="s">
        <v>52</v>
      </c>
      <c r="B356" t="s">
        <v>53</v>
      </c>
      <c r="C356" t="s">
        <v>116</v>
      </c>
      <c r="D356" t="s">
        <v>117</v>
      </c>
      <c r="E356" t="s">
        <v>67</v>
      </c>
      <c r="F356">
        <v>3.2</v>
      </c>
      <c r="M356" t="s">
        <v>41</v>
      </c>
      <c r="N356" t="s">
        <v>41</v>
      </c>
      <c r="O356" t="s">
        <v>41</v>
      </c>
      <c r="P356" t="s">
        <v>41</v>
      </c>
      <c r="Q356" t="s">
        <v>41</v>
      </c>
      <c r="R356" t="s">
        <v>41</v>
      </c>
      <c r="S356" t="s">
        <v>41</v>
      </c>
    </row>
    <row r="357" spans="1:19" x14ac:dyDescent="0.25">
      <c r="A357" t="s">
        <v>115</v>
      </c>
      <c r="B357" t="s">
        <v>75</v>
      </c>
      <c r="C357" t="s">
        <v>119</v>
      </c>
      <c r="D357" t="s">
        <v>120</v>
      </c>
      <c r="E357" t="s">
        <v>67</v>
      </c>
      <c r="F357" t="s">
        <v>41</v>
      </c>
      <c r="M357" t="s">
        <v>41</v>
      </c>
      <c r="N357" t="s">
        <v>41</v>
      </c>
      <c r="O357" t="s">
        <v>41</v>
      </c>
      <c r="P357" t="s">
        <v>41</v>
      </c>
      <c r="Q357" t="s">
        <v>41</v>
      </c>
      <c r="R357" t="s">
        <v>41</v>
      </c>
      <c r="S357" t="s">
        <v>41</v>
      </c>
    </row>
    <row r="358" spans="1:19" x14ac:dyDescent="0.25">
      <c r="A358" t="s">
        <v>50</v>
      </c>
      <c r="B358" t="s">
        <v>51</v>
      </c>
      <c r="C358" t="s">
        <v>119</v>
      </c>
      <c r="D358" t="s">
        <v>120</v>
      </c>
      <c r="E358" t="s">
        <v>67</v>
      </c>
      <c r="F358">
        <v>15.1</v>
      </c>
      <c r="M358" t="s">
        <v>41</v>
      </c>
      <c r="N358" t="s">
        <v>41</v>
      </c>
      <c r="O358" t="s">
        <v>41</v>
      </c>
      <c r="P358" t="s">
        <v>41</v>
      </c>
      <c r="Q358" t="s">
        <v>41</v>
      </c>
      <c r="R358" t="s">
        <v>41</v>
      </c>
      <c r="S358" t="s">
        <v>41</v>
      </c>
    </row>
    <row r="359" spans="1:19" x14ac:dyDescent="0.25">
      <c r="A359" t="s">
        <v>45</v>
      </c>
      <c r="B359" t="s">
        <v>46</v>
      </c>
      <c r="C359" t="s">
        <v>119</v>
      </c>
      <c r="D359" t="s">
        <v>120</v>
      </c>
      <c r="E359" t="s">
        <v>67</v>
      </c>
      <c r="F359" t="s">
        <v>41</v>
      </c>
      <c r="M359" t="s">
        <v>41</v>
      </c>
      <c r="N359" t="s">
        <v>41</v>
      </c>
      <c r="O359" t="s">
        <v>41</v>
      </c>
      <c r="P359" t="s">
        <v>41</v>
      </c>
      <c r="Q359" t="s">
        <v>41</v>
      </c>
      <c r="R359" t="s">
        <v>41</v>
      </c>
      <c r="S359" t="s">
        <v>41</v>
      </c>
    </row>
    <row r="360" spans="1:19" x14ac:dyDescent="0.25">
      <c r="A360" t="s">
        <v>48</v>
      </c>
      <c r="B360" t="s">
        <v>49</v>
      </c>
      <c r="C360" t="s">
        <v>119</v>
      </c>
      <c r="D360" t="s">
        <v>120</v>
      </c>
      <c r="E360" t="s">
        <v>67</v>
      </c>
      <c r="F360" t="s">
        <v>41</v>
      </c>
      <c r="M360" t="s">
        <v>41</v>
      </c>
      <c r="N360" t="s">
        <v>41</v>
      </c>
      <c r="O360" t="s">
        <v>41</v>
      </c>
      <c r="P360" t="s">
        <v>41</v>
      </c>
      <c r="Q360" t="s">
        <v>41</v>
      </c>
      <c r="R360" t="s">
        <v>41</v>
      </c>
      <c r="S360" t="s">
        <v>41</v>
      </c>
    </row>
    <row r="361" spans="1:19" x14ac:dyDescent="0.25">
      <c r="A361" t="s">
        <v>52</v>
      </c>
      <c r="B361" t="s">
        <v>53</v>
      </c>
      <c r="C361" t="s">
        <v>119</v>
      </c>
      <c r="D361" t="s">
        <v>120</v>
      </c>
      <c r="E361" t="s">
        <v>67</v>
      </c>
      <c r="F361">
        <v>12.8</v>
      </c>
      <c r="M361" t="s">
        <v>41</v>
      </c>
      <c r="N361" t="s">
        <v>41</v>
      </c>
      <c r="O361" t="s">
        <v>41</v>
      </c>
      <c r="P361" t="s">
        <v>41</v>
      </c>
      <c r="Q361" t="s">
        <v>41</v>
      </c>
      <c r="R361" t="s">
        <v>41</v>
      </c>
      <c r="S361" t="s">
        <v>41</v>
      </c>
    </row>
    <row r="362" spans="1:19" x14ac:dyDescent="0.25">
      <c r="A362" t="s">
        <v>115</v>
      </c>
      <c r="B362" t="s">
        <v>75</v>
      </c>
      <c r="C362" t="s">
        <v>122</v>
      </c>
      <c r="D362" t="s">
        <v>123</v>
      </c>
      <c r="E362" t="s">
        <v>67</v>
      </c>
      <c r="F362" t="s">
        <v>41</v>
      </c>
      <c r="M362" t="s">
        <v>41</v>
      </c>
      <c r="N362" t="s">
        <v>41</v>
      </c>
      <c r="O362" t="s">
        <v>41</v>
      </c>
      <c r="P362" t="s">
        <v>41</v>
      </c>
      <c r="Q362" t="s">
        <v>41</v>
      </c>
      <c r="R362" t="s">
        <v>41</v>
      </c>
      <c r="S362" t="s">
        <v>41</v>
      </c>
    </row>
    <row r="363" spans="1:19" x14ac:dyDescent="0.25">
      <c r="A363" t="s">
        <v>50</v>
      </c>
      <c r="B363" t="s">
        <v>51</v>
      </c>
      <c r="C363" t="s">
        <v>122</v>
      </c>
      <c r="D363" t="s">
        <v>123</v>
      </c>
      <c r="E363" t="s">
        <v>67</v>
      </c>
      <c r="F363">
        <v>22</v>
      </c>
      <c r="M363" t="s">
        <v>41</v>
      </c>
      <c r="N363" t="s">
        <v>41</v>
      </c>
      <c r="O363" t="s">
        <v>41</v>
      </c>
      <c r="P363" t="s">
        <v>41</v>
      </c>
      <c r="Q363" t="s">
        <v>41</v>
      </c>
      <c r="R363" t="s">
        <v>41</v>
      </c>
      <c r="S363" t="s">
        <v>41</v>
      </c>
    </row>
    <row r="364" spans="1:19" x14ac:dyDescent="0.25">
      <c r="A364" t="s">
        <v>45</v>
      </c>
      <c r="B364" t="s">
        <v>46</v>
      </c>
      <c r="C364" t="s">
        <v>122</v>
      </c>
      <c r="D364" t="s">
        <v>123</v>
      </c>
      <c r="E364" t="s">
        <v>67</v>
      </c>
      <c r="F364" t="s">
        <v>41</v>
      </c>
      <c r="M364" t="s">
        <v>41</v>
      </c>
      <c r="N364" t="s">
        <v>41</v>
      </c>
      <c r="O364" t="s">
        <v>41</v>
      </c>
      <c r="P364" t="s">
        <v>41</v>
      </c>
      <c r="Q364" t="s">
        <v>41</v>
      </c>
      <c r="R364" t="s">
        <v>41</v>
      </c>
      <c r="S364" t="s">
        <v>41</v>
      </c>
    </row>
    <row r="365" spans="1:19" x14ac:dyDescent="0.25">
      <c r="A365" t="s">
        <v>48</v>
      </c>
      <c r="B365" t="s">
        <v>49</v>
      </c>
      <c r="C365" t="s">
        <v>122</v>
      </c>
      <c r="D365" t="s">
        <v>123</v>
      </c>
      <c r="E365" t="s">
        <v>67</v>
      </c>
      <c r="F365" t="s">
        <v>41</v>
      </c>
      <c r="M365" t="s">
        <v>41</v>
      </c>
      <c r="N365" t="s">
        <v>41</v>
      </c>
      <c r="O365" t="s">
        <v>41</v>
      </c>
      <c r="P365" t="s">
        <v>41</v>
      </c>
      <c r="Q365" t="s">
        <v>41</v>
      </c>
      <c r="R365" t="s">
        <v>41</v>
      </c>
      <c r="S365" t="s">
        <v>41</v>
      </c>
    </row>
    <row r="366" spans="1:19" x14ac:dyDescent="0.25">
      <c r="A366" t="s">
        <v>52</v>
      </c>
      <c r="B366" t="s">
        <v>53</v>
      </c>
      <c r="C366" t="s">
        <v>122</v>
      </c>
      <c r="D366" t="s">
        <v>123</v>
      </c>
      <c r="E366" t="s">
        <v>67</v>
      </c>
      <c r="F366">
        <v>19.7</v>
      </c>
      <c r="M366" t="s">
        <v>41</v>
      </c>
      <c r="N366" t="s">
        <v>41</v>
      </c>
      <c r="O366" t="s">
        <v>41</v>
      </c>
      <c r="P366" t="s">
        <v>41</v>
      </c>
      <c r="Q366" t="s">
        <v>41</v>
      </c>
      <c r="R366" t="s">
        <v>41</v>
      </c>
      <c r="S366" t="s">
        <v>41</v>
      </c>
    </row>
    <row r="367" spans="1:19" x14ac:dyDescent="0.25">
      <c r="A367" t="s">
        <v>115</v>
      </c>
      <c r="B367" t="s">
        <v>75</v>
      </c>
      <c r="C367" t="s">
        <v>126</v>
      </c>
      <c r="D367" t="s">
        <v>127</v>
      </c>
      <c r="E367" t="s">
        <v>67</v>
      </c>
      <c r="F367" t="s">
        <v>41</v>
      </c>
      <c r="M367" t="s">
        <v>41</v>
      </c>
      <c r="N367" t="s">
        <v>41</v>
      </c>
      <c r="O367" t="s">
        <v>41</v>
      </c>
      <c r="P367" t="s">
        <v>41</v>
      </c>
      <c r="Q367" t="s">
        <v>41</v>
      </c>
      <c r="R367" t="s">
        <v>41</v>
      </c>
      <c r="S367" t="s">
        <v>41</v>
      </c>
    </row>
    <row r="368" spans="1:19" x14ac:dyDescent="0.25">
      <c r="A368" t="s">
        <v>50</v>
      </c>
      <c r="B368" t="s">
        <v>51</v>
      </c>
      <c r="C368" t="s">
        <v>126</v>
      </c>
      <c r="D368" t="s">
        <v>127</v>
      </c>
      <c r="E368" t="s">
        <v>67</v>
      </c>
      <c r="F368">
        <v>791</v>
      </c>
      <c r="M368" t="s">
        <v>41</v>
      </c>
      <c r="N368" t="s">
        <v>41</v>
      </c>
      <c r="O368" t="s">
        <v>41</v>
      </c>
      <c r="P368" t="s">
        <v>41</v>
      </c>
      <c r="Q368" t="s">
        <v>41</v>
      </c>
      <c r="R368" t="s">
        <v>41</v>
      </c>
      <c r="S368" t="s">
        <v>41</v>
      </c>
    </row>
    <row r="369" spans="1:19" x14ac:dyDescent="0.25">
      <c r="A369" t="s">
        <v>45</v>
      </c>
      <c r="B369" t="s">
        <v>46</v>
      </c>
      <c r="C369" t="s">
        <v>126</v>
      </c>
      <c r="D369" t="s">
        <v>127</v>
      </c>
      <c r="E369" t="s">
        <v>67</v>
      </c>
      <c r="F369">
        <v>718</v>
      </c>
      <c r="M369" t="s">
        <v>41</v>
      </c>
      <c r="N369" t="s">
        <v>41</v>
      </c>
      <c r="O369" t="s">
        <v>41</v>
      </c>
      <c r="P369" t="s">
        <v>41</v>
      </c>
      <c r="Q369" t="s">
        <v>41</v>
      </c>
      <c r="R369" t="s">
        <v>41</v>
      </c>
      <c r="S369" t="s">
        <v>41</v>
      </c>
    </row>
    <row r="370" spans="1:19" x14ac:dyDescent="0.25">
      <c r="A370" t="s">
        <v>48</v>
      </c>
      <c r="B370" t="s">
        <v>49</v>
      </c>
      <c r="C370" t="s">
        <v>126</v>
      </c>
      <c r="D370" t="s">
        <v>127</v>
      </c>
      <c r="E370" t="s">
        <v>67</v>
      </c>
      <c r="F370">
        <v>1072</v>
      </c>
      <c r="M370" t="s">
        <v>41</v>
      </c>
      <c r="N370" t="s">
        <v>41</v>
      </c>
      <c r="O370" t="s">
        <v>41</v>
      </c>
      <c r="P370" t="s">
        <v>41</v>
      </c>
      <c r="Q370" t="s">
        <v>41</v>
      </c>
      <c r="R370" t="s">
        <v>41</v>
      </c>
      <c r="S370" t="s">
        <v>41</v>
      </c>
    </row>
    <row r="371" spans="1:19" x14ac:dyDescent="0.25">
      <c r="A371" t="s">
        <v>52</v>
      </c>
      <c r="B371" t="s">
        <v>53</v>
      </c>
      <c r="C371" t="s">
        <v>126</v>
      </c>
      <c r="D371" t="s">
        <v>127</v>
      </c>
      <c r="E371" t="s">
        <v>67</v>
      </c>
      <c r="F371">
        <v>915</v>
      </c>
      <c r="M371" t="s">
        <v>41</v>
      </c>
      <c r="N371" t="s">
        <v>41</v>
      </c>
      <c r="O371" t="s">
        <v>41</v>
      </c>
      <c r="P371" t="s">
        <v>41</v>
      </c>
      <c r="Q371" t="s">
        <v>41</v>
      </c>
      <c r="R371" t="s">
        <v>41</v>
      </c>
      <c r="S371" t="s">
        <v>41</v>
      </c>
    </row>
    <row r="372" spans="1:19" x14ac:dyDescent="0.25">
      <c r="A372" t="s">
        <v>115</v>
      </c>
      <c r="B372" t="s">
        <v>75</v>
      </c>
      <c r="C372" t="s">
        <v>129</v>
      </c>
      <c r="D372" t="s">
        <v>130</v>
      </c>
      <c r="E372" t="s">
        <v>67</v>
      </c>
      <c r="F372" t="s">
        <v>41</v>
      </c>
      <c r="M372" t="s">
        <v>41</v>
      </c>
      <c r="N372" t="s">
        <v>41</v>
      </c>
      <c r="O372" t="s">
        <v>41</v>
      </c>
      <c r="P372" t="s">
        <v>41</v>
      </c>
      <c r="Q372" t="s">
        <v>41</v>
      </c>
      <c r="R372" t="s">
        <v>41</v>
      </c>
      <c r="S372" t="s">
        <v>41</v>
      </c>
    </row>
    <row r="373" spans="1:19" x14ac:dyDescent="0.25">
      <c r="A373" t="s">
        <v>50</v>
      </c>
      <c r="B373" t="s">
        <v>51</v>
      </c>
      <c r="C373" t="s">
        <v>129</v>
      </c>
      <c r="D373" t="s">
        <v>130</v>
      </c>
      <c r="E373" t="s">
        <v>67</v>
      </c>
      <c r="F373">
        <v>308</v>
      </c>
      <c r="M373" t="s">
        <v>41</v>
      </c>
      <c r="N373" t="s">
        <v>41</v>
      </c>
      <c r="O373" t="s">
        <v>41</v>
      </c>
      <c r="P373" t="s">
        <v>41</v>
      </c>
      <c r="Q373" t="s">
        <v>41</v>
      </c>
      <c r="R373" t="s">
        <v>41</v>
      </c>
      <c r="S373" t="s">
        <v>41</v>
      </c>
    </row>
    <row r="374" spans="1:19" x14ac:dyDescent="0.25">
      <c r="A374" t="s">
        <v>45</v>
      </c>
      <c r="B374" t="s">
        <v>46</v>
      </c>
      <c r="C374" t="s">
        <v>129</v>
      </c>
      <c r="D374" t="s">
        <v>130</v>
      </c>
      <c r="E374" t="s">
        <v>67</v>
      </c>
      <c r="F374" t="s">
        <v>41</v>
      </c>
      <c r="M374" t="s">
        <v>41</v>
      </c>
      <c r="N374" t="s">
        <v>41</v>
      </c>
      <c r="O374" t="s">
        <v>41</v>
      </c>
      <c r="P374" t="s">
        <v>41</v>
      </c>
      <c r="Q374" t="s">
        <v>41</v>
      </c>
      <c r="R374" t="s">
        <v>41</v>
      </c>
      <c r="S374" t="s">
        <v>41</v>
      </c>
    </row>
    <row r="375" spans="1:19" x14ac:dyDescent="0.25">
      <c r="A375" t="s">
        <v>48</v>
      </c>
      <c r="B375" t="s">
        <v>49</v>
      </c>
      <c r="C375" t="s">
        <v>129</v>
      </c>
      <c r="D375" t="s">
        <v>130</v>
      </c>
      <c r="E375" t="s">
        <v>67</v>
      </c>
      <c r="F375">
        <v>565</v>
      </c>
      <c r="M375" t="s">
        <v>41</v>
      </c>
      <c r="N375" t="s">
        <v>41</v>
      </c>
      <c r="O375" t="s">
        <v>41</v>
      </c>
      <c r="P375" t="s">
        <v>41</v>
      </c>
      <c r="Q375" t="s">
        <v>41</v>
      </c>
      <c r="R375" t="s">
        <v>41</v>
      </c>
      <c r="S375" t="s">
        <v>41</v>
      </c>
    </row>
    <row r="376" spans="1:19" x14ac:dyDescent="0.25">
      <c r="A376" t="s">
        <v>52</v>
      </c>
      <c r="B376" t="s">
        <v>53</v>
      </c>
      <c r="C376" t="s">
        <v>129</v>
      </c>
      <c r="D376" t="s">
        <v>130</v>
      </c>
      <c r="E376" t="s">
        <v>67</v>
      </c>
      <c r="F376">
        <v>260</v>
      </c>
      <c r="M376" t="s">
        <v>41</v>
      </c>
      <c r="N376" t="s">
        <v>41</v>
      </c>
      <c r="O376" t="s">
        <v>41</v>
      </c>
      <c r="P376" t="s">
        <v>41</v>
      </c>
      <c r="Q376" t="s">
        <v>41</v>
      </c>
      <c r="R376" t="s">
        <v>41</v>
      </c>
      <c r="S376" t="s">
        <v>41</v>
      </c>
    </row>
    <row r="377" spans="1:19" x14ac:dyDescent="0.25">
      <c r="A377" t="s">
        <v>115</v>
      </c>
      <c r="B377" t="s">
        <v>75</v>
      </c>
      <c r="C377" t="s">
        <v>132</v>
      </c>
      <c r="D377" t="s">
        <v>133</v>
      </c>
      <c r="E377" t="s">
        <v>67</v>
      </c>
      <c r="F377" t="s">
        <v>41</v>
      </c>
      <c r="M377" t="s">
        <v>41</v>
      </c>
      <c r="N377" t="s">
        <v>41</v>
      </c>
      <c r="O377" t="s">
        <v>41</v>
      </c>
      <c r="P377" t="s">
        <v>41</v>
      </c>
      <c r="Q377" t="s">
        <v>41</v>
      </c>
      <c r="R377" t="s">
        <v>41</v>
      </c>
      <c r="S377" t="s">
        <v>41</v>
      </c>
    </row>
    <row r="378" spans="1:19" x14ac:dyDescent="0.25">
      <c r="A378" t="s">
        <v>50</v>
      </c>
      <c r="B378" t="s">
        <v>51</v>
      </c>
      <c r="C378" t="s">
        <v>132</v>
      </c>
      <c r="D378" t="s">
        <v>133</v>
      </c>
      <c r="E378" t="s">
        <v>67</v>
      </c>
      <c r="F378">
        <v>171</v>
      </c>
      <c r="M378" t="s">
        <v>41</v>
      </c>
      <c r="N378" t="s">
        <v>41</v>
      </c>
      <c r="O378" t="s">
        <v>41</v>
      </c>
      <c r="P378" t="s">
        <v>41</v>
      </c>
      <c r="Q378" t="s">
        <v>41</v>
      </c>
      <c r="R378" t="s">
        <v>41</v>
      </c>
      <c r="S378" t="s">
        <v>41</v>
      </c>
    </row>
    <row r="379" spans="1:19" x14ac:dyDescent="0.25">
      <c r="A379" t="s">
        <v>45</v>
      </c>
      <c r="B379" t="s">
        <v>46</v>
      </c>
      <c r="C379" t="s">
        <v>132</v>
      </c>
      <c r="D379" t="s">
        <v>133</v>
      </c>
      <c r="E379" t="s">
        <v>67</v>
      </c>
      <c r="F379">
        <v>234</v>
      </c>
      <c r="M379" t="s">
        <v>41</v>
      </c>
      <c r="N379" t="s">
        <v>41</v>
      </c>
      <c r="O379" t="s">
        <v>41</v>
      </c>
      <c r="P379" t="s">
        <v>41</v>
      </c>
      <c r="Q379" t="s">
        <v>41</v>
      </c>
      <c r="R379" t="s">
        <v>41</v>
      </c>
      <c r="S379" t="s">
        <v>41</v>
      </c>
    </row>
    <row r="380" spans="1:19" x14ac:dyDescent="0.25">
      <c r="A380" t="s">
        <v>48</v>
      </c>
      <c r="B380" t="s">
        <v>49</v>
      </c>
      <c r="C380" t="s">
        <v>132</v>
      </c>
      <c r="D380" t="s">
        <v>133</v>
      </c>
      <c r="E380" t="s">
        <v>67</v>
      </c>
      <c r="F380">
        <v>391</v>
      </c>
      <c r="M380" t="s">
        <v>41</v>
      </c>
      <c r="N380" t="s">
        <v>41</v>
      </c>
      <c r="O380" t="s">
        <v>41</v>
      </c>
      <c r="P380" t="s">
        <v>41</v>
      </c>
      <c r="Q380" t="s">
        <v>41</v>
      </c>
      <c r="R380" t="s">
        <v>41</v>
      </c>
      <c r="S380" t="s">
        <v>41</v>
      </c>
    </row>
    <row r="381" spans="1:19" x14ac:dyDescent="0.25">
      <c r="A381" t="s">
        <v>52</v>
      </c>
      <c r="B381" t="s">
        <v>53</v>
      </c>
      <c r="C381" t="s">
        <v>132</v>
      </c>
      <c r="D381" t="s">
        <v>133</v>
      </c>
      <c r="E381" t="s">
        <v>67</v>
      </c>
      <c r="F381">
        <v>166</v>
      </c>
      <c r="M381" t="s">
        <v>41</v>
      </c>
      <c r="N381" t="s">
        <v>41</v>
      </c>
      <c r="O381" t="s">
        <v>41</v>
      </c>
      <c r="P381" t="s">
        <v>41</v>
      </c>
      <c r="Q381" t="s">
        <v>41</v>
      </c>
      <c r="R381" t="s">
        <v>41</v>
      </c>
      <c r="S381" t="s">
        <v>41</v>
      </c>
    </row>
    <row r="382" spans="1:19" x14ac:dyDescent="0.25">
      <c r="A382" t="s">
        <v>115</v>
      </c>
      <c r="B382" t="s">
        <v>75</v>
      </c>
      <c r="C382" t="s">
        <v>135</v>
      </c>
      <c r="D382" t="s">
        <v>136</v>
      </c>
      <c r="E382" t="s">
        <v>67</v>
      </c>
      <c r="F382" t="s">
        <v>41</v>
      </c>
      <c r="M382" t="s">
        <v>41</v>
      </c>
      <c r="N382" t="s">
        <v>41</v>
      </c>
      <c r="O382" t="s">
        <v>41</v>
      </c>
      <c r="P382" t="s">
        <v>41</v>
      </c>
      <c r="Q382" t="s">
        <v>41</v>
      </c>
      <c r="R382" t="s">
        <v>41</v>
      </c>
      <c r="S382" t="s">
        <v>41</v>
      </c>
    </row>
    <row r="383" spans="1:19" x14ac:dyDescent="0.25">
      <c r="A383" t="s">
        <v>50</v>
      </c>
      <c r="B383" t="s">
        <v>51</v>
      </c>
      <c r="C383" t="s">
        <v>135</v>
      </c>
      <c r="D383" t="s">
        <v>136</v>
      </c>
      <c r="E383" t="s">
        <v>67</v>
      </c>
      <c r="F383">
        <v>96</v>
      </c>
      <c r="M383" t="s">
        <v>41</v>
      </c>
      <c r="N383" t="s">
        <v>41</v>
      </c>
      <c r="O383" t="s">
        <v>41</v>
      </c>
      <c r="P383" t="s">
        <v>41</v>
      </c>
      <c r="Q383" t="s">
        <v>41</v>
      </c>
      <c r="R383" t="s">
        <v>41</v>
      </c>
      <c r="S383" t="s">
        <v>41</v>
      </c>
    </row>
    <row r="384" spans="1:19" x14ac:dyDescent="0.25">
      <c r="A384" t="s">
        <v>45</v>
      </c>
      <c r="B384" t="s">
        <v>46</v>
      </c>
      <c r="C384" t="s">
        <v>135</v>
      </c>
      <c r="D384" t="s">
        <v>136</v>
      </c>
      <c r="E384" t="s">
        <v>67</v>
      </c>
      <c r="F384" t="s">
        <v>41</v>
      </c>
      <c r="M384" t="s">
        <v>41</v>
      </c>
      <c r="N384" t="s">
        <v>41</v>
      </c>
      <c r="O384" t="s">
        <v>41</v>
      </c>
      <c r="P384" t="s">
        <v>41</v>
      </c>
      <c r="Q384" t="s">
        <v>41</v>
      </c>
      <c r="R384" t="s">
        <v>41</v>
      </c>
      <c r="S384" t="s">
        <v>41</v>
      </c>
    </row>
    <row r="385" spans="1:19" x14ac:dyDescent="0.25">
      <c r="A385" t="s">
        <v>48</v>
      </c>
      <c r="B385" t="s">
        <v>49</v>
      </c>
      <c r="C385" t="s">
        <v>135</v>
      </c>
      <c r="D385" t="s">
        <v>136</v>
      </c>
      <c r="E385" t="s">
        <v>67</v>
      </c>
      <c r="F385">
        <v>240</v>
      </c>
      <c r="M385" t="s">
        <v>41</v>
      </c>
      <c r="N385" t="s">
        <v>41</v>
      </c>
      <c r="O385" t="s">
        <v>41</v>
      </c>
      <c r="P385" t="s">
        <v>41</v>
      </c>
      <c r="Q385" t="s">
        <v>41</v>
      </c>
      <c r="R385" t="s">
        <v>41</v>
      </c>
      <c r="S385" t="s">
        <v>41</v>
      </c>
    </row>
    <row r="386" spans="1:19" x14ac:dyDescent="0.25">
      <c r="A386" t="s">
        <v>52</v>
      </c>
      <c r="B386" t="s">
        <v>53</v>
      </c>
      <c r="C386" t="s">
        <v>135</v>
      </c>
      <c r="D386" t="s">
        <v>136</v>
      </c>
      <c r="E386" t="s">
        <v>67</v>
      </c>
      <c r="F386">
        <v>96</v>
      </c>
      <c r="M386" t="s">
        <v>41</v>
      </c>
      <c r="N386" t="s">
        <v>41</v>
      </c>
      <c r="O386" t="s">
        <v>41</v>
      </c>
      <c r="P386" t="s">
        <v>41</v>
      </c>
      <c r="Q386" t="s">
        <v>41</v>
      </c>
      <c r="R386" t="s">
        <v>41</v>
      </c>
      <c r="S386" t="s">
        <v>41</v>
      </c>
    </row>
    <row r="387" spans="1:19" x14ac:dyDescent="0.25">
      <c r="A387" t="s">
        <v>115</v>
      </c>
      <c r="B387" t="s">
        <v>75</v>
      </c>
      <c r="C387" t="s">
        <v>138</v>
      </c>
      <c r="D387" t="s">
        <v>139</v>
      </c>
      <c r="E387" t="s">
        <v>67</v>
      </c>
      <c r="F387" t="s">
        <v>41</v>
      </c>
      <c r="M387" t="s">
        <v>41</v>
      </c>
      <c r="N387" t="s">
        <v>41</v>
      </c>
      <c r="O387" t="s">
        <v>41</v>
      </c>
      <c r="P387" t="s">
        <v>41</v>
      </c>
      <c r="Q387" t="s">
        <v>41</v>
      </c>
      <c r="R387" t="s">
        <v>41</v>
      </c>
      <c r="S387" t="s">
        <v>41</v>
      </c>
    </row>
    <row r="388" spans="1:19" x14ac:dyDescent="0.25">
      <c r="A388" t="s">
        <v>50</v>
      </c>
      <c r="B388" t="s">
        <v>51</v>
      </c>
      <c r="C388" t="s">
        <v>138</v>
      </c>
      <c r="D388" t="s">
        <v>139</v>
      </c>
      <c r="E388" t="s">
        <v>67</v>
      </c>
      <c r="F388" t="s">
        <v>41</v>
      </c>
      <c r="M388" t="s">
        <v>41</v>
      </c>
      <c r="N388" t="s">
        <v>41</v>
      </c>
      <c r="O388" t="s">
        <v>41</v>
      </c>
      <c r="P388" t="s">
        <v>41</v>
      </c>
      <c r="Q388" t="s">
        <v>41</v>
      </c>
      <c r="R388" t="s">
        <v>41</v>
      </c>
      <c r="S388" t="s">
        <v>41</v>
      </c>
    </row>
    <row r="389" spans="1:19" x14ac:dyDescent="0.25">
      <c r="A389" t="s">
        <v>45</v>
      </c>
      <c r="B389" t="s">
        <v>46</v>
      </c>
      <c r="C389" t="s">
        <v>138</v>
      </c>
      <c r="D389" t="s">
        <v>139</v>
      </c>
      <c r="E389" t="s">
        <v>67</v>
      </c>
      <c r="F389" t="s">
        <v>41</v>
      </c>
      <c r="M389" t="s">
        <v>41</v>
      </c>
      <c r="N389" t="s">
        <v>41</v>
      </c>
      <c r="O389" t="s">
        <v>41</v>
      </c>
      <c r="P389" t="s">
        <v>41</v>
      </c>
      <c r="Q389" t="s">
        <v>41</v>
      </c>
      <c r="R389" t="s">
        <v>41</v>
      </c>
      <c r="S389" t="s">
        <v>41</v>
      </c>
    </row>
    <row r="390" spans="1:19" x14ac:dyDescent="0.25">
      <c r="A390" t="s">
        <v>48</v>
      </c>
      <c r="B390" t="s">
        <v>49</v>
      </c>
      <c r="C390" t="s">
        <v>138</v>
      </c>
      <c r="D390" t="s">
        <v>139</v>
      </c>
      <c r="E390" t="s">
        <v>67</v>
      </c>
      <c r="F390" t="s">
        <v>41</v>
      </c>
      <c r="M390" t="s">
        <v>41</v>
      </c>
      <c r="N390" t="s">
        <v>41</v>
      </c>
      <c r="O390" t="s">
        <v>41</v>
      </c>
      <c r="P390" t="s">
        <v>41</v>
      </c>
      <c r="Q390" t="s">
        <v>41</v>
      </c>
      <c r="R390" t="s">
        <v>41</v>
      </c>
      <c r="S390" t="s">
        <v>41</v>
      </c>
    </row>
    <row r="391" spans="1:19" x14ac:dyDescent="0.25">
      <c r="A391" t="s">
        <v>52</v>
      </c>
      <c r="B391" t="s">
        <v>53</v>
      </c>
      <c r="C391" t="s">
        <v>138</v>
      </c>
      <c r="D391" t="s">
        <v>139</v>
      </c>
      <c r="E391" t="s">
        <v>67</v>
      </c>
      <c r="F391" t="s">
        <v>41</v>
      </c>
      <c r="M391" t="s">
        <v>41</v>
      </c>
      <c r="N391" t="s">
        <v>41</v>
      </c>
      <c r="O391" t="s">
        <v>41</v>
      </c>
      <c r="P391" t="s">
        <v>41</v>
      </c>
      <c r="Q391" t="s">
        <v>41</v>
      </c>
      <c r="R391" t="s">
        <v>41</v>
      </c>
      <c r="S391" t="s">
        <v>41</v>
      </c>
    </row>
    <row r="392" spans="1:19" x14ac:dyDescent="0.25">
      <c r="A392" t="s">
        <v>115</v>
      </c>
      <c r="B392" t="s">
        <v>75</v>
      </c>
      <c r="C392" t="s">
        <v>141</v>
      </c>
      <c r="D392" t="s">
        <v>142</v>
      </c>
      <c r="E392" t="s">
        <v>67</v>
      </c>
      <c r="F392" t="s">
        <v>41</v>
      </c>
      <c r="M392" t="s">
        <v>41</v>
      </c>
      <c r="N392" t="s">
        <v>41</v>
      </c>
      <c r="O392" t="s">
        <v>41</v>
      </c>
      <c r="P392" t="s">
        <v>41</v>
      </c>
      <c r="Q392" t="s">
        <v>41</v>
      </c>
      <c r="R392" t="s">
        <v>41</v>
      </c>
      <c r="S392" t="s">
        <v>41</v>
      </c>
    </row>
    <row r="393" spans="1:19" x14ac:dyDescent="0.25">
      <c r="A393" t="s">
        <v>50</v>
      </c>
      <c r="B393" t="s">
        <v>51</v>
      </c>
      <c r="C393" t="s">
        <v>141</v>
      </c>
      <c r="D393" t="s">
        <v>142</v>
      </c>
      <c r="E393" t="s">
        <v>67</v>
      </c>
      <c r="F393" t="s">
        <v>41</v>
      </c>
      <c r="M393" t="s">
        <v>41</v>
      </c>
      <c r="N393" t="s">
        <v>41</v>
      </c>
      <c r="O393" t="s">
        <v>41</v>
      </c>
      <c r="P393" t="s">
        <v>41</v>
      </c>
      <c r="Q393" t="s">
        <v>41</v>
      </c>
      <c r="R393" t="s">
        <v>41</v>
      </c>
      <c r="S393" t="s">
        <v>41</v>
      </c>
    </row>
    <row r="394" spans="1:19" x14ac:dyDescent="0.25">
      <c r="A394" t="s">
        <v>45</v>
      </c>
      <c r="B394" t="s">
        <v>46</v>
      </c>
      <c r="C394" t="s">
        <v>141</v>
      </c>
      <c r="D394" t="s">
        <v>142</v>
      </c>
      <c r="E394" t="s">
        <v>67</v>
      </c>
      <c r="F394" t="s">
        <v>41</v>
      </c>
      <c r="M394" t="s">
        <v>41</v>
      </c>
      <c r="N394" t="s">
        <v>41</v>
      </c>
      <c r="O394" t="s">
        <v>41</v>
      </c>
      <c r="P394" t="s">
        <v>41</v>
      </c>
      <c r="Q394" t="s">
        <v>41</v>
      </c>
      <c r="R394" t="s">
        <v>41</v>
      </c>
      <c r="S394" t="s">
        <v>41</v>
      </c>
    </row>
    <row r="395" spans="1:19" x14ac:dyDescent="0.25">
      <c r="A395" t="s">
        <v>48</v>
      </c>
      <c r="B395" t="s">
        <v>49</v>
      </c>
      <c r="C395" t="s">
        <v>141</v>
      </c>
      <c r="D395" t="s">
        <v>142</v>
      </c>
      <c r="E395" t="s">
        <v>67</v>
      </c>
      <c r="F395" t="s">
        <v>41</v>
      </c>
      <c r="M395" t="s">
        <v>41</v>
      </c>
      <c r="N395" t="s">
        <v>41</v>
      </c>
      <c r="O395" t="s">
        <v>41</v>
      </c>
      <c r="P395" t="s">
        <v>41</v>
      </c>
      <c r="Q395" t="s">
        <v>41</v>
      </c>
      <c r="R395" t="s">
        <v>41</v>
      </c>
      <c r="S395" t="s">
        <v>41</v>
      </c>
    </row>
    <row r="396" spans="1:19" x14ac:dyDescent="0.25">
      <c r="A396" t="s">
        <v>52</v>
      </c>
      <c r="B396" t="s">
        <v>53</v>
      </c>
      <c r="C396" t="s">
        <v>141</v>
      </c>
      <c r="D396" t="s">
        <v>142</v>
      </c>
      <c r="E396" t="s">
        <v>67</v>
      </c>
      <c r="F396" t="s">
        <v>41</v>
      </c>
      <c r="M396" t="s">
        <v>41</v>
      </c>
      <c r="N396" t="s">
        <v>41</v>
      </c>
      <c r="O396" t="s">
        <v>41</v>
      </c>
      <c r="P396" t="s">
        <v>41</v>
      </c>
      <c r="Q396" t="s">
        <v>41</v>
      </c>
      <c r="R396" t="s">
        <v>41</v>
      </c>
      <c r="S396" t="s">
        <v>41</v>
      </c>
    </row>
    <row r="397" spans="1:19" x14ac:dyDescent="0.25">
      <c r="A397" t="s">
        <v>115</v>
      </c>
      <c r="B397" t="s">
        <v>75</v>
      </c>
      <c r="C397" t="s">
        <v>144</v>
      </c>
      <c r="D397" t="s">
        <v>145</v>
      </c>
      <c r="E397" t="s">
        <v>67</v>
      </c>
      <c r="F397" t="s">
        <v>41</v>
      </c>
      <c r="M397" t="s">
        <v>41</v>
      </c>
      <c r="N397" t="s">
        <v>41</v>
      </c>
      <c r="O397" t="s">
        <v>41</v>
      </c>
      <c r="P397" t="s">
        <v>41</v>
      </c>
      <c r="Q397" t="s">
        <v>41</v>
      </c>
      <c r="R397" t="s">
        <v>41</v>
      </c>
      <c r="S397" t="s">
        <v>41</v>
      </c>
    </row>
    <row r="398" spans="1:19" x14ac:dyDescent="0.25">
      <c r="A398" t="s">
        <v>50</v>
      </c>
      <c r="B398" t="s">
        <v>51</v>
      </c>
      <c r="C398" t="s">
        <v>144</v>
      </c>
      <c r="D398" t="s">
        <v>145</v>
      </c>
      <c r="E398" t="s">
        <v>67</v>
      </c>
      <c r="F398">
        <v>30</v>
      </c>
      <c r="M398" t="s">
        <v>41</v>
      </c>
      <c r="N398" t="s">
        <v>41</v>
      </c>
      <c r="O398" t="s">
        <v>41</v>
      </c>
      <c r="P398" t="s">
        <v>41</v>
      </c>
      <c r="Q398" t="s">
        <v>41</v>
      </c>
      <c r="R398" t="s">
        <v>41</v>
      </c>
      <c r="S398" t="s">
        <v>41</v>
      </c>
    </row>
    <row r="399" spans="1:19" x14ac:dyDescent="0.25">
      <c r="A399" t="s">
        <v>45</v>
      </c>
      <c r="B399" t="s">
        <v>46</v>
      </c>
      <c r="C399" t="s">
        <v>144</v>
      </c>
      <c r="D399" t="s">
        <v>145</v>
      </c>
      <c r="E399" t="s">
        <v>67</v>
      </c>
      <c r="F399">
        <v>61</v>
      </c>
      <c r="M399" t="s">
        <v>41</v>
      </c>
      <c r="N399" t="s">
        <v>41</v>
      </c>
      <c r="O399" t="s">
        <v>41</v>
      </c>
      <c r="P399" t="s">
        <v>41</v>
      </c>
      <c r="Q399" t="s">
        <v>41</v>
      </c>
      <c r="R399" t="s">
        <v>41</v>
      </c>
      <c r="S399" t="s">
        <v>41</v>
      </c>
    </row>
    <row r="400" spans="1:19" x14ac:dyDescent="0.25">
      <c r="A400" t="s">
        <v>48</v>
      </c>
      <c r="B400" t="s">
        <v>49</v>
      </c>
      <c r="C400" t="s">
        <v>144</v>
      </c>
      <c r="D400" t="s">
        <v>145</v>
      </c>
      <c r="E400" t="s">
        <v>67</v>
      </c>
      <c r="F400">
        <v>105</v>
      </c>
      <c r="M400" t="s">
        <v>41</v>
      </c>
      <c r="N400" t="s">
        <v>41</v>
      </c>
      <c r="O400" t="s">
        <v>41</v>
      </c>
      <c r="P400" t="s">
        <v>41</v>
      </c>
      <c r="Q400" t="s">
        <v>41</v>
      </c>
      <c r="R400" t="s">
        <v>41</v>
      </c>
      <c r="S400" t="s">
        <v>41</v>
      </c>
    </row>
    <row r="401" spans="1:19" x14ac:dyDescent="0.25">
      <c r="A401" t="s">
        <v>52</v>
      </c>
      <c r="B401" t="s">
        <v>53</v>
      </c>
      <c r="C401" t="s">
        <v>144</v>
      </c>
      <c r="D401" t="s">
        <v>145</v>
      </c>
      <c r="E401" t="s">
        <v>67</v>
      </c>
      <c r="F401">
        <v>62</v>
      </c>
      <c r="M401" t="s">
        <v>41</v>
      </c>
      <c r="N401" t="s">
        <v>41</v>
      </c>
      <c r="O401" t="s">
        <v>41</v>
      </c>
      <c r="P401" t="s">
        <v>41</v>
      </c>
      <c r="Q401" t="s">
        <v>41</v>
      </c>
      <c r="R401" t="s">
        <v>41</v>
      </c>
      <c r="S401" t="s">
        <v>41</v>
      </c>
    </row>
    <row r="402" spans="1:19" x14ac:dyDescent="0.25">
      <c r="A402" t="s">
        <v>115</v>
      </c>
      <c r="B402" t="s">
        <v>75</v>
      </c>
      <c r="C402" t="s">
        <v>147</v>
      </c>
      <c r="D402" t="s">
        <v>148</v>
      </c>
      <c r="E402" t="s">
        <v>67</v>
      </c>
      <c r="F402" t="s">
        <v>41</v>
      </c>
      <c r="M402" t="s">
        <v>41</v>
      </c>
      <c r="N402" t="s">
        <v>41</v>
      </c>
      <c r="O402" t="s">
        <v>41</v>
      </c>
      <c r="P402" t="s">
        <v>41</v>
      </c>
      <c r="Q402" t="s">
        <v>41</v>
      </c>
      <c r="R402" t="s">
        <v>41</v>
      </c>
      <c r="S402" t="s">
        <v>41</v>
      </c>
    </row>
    <row r="403" spans="1:19" x14ac:dyDescent="0.25">
      <c r="A403" t="s">
        <v>50</v>
      </c>
      <c r="B403" t="s">
        <v>51</v>
      </c>
      <c r="C403" t="s">
        <v>147</v>
      </c>
      <c r="D403" t="s">
        <v>148</v>
      </c>
      <c r="E403" t="s">
        <v>67</v>
      </c>
      <c r="F403">
        <v>15</v>
      </c>
      <c r="M403" t="s">
        <v>41</v>
      </c>
      <c r="N403" t="s">
        <v>41</v>
      </c>
      <c r="O403" t="s">
        <v>41</v>
      </c>
      <c r="P403" t="s">
        <v>41</v>
      </c>
      <c r="Q403" t="s">
        <v>41</v>
      </c>
      <c r="R403" t="s">
        <v>41</v>
      </c>
      <c r="S403" t="s">
        <v>41</v>
      </c>
    </row>
    <row r="404" spans="1:19" x14ac:dyDescent="0.25">
      <c r="A404" t="s">
        <v>45</v>
      </c>
      <c r="B404" t="s">
        <v>46</v>
      </c>
      <c r="C404" t="s">
        <v>147</v>
      </c>
      <c r="D404" t="s">
        <v>148</v>
      </c>
      <c r="E404" t="s">
        <v>67</v>
      </c>
      <c r="F404">
        <v>28</v>
      </c>
      <c r="M404" t="s">
        <v>41</v>
      </c>
      <c r="N404" t="s">
        <v>41</v>
      </c>
      <c r="O404" t="s">
        <v>41</v>
      </c>
      <c r="P404" t="s">
        <v>41</v>
      </c>
      <c r="Q404" t="s">
        <v>41</v>
      </c>
      <c r="R404" t="s">
        <v>41</v>
      </c>
      <c r="S404" t="s">
        <v>41</v>
      </c>
    </row>
    <row r="405" spans="1:19" x14ac:dyDescent="0.25">
      <c r="A405" t="s">
        <v>48</v>
      </c>
      <c r="B405" t="s">
        <v>49</v>
      </c>
      <c r="C405" t="s">
        <v>147</v>
      </c>
      <c r="D405" t="s">
        <v>148</v>
      </c>
      <c r="E405" t="s">
        <v>67</v>
      </c>
      <c r="F405">
        <v>49</v>
      </c>
      <c r="M405" t="s">
        <v>41</v>
      </c>
      <c r="N405" t="s">
        <v>41</v>
      </c>
      <c r="O405" t="s">
        <v>41</v>
      </c>
      <c r="P405" t="s">
        <v>41</v>
      </c>
      <c r="Q405" t="s">
        <v>41</v>
      </c>
      <c r="R405" t="s">
        <v>41</v>
      </c>
      <c r="S405" t="s">
        <v>41</v>
      </c>
    </row>
    <row r="406" spans="1:19" x14ac:dyDescent="0.25">
      <c r="A406" t="s">
        <v>52</v>
      </c>
      <c r="B406" t="s">
        <v>53</v>
      </c>
      <c r="C406" t="s">
        <v>147</v>
      </c>
      <c r="D406" t="s">
        <v>148</v>
      </c>
      <c r="E406" t="s">
        <v>67</v>
      </c>
      <c r="F406">
        <v>15</v>
      </c>
      <c r="M406" t="s">
        <v>41</v>
      </c>
      <c r="N406" t="s">
        <v>41</v>
      </c>
      <c r="O406" t="s">
        <v>41</v>
      </c>
      <c r="P406" t="s">
        <v>41</v>
      </c>
      <c r="Q406" t="s">
        <v>41</v>
      </c>
      <c r="R406" t="s">
        <v>41</v>
      </c>
      <c r="S406" t="s">
        <v>41</v>
      </c>
    </row>
    <row r="407" spans="1:19" x14ac:dyDescent="0.25">
      <c r="A407" t="s">
        <v>110</v>
      </c>
      <c r="B407" t="s">
        <v>75</v>
      </c>
      <c r="C407" t="s">
        <v>151</v>
      </c>
      <c r="D407" t="s">
        <v>152</v>
      </c>
      <c r="E407" t="s">
        <v>67</v>
      </c>
      <c r="F407" t="s">
        <v>41</v>
      </c>
      <c r="M407" t="s">
        <v>41</v>
      </c>
      <c r="N407" t="s">
        <v>41</v>
      </c>
      <c r="O407" t="s">
        <v>41</v>
      </c>
      <c r="P407" t="s">
        <v>41</v>
      </c>
      <c r="Q407" t="s">
        <v>41</v>
      </c>
      <c r="R407" t="s">
        <v>41</v>
      </c>
      <c r="S407" t="s">
        <v>41</v>
      </c>
    </row>
    <row r="408" spans="1:19" x14ac:dyDescent="0.25">
      <c r="A408" t="s">
        <v>78</v>
      </c>
      <c r="B408" t="s">
        <v>51</v>
      </c>
      <c r="C408" t="s">
        <v>151</v>
      </c>
      <c r="D408" t="s">
        <v>152</v>
      </c>
      <c r="E408" t="s">
        <v>67</v>
      </c>
      <c r="F408">
        <v>68.3</v>
      </c>
      <c r="M408" t="s">
        <v>41</v>
      </c>
      <c r="N408" t="s">
        <v>41</v>
      </c>
      <c r="O408" t="s">
        <v>41</v>
      </c>
      <c r="P408" t="s">
        <v>41</v>
      </c>
      <c r="Q408" t="s">
        <v>41</v>
      </c>
      <c r="R408" t="s">
        <v>41</v>
      </c>
      <c r="S408" t="s">
        <v>41</v>
      </c>
    </row>
    <row r="409" spans="1:19" x14ac:dyDescent="0.25">
      <c r="A409" t="s">
        <v>79</v>
      </c>
      <c r="B409" t="s">
        <v>46</v>
      </c>
      <c r="C409" t="s">
        <v>151</v>
      </c>
      <c r="D409" t="s">
        <v>152</v>
      </c>
      <c r="E409" t="s">
        <v>67</v>
      </c>
      <c r="F409" t="s">
        <v>41</v>
      </c>
      <c r="M409" t="s">
        <v>41</v>
      </c>
      <c r="N409" t="s">
        <v>41</v>
      </c>
      <c r="O409" t="s">
        <v>41</v>
      </c>
      <c r="P409" t="s">
        <v>41</v>
      </c>
      <c r="Q409" t="s">
        <v>41</v>
      </c>
      <c r="R409" t="s">
        <v>41</v>
      </c>
      <c r="S409" t="s">
        <v>41</v>
      </c>
    </row>
    <row r="410" spans="1:19" x14ac:dyDescent="0.25">
      <c r="A410" t="s">
        <v>82</v>
      </c>
      <c r="B410" t="s">
        <v>49</v>
      </c>
      <c r="C410" t="s">
        <v>151</v>
      </c>
      <c r="D410" t="s">
        <v>152</v>
      </c>
      <c r="E410" t="s">
        <v>67</v>
      </c>
      <c r="F410" t="s">
        <v>41</v>
      </c>
      <c r="M410" t="s">
        <v>41</v>
      </c>
      <c r="N410" t="s">
        <v>41</v>
      </c>
      <c r="O410" t="s">
        <v>41</v>
      </c>
      <c r="P410" t="s">
        <v>41</v>
      </c>
      <c r="Q410" t="s">
        <v>41</v>
      </c>
      <c r="R410" t="s">
        <v>41</v>
      </c>
      <c r="S410" t="s">
        <v>41</v>
      </c>
    </row>
    <row r="411" spans="1:19" x14ac:dyDescent="0.25">
      <c r="A411" t="s">
        <v>83</v>
      </c>
      <c r="B411" t="s">
        <v>53</v>
      </c>
      <c r="C411" t="s">
        <v>151</v>
      </c>
      <c r="D411" t="s">
        <v>152</v>
      </c>
      <c r="E411" t="s">
        <v>67</v>
      </c>
      <c r="F411">
        <v>62.4</v>
      </c>
      <c r="M411" t="s">
        <v>41</v>
      </c>
      <c r="N411" t="s">
        <v>41</v>
      </c>
      <c r="O411" t="s">
        <v>41</v>
      </c>
      <c r="P411" t="s">
        <v>41</v>
      </c>
      <c r="Q411" t="s">
        <v>41</v>
      </c>
      <c r="R411" t="s">
        <v>41</v>
      </c>
      <c r="S411" t="s">
        <v>41</v>
      </c>
    </row>
    <row r="412" spans="1:19" x14ac:dyDescent="0.25">
      <c r="A412" t="s">
        <v>110</v>
      </c>
      <c r="B412" t="s">
        <v>75</v>
      </c>
      <c r="C412" t="s">
        <v>154</v>
      </c>
      <c r="D412" t="s">
        <v>155</v>
      </c>
      <c r="E412" t="s">
        <v>67</v>
      </c>
      <c r="F412" t="s">
        <v>41</v>
      </c>
      <c r="M412" t="s">
        <v>41</v>
      </c>
      <c r="N412" t="s">
        <v>41</v>
      </c>
      <c r="O412" t="s">
        <v>41</v>
      </c>
      <c r="P412" t="s">
        <v>41</v>
      </c>
      <c r="Q412" t="s">
        <v>41</v>
      </c>
      <c r="R412" t="s">
        <v>41</v>
      </c>
      <c r="S412" t="s">
        <v>41</v>
      </c>
    </row>
    <row r="413" spans="1:19" x14ac:dyDescent="0.25">
      <c r="A413" t="s">
        <v>78</v>
      </c>
      <c r="B413" t="s">
        <v>51</v>
      </c>
      <c r="C413" t="s">
        <v>154</v>
      </c>
      <c r="D413" t="s">
        <v>155</v>
      </c>
      <c r="E413" t="s">
        <v>67</v>
      </c>
      <c r="F413">
        <v>31.7</v>
      </c>
      <c r="M413" t="s">
        <v>41</v>
      </c>
      <c r="N413" t="s">
        <v>41</v>
      </c>
      <c r="O413" t="s">
        <v>41</v>
      </c>
      <c r="P413" t="s">
        <v>41</v>
      </c>
      <c r="Q413" t="s">
        <v>41</v>
      </c>
      <c r="R413" t="s">
        <v>41</v>
      </c>
      <c r="S413" t="s">
        <v>41</v>
      </c>
    </row>
    <row r="414" spans="1:19" x14ac:dyDescent="0.25">
      <c r="A414" t="s">
        <v>79</v>
      </c>
      <c r="B414" t="s">
        <v>46</v>
      </c>
      <c r="C414" t="s">
        <v>154</v>
      </c>
      <c r="D414" t="s">
        <v>155</v>
      </c>
      <c r="E414" t="s">
        <v>67</v>
      </c>
      <c r="F414" t="s">
        <v>41</v>
      </c>
      <c r="M414" t="s">
        <v>41</v>
      </c>
      <c r="N414" t="s">
        <v>41</v>
      </c>
      <c r="O414" t="s">
        <v>41</v>
      </c>
      <c r="P414" t="s">
        <v>41</v>
      </c>
      <c r="Q414" t="s">
        <v>41</v>
      </c>
      <c r="R414" t="s">
        <v>41</v>
      </c>
      <c r="S414" t="s">
        <v>41</v>
      </c>
    </row>
    <row r="415" spans="1:19" x14ac:dyDescent="0.25">
      <c r="A415" t="s">
        <v>82</v>
      </c>
      <c r="B415" t="s">
        <v>49</v>
      </c>
      <c r="C415" t="s">
        <v>154</v>
      </c>
      <c r="D415" t="s">
        <v>155</v>
      </c>
      <c r="E415" t="s">
        <v>67</v>
      </c>
      <c r="F415" t="s">
        <v>41</v>
      </c>
      <c r="M415" t="s">
        <v>41</v>
      </c>
      <c r="N415" t="s">
        <v>41</v>
      </c>
      <c r="O415" t="s">
        <v>41</v>
      </c>
      <c r="P415" t="s">
        <v>41</v>
      </c>
      <c r="Q415" t="s">
        <v>41</v>
      </c>
      <c r="R415" t="s">
        <v>41</v>
      </c>
      <c r="S415" t="s">
        <v>41</v>
      </c>
    </row>
    <row r="416" spans="1:19" x14ac:dyDescent="0.25">
      <c r="A416" t="s">
        <v>83</v>
      </c>
      <c r="B416" t="s">
        <v>53</v>
      </c>
      <c r="C416" t="s">
        <v>154</v>
      </c>
      <c r="D416" t="s">
        <v>155</v>
      </c>
      <c r="E416" t="s">
        <v>67</v>
      </c>
      <c r="F416" t="s">
        <v>41</v>
      </c>
      <c r="M416" t="s">
        <v>41</v>
      </c>
      <c r="N416" t="s">
        <v>41</v>
      </c>
      <c r="O416" t="s">
        <v>41</v>
      </c>
      <c r="P416" t="s">
        <v>41</v>
      </c>
      <c r="Q416" t="s">
        <v>41</v>
      </c>
      <c r="R416" t="s">
        <v>41</v>
      </c>
      <c r="S416" t="s">
        <v>41</v>
      </c>
    </row>
    <row r="417" spans="1:19" x14ac:dyDescent="0.25">
      <c r="A417" t="s">
        <v>157</v>
      </c>
      <c r="B417" t="s">
        <v>81</v>
      </c>
      <c r="C417" t="s">
        <v>158</v>
      </c>
      <c r="D417" t="s">
        <v>159</v>
      </c>
      <c r="E417" t="s">
        <v>67</v>
      </c>
      <c r="F417">
        <v>36274</v>
      </c>
      <c r="M417" t="s">
        <v>41</v>
      </c>
      <c r="N417" t="s">
        <v>41</v>
      </c>
      <c r="O417" t="s">
        <v>41</v>
      </c>
      <c r="P417" t="s">
        <v>41</v>
      </c>
      <c r="Q417" t="s">
        <v>41</v>
      </c>
      <c r="R417" t="s">
        <v>41</v>
      </c>
      <c r="S417" t="s">
        <v>41</v>
      </c>
    </row>
    <row r="418" spans="1:19" x14ac:dyDescent="0.25">
      <c r="A418" t="s">
        <v>160</v>
      </c>
      <c r="B418" t="s">
        <v>64</v>
      </c>
      <c r="C418" t="s">
        <v>158</v>
      </c>
      <c r="D418" t="s">
        <v>159</v>
      </c>
      <c r="E418" t="s">
        <v>67</v>
      </c>
      <c r="F418" t="s">
        <v>41</v>
      </c>
      <c r="M418" t="s">
        <v>41</v>
      </c>
      <c r="N418" t="s">
        <v>41</v>
      </c>
      <c r="O418" t="s">
        <v>41</v>
      </c>
      <c r="P418" t="s">
        <v>41</v>
      </c>
      <c r="Q418" t="s">
        <v>41</v>
      </c>
      <c r="R418" t="s">
        <v>41</v>
      </c>
      <c r="S418" t="s">
        <v>41</v>
      </c>
    </row>
    <row r="419" spans="1:19" x14ac:dyDescent="0.25">
      <c r="A419" t="s">
        <v>48</v>
      </c>
      <c r="B419" t="s">
        <v>49</v>
      </c>
      <c r="C419" t="s">
        <v>158</v>
      </c>
      <c r="D419" t="s">
        <v>159</v>
      </c>
      <c r="E419" t="s">
        <v>67</v>
      </c>
      <c r="F419">
        <v>11581.67619</v>
      </c>
      <c r="M419" t="s">
        <v>41</v>
      </c>
      <c r="N419" t="s">
        <v>41</v>
      </c>
      <c r="O419" t="s">
        <v>41</v>
      </c>
      <c r="P419" t="s">
        <v>41</v>
      </c>
      <c r="Q419" t="s">
        <v>41</v>
      </c>
      <c r="R419" t="s">
        <v>41</v>
      </c>
      <c r="S419" t="s">
        <v>41</v>
      </c>
    </row>
    <row r="420" spans="1:19" x14ac:dyDescent="0.25">
      <c r="A420" t="s">
        <v>161</v>
      </c>
      <c r="B420" t="s">
        <v>75</v>
      </c>
      <c r="C420" t="s">
        <v>158</v>
      </c>
      <c r="D420" t="s">
        <v>159</v>
      </c>
      <c r="E420" t="s">
        <v>67</v>
      </c>
      <c r="F420">
        <v>12726</v>
      </c>
      <c r="M420" t="s">
        <v>41</v>
      </c>
      <c r="N420" t="s">
        <v>41</v>
      </c>
      <c r="O420" t="s">
        <v>41</v>
      </c>
      <c r="P420" t="s">
        <v>41</v>
      </c>
      <c r="Q420" t="s">
        <v>41</v>
      </c>
      <c r="R420" t="s">
        <v>41</v>
      </c>
      <c r="S420" t="s">
        <v>41</v>
      </c>
    </row>
    <row r="421" spans="1:19" x14ac:dyDescent="0.25">
      <c r="A421" t="s">
        <v>45</v>
      </c>
      <c r="B421" t="s">
        <v>46</v>
      </c>
      <c r="C421" t="s">
        <v>158</v>
      </c>
      <c r="D421" t="s">
        <v>159</v>
      </c>
      <c r="E421" t="s">
        <v>67</v>
      </c>
      <c r="F421">
        <v>7874.0806000000002</v>
      </c>
      <c r="M421" t="s">
        <v>41</v>
      </c>
      <c r="N421" t="s">
        <v>41</v>
      </c>
      <c r="O421" t="s">
        <v>41</v>
      </c>
      <c r="P421" t="s">
        <v>41</v>
      </c>
      <c r="Q421" t="s">
        <v>41</v>
      </c>
      <c r="R421" t="s">
        <v>41</v>
      </c>
      <c r="S421" t="s">
        <v>41</v>
      </c>
    </row>
    <row r="422" spans="1:19" x14ac:dyDescent="0.25">
      <c r="A422" t="s">
        <v>52</v>
      </c>
      <c r="B422" t="s">
        <v>53</v>
      </c>
      <c r="C422" t="s">
        <v>158</v>
      </c>
      <c r="D422" t="s">
        <v>159</v>
      </c>
      <c r="E422" t="s">
        <v>67</v>
      </c>
      <c r="F422">
        <v>4971.0397999999996</v>
      </c>
      <c r="M422" t="s">
        <v>41</v>
      </c>
      <c r="N422" t="s">
        <v>41</v>
      </c>
      <c r="O422" t="s">
        <v>41</v>
      </c>
      <c r="P422" t="s">
        <v>41</v>
      </c>
      <c r="Q422" t="s">
        <v>41</v>
      </c>
      <c r="R422" t="s">
        <v>41</v>
      </c>
      <c r="S422" t="s">
        <v>41</v>
      </c>
    </row>
    <row r="423" spans="1:19" x14ac:dyDescent="0.25">
      <c r="A423" t="s">
        <v>50</v>
      </c>
      <c r="B423" t="s">
        <v>51</v>
      </c>
      <c r="C423" t="s">
        <v>158</v>
      </c>
      <c r="D423" t="s">
        <v>159</v>
      </c>
      <c r="E423" t="s">
        <v>67</v>
      </c>
      <c r="F423" t="s">
        <v>41</v>
      </c>
      <c r="M423" t="s">
        <v>41</v>
      </c>
      <c r="N423" t="s">
        <v>41</v>
      </c>
      <c r="O423" t="s">
        <v>41</v>
      </c>
      <c r="P423" t="s">
        <v>41</v>
      </c>
      <c r="Q423" t="s">
        <v>41</v>
      </c>
      <c r="R423" t="s">
        <v>41</v>
      </c>
      <c r="S423" t="s">
        <v>41</v>
      </c>
    </row>
    <row r="424" spans="1:19" x14ac:dyDescent="0.25">
      <c r="A424" t="s">
        <v>157</v>
      </c>
      <c r="B424" t="s">
        <v>81</v>
      </c>
      <c r="C424" t="s">
        <v>158</v>
      </c>
      <c r="D424" t="s">
        <v>159</v>
      </c>
      <c r="E424" t="s">
        <v>67</v>
      </c>
      <c r="F424">
        <v>24443</v>
      </c>
      <c r="M424" t="s">
        <v>41</v>
      </c>
      <c r="N424" t="s">
        <v>41</v>
      </c>
      <c r="O424" t="s">
        <v>41</v>
      </c>
      <c r="P424" t="s">
        <v>41</v>
      </c>
      <c r="Q424" t="s">
        <v>41</v>
      </c>
      <c r="R424" t="s">
        <v>41</v>
      </c>
      <c r="S424" t="s">
        <v>41</v>
      </c>
    </row>
    <row r="425" spans="1:19" x14ac:dyDescent="0.25">
      <c r="A425" t="s">
        <v>160</v>
      </c>
      <c r="B425" t="s">
        <v>64</v>
      </c>
      <c r="C425" t="s">
        <v>158</v>
      </c>
      <c r="D425" t="s">
        <v>159</v>
      </c>
      <c r="E425" t="s">
        <v>67</v>
      </c>
      <c r="F425" t="s">
        <v>41</v>
      </c>
      <c r="M425" t="s">
        <v>41</v>
      </c>
      <c r="N425" t="s">
        <v>41</v>
      </c>
      <c r="O425" t="s">
        <v>41</v>
      </c>
      <c r="P425" t="s">
        <v>41</v>
      </c>
      <c r="Q425" t="s">
        <v>41</v>
      </c>
      <c r="R425" t="s">
        <v>41</v>
      </c>
      <c r="S425" t="s">
        <v>41</v>
      </c>
    </row>
    <row r="426" spans="1:19" x14ac:dyDescent="0.25">
      <c r="A426" t="s">
        <v>165</v>
      </c>
      <c r="B426" t="s">
        <v>166</v>
      </c>
      <c r="C426" t="s">
        <v>167</v>
      </c>
      <c r="D426" t="s">
        <v>168</v>
      </c>
      <c r="E426" t="s">
        <v>67</v>
      </c>
      <c r="F426">
        <v>6451.0690999999997</v>
      </c>
      <c r="M426" t="s">
        <v>41</v>
      </c>
      <c r="N426" t="s">
        <v>41</v>
      </c>
      <c r="O426" t="s">
        <v>41</v>
      </c>
      <c r="P426" t="s">
        <v>41</v>
      </c>
      <c r="Q426" t="s">
        <v>41</v>
      </c>
      <c r="R426" t="s">
        <v>41</v>
      </c>
      <c r="S426" t="s">
        <v>41</v>
      </c>
    </row>
    <row r="427" spans="1:19" x14ac:dyDescent="0.25">
      <c r="A427" t="s">
        <v>48</v>
      </c>
      <c r="B427" t="s">
        <v>49</v>
      </c>
      <c r="C427" t="s">
        <v>158</v>
      </c>
      <c r="D427" t="s">
        <v>159</v>
      </c>
      <c r="E427" t="s">
        <v>67</v>
      </c>
      <c r="F427">
        <v>6776.2770799999998</v>
      </c>
      <c r="M427" t="s">
        <v>41</v>
      </c>
      <c r="N427" t="s">
        <v>41</v>
      </c>
      <c r="O427" t="s">
        <v>41</v>
      </c>
      <c r="P427" t="s">
        <v>41</v>
      </c>
      <c r="Q427" t="s">
        <v>41</v>
      </c>
      <c r="R427" t="s">
        <v>41</v>
      </c>
      <c r="S427" t="s">
        <v>41</v>
      </c>
    </row>
    <row r="428" spans="1:19" x14ac:dyDescent="0.25">
      <c r="A428" t="s">
        <v>52</v>
      </c>
      <c r="B428" t="s">
        <v>53</v>
      </c>
      <c r="C428" t="s">
        <v>158</v>
      </c>
      <c r="D428" t="s">
        <v>159</v>
      </c>
      <c r="E428" t="s">
        <v>67</v>
      </c>
      <c r="F428">
        <v>2044.1258</v>
      </c>
      <c r="M428" t="s">
        <v>41</v>
      </c>
      <c r="N428" t="s">
        <v>41</v>
      </c>
      <c r="O428" t="s">
        <v>41</v>
      </c>
      <c r="P428" t="s">
        <v>41</v>
      </c>
      <c r="Q428" t="s">
        <v>41</v>
      </c>
      <c r="R428" t="s">
        <v>41</v>
      </c>
      <c r="S428" t="s">
        <v>41</v>
      </c>
    </row>
    <row r="429" spans="1:19" x14ac:dyDescent="0.25">
      <c r="A429" t="s">
        <v>161</v>
      </c>
      <c r="B429" t="s">
        <v>75</v>
      </c>
      <c r="C429" t="s">
        <v>158</v>
      </c>
      <c r="D429" t="s">
        <v>159</v>
      </c>
      <c r="E429" t="s">
        <v>67</v>
      </c>
      <c r="F429">
        <v>3004</v>
      </c>
      <c r="M429" t="s">
        <v>41</v>
      </c>
      <c r="N429" t="s">
        <v>41</v>
      </c>
      <c r="O429" t="s">
        <v>41</v>
      </c>
      <c r="P429" t="s">
        <v>41</v>
      </c>
      <c r="Q429" t="s">
        <v>41</v>
      </c>
      <c r="R429" t="s">
        <v>41</v>
      </c>
      <c r="S429" t="s">
        <v>41</v>
      </c>
    </row>
    <row r="430" spans="1:19" x14ac:dyDescent="0.25">
      <c r="A430" t="s">
        <v>45</v>
      </c>
      <c r="B430" t="s">
        <v>46</v>
      </c>
      <c r="C430" t="s">
        <v>158</v>
      </c>
      <c r="D430" t="s">
        <v>159</v>
      </c>
      <c r="E430" t="s">
        <v>67</v>
      </c>
      <c r="F430">
        <v>3092.2348000000002</v>
      </c>
      <c r="M430" t="s">
        <v>41</v>
      </c>
      <c r="N430" t="s">
        <v>41</v>
      </c>
      <c r="O430" t="s">
        <v>41</v>
      </c>
      <c r="P430" t="s">
        <v>41</v>
      </c>
      <c r="Q430" t="s">
        <v>41</v>
      </c>
      <c r="R430" t="s">
        <v>41</v>
      </c>
      <c r="S430" t="s">
        <v>41</v>
      </c>
    </row>
    <row r="431" spans="1:19" x14ac:dyDescent="0.25">
      <c r="A431" t="s">
        <v>50</v>
      </c>
      <c r="B431" t="s">
        <v>51</v>
      </c>
      <c r="C431" t="s">
        <v>158</v>
      </c>
      <c r="D431" t="s">
        <v>159</v>
      </c>
      <c r="E431" t="s">
        <v>67</v>
      </c>
      <c r="F431">
        <v>2726.7420000000002</v>
      </c>
      <c r="M431" t="s">
        <v>41</v>
      </c>
      <c r="N431" t="s">
        <v>41</v>
      </c>
      <c r="O431" t="s">
        <v>41</v>
      </c>
      <c r="P431" t="s">
        <v>41</v>
      </c>
      <c r="Q431" t="s">
        <v>41</v>
      </c>
      <c r="R431" t="s">
        <v>41</v>
      </c>
      <c r="S431" t="s">
        <v>41</v>
      </c>
    </row>
    <row r="432" spans="1:19" x14ac:dyDescent="0.25">
      <c r="A432" t="s">
        <v>157</v>
      </c>
      <c r="B432" t="s">
        <v>81</v>
      </c>
      <c r="C432" t="s">
        <v>158</v>
      </c>
      <c r="D432" t="s">
        <v>159</v>
      </c>
      <c r="E432" t="s">
        <v>67</v>
      </c>
      <c r="F432">
        <v>16430</v>
      </c>
      <c r="M432" t="s">
        <v>41</v>
      </c>
      <c r="N432" t="s">
        <v>41</v>
      </c>
      <c r="O432" t="s">
        <v>41</v>
      </c>
      <c r="P432" t="s">
        <v>41</v>
      </c>
      <c r="Q432" t="s">
        <v>41</v>
      </c>
      <c r="R432" t="s">
        <v>41</v>
      </c>
      <c r="S432" t="s">
        <v>41</v>
      </c>
    </row>
    <row r="433" spans="1:19" x14ac:dyDescent="0.25">
      <c r="A433" t="s">
        <v>160</v>
      </c>
      <c r="B433" t="s">
        <v>64</v>
      </c>
      <c r="C433" t="s">
        <v>158</v>
      </c>
      <c r="D433" t="s">
        <v>159</v>
      </c>
      <c r="E433" t="s">
        <v>67</v>
      </c>
      <c r="F433" t="s">
        <v>41</v>
      </c>
      <c r="M433" t="s">
        <v>41</v>
      </c>
      <c r="N433" t="s">
        <v>41</v>
      </c>
      <c r="O433" t="s">
        <v>41</v>
      </c>
      <c r="P433" t="s">
        <v>41</v>
      </c>
      <c r="Q433" t="s">
        <v>41</v>
      </c>
      <c r="R433" t="s">
        <v>41</v>
      </c>
      <c r="S433" t="s">
        <v>41</v>
      </c>
    </row>
    <row r="434" spans="1:19" x14ac:dyDescent="0.25">
      <c r="A434" t="s">
        <v>48</v>
      </c>
      <c r="B434" t="s">
        <v>49</v>
      </c>
      <c r="C434" t="s">
        <v>158</v>
      </c>
      <c r="D434" t="s">
        <v>159</v>
      </c>
      <c r="E434" t="s">
        <v>67</v>
      </c>
      <c r="F434">
        <v>2059.45676</v>
      </c>
      <c r="M434" t="s">
        <v>41</v>
      </c>
      <c r="N434" t="s">
        <v>41</v>
      </c>
      <c r="O434" t="s">
        <v>41</v>
      </c>
      <c r="P434" t="s">
        <v>41</v>
      </c>
      <c r="Q434" t="s">
        <v>41</v>
      </c>
      <c r="R434" t="s">
        <v>41</v>
      </c>
      <c r="S434" t="s">
        <v>41</v>
      </c>
    </row>
    <row r="435" spans="1:19" x14ac:dyDescent="0.25">
      <c r="A435" t="s">
        <v>52</v>
      </c>
      <c r="B435" t="s">
        <v>53</v>
      </c>
      <c r="C435" t="s">
        <v>158</v>
      </c>
      <c r="D435" t="s">
        <v>159</v>
      </c>
      <c r="E435" t="s">
        <v>67</v>
      </c>
      <c r="F435">
        <v>1214.0930000000001</v>
      </c>
      <c r="M435" t="s">
        <v>41</v>
      </c>
      <c r="N435" t="s">
        <v>41</v>
      </c>
      <c r="O435" t="s">
        <v>41</v>
      </c>
      <c r="P435" t="s">
        <v>41</v>
      </c>
      <c r="Q435" t="s">
        <v>41</v>
      </c>
      <c r="R435" t="s">
        <v>41</v>
      </c>
      <c r="S435" t="s">
        <v>41</v>
      </c>
    </row>
    <row r="436" spans="1:19" x14ac:dyDescent="0.25">
      <c r="A436" t="s">
        <v>52</v>
      </c>
      <c r="B436" t="s">
        <v>53</v>
      </c>
      <c r="C436" t="s">
        <v>158</v>
      </c>
      <c r="D436" t="s">
        <v>159</v>
      </c>
      <c r="E436" t="s">
        <v>67</v>
      </c>
      <c r="F436">
        <v>425.51389999999998</v>
      </c>
      <c r="M436" t="s">
        <v>41</v>
      </c>
      <c r="N436" t="s">
        <v>41</v>
      </c>
      <c r="O436" t="s">
        <v>41</v>
      </c>
      <c r="P436" t="s">
        <v>41</v>
      </c>
      <c r="Q436" t="s">
        <v>41</v>
      </c>
      <c r="R436" t="s">
        <v>41</v>
      </c>
      <c r="S436" t="s">
        <v>41</v>
      </c>
    </row>
    <row r="437" spans="1:19" x14ac:dyDescent="0.25">
      <c r="A437" t="s">
        <v>48</v>
      </c>
      <c r="B437" t="s">
        <v>49</v>
      </c>
      <c r="C437" t="s">
        <v>158</v>
      </c>
      <c r="D437" t="s">
        <v>159</v>
      </c>
      <c r="E437" t="s">
        <v>67</v>
      </c>
      <c r="F437">
        <v>1262.2476899999999</v>
      </c>
      <c r="M437" t="s">
        <v>41</v>
      </c>
      <c r="N437" t="s">
        <v>41</v>
      </c>
      <c r="O437" t="s">
        <v>41</v>
      </c>
      <c r="P437" t="s">
        <v>41</v>
      </c>
      <c r="Q437" t="s">
        <v>41</v>
      </c>
      <c r="R437" t="s">
        <v>41</v>
      </c>
      <c r="S437" t="s">
        <v>41</v>
      </c>
    </row>
    <row r="438" spans="1:19" x14ac:dyDescent="0.25">
      <c r="A438" t="s">
        <v>50</v>
      </c>
      <c r="B438" t="s">
        <v>51</v>
      </c>
      <c r="C438" t="s">
        <v>158</v>
      </c>
      <c r="D438" t="s">
        <v>159</v>
      </c>
      <c r="E438" t="s">
        <v>67</v>
      </c>
      <c r="F438">
        <v>330.76900000000001</v>
      </c>
      <c r="M438" t="s">
        <v>41</v>
      </c>
      <c r="N438" t="s">
        <v>41</v>
      </c>
      <c r="O438" t="s">
        <v>41</v>
      </c>
      <c r="P438" t="s">
        <v>41</v>
      </c>
      <c r="Q438" t="s">
        <v>41</v>
      </c>
      <c r="R438" t="s">
        <v>41</v>
      </c>
      <c r="S438" t="s">
        <v>41</v>
      </c>
    </row>
    <row r="439" spans="1:19" x14ac:dyDescent="0.25">
      <c r="A439" t="s">
        <v>45</v>
      </c>
      <c r="B439" t="s">
        <v>46</v>
      </c>
      <c r="C439" t="s">
        <v>158</v>
      </c>
      <c r="D439" t="s">
        <v>159</v>
      </c>
      <c r="E439" t="s">
        <v>67</v>
      </c>
      <c r="F439">
        <v>333.6893</v>
      </c>
      <c r="M439" t="s">
        <v>41</v>
      </c>
      <c r="N439" t="s">
        <v>41</v>
      </c>
      <c r="O439" t="s">
        <v>41</v>
      </c>
      <c r="P439" t="s">
        <v>41</v>
      </c>
      <c r="Q439" t="s">
        <v>41</v>
      </c>
      <c r="R439" t="s">
        <v>41</v>
      </c>
      <c r="S439" t="s">
        <v>41</v>
      </c>
    </row>
    <row r="440" spans="1:19" x14ac:dyDescent="0.25">
      <c r="A440" t="s">
        <v>160</v>
      </c>
      <c r="B440" t="s">
        <v>64</v>
      </c>
      <c r="C440" t="s">
        <v>158</v>
      </c>
      <c r="D440" t="s">
        <v>159</v>
      </c>
      <c r="E440" t="s">
        <v>67</v>
      </c>
      <c r="F440">
        <v>8493.8189999999995</v>
      </c>
      <c r="M440" t="s">
        <v>41</v>
      </c>
      <c r="N440" t="s">
        <v>41</v>
      </c>
      <c r="O440" t="s">
        <v>41</v>
      </c>
      <c r="P440" t="s">
        <v>41</v>
      </c>
      <c r="Q440" t="s">
        <v>41</v>
      </c>
      <c r="R440" t="s">
        <v>41</v>
      </c>
      <c r="S440" t="s">
        <v>41</v>
      </c>
    </row>
    <row r="441" spans="1:19" x14ac:dyDescent="0.25">
      <c r="A441" t="s">
        <v>48</v>
      </c>
      <c r="B441" t="s">
        <v>49</v>
      </c>
      <c r="C441" t="s">
        <v>158</v>
      </c>
      <c r="D441" t="s">
        <v>159</v>
      </c>
      <c r="E441" t="s">
        <v>67</v>
      </c>
      <c r="F441" t="s">
        <v>41</v>
      </c>
      <c r="M441" t="s">
        <v>41</v>
      </c>
      <c r="N441" t="s">
        <v>41</v>
      </c>
      <c r="O441" t="s">
        <v>41</v>
      </c>
      <c r="P441" t="s">
        <v>41</v>
      </c>
      <c r="Q441" t="s">
        <v>41</v>
      </c>
      <c r="R441" t="s">
        <v>41</v>
      </c>
      <c r="S441" t="s">
        <v>41</v>
      </c>
    </row>
    <row r="442" spans="1:19" x14ac:dyDescent="0.25">
      <c r="A442" t="s">
        <v>161</v>
      </c>
      <c r="B442" t="s">
        <v>75</v>
      </c>
      <c r="C442" t="s">
        <v>158</v>
      </c>
      <c r="D442" t="s">
        <v>159</v>
      </c>
      <c r="E442" t="s">
        <v>67</v>
      </c>
      <c r="F442" t="s">
        <v>41</v>
      </c>
      <c r="M442" t="s">
        <v>41</v>
      </c>
      <c r="N442" t="s">
        <v>41</v>
      </c>
      <c r="O442" t="s">
        <v>41</v>
      </c>
      <c r="P442" t="s">
        <v>41</v>
      </c>
      <c r="Q442" t="s">
        <v>41</v>
      </c>
      <c r="R442" t="s">
        <v>41</v>
      </c>
      <c r="S442" t="s">
        <v>41</v>
      </c>
    </row>
    <row r="443" spans="1:19" x14ac:dyDescent="0.25">
      <c r="A443" t="s">
        <v>45</v>
      </c>
      <c r="B443" t="s">
        <v>46</v>
      </c>
      <c r="C443" t="s">
        <v>158</v>
      </c>
      <c r="D443" t="s">
        <v>159</v>
      </c>
      <c r="E443" t="s">
        <v>67</v>
      </c>
      <c r="F443" t="s">
        <v>41</v>
      </c>
      <c r="M443" t="s">
        <v>41</v>
      </c>
      <c r="N443" t="s">
        <v>41</v>
      </c>
      <c r="O443" t="s">
        <v>41</v>
      </c>
      <c r="P443" t="s">
        <v>41</v>
      </c>
      <c r="Q443" t="s">
        <v>41</v>
      </c>
      <c r="R443" t="s">
        <v>41</v>
      </c>
      <c r="S443" t="s">
        <v>41</v>
      </c>
    </row>
    <row r="444" spans="1:19" x14ac:dyDescent="0.25">
      <c r="A444" t="s">
        <v>52</v>
      </c>
      <c r="B444" t="s">
        <v>53</v>
      </c>
      <c r="C444" t="s">
        <v>158</v>
      </c>
      <c r="D444" t="s">
        <v>159</v>
      </c>
      <c r="E444" t="s">
        <v>67</v>
      </c>
      <c r="F444">
        <v>2682.9794999999999</v>
      </c>
      <c r="M444" t="s">
        <v>41</v>
      </c>
      <c r="N444" t="s">
        <v>41</v>
      </c>
      <c r="O444" t="s">
        <v>41</v>
      </c>
      <c r="P444" t="s">
        <v>41</v>
      </c>
      <c r="Q444" t="s">
        <v>41</v>
      </c>
      <c r="R444" t="s">
        <v>41</v>
      </c>
      <c r="S444" t="s">
        <v>41</v>
      </c>
    </row>
    <row r="445" spans="1:19" x14ac:dyDescent="0.25">
      <c r="A445" t="s">
        <v>160</v>
      </c>
      <c r="B445" t="s">
        <v>64</v>
      </c>
      <c r="C445" t="s">
        <v>158</v>
      </c>
      <c r="D445" t="s">
        <v>159</v>
      </c>
      <c r="E445" t="s">
        <v>67</v>
      </c>
      <c r="F445" t="s">
        <v>41</v>
      </c>
      <c r="M445" t="s">
        <v>41</v>
      </c>
      <c r="N445" t="s">
        <v>41</v>
      </c>
      <c r="O445" t="s">
        <v>41</v>
      </c>
      <c r="P445" t="s">
        <v>41</v>
      </c>
      <c r="Q445" t="s">
        <v>41</v>
      </c>
      <c r="R445" t="s">
        <v>41</v>
      </c>
      <c r="S445" t="s">
        <v>41</v>
      </c>
    </row>
    <row r="446" spans="1:19" x14ac:dyDescent="0.25">
      <c r="A446" t="s">
        <v>161</v>
      </c>
      <c r="B446" t="s">
        <v>75</v>
      </c>
      <c r="C446" t="s">
        <v>158</v>
      </c>
      <c r="D446" t="s">
        <v>159</v>
      </c>
      <c r="E446" t="s">
        <v>67</v>
      </c>
      <c r="F446" t="s">
        <v>41</v>
      </c>
      <c r="M446" t="s">
        <v>41</v>
      </c>
      <c r="N446" t="s">
        <v>41</v>
      </c>
      <c r="O446" t="s">
        <v>41</v>
      </c>
      <c r="P446" t="s">
        <v>41</v>
      </c>
      <c r="Q446" t="s">
        <v>41</v>
      </c>
      <c r="R446" t="s">
        <v>41</v>
      </c>
      <c r="S446" t="s">
        <v>41</v>
      </c>
    </row>
    <row r="447" spans="1:19" x14ac:dyDescent="0.25">
      <c r="A447" t="s">
        <v>52</v>
      </c>
      <c r="B447" t="s">
        <v>53</v>
      </c>
      <c r="C447" t="s">
        <v>158</v>
      </c>
      <c r="D447" t="s">
        <v>159</v>
      </c>
      <c r="E447" t="s">
        <v>67</v>
      </c>
      <c r="F447">
        <v>2682.9794999999999</v>
      </c>
      <c r="M447" t="s">
        <v>41</v>
      </c>
      <c r="N447" t="s">
        <v>41</v>
      </c>
      <c r="O447" t="s">
        <v>41</v>
      </c>
      <c r="P447" t="s">
        <v>41</v>
      </c>
      <c r="Q447" t="s">
        <v>41</v>
      </c>
      <c r="R447" t="s">
        <v>41</v>
      </c>
      <c r="S447" t="s">
        <v>41</v>
      </c>
    </row>
    <row r="448" spans="1:19" x14ac:dyDescent="0.25">
      <c r="A448" t="s">
        <v>48</v>
      </c>
      <c r="B448" t="s">
        <v>49</v>
      </c>
      <c r="C448" t="s">
        <v>158</v>
      </c>
      <c r="D448" t="s">
        <v>159</v>
      </c>
      <c r="E448" t="s">
        <v>67</v>
      </c>
      <c r="F448">
        <v>1838.0098</v>
      </c>
      <c r="M448" t="s">
        <v>41</v>
      </c>
      <c r="N448" t="s">
        <v>41</v>
      </c>
      <c r="O448" t="s">
        <v>41</v>
      </c>
      <c r="P448" t="s">
        <v>41</v>
      </c>
      <c r="Q448" t="s">
        <v>41</v>
      </c>
      <c r="R448" t="s">
        <v>41</v>
      </c>
      <c r="S448" t="s">
        <v>41</v>
      </c>
    </row>
    <row r="449" spans="1:19" x14ac:dyDescent="0.25">
      <c r="A449" t="s">
        <v>41</v>
      </c>
      <c r="B449" t="s">
        <v>41</v>
      </c>
      <c r="C449" t="s">
        <v>41</v>
      </c>
      <c r="D449" t="s">
        <v>41</v>
      </c>
      <c r="E449" t="s">
        <v>41</v>
      </c>
      <c r="M449" t="s">
        <v>41</v>
      </c>
      <c r="N449" t="s">
        <v>41</v>
      </c>
      <c r="O449" t="s">
        <v>41</v>
      </c>
      <c r="P449" t="s">
        <v>41</v>
      </c>
      <c r="Q449" t="s">
        <v>41</v>
      </c>
      <c r="R449" t="s">
        <v>41</v>
      </c>
      <c r="S449" t="s">
        <v>41</v>
      </c>
    </row>
    <row r="450" spans="1:19" x14ac:dyDescent="0.25">
      <c r="A450" t="s">
        <v>41</v>
      </c>
      <c r="B450" t="s">
        <v>41</v>
      </c>
      <c r="C450" t="s">
        <v>41</v>
      </c>
      <c r="D450" t="s">
        <v>41</v>
      </c>
      <c r="E450" t="s">
        <v>41</v>
      </c>
      <c r="M450" t="s">
        <v>41</v>
      </c>
      <c r="N450" t="s">
        <v>41</v>
      </c>
      <c r="O450" t="s">
        <v>41</v>
      </c>
      <c r="P450" t="s">
        <v>41</v>
      </c>
      <c r="Q450" t="s">
        <v>41</v>
      </c>
      <c r="R450" t="s">
        <v>41</v>
      </c>
      <c r="S450" t="s">
        <v>41</v>
      </c>
    </row>
    <row r="451" spans="1:19" x14ac:dyDescent="0.25">
      <c r="A451" t="s">
        <v>41</v>
      </c>
      <c r="B451" t="s">
        <v>41</v>
      </c>
      <c r="C451" t="s">
        <v>41</v>
      </c>
      <c r="D451" t="s">
        <v>41</v>
      </c>
      <c r="E451" t="s">
        <v>41</v>
      </c>
      <c r="M451" t="s">
        <v>41</v>
      </c>
      <c r="N451" t="s">
        <v>41</v>
      </c>
      <c r="O451" t="s">
        <v>41</v>
      </c>
      <c r="P451" t="s">
        <v>41</v>
      </c>
      <c r="Q451" t="s">
        <v>41</v>
      </c>
      <c r="R451" t="s">
        <v>41</v>
      </c>
      <c r="S451" t="s">
        <v>41</v>
      </c>
    </row>
    <row r="452" spans="1:19" x14ac:dyDescent="0.25">
      <c r="A452" t="s">
        <v>41</v>
      </c>
      <c r="B452" t="s">
        <v>41</v>
      </c>
      <c r="C452" t="s">
        <v>41</v>
      </c>
      <c r="D452" t="s">
        <v>41</v>
      </c>
      <c r="E452" t="s">
        <v>41</v>
      </c>
      <c r="M452" t="s">
        <v>41</v>
      </c>
      <c r="N452" t="s">
        <v>41</v>
      </c>
      <c r="O452" t="s">
        <v>41</v>
      </c>
      <c r="P452" t="s">
        <v>41</v>
      </c>
      <c r="Q452" t="s">
        <v>41</v>
      </c>
      <c r="R452" t="s">
        <v>41</v>
      </c>
      <c r="S452" t="s">
        <v>41</v>
      </c>
    </row>
    <row r="453" spans="1:19" x14ac:dyDescent="0.25">
      <c r="A453" t="s">
        <v>41</v>
      </c>
      <c r="B453" t="s">
        <v>41</v>
      </c>
      <c r="C453" t="s">
        <v>41</v>
      </c>
      <c r="D453" t="s">
        <v>41</v>
      </c>
      <c r="E453" t="s">
        <v>41</v>
      </c>
      <c r="M453" t="s">
        <v>41</v>
      </c>
      <c r="N453" t="s">
        <v>41</v>
      </c>
      <c r="O453" t="s">
        <v>41</v>
      </c>
      <c r="P453" t="s">
        <v>41</v>
      </c>
      <c r="Q453" t="s">
        <v>41</v>
      </c>
      <c r="R453" t="s">
        <v>41</v>
      </c>
      <c r="S453" t="s">
        <v>41</v>
      </c>
    </row>
    <row r="454" spans="1:19" x14ac:dyDescent="0.25">
      <c r="A454" t="s">
        <v>186</v>
      </c>
      <c r="B454" t="s">
        <v>186</v>
      </c>
      <c r="C454" t="s">
        <v>186</v>
      </c>
      <c r="D454" t="s">
        <v>186</v>
      </c>
      <c r="E454" t="s">
        <v>186</v>
      </c>
      <c r="M454" t="s">
        <v>41</v>
      </c>
      <c r="N454" t="s">
        <v>41</v>
      </c>
      <c r="O454" t="s">
        <v>41</v>
      </c>
      <c r="P454" t="s">
        <v>41</v>
      </c>
      <c r="Q454" t="s">
        <v>41</v>
      </c>
      <c r="R454" t="s">
        <v>41</v>
      </c>
      <c r="S454" t="s">
        <v>41</v>
      </c>
    </row>
    <row r="455" spans="1:19" x14ac:dyDescent="0.25">
      <c r="A455" t="s">
        <v>187</v>
      </c>
      <c r="M455" t="s">
        <v>41</v>
      </c>
      <c r="N455" t="s">
        <v>41</v>
      </c>
      <c r="O455" t="s">
        <v>41</v>
      </c>
      <c r="P455" t="s">
        <v>41</v>
      </c>
      <c r="Q455" t="s">
        <v>41</v>
      </c>
      <c r="R455" t="s">
        <v>41</v>
      </c>
      <c r="S455" t="s">
        <v>41</v>
      </c>
    </row>
    <row r="456" spans="1:19" x14ac:dyDescent="0.25">
      <c r="A456" t="s">
        <v>188</v>
      </c>
      <c r="B456">
        <v>43998</v>
      </c>
      <c r="C456" t="s">
        <v>41</v>
      </c>
      <c r="D456" t="s">
        <v>41</v>
      </c>
      <c r="E456" t="s">
        <v>41</v>
      </c>
      <c r="M456" t="s">
        <v>41</v>
      </c>
      <c r="N456" t="s">
        <v>41</v>
      </c>
      <c r="O456" t="s">
        <v>41</v>
      </c>
      <c r="P456" t="s">
        <v>41</v>
      </c>
      <c r="Q456" t="s">
        <v>41</v>
      </c>
      <c r="R456" t="s">
        <v>41</v>
      </c>
      <c r="S456" t="s">
        <v>41</v>
      </c>
    </row>
    <row r="457" spans="1:19" x14ac:dyDescent="0.25">
      <c r="A457" t="s">
        <v>189</v>
      </c>
      <c r="B457">
        <v>43998</v>
      </c>
      <c r="C457" t="s">
        <v>41</v>
      </c>
      <c r="D457" t="s">
        <v>41</v>
      </c>
      <c r="E457" t="s">
        <v>41</v>
      </c>
      <c r="M457" t="s">
        <v>41</v>
      </c>
      <c r="N457" t="s">
        <v>41</v>
      </c>
      <c r="O457" t="s">
        <v>41</v>
      </c>
      <c r="P457" t="s">
        <v>41</v>
      </c>
      <c r="Q457" t="s">
        <v>41</v>
      </c>
      <c r="R457" t="s">
        <v>41</v>
      </c>
      <c r="S457" t="s">
        <v>41</v>
      </c>
    </row>
    <row r="458" spans="1:19" x14ac:dyDescent="0.25">
      <c r="A458" t="s">
        <v>28</v>
      </c>
      <c r="B458" t="s">
        <v>29</v>
      </c>
      <c r="C458" t="s">
        <v>30</v>
      </c>
      <c r="D458" t="s">
        <v>31</v>
      </c>
      <c r="E458" t="s">
        <v>32</v>
      </c>
      <c r="M458" t="s">
        <v>41</v>
      </c>
      <c r="N458" t="s">
        <v>41</v>
      </c>
      <c r="O458" t="s">
        <v>41</v>
      </c>
      <c r="P458" t="s">
        <v>41</v>
      </c>
      <c r="Q458" t="s">
        <v>41</v>
      </c>
      <c r="R458" t="s">
        <v>41</v>
      </c>
      <c r="S458" t="s">
        <v>41</v>
      </c>
    </row>
    <row r="459" spans="1:19" x14ac:dyDescent="0.25">
      <c r="A459" t="s">
        <v>190</v>
      </c>
      <c r="B459">
        <v>43998</v>
      </c>
      <c r="C459" t="s">
        <v>41</v>
      </c>
      <c r="D459" t="s">
        <v>41</v>
      </c>
      <c r="E459" t="s">
        <v>41</v>
      </c>
      <c r="M459" t="s">
        <v>41</v>
      </c>
      <c r="N459" t="s">
        <v>41</v>
      </c>
      <c r="O459" t="s">
        <v>41</v>
      </c>
      <c r="P459" t="s">
        <v>41</v>
      </c>
      <c r="Q459" t="s">
        <v>41</v>
      </c>
      <c r="R459" t="s">
        <v>41</v>
      </c>
      <c r="S459" t="s">
        <v>41</v>
      </c>
    </row>
    <row r="460" spans="1:19" x14ac:dyDescent="0.25">
      <c r="A460" t="s">
        <v>191</v>
      </c>
      <c r="B460">
        <v>2</v>
      </c>
      <c r="C460" t="s">
        <v>39</v>
      </c>
      <c r="D460" t="s">
        <v>38</v>
      </c>
      <c r="E460" t="s">
        <v>37</v>
      </c>
      <c r="F460" t="s">
        <v>36</v>
      </c>
      <c r="G460" t="s">
        <v>35</v>
      </c>
      <c r="H460" t="s">
        <v>34</v>
      </c>
      <c r="I460" t="s">
        <v>33</v>
      </c>
      <c r="M460" t="s">
        <v>41</v>
      </c>
      <c r="N460" t="s">
        <v>41</v>
      </c>
      <c r="O460" t="s">
        <v>41</v>
      </c>
      <c r="P460" t="s">
        <v>41</v>
      </c>
      <c r="Q460" t="s">
        <v>41</v>
      </c>
      <c r="R460" t="s">
        <v>41</v>
      </c>
      <c r="S460" t="s">
        <v>41</v>
      </c>
    </row>
    <row r="461" spans="1:19" x14ac:dyDescent="0.25">
      <c r="A461" t="s">
        <v>192</v>
      </c>
      <c r="B461">
        <v>0</v>
      </c>
      <c r="C461" t="s">
        <v>193</v>
      </c>
      <c r="M461" t="s">
        <v>41</v>
      </c>
      <c r="N461" t="s">
        <v>41</v>
      </c>
      <c r="O461" t="s">
        <v>41</v>
      </c>
      <c r="P461" t="s">
        <v>41</v>
      </c>
      <c r="Q461" t="s">
        <v>41</v>
      </c>
      <c r="R461" t="s">
        <v>41</v>
      </c>
      <c r="S461" t="s">
        <v>41</v>
      </c>
    </row>
    <row r="462" spans="1:19" x14ac:dyDescent="0.25">
      <c r="A462" t="s">
        <v>194</v>
      </c>
      <c r="M462" t="s">
        <v>41</v>
      </c>
      <c r="N462" t="s">
        <v>41</v>
      </c>
      <c r="O462" t="s">
        <v>41</v>
      </c>
      <c r="P462" t="s">
        <v>41</v>
      </c>
      <c r="Q462" t="s">
        <v>41</v>
      </c>
      <c r="R462" t="s">
        <v>41</v>
      </c>
      <c r="S462" t="s">
        <v>41</v>
      </c>
    </row>
    <row r="463" spans="1:19" x14ac:dyDescent="0.25">
      <c r="A463" t="s">
        <v>195</v>
      </c>
      <c r="B463">
        <v>0</v>
      </c>
      <c r="C463" t="s">
        <v>193</v>
      </c>
      <c r="M463" t="s">
        <v>41</v>
      </c>
      <c r="N463" t="s">
        <v>41</v>
      </c>
      <c r="O463" t="s">
        <v>41</v>
      </c>
      <c r="P463" t="s">
        <v>41</v>
      </c>
      <c r="Q463" t="s">
        <v>41</v>
      </c>
      <c r="R463" t="s">
        <v>41</v>
      </c>
      <c r="S463" t="s">
        <v>41</v>
      </c>
    </row>
    <row r="464" spans="1:19" x14ac:dyDescent="0.25">
      <c r="A464" t="s">
        <v>196</v>
      </c>
      <c r="M464" t="s">
        <v>41</v>
      </c>
      <c r="N464" t="s">
        <v>41</v>
      </c>
      <c r="O464" t="s">
        <v>41</v>
      </c>
      <c r="P464" t="s">
        <v>41</v>
      </c>
      <c r="Q464" t="s">
        <v>41</v>
      </c>
      <c r="R464" t="s">
        <v>41</v>
      </c>
      <c r="S464" t="s">
        <v>41</v>
      </c>
    </row>
    <row r="465" spans="1:19" x14ac:dyDescent="0.25">
      <c r="A465" t="s">
        <v>197</v>
      </c>
      <c r="B465">
        <v>0</v>
      </c>
      <c r="C465" t="s">
        <v>193</v>
      </c>
      <c r="M465" t="s">
        <v>41</v>
      </c>
      <c r="N465" t="s">
        <v>41</v>
      </c>
      <c r="O465" t="s">
        <v>41</v>
      </c>
      <c r="P465" t="s">
        <v>41</v>
      </c>
      <c r="Q465" t="s">
        <v>41</v>
      </c>
      <c r="R465" t="s">
        <v>41</v>
      </c>
      <c r="S465" t="s">
        <v>41</v>
      </c>
    </row>
    <row r="466" spans="1:19" x14ac:dyDescent="0.25">
      <c r="A466" t="s">
        <v>198</v>
      </c>
      <c r="M466" t="s">
        <v>41</v>
      </c>
      <c r="N466" t="s">
        <v>41</v>
      </c>
      <c r="O466" t="s">
        <v>41</v>
      </c>
      <c r="P466" t="s">
        <v>41</v>
      </c>
      <c r="Q466" t="s">
        <v>41</v>
      </c>
      <c r="R466" t="s">
        <v>41</v>
      </c>
      <c r="S466" t="s">
        <v>41</v>
      </c>
    </row>
    <row r="467" spans="1:19" x14ac:dyDescent="0.25">
      <c r="A467" t="s">
        <v>199</v>
      </c>
      <c r="B467">
        <v>2</v>
      </c>
      <c r="C467" t="s">
        <v>39</v>
      </c>
      <c r="D467" t="s">
        <v>38</v>
      </c>
      <c r="E467" t="s">
        <v>37</v>
      </c>
      <c r="F467" t="s">
        <v>36</v>
      </c>
      <c r="G467" t="s">
        <v>35</v>
      </c>
      <c r="H467" t="s">
        <v>34</v>
      </c>
      <c r="I467" t="s">
        <v>33</v>
      </c>
      <c r="M467" t="s">
        <v>41</v>
      </c>
      <c r="N467" t="s">
        <v>41</v>
      </c>
      <c r="O467" t="s">
        <v>41</v>
      </c>
      <c r="P467" t="s">
        <v>41</v>
      </c>
      <c r="Q467" t="s">
        <v>41</v>
      </c>
      <c r="R467" t="s">
        <v>41</v>
      </c>
      <c r="S467" t="s">
        <v>41</v>
      </c>
    </row>
    <row r="468" spans="1:19" x14ac:dyDescent="0.25">
      <c r="A468" t="s">
        <v>200</v>
      </c>
      <c r="B468">
        <v>2</v>
      </c>
      <c r="C468" t="s">
        <v>39</v>
      </c>
      <c r="D468" t="s">
        <v>38</v>
      </c>
      <c r="E468" t="s">
        <v>37</v>
      </c>
      <c r="F468" t="s">
        <v>36</v>
      </c>
      <c r="G468" t="s">
        <v>35</v>
      </c>
      <c r="H468" t="s">
        <v>34</v>
      </c>
      <c r="I468" t="s">
        <v>33</v>
      </c>
      <c r="M468" t="s">
        <v>41</v>
      </c>
      <c r="N468" t="s">
        <v>41</v>
      </c>
      <c r="O468" t="s">
        <v>41</v>
      </c>
      <c r="P468" t="s">
        <v>41</v>
      </c>
      <c r="Q468" t="s">
        <v>41</v>
      </c>
      <c r="R468" t="s">
        <v>41</v>
      </c>
      <c r="S468" t="s">
        <v>41</v>
      </c>
    </row>
    <row r="469" spans="1:19" x14ac:dyDescent="0.25">
      <c r="A469" t="s">
        <v>201</v>
      </c>
      <c r="B469">
        <v>0</v>
      </c>
      <c r="C469" t="s">
        <v>202</v>
      </c>
      <c r="M469" t="s">
        <v>41</v>
      </c>
      <c r="N469" t="s">
        <v>41</v>
      </c>
      <c r="O469" t="s">
        <v>41</v>
      </c>
      <c r="P469" t="s">
        <v>41</v>
      </c>
      <c r="Q469" t="s">
        <v>41</v>
      </c>
      <c r="R469" t="s">
        <v>41</v>
      </c>
      <c r="S469" t="s">
        <v>41</v>
      </c>
    </row>
    <row r="470" spans="1:19" x14ac:dyDescent="0.25">
      <c r="A470" t="s">
        <v>203</v>
      </c>
      <c r="M470" t="s">
        <v>41</v>
      </c>
      <c r="N470" t="s">
        <v>41</v>
      </c>
      <c r="O470" t="s">
        <v>41</v>
      </c>
      <c r="P470" t="s">
        <v>41</v>
      </c>
      <c r="Q470" t="s">
        <v>41</v>
      </c>
      <c r="R470" t="s">
        <v>41</v>
      </c>
      <c r="S470" t="s">
        <v>41</v>
      </c>
    </row>
    <row r="471" spans="1:19" x14ac:dyDescent="0.25">
      <c r="A471" t="s">
        <v>204</v>
      </c>
      <c r="B471">
        <v>0</v>
      </c>
      <c r="C471" t="s">
        <v>202</v>
      </c>
      <c r="M471" t="s">
        <v>41</v>
      </c>
      <c r="N471" t="s">
        <v>41</v>
      </c>
      <c r="O471" t="s">
        <v>41</v>
      </c>
      <c r="P471" t="s">
        <v>41</v>
      </c>
      <c r="Q471" t="s">
        <v>41</v>
      </c>
      <c r="R471" t="s">
        <v>41</v>
      </c>
      <c r="S471" t="s">
        <v>41</v>
      </c>
    </row>
    <row r="472" spans="1:19" x14ac:dyDescent="0.25">
      <c r="A472" t="s">
        <v>205</v>
      </c>
      <c r="M472" t="s">
        <v>41</v>
      </c>
      <c r="N472" t="s">
        <v>41</v>
      </c>
      <c r="O472" t="s">
        <v>41</v>
      </c>
      <c r="P472" t="s">
        <v>41</v>
      </c>
      <c r="Q472" t="s">
        <v>41</v>
      </c>
      <c r="R472" t="s">
        <v>41</v>
      </c>
      <c r="S472" t="s">
        <v>41</v>
      </c>
    </row>
    <row r="473" spans="1:19" x14ac:dyDescent="0.25">
      <c r="A473" t="s">
        <v>206</v>
      </c>
      <c r="B473">
        <v>0</v>
      </c>
      <c r="C473" t="s">
        <v>202</v>
      </c>
      <c r="M473" t="s">
        <v>41</v>
      </c>
      <c r="N473" t="s">
        <v>41</v>
      </c>
      <c r="O473" t="s">
        <v>41</v>
      </c>
      <c r="P473" t="s">
        <v>41</v>
      </c>
      <c r="Q473" t="s">
        <v>41</v>
      </c>
      <c r="R473" t="s">
        <v>41</v>
      </c>
      <c r="S473" t="s">
        <v>41</v>
      </c>
    </row>
    <row r="474" spans="1:19" x14ac:dyDescent="0.25">
      <c r="A474" t="s">
        <v>207</v>
      </c>
      <c r="M474" t="s">
        <v>41</v>
      </c>
      <c r="N474" t="s">
        <v>41</v>
      </c>
      <c r="O474" t="s">
        <v>41</v>
      </c>
      <c r="P474" t="s">
        <v>41</v>
      </c>
      <c r="Q474" t="s">
        <v>41</v>
      </c>
      <c r="R474" t="s">
        <v>41</v>
      </c>
      <c r="S474" t="s">
        <v>41</v>
      </c>
    </row>
    <row r="475" spans="1:19" x14ac:dyDescent="0.25">
      <c r="A475" t="s">
        <v>208</v>
      </c>
      <c r="B475">
        <v>2</v>
      </c>
      <c r="C475" t="s">
        <v>39</v>
      </c>
      <c r="D475" t="s">
        <v>38</v>
      </c>
      <c r="E475" t="s">
        <v>37</v>
      </c>
      <c r="F475" t="s">
        <v>36</v>
      </c>
      <c r="G475" t="s">
        <v>35</v>
      </c>
      <c r="H475" t="s">
        <v>34</v>
      </c>
      <c r="I475" t="s">
        <v>33</v>
      </c>
      <c r="M475" t="s">
        <v>41</v>
      </c>
      <c r="N475" t="s">
        <v>41</v>
      </c>
      <c r="O475" t="s">
        <v>41</v>
      </c>
      <c r="P475" t="s">
        <v>41</v>
      </c>
      <c r="Q475" t="s">
        <v>41</v>
      </c>
      <c r="R475" t="s">
        <v>41</v>
      </c>
      <c r="S475" t="s">
        <v>41</v>
      </c>
    </row>
    <row r="476" spans="1:19" x14ac:dyDescent="0.25">
      <c r="A476" t="s">
        <v>209</v>
      </c>
      <c r="B476">
        <v>2</v>
      </c>
      <c r="C476" t="s">
        <v>39</v>
      </c>
      <c r="D476" t="s">
        <v>38</v>
      </c>
      <c r="E476" t="s">
        <v>37</v>
      </c>
      <c r="F476" t="s">
        <v>36</v>
      </c>
      <c r="G476" t="s">
        <v>35</v>
      </c>
      <c r="H476" t="s">
        <v>34</v>
      </c>
      <c r="I476" t="s">
        <v>33</v>
      </c>
      <c r="M476" t="s">
        <v>41</v>
      </c>
      <c r="N476" t="s">
        <v>41</v>
      </c>
      <c r="O476" t="s">
        <v>41</v>
      </c>
      <c r="P476" t="s">
        <v>41</v>
      </c>
      <c r="Q476" t="s">
        <v>41</v>
      </c>
      <c r="R476" t="s">
        <v>41</v>
      </c>
      <c r="S476" t="s">
        <v>41</v>
      </c>
    </row>
    <row r="477" spans="1:19" x14ac:dyDescent="0.25">
      <c r="A477" t="s">
        <v>210</v>
      </c>
      <c r="B477" t="s">
        <v>41</v>
      </c>
      <c r="C477" t="s">
        <v>41</v>
      </c>
      <c r="D477" t="s">
        <v>41</v>
      </c>
      <c r="E477" t="s">
        <v>41</v>
      </c>
      <c r="M477" t="s">
        <v>41</v>
      </c>
      <c r="N477" t="s">
        <v>41</v>
      </c>
      <c r="O477" t="s">
        <v>41</v>
      </c>
      <c r="P477" t="s">
        <v>41</v>
      </c>
      <c r="Q477" t="s">
        <v>41</v>
      </c>
      <c r="R477" t="s">
        <v>41</v>
      </c>
      <c r="S477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BIData</vt:lpstr>
      <vt:lpstr>Sheet1</vt:lpstr>
      <vt:lpstr>ReferenceData</vt:lpstr>
      <vt:lpstr>Sheet3</vt:lpstr>
      <vt:lpstr>Sheet2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Sarthak Dalmia</cp:lastModifiedBy>
  <dcterms:created xsi:type="dcterms:W3CDTF">2013-04-03T15:49:21Z</dcterms:created>
  <dcterms:modified xsi:type="dcterms:W3CDTF">2020-06-22T21:15:34Z</dcterms:modified>
</cp:coreProperties>
</file>