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f_admin\blp\data\"/>
    </mc:Choice>
  </mc:AlternateContent>
  <xr:revisionPtr revIDLastSave="0" documentId="13_ncr:1_{8A049035-08A9-4D43-B87D-3DBE2884760F}" xr6:coauthVersionLast="36" xr6:coauthVersionMax="36" xr10:uidLastSave="{00000000-0000-0000-0000-000000000000}"/>
  <bookViews>
    <workbookView xWindow="10395" yWindow="-105" windowWidth="14850" windowHeight="12735" activeTab="3" xr2:uid="{00000000-000D-0000-FFFF-FFFF00000000}"/>
  </bookViews>
  <sheets>
    <sheet name="BIData" sheetId="2" r:id="rId1"/>
    <sheet name="Sheet1" sheetId="5" r:id="rId2"/>
    <sheet name="ReferenceData" sheetId="3" r:id="rId3"/>
    <sheet name="Sheet2" sheetId="6" r:id="rId4"/>
    <sheet name="Help-Reference" sheetId="4" r:id="rId5"/>
  </sheets>
  <calcPr calcId="191029"/>
</workbook>
</file>

<file path=xl/calcChain.xml><?xml version="1.0" encoding="utf-8"?>
<calcChain xmlns="http://schemas.openxmlformats.org/spreadsheetml/2006/main">
  <c r="C209" i="3" l="1"/>
  <c r="C213" i="3"/>
  <c r="C211" i="3"/>
  <c r="AC225" i="3"/>
  <c r="AB225" i="3"/>
  <c r="AA225" i="3"/>
  <c r="Z225" i="3"/>
  <c r="Y225" i="3"/>
  <c r="X225" i="3"/>
  <c r="W225" i="3"/>
  <c r="V225" i="3"/>
  <c r="U225" i="3"/>
  <c r="T225" i="3"/>
  <c r="S225" i="3"/>
  <c r="R225" i="3"/>
  <c r="E225" i="3"/>
  <c r="D225" i="3"/>
  <c r="C225" i="3"/>
  <c r="B225" i="3"/>
  <c r="A225" i="3"/>
  <c r="AC224" i="3"/>
  <c r="AB224" i="3"/>
  <c r="AA224" i="3"/>
  <c r="Z224" i="3"/>
  <c r="Y224" i="3"/>
  <c r="X224" i="3"/>
  <c r="W224" i="3"/>
  <c r="V224" i="3"/>
  <c r="U224" i="3"/>
  <c r="T224" i="3"/>
  <c r="S224" i="3"/>
  <c r="R224" i="3"/>
  <c r="A224" i="3"/>
  <c r="AC223" i="3"/>
  <c r="AB223" i="3"/>
  <c r="AA223" i="3"/>
  <c r="Z223" i="3"/>
  <c r="Y223" i="3"/>
  <c r="X223" i="3"/>
  <c r="W223" i="3"/>
  <c r="V223" i="3"/>
  <c r="U223" i="3"/>
  <c r="T223" i="3"/>
  <c r="S223" i="3"/>
  <c r="R223" i="3"/>
  <c r="A223" i="3"/>
  <c r="AC222" i="3"/>
  <c r="AB222" i="3"/>
  <c r="AA222" i="3"/>
  <c r="Z222" i="3"/>
  <c r="Y222" i="3"/>
  <c r="X222" i="3"/>
  <c r="W222" i="3"/>
  <c r="V222" i="3"/>
  <c r="U222" i="3"/>
  <c r="T222" i="3"/>
  <c r="S222" i="3"/>
  <c r="R222" i="3"/>
  <c r="A222" i="3"/>
  <c r="AC221" i="3"/>
  <c r="AB221" i="3"/>
  <c r="AA221" i="3"/>
  <c r="Z221" i="3"/>
  <c r="Y221" i="3"/>
  <c r="X221" i="3"/>
  <c r="W221" i="3"/>
  <c r="V221" i="3"/>
  <c r="U221" i="3"/>
  <c r="T221" i="3"/>
  <c r="S221" i="3"/>
  <c r="R221" i="3"/>
  <c r="A221" i="3"/>
  <c r="AC220" i="3"/>
  <c r="AB220" i="3"/>
  <c r="AA220" i="3"/>
  <c r="Z220" i="3"/>
  <c r="Y220" i="3"/>
  <c r="X220" i="3"/>
  <c r="W220" i="3"/>
  <c r="V220" i="3"/>
  <c r="U220" i="3"/>
  <c r="T220" i="3"/>
  <c r="S220" i="3"/>
  <c r="R220" i="3"/>
  <c r="A220" i="3"/>
  <c r="AC219" i="3"/>
  <c r="AB219" i="3"/>
  <c r="AA219" i="3"/>
  <c r="Z219" i="3"/>
  <c r="Y219" i="3"/>
  <c r="X219" i="3"/>
  <c r="W219" i="3"/>
  <c r="V219" i="3"/>
  <c r="U219" i="3"/>
  <c r="T219" i="3"/>
  <c r="S219" i="3"/>
  <c r="R219" i="3"/>
  <c r="A219" i="3"/>
  <c r="AC218" i="3"/>
  <c r="AB218" i="3"/>
  <c r="AA218" i="3"/>
  <c r="Z218" i="3"/>
  <c r="Y218" i="3"/>
  <c r="X218" i="3"/>
  <c r="W218" i="3"/>
  <c r="V218" i="3"/>
  <c r="U218" i="3"/>
  <c r="T218" i="3"/>
  <c r="S218" i="3"/>
  <c r="R218" i="3"/>
  <c r="A218" i="3"/>
  <c r="AC217" i="3"/>
  <c r="AB217" i="3"/>
  <c r="AA217" i="3"/>
  <c r="Z217" i="3"/>
  <c r="Y217" i="3"/>
  <c r="X217" i="3"/>
  <c r="W217" i="3"/>
  <c r="V217" i="3"/>
  <c r="U217" i="3"/>
  <c r="T217" i="3"/>
  <c r="S217" i="3"/>
  <c r="R217" i="3"/>
  <c r="A217" i="3"/>
  <c r="AC216" i="3"/>
  <c r="AB216" i="3"/>
  <c r="AA216" i="3"/>
  <c r="Z216" i="3"/>
  <c r="Y216" i="3"/>
  <c r="X216" i="3"/>
  <c r="W216" i="3"/>
  <c r="V216" i="3"/>
  <c r="U216" i="3"/>
  <c r="T216" i="3"/>
  <c r="S216" i="3"/>
  <c r="R216" i="3"/>
  <c r="A216" i="3"/>
  <c r="AC215" i="3"/>
  <c r="AB215" i="3"/>
  <c r="AA215" i="3"/>
  <c r="Z215" i="3"/>
  <c r="Y215" i="3"/>
  <c r="X215" i="3"/>
  <c r="W215" i="3"/>
  <c r="V215" i="3"/>
  <c r="U215" i="3"/>
  <c r="T215" i="3"/>
  <c r="S215" i="3"/>
  <c r="R215" i="3"/>
  <c r="A215" i="3"/>
  <c r="AC214" i="3"/>
  <c r="AB214" i="3"/>
  <c r="AA214" i="3"/>
  <c r="Z214" i="3"/>
  <c r="Y214" i="3"/>
  <c r="X214" i="3"/>
  <c r="W214" i="3"/>
  <c r="V214" i="3"/>
  <c r="U214" i="3"/>
  <c r="T214" i="3"/>
  <c r="S214" i="3"/>
  <c r="R214" i="3"/>
  <c r="A214" i="3"/>
  <c r="AC213" i="3"/>
  <c r="AB213" i="3"/>
  <c r="AA213" i="3"/>
  <c r="Z213" i="3"/>
  <c r="Y213" i="3"/>
  <c r="X213" i="3"/>
  <c r="W213" i="3"/>
  <c r="V213" i="3"/>
  <c r="U213" i="3"/>
  <c r="T213" i="3"/>
  <c r="S213" i="3"/>
  <c r="R213" i="3"/>
  <c r="A213" i="3"/>
  <c r="AC212" i="3"/>
  <c r="AB212" i="3"/>
  <c r="AA212" i="3"/>
  <c r="Z212" i="3"/>
  <c r="Y212" i="3"/>
  <c r="X212" i="3"/>
  <c r="W212" i="3"/>
  <c r="V212" i="3"/>
  <c r="U212" i="3"/>
  <c r="T212" i="3"/>
  <c r="S212" i="3"/>
  <c r="R212" i="3"/>
  <c r="A212" i="3"/>
  <c r="AC211" i="3"/>
  <c r="AB211" i="3"/>
  <c r="AA211" i="3"/>
  <c r="Z211" i="3"/>
  <c r="Y211" i="3"/>
  <c r="X211" i="3"/>
  <c r="W211" i="3"/>
  <c r="V211" i="3"/>
  <c r="U211" i="3"/>
  <c r="T211" i="3"/>
  <c r="S211" i="3"/>
  <c r="R211" i="3"/>
  <c r="A211" i="3"/>
  <c r="AC210" i="3"/>
  <c r="AB210" i="3"/>
  <c r="AA210" i="3"/>
  <c r="Z210" i="3"/>
  <c r="Y210" i="3"/>
  <c r="X210" i="3"/>
  <c r="W210" i="3"/>
  <c r="V210" i="3"/>
  <c r="U210" i="3"/>
  <c r="T210" i="3"/>
  <c r="S210" i="3"/>
  <c r="R210" i="3"/>
  <c r="A210" i="3"/>
  <c r="AC209" i="3"/>
  <c r="AB209" i="3"/>
  <c r="AA209" i="3"/>
  <c r="Z209" i="3"/>
  <c r="Y209" i="3"/>
  <c r="X209" i="3"/>
  <c r="W209" i="3"/>
  <c r="V209" i="3"/>
  <c r="U209" i="3"/>
  <c r="T209" i="3"/>
  <c r="S209" i="3"/>
  <c r="R209" i="3"/>
  <c r="A209" i="3"/>
  <c r="AC208" i="3"/>
  <c r="AB208" i="3"/>
  <c r="AA208" i="3"/>
  <c r="Z208" i="3"/>
  <c r="Y208" i="3"/>
  <c r="X208" i="3"/>
  <c r="W208" i="3"/>
  <c r="V208" i="3"/>
  <c r="U208" i="3"/>
  <c r="T208" i="3"/>
  <c r="S208" i="3"/>
  <c r="R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B208" i="3"/>
  <c r="A208" i="3"/>
  <c r="AC207" i="3"/>
  <c r="AB207" i="3"/>
  <c r="AA207" i="3"/>
  <c r="Z207" i="3"/>
  <c r="Y207" i="3"/>
  <c r="X207" i="3"/>
  <c r="W207" i="3"/>
  <c r="V207" i="3"/>
  <c r="U207" i="3"/>
  <c r="T207" i="3"/>
  <c r="S207" i="3"/>
  <c r="R207" i="3"/>
  <c r="E207" i="3"/>
  <c r="D207" i="3"/>
  <c r="C207" i="3"/>
  <c r="B207" i="3"/>
  <c r="A207" i="3"/>
  <c r="AC206" i="3"/>
  <c r="AB206" i="3"/>
  <c r="AA206" i="3"/>
  <c r="Z206" i="3"/>
  <c r="Y206" i="3"/>
  <c r="X206" i="3"/>
  <c r="W206" i="3"/>
  <c r="V206" i="3"/>
  <c r="U206" i="3"/>
  <c r="T206" i="3"/>
  <c r="S206" i="3"/>
  <c r="R206" i="3"/>
  <c r="E206" i="3"/>
  <c r="D206" i="3"/>
  <c r="C206" i="3"/>
  <c r="B206" i="3"/>
  <c r="A206" i="3"/>
  <c r="AC205" i="3"/>
  <c r="AB205" i="3"/>
  <c r="AA205" i="3"/>
  <c r="Z205" i="3"/>
  <c r="Y205" i="3"/>
  <c r="X205" i="3"/>
  <c r="W205" i="3"/>
  <c r="V205" i="3"/>
  <c r="U205" i="3"/>
  <c r="T205" i="3"/>
  <c r="S205" i="3"/>
  <c r="R205" i="3"/>
  <c r="E205" i="3"/>
  <c r="D205" i="3"/>
  <c r="C205" i="3"/>
  <c r="A205" i="3"/>
  <c r="AC204" i="3"/>
  <c r="AB204" i="3"/>
  <c r="AA204" i="3"/>
  <c r="Z204" i="3"/>
  <c r="Y204" i="3"/>
  <c r="X204" i="3"/>
  <c r="W204" i="3"/>
  <c r="V204" i="3"/>
  <c r="U204" i="3"/>
  <c r="T204" i="3"/>
  <c r="S204" i="3"/>
  <c r="R204" i="3"/>
  <c r="E204" i="3"/>
  <c r="D204" i="3"/>
  <c r="C204" i="3"/>
  <c r="B204" i="3"/>
  <c r="A204" i="3"/>
  <c r="AC203" i="3"/>
  <c r="AB203" i="3"/>
  <c r="AA203" i="3"/>
  <c r="Z203" i="3"/>
  <c r="Y203" i="3"/>
  <c r="X203" i="3"/>
  <c r="W203" i="3"/>
  <c r="V203" i="3"/>
  <c r="U203" i="3"/>
  <c r="T203" i="3"/>
  <c r="S203" i="3"/>
  <c r="R203" i="3"/>
  <c r="A203" i="3"/>
  <c r="AC202" i="3"/>
  <c r="AB202" i="3"/>
  <c r="AA202" i="3"/>
  <c r="Z202" i="3"/>
  <c r="Y202" i="3"/>
  <c r="X202" i="3"/>
  <c r="W202" i="3"/>
  <c r="V202" i="3"/>
  <c r="U202" i="3"/>
  <c r="T202" i="3"/>
  <c r="S202" i="3"/>
  <c r="R202" i="3"/>
  <c r="E202" i="3"/>
  <c r="D202" i="3"/>
  <c r="C202" i="3"/>
  <c r="B202" i="3"/>
  <c r="A202" i="3"/>
  <c r="AC201" i="3"/>
  <c r="AB201" i="3"/>
  <c r="AA201" i="3"/>
  <c r="Z201" i="3"/>
  <c r="Y201" i="3"/>
  <c r="X201" i="3"/>
  <c r="W201" i="3"/>
  <c r="V201" i="3"/>
  <c r="U201" i="3"/>
  <c r="T201" i="3"/>
  <c r="S201" i="3"/>
  <c r="R201" i="3"/>
  <c r="E201" i="3"/>
  <c r="D201" i="3"/>
  <c r="C201" i="3"/>
  <c r="B201" i="3"/>
  <c r="A201" i="3"/>
  <c r="AC200" i="3"/>
  <c r="AB200" i="3"/>
  <c r="AA200" i="3"/>
  <c r="Z200" i="3"/>
  <c r="Y200" i="3"/>
  <c r="X200" i="3"/>
  <c r="W200" i="3"/>
  <c r="V200" i="3"/>
  <c r="U200" i="3"/>
  <c r="T200" i="3"/>
  <c r="S200" i="3"/>
  <c r="R200" i="3"/>
  <c r="E200" i="3"/>
  <c r="D200" i="3"/>
  <c r="C200" i="3"/>
  <c r="B200" i="3"/>
  <c r="A200" i="3"/>
  <c r="AC199" i="3"/>
  <c r="AB199" i="3"/>
  <c r="AA199" i="3"/>
  <c r="Z199" i="3"/>
  <c r="Y199" i="3"/>
  <c r="X199" i="3"/>
  <c r="W199" i="3"/>
  <c r="V199" i="3"/>
  <c r="U199" i="3"/>
  <c r="T199" i="3"/>
  <c r="S199" i="3"/>
  <c r="R199" i="3"/>
  <c r="E199" i="3"/>
  <c r="D199" i="3"/>
  <c r="C199" i="3"/>
  <c r="B199" i="3"/>
  <c r="A199" i="3"/>
  <c r="AC198" i="3"/>
  <c r="AB198" i="3"/>
  <c r="AA198" i="3"/>
  <c r="Z198" i="3"/>
  <c r="Y198" i="3"/>
  <c r="X198" i="3"/>
  <c r="W198" i="3"/>
  <c r="V198" i="3"/>
  <c r="U198" i="3"/>
  <c r="T198" i="3"/>
  <c r="S198" i="3"/>
  <c r="R198" i="3"/>
  <c r="E198" i="3"/>
  <c r="D198" i="3"/>
  <c r="C198" i="3"/>
  <c r="B198" i="3"/>
  <c r="A198" i="3"/>
  <c r="AC197" i="3"/>
  <c r="AB197" i="3"/>
  <c r="AA197" i="3"/>
  <c r="Z197" i="3"/>
  <c r="Y197" i="3"/>
  <c r="X197" i="3"/>
  <c r="W197" i="3"/>
  <c r="V197" i="3"/>
  <c r="U197" i="3"/>
  <c r="T197" i="3"/>
  <c r="S197" i="3"/>
  <c r="R197" i="3"/>
  <c r="E197" i="3"/>
  <c r="D197" i="3"/>
  <c r="C197" i="3"/>
  <c r="B197" i="3"/>
  <c r="A197" i="3"/>
  <c r="AC196" i="3"/>
  <c r="AB196" i="3"/>
  <c r="AA196" i="3"/>
  <c r="Z196" i="3"/>
  <c r="Y196" i="3"/>
  <c r="X196" i="3"/>
  <c r="W196" i="3"/>
  <c r="V196" i="3"/>
  <c r="U196" i="3"/>
  <c r="T196" i="3"/>
  <c r="S196" i="3"/>
  <c r="R196" i="3"/>
  <c r="D196" i="3"/>
  <c r="AC195" i="3"/>
  <c r="AB195" i="3"/>
  <c r="AA195" i="3"/>
  <c r="Z195" i="3"/>
  <c r="Y195" i="3"/>
  <c r="X195" i="3"/>
  <c r="W195" i="3"/>
  <c r="V195" i="3"/>
  <c r="U195" i="3"/>
  <c r="T195" i="3"/>
  <c r="S195" i="3"/>
  <c r="R195" i="3"/>
  <c r="AC194" i="3"/>
  <c r="AB194" i="3"/>
  <c r="AA194" i="3"/>
  <c r="Z194" i="3"/>
  <c r="Y194" i="3"/>
  <c r="X194" i="3"/>
  <c r="W194" i="3"/>
  <c r="V194" i="3"/>
  <c r="U194" i="3"/>
  <c r="T194" i="3"/>
  <c r="S194" i="3"/>
  <c r="R194" i="3"/>
  <c r="D194" i="3"/>
  <c r="C194" i="3"/>
  <c r="AC193" i="3"/>
  <c r="AB193" i="3"/>
  <c r="AA193" i="3"/>
  <c r="Z193" i="3"/>
  <c r="Y193" i="3"/>
  <c r="X193" i="3"/>
  <c r="W193" i="3"/>
  <c r="V193" i="3"/>
  <c r="U193" i="3"/>
  <c r="T193" i="3"/>
  <c r="S193" i="3"/>
  <c r="R193" i="3"/>
  <c r="A193" i="3"/>
  <c r="AC192" i="3"/>
  <c r="AB192" i="3"/>
  <c r="AA192" i="3"/>
  <c r="Z192" i="3"/>
  <c r="Y192" i="3"/>
  <c r="X192" i="3"/>
  <c r="W192" i="3"/>
  <c r="V192" i="3"/>
  <c r="U192" i="3"/>
  <c r="T192" i="3"/>
  <c r="S192" i="3"/>
  <c r="R192" i="3"/>
  <c r="D192" i="3"/>
  <c r="AC191" i="3"/>
  <c r="AB191" i="3"/>
  <c r="AA191" i="3"/>
  <c r="Z191" i="3"/>
  <c r="Y191" i="3"/>
  <c r="X191" i="3"/>
  <c r="W191" i="3"/>
  <c r="V191" i="3"/>
  <c r="U191" i="3"/>
  <c r="T191" i="3"/>
  <c r="S191" i="3"/>
  <c r="R191" i="3"/>
  <c r="AC190" i="3"/>
  <c r="AB190" i="3"/>
  <c r="AA190" i="3"/>
  <c r="Z190" i="3"/>
  <c r="Y190" i="3"/>
  <c r="X190" i="3"/>
  <c r="W190" i="3"/>
  <c r="V190" i="3"/>
  <c r="U190" i="3"/>
  <c r="T190" i="3"/>
  <c r="S190" i="3"/>
  <c r="R190" i="3"/>
  <c r="D190" i="3"/>
  <c r="C190" i="3"/>
  <c r="AC189" i="3"/>
  <c r="AB189" i="3"/>
  <c r="AA189" i="3"/>
  <c r="Z189" i="3"/>
  <c r="Y189" i="3"/>
  <c r="X189" i="3"/>
  <c r="W189" i="3"/>
  <c r="V189" i="3"/>
  <c r="U189" i="3"/>
  <c r="T189" i="3"/>
  <c r="S189" i="3"/>
  <c r="R189" i="3"/>
  <c r="B189" i="3"/>
  <c r="A189" i="3"/>
  <c r="AC188" i="3"/>
  <c r="AB188" i="3"/>
  <c r="AA188" i="3"/>
  <c r="Z188" i="3"/>
  <c r="Y188" i="3"/>
  <c r="X188" i="3"/>
  <c r="W188" i="3"/>
  <c r="V188" i="3"/>
  <c r="U188" i="3"/>
  <c r="T188" i="3"/>
  <c r="S188" i="3"/>
  <c r="R188" i="3"/>
  <c r="D188" i="3"/>
  <c r="AC187" i="3"/>
  <c r="AB187" i="3"/>
  <c r="AA187" i="3"/>
  <c r="Z187" i="3"/>
  <c r="Y187" i="3"/>
  <c r="X187" i="3"/>
  <c r="W187" i="3"/>
  <c r="V187" i="3"/>
  <c r="U187" i="3"/>
  <c r="T187" i="3"/>
  <c r="S187" i="3"/>
  <c r="R187" i="3"/>
  <c r="E187" i="3"/>
  <c r="B187" i="3"/>
  <c r="AC186" i="3"/>
  <c r="AB186" i="3"/>
  <c r="AA186" i="3"/>
  <c r="Z186" i="3"/>
  <c r="Y186" i="3"/>
  <c r="X186" i="3"/>
  <c r="W186" i="3"/>
  <c r="V186" i="3"/>
  <c r="U186" i="3"/>
  <c r="T186" i="3"/>
  <c r="S186" i="3"/>
  <c r="R186" i="3"/>
  <c r="D186" i="3"/>
  <c r="AC185" i="3"/>
  <c r="AB185" i="3"/>
  <c r="AA185" i="3"/>
  <c r="Z185" i="3"/>
  <c r="Y185" i="3"/>
  <c r="X185" i="3"/>
  <c r="W185" i="3"/>
  <c r="V185" i="3"/>
  <c r="U185" i="3"/>
  <c r="T185" i="3"/>
  <c r="S185" i="3"/>
  <c r="R185" i="3"/>
  <c r="B185" i="3"/>
  <c r="A185" i="3"/>
  <c r="AC184" i="3"/>
  <c r="AB184" i="3"/>
  <c r="AA184" i="3"/>
  <c r="Z184" i="3"/>
  <c r="Y184" i="3"/>
  <c r="X184" i="3"/>
  <c r="W184" i="3"/>
  <c r="V184" i="3"/>
  <c r="U184" i="3"/>
  <c r="T184" i="3"/>
  <c r="S184" i="3"/>
  <c r="R184" i="3"/>
  <c r="AC183" i="3"/>
  <c r="AB183" i="3"/>
  <c r="AA183" i="3"/>
  <c r="Z183" i="3"/>
  <c r="Y183" i="3"/>
  <c r="X183" i="3"/>
  <c r="W183" i="3"/>
  <c r="V183" i="3"/>
  <c r="U183" i="3"/>
  <c r="T183" i="3"/>
  <c r="S183" i="3"/>
  <c r="R183" i="3"/>
  <c r="B183" i="3"/>
  <c r="AC182" i="3"/>
  <c r="AB182" i="3"/>
  <c r="AA182" i="3"/>
  <c r="Z182" i="3"/>
  <c r="Y182" i="3"/>
  <c r="X182" i="3"/>
  <c r="W182" i="3"/>
  <c r="V182" i="3"/>
  <c r="U182" i="3"/>
  <c r="T182" i="3"/>
  <c r="S182" i="3"/>
  <c r="R182" i="3"/>
  <c r="C182" i="3"/>
  <c r="AC181" i="3"/>
  <c r="AB181" i="3"/>
  <c r="AA181" i="3"/>
  <c r="Z181" i="3"/>
  <c r="Y181" i="3"/>
  <c r="X181" i="3"/>
  <c r="W181" i="3"/>
  <c r="V181" i="3"/>
  <c r="U181" i="3"/>
  <c r="T181" i="3"/>
  <c r="S181" i="3"/>
  <c r="R181" i="3"/>
  <c r="B181" i="3"/>
  <c r="AC180" i="3"/>
  <c r="AB180" i="3"/>
  <c r="AA180" i="3"/>
  <c r="Z180" i="3"/>
  <c r="Y180" i="3"/>
  <c r="X180" i="3"/>
  <c r="W180" i="3"/>
  <c r="V180" i="3"/>
  <c r="U180" i="3"/>
  <c r="T180" i="3"/>
  <c r="S180" i="3"/>
  <c r="R180" i="3"/>
  <c r="D180" i="3"/>
  <c r="AC179" i="3"/>
  <c r="AB179" i="3"/>
  <c r="AA179" i="3"/>
  <c r="Z179" i="3"/>
  <c r="Y179" i="3"/>
  <c r="X179" i="3"/>
  <c r="W179" i="3"/>
  <c r="V179" i="3"/>
  <c r="U179" i="3"/>
  <c r="T179" i="3"/>
  <c r="S179" i="3"/>
  <c r="R179" i="3"/>
  <c r="AC178" i="3"/>
  <c r="AB178" i="3"/>
  <c r="AA178" i="3"/>
  <c r="Z178" i="3"/>
  <c r="Y178" i="3"/>
  <c r="X178" i="3"/>
  <c r="W178" i="3"/>
  <c r="V178" i="3"/>
  <c r="U178" i="3"/>
  <c r="T178" i="3"/>
  <c r="S178" i="3"/>
  <c r="R178" i="3"/>
  <c r="D178" i="3"/>
  <c r="C178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AC176" i="3"/>
  <c r="AB176" i="3"/>
  <c r="AA176" i="3"/>
  <c r="Z176" i="3"/>
  <c r="Y176" i="3"/>
  <c r="X176" i="3"/>
  <c r="W176" i="3"/>
  <c r="V176" i="3"/>
  <c r="U176" i="3"/>
  <c r="T176" i="3"/>
  <c r="S176" i="3"/>
  <c r="R176" i="3"/>
  <c r="D176" i="3"/>
  <c r="AC175" i="3"/>
  <c r="AB175" i="3"/>
  <c r="AA175" i="3"/>
  <c r="Z175" i="3"/>
  <c r="Y175" i="3"/>
  <c r="X175" i="3"/>
  <c r="W175" i="3"/>
  <c r="V175" i="3"/>
  <c r="U175" i="3"/>
  <c r="T175" i="3"/>
  <c r="S175" i="3"/>
  <c r="R175" i="3"/>
  <c r="B175" i="3"/>
  <c r="AC174" i="3"/>
  <c r="AB174" i="3"/>
  <c r="AA174" i="3"/>
  <c r="Z174" i="3"/>
  <c r="Y174" i="3"/>
  <c r="X174" i="3"/>
  <c r="W174" i="3"/>
  <c r="V174" i="3"/>
  <c r="U174" i="3"/>
  <c r="T174" i="3"/>
  <c r="S174" i="3"/>
  <c r="R174" i="3"/>
  <c r="C174" i="3"/>
  <c r="AC173" i="3"/>
  <c r="AB173" i="3"/>
  <c r="AA173" i="3"/>
  <c r="Z173" i="3"/>
  <c r="Y173" i="3"/>
  <c r="X173" i="3"/>
  <c r="W173" i="3"/>
  <c r="V173" i="3"/>
  <c r="U173" i="3"/>
  <c r="T173" i="3"/>
  <c r="S173" i="3"/>
  <c r="R173" i="3"/>
  <c r="B173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B171" i="3"/>
  <c r="AC170" i="3"/>
  <c r="AB170" i="3"/>
  <c r="AA170" i="3"/>
  <c r="Z170" i="3"/>
  <c r="Y170" i="3"/>
  <c r="X170" i="3"/>
  <c r="W170" i="3"/>
  <c r="V170" i="3"/>
  <c r="U170" i="3"/>
  <c r="T170" i="3"/>
  <c r="S170" i="3"/>
  <c r="R170" i="3"/>
  <c r="AC169" i="3"/>
  <c r="AB169" i="3"/>
  <c r="AA169" i="3"/>
  <c r="Z169" i="3"/>
  <c r="Y169" i="3"/>
  <c r="X169" i="3"/>
  <c r="W169" i="3"/>
  <c r="V169" i="3"/>
  <c r="U169" i="3"/>
  <c r="T169" i="3"/>
  <c r="S169" i="3"/>
  <c r="R169" i="3"/>
  <c r="B169" i="3"/>
  <c r="AC168" i="3"/>
  <c r="AB168" i="3"/>
  <c r="AA168" i="3"/>
  <c r="Z168" i="3"/>
  <c r="Y168" i="3"/>
  <c r="X168" i="3"/>
  <c r="W168" i="3"/>
  <c r="V168" i="3"/>
  <c r="U168" i="3"/>
  <c r="T168" i="3"/>
  <c r="S168" i="3"/>
  <c r="R168" i="3"/>
  <c r="C168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E165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C164" i="3"/>
  <c r="AC163" i="3"/>
  <c r="AB163" i="3"/>
  <c r="AA163" i="3"/>
  <c r="Z163" i="3"/>
  <c r="Y163" i="3"/>
  <c r="X163" i="3"/>
  <c r="W163" i="3"/>
  <c r="V163" i="3"/>
  <c r="U163" i="3"/>
  <c r="T163" i="3"/>
  <c r="S163" i="3"/>
  <c r="R163" i="3"/>
  <c r="E163" i="3"/>
  <c r="A163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D162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B161" i="3"/>
  <c r="A161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A159" i="3"/>
  <c r="AC158" i="3"/>
  <c r="AB158" i="3"/>
  <c r="AA158" i="3"/>
  <c r="Z158" i="3"/>
  <c r="Y158" i="3"/>
  <c r="X158" i="3"/>
  <c r="W158" i="3"/>
  <c r="V158" i="3"/>
  <c r="U158" i="3"/>
  <c r="T158" i="3"/>
  <c r="S158" i="3"/>
  <c r="R158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E157" i="3"/>
  <c r="AC156" i="3"/>
  <c r="AB156" i="3"/>
  <c r="AA156" i="3"/>
  <c r="Z156" i="3"/>
  <c r="Y156" i="3"/>
  <c r="X156" i="3"/>
  <c r="W156" i="3"/>
  <c r="V156" i="3"/>
  <c r="U156" i="3"/>
  <c r="T156" i="3"/>
  <c r="S156" i="3"/>
  <c r="R156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A155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E153" i="3"/>
  <c r="A153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B151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D150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E149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D148" i="3"/>
  <c r="C148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C147" i="3"/>
  <c r="A147" i="3"/>
  <c r="AC146" i="3"/>
  <c r="AB146" i="3"/>
  <c r="AA146" i="3"/>
  <c r="Z146" i="3"/>
  <c r="Y146" i="3"/>
  <c r="X146" i="3"/>
  <c r="W146" i="3"/>
  <c r="V146" i="3"/>
  <c r="U146" i="3"/>
  <c r="T146" i="3"/>
  <c r="S146" i="3"/>
  <c r="R146" i="3"/>
  <c r="D146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AC144" i="3"/>
  <c r="AB144" i="3"/>
  <c r="AA144" i="3"/>
  <c r="Z144" i="3"/>
  <c r="Y144" i="3"/>
  <c r="X144" i="3"/>
  <c r="W144" i="3"/>
  <c r="V144" i="3"/>
  <c r="U144" i="3"/>
  <c r="T144" i="3"/>
  <c r="S144" i="3"/>
  <c r="R144" i="3"/>
  <c r="E144" i="3"/>
  <c r="A144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C142" i="3"/>
  <c r="AC141" i="3"/>
  <c r="AB141" i="3"/>
  <c r="AA141" i="3"/>
  <c r="Z141" i="3"/>
  <c r="Y141" i="3"/>
  <c r="X141" i="3"/>
  <c r="W141" i="3"/>
  <c r="V141" i="3"/>
  <c r="U141" i="3"/>
  <c r="T141" i="3"/>
  <c r="S141" i="3"/>
  <c r="R141" i="3"/>
  <c r="E141" i="3"/>
  <c r="AC140" i="3"/>
  <c r="AB140" i="3"/>
  <c r="AA140" i="3"/>
  <c r="Z140" i="3"/>
  <c r="Y140" i="3"/>
  <c r="X140" i="3"/>
  <c r="W140" i="3"/>
  <c r="V140" i="3"/>
  <c r="U140" i="3"/>
  <c r="T140" i="3"/>
  <c r="S140" i="3"/>
  <c r="R140" i="3"/>
  <c r="AC139" i="3"/>
  <c r="AB139" i="3"/>
  <c r="AA139" i="3"/>
  <c r="Z139" i="3"/>
  <c r="Y139" i="3"/>
  <c r="X139" i="3"/>
  <c r="W139" i="3"/>
  <c r="V139" i="3"/>
  <c r="U139" i="3"/>
  <c r="T139" i="3"/>
  <c r="S139" i="3"/>
  <c r="R139" i="3"/>
  <c r="AC138" i="3"/>
  <c r="AB138" i="3"/>
  <c r="AA138" i="3"/>
  <c r="Z138" i="3"/>
  <c r="Y138" i="3"/>
  <c r="X138" i="3"/>
  <c r="W138" i="3"/>
  <c r="V138" i="3"/>
  <c r="U138" i="3"/>
  <c r="T138" i="3"/>
  <c r="S138" i="3"/>
  <c r="R138" i="3"/>
  <c r="E138" i="3"/>
  <c r="AC137" i="3"/>
  <c r="AB137" i="3"/>
  <c r="AA137" i="3"/>
  <c r="Z137" i="3"/>
  <c r="Y137" i="3"/>
  <c r="X137" i="3"/>
  <c r="W137" i="3"/>
  <c r="V137" i="3"/>
  <c r="U137" i="3"/>
  <c r="T137" i="3"/>
  <c r="S137" i="3"/>
  <c r="R137" i="3"/>
  <c r="AC136" i="3"/>
  <c r="AB136" i="3"/>
  <c r="AA136" i="3"/>
  <c r="Z136" i="3"/>
  <c r="Y136" i="3"/>
  <c r="X136" i="3"/>
  <c r="W136" i="3"/>
  <c r="V136" i="3"/>
  <c r="U136" i="3"/>
  <c r="T136" i="3"/>
  <c r="S136" i="3"/>
  <c r="R136" i="3"/>
  <c r="E136" i="3"/>
  <c r="AC135" i="3"/>
  <c r="AB135" i="3"/>
  <c r="AA135" i="3"/>
  <c r="Z135" i="3"/>
  <c r="Y135" i="3"/>
  <c r="X135" i="3"/>
  <c r="W135" i="3"/>
  <c r="V135" i="3"/>
  <c r="U135" i="3"/>
  <c r="T135" i="3"/>
  <c r="S135" i="3"/>
  <c r="R135" i="3"/>
  <c r="B135" i="3"/>
  <c r="AC134" i="3"/>
  <c r="AB134" i="3"/>
  <c r="AA134" i="3"/>
  <c r="Z134" i="3"/>
  <c r="Y134" i="3"/>
  <c r="X134" i="3"/>
  <c r="W134" i="3"/>
  <c r="V134" i="3"/>
  <c r="U134" i="3"/>
  <c r="T134" i="3"/>
  <c r="S134" i="3"/>
  <c r="R134" i="3"/>
  <c r="C134" i="3"/>
  <c r="A134" i="3"/>
  <c r="AC133" i="3"/>
  <c r="AB133" i="3"/>
  <c r="AA133" i="3"/>
  <c r="Z133" i="3"/>
  <c r="Y133" i="3"/>
  <c r="X133" i="3"/>
  <c r="W133" i="3"/>
  <c r="V133" i="3"/>
  <c r="U133" i="3"/>
  <c r="T133" i="3"/>
  <c r="S133" i="3"/>
  <c r="R133" i="3"/>
  <c r="AC132" i="3"/>
  <c r="AB132" i="3"/>
  <c r="AA132" i="3"/>
  <c r="Z132" i="3"/>
  <c r="Y132" i="3"/>
  <c r="X132" i="3"/>
  <c r="W132" i="3"/>
  <c r="V132" i="3"/>
  <c r="U132" i="3"/>
  <c r="T132" i="3"/>
  <c r="S132" i="3"/>
  <c r="R132" i="3"/>
  <c r="E132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AC130" i="3"/>
  <c r="AB130" i="3"/>
  <c r="AA130" i="3"/>
  <c r="Z130" i="3"/>
  <c r="Y130" i="3"/>
  <c r="X130" i="3"/>
  <c r="W130" i="3"/>
  <c r="V130" i="3"/>
  <c r="U130" i="3"/>
  <c r="T130" i="3"/>
  <c r="S130" i="3"/>
  <c r="R130" i="3"/>
  <c r="E130" i="3"/>
  <c r="AC129" i="3"/>
  <c r="AB129" i="3"/>
  <c r="AA129" i="3"/>
  <c r="Z129" i="3"/>
  <c r="Y129" i="3"/>
  <c r="X129" i="3"/>
  <c r="W129" i="3"/>
  <c r="V129" i="3"/>
  <c r="U129" i="3"/>
  <c r="T129" i="3"/>
  <c r="S129" i="3"/>
  <c r="R129" i="3"/>
  <c r="AC128" i="3"/>
  <c r="AB128" i="3"/>
  <c r="AA128" i="3"/>
  <c r="Z128" i="3"/>
  <c r="Y128" i="3"/>
  <c r="X128" i="3"/>
  <c r="W128" i="3"/>
  <c r="V128" i="3"/>
  <c r="U128" i="3"/>
  <c r="T128" i="3"/>
  <c r="S128" i="3"/>
  <c r="R128" i="3"/>
  <c r="A128" i="3"/>
  <c r="AC127" i="3"/>
  <c r="AB127" i="3"/>
  <c r="AA127" i="3"/>
  <c r="Z127" i="3"/>
  <c r="Y127" i="3"/>
  <c r="X127" i="3"/>
  <c r="W127" i="3"/>
  <c r="V127" i="3"/>
  <c r="U127" i="3"/>
  <c r="T127" i="3"/>
  <c r="S127" i="3"/>
  <c r="R127" i="3"/>
  <c r="C127" i="3"/>
  <c r="A127" i="3"/>
  <c r="AC126" i="3"/>
  <c r="AB126" i="3"/>
  <c r="AA126" i="3"/>
  <c r="Z126" i="3"/>
  <c r="Y126" i="3"/>
  <c r="X126" i="3"/>
  <c r="W126" i="3"/>
  <c r="V126" i="3"/>
  <c r="U126" i="3"/>
  <c r="T126" i="3"/>
  <c r="S126" i="3"/>
  <c r="R126" i="3"/>
  <c r="B126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D124" i="3"/>
  <c r="B124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E123" i="3"/>
  <c r="AC122" i="3"/>
  <c r="AB122" i="3"/>
  <c r="AA122" i="3"/>
  <c r="Z122" i="3"/>
  <c r="Y122" i="3"/>
  <c r="X122" i="3"/>
  <c r="W122" i="3"/>
  <c r="V122" i="3"/>
  <c r="U122" i="3"/>
  <c r="T122" i="3"/>
  <c r="S122" i="3"/>
  <c r="R122" i="3"/>
  <c r="AC121" i="3"/>
  <c r="AB121" i="3"/>
  <c r="AA121" i="3"/>
  <c r="Z121" i="3"/>
  <c r="Y121" i="3"/>
  <c r="X121" i="3"/>
  <c r="W121" i="3"/>
  <c r="V121" i="3"/>
  <c r="U121" i="3"/>
  <c r="T121" i="3"/>
  <c r="S121" i="3"/>
  <c r="R121" i="3"/>
  <c r="D121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D120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E119" i="3"/>
  <c r="A119" i="3"/>
  <c r="AC118" i="3"/>
  <c r="AB118" i="3"/>
  <c r="AA118" i="3"/>
  <c r="Z118" i="3"/>
  <c r="Y118" i="3"/>
  <c r="X118" i="3"/>
  <c r="W118" i="3"/>
  <c r="V118" i="3"/>
  <c r="U118" i="3"/>
  <c r="T118" i="3"/>
  <c r="S118" i="3"/>
  <c r="R118" i="3"/>
  <c r="B118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AC116" i="3"/>
  <c r="AB116" i="3"/>
  <c r="AA116" i="3"/>
  <c r="Z116" i="3"/>
  <c r="Y116" i="3"/>
  <c r="X116" i="3"/>
  <c r="W116" i="3"/>
  <c r="V116" i="3"/>
  <c r="U116" i="3"/>
  <c r="T116" i="3"/>
  <c r="S116" i="3"/>
  <c r="R116" i="3"/>
  <c r="D116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E115" i="3"/>
  <c r="D115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A113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D112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A110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B109" i="3"/>
  <c r="A109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C108" i="3"/>
  <c r="B108" i="3"/>
  <c r="A108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B107" i="3"/>
  <c r="A107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C106" i="3"/>
  <c r="B106" i="3"/>
  <c r="A106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B105" i="3"/>
  <c r="A105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A103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A102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AC99" i="3"/>
  <c r="AB99" i="3"/>
  <c r="AA99" i="3"/>
  <c r="Z99" i="3"/>
  <c r="Y99" i="3"/>
  <c r="X99" i="3"/>
  <c r="W99" i="3"/>
  <c r="V99" i="3"/>
  <c r="U99" i="3"/>
  <c r="T99" i="3"/>
  <c r="S99" i="3"/>
  <c r="R99" i="3"/>
  <c r="AC98" i="3"/>
  <c r="AB98" i="3"/>
  <c r="AA98" i="3"/>
  <c r="Z98" i="3"/>
  <c r="Y98" i="3"/>
  <c r="X98" i="3"/>
  <c r="W98" i="3"/>
  <c r="V98" i="3"/>
  <c r="U98" i="3"/>
  <c r="T98" i="3"/>
  <c r="S98" i="3"/>
  <c r="R98" i="3"/>
  <c r="AC97" i="3"/>
  <c r="AB97" i="3"/>
  <c r="AA97" i="3"/>
  <c r="Z97" i="3"/>
  <c r="Y97" i="3"/>
  <c r="X97" i="3"/>
  <c r="W97" i="3"/>
  <c r="V97" i="3"/>
  <c r="U97" i="3"/>
  <c r="T97" i="3"/>
  <c r="S97" i="3"/>
  <c r="R97" i="3"/>
  <c r="AC96" i="3"/>
  <c r="AB96" i="3"/>
  <c r="AA96" i="3"/>
  <c r="Z96" i="3"/>
  <c r="Y96" i="3"/>
  <c r="X96" i="3"/>
  <c r="W96" i="3"/>
  <c r="V96" i="3"/>
  <c r="U96" i="3"/>
  <c r="T96" i="3"/>
  <c r="S96" i="3"/>
  <c r="R96" i="3"/>
  <c r="AC95" i="3"/>
  <c r="AB95" i="3"/>
  <c r="AA95" i="3"/>
  <c r="Z95" i="3"/>
  <c r="Y95" i="3"/>
  <c r="X95" i="3"/>
  <c r="W95" i="3"/>
  <c r="V95" i="3"/>
  <c r="U95" i="3"/>
  <c r="T95" i="3"/>
  <c r="S95" i="3"/>
  <c r="R95" i="3"/>
  <c r="AC94" i="3"/>
  <c r="AB94" i="3"/>
  <c r="AA94" i="3"/>
  <c r="Z94" i="3"/>
  <c r="Y94" i="3"/>
  <c r="X94" i="3"/>
  <c r="W94" i="3"/>
  <c r="V94" i="3"/>
  <c r="U94" i="3"/>
  <c r="T94" i="3"/>
  <c r="S94" i="3"/>
  <c r="R94" i="3"/>
  <c r="E94" i="3"/>
  <c r="B94" i="3"/>
  <c r="A94" i="3"/>
  <c r="AC93" i="3"/>
  <c r="AB93" i="3"/>
  <c r="AA93" i="3"/>
  <c r="Z93" i="3"/>
  <c r="Y93" i="3"/>
  <c r="X93" i="3"/>
  <c r="W93" i="3"/>
  <c r="V93" i="3"/>
  <c r="U93" i="3"/>
  <c r="T93" i="3"/>
  <c r="S93" i="3"/>
  <c r="R93" i="3"/>
  <c r="E93" i="3"/>
  <c r="D93" i="3"/>
  <c r="C93" i="3"/>
  <c r="C196" i="3" s="1"/>
  <c r="B93" i="3"/>
  <c r="B196" i="3" s="1"/>
  <c r="A93" i="3"/>
  <c r="AC92" i="3"/>
  <c r="AB92" i="3"/>
  <c r="AA92" i="3"/>
  <c r="Z92" i="3"/>
  <c r="Y92" i="3"/>
  <c r="X92" i="3"/>
  <c r="W92" i="3"/>
  <c r="V92" i="3"/>
  <c r="U92" i="3"/>
  <c r="T92" i="3"/>
  <c r="S92" i="3"/>
  <c r="R92" i="3"/>
  <c r="E92" i="3"/>
  <c r="E195" i="3" s="1"/>
  <c r="D92" i="3"/>
  <c r="D195" i="3" s="1"/>
  <c r="C92" i="3"/>
  <c r="C195" i="3" s="1"/>
  <c r="B92" i="3"/>
  <c r="B195" i="3" s="1"/>
  <c r="A92" i="3"/>
  <c r="A195" i="3" s="1"/>
  <c r="AC91" i="3"/>
  <c r="AB91" i="3"/>
  <c r="AA91" i="3"/>
  <c r="Z91" i="3"/>
  <c r="Y91" i="3"/>
  <c r="X91" i="3"/>
  <c r="W91" i="3"/>
  <c r="V91" i="3"/>
  <c r="U91" i="3"/>
  <c r="T91" i="3"/>
  <c r="S91" i="3"/>
  <c r="R91" i="3"/>
  <c r="E91" i="3"/>
  <c r="E194" i="3" s="1"/>
  <c r="D91" i="3"/>
  <c r="C91" i="3"/>
  <c r="C91" i="2" s="1"/>
  <c r="B91" i="3"/>
  <c r="B194" i="3" s="1"/>
  <c r="A91" i="3"/>
  <c r="A194" i="3" s="1"/>
  <c r="AC90" i="3"/>
  <c r="AB90" i="3"/>
  <c r="AA90" i="3"/>
  <c r="Z90" i="3"/>
  <c r="Y90" i="3"/>
  <c r="X90" i="3"/>
  <c r="W90" i="3"/>
  <c r="V90" i="3"/>
  <c r="U90" i="3"/>
  <c r="T90" i="3"/>
  <c r="S90" i="3"/>
  <c r="R90" i="3"/>
  <c r="E90" i="3"/>
  <c r="E193" i="3" s="1"/>
  <c r="D90" i="3"/>
  <c r="D193" i="3" s="1"/>
  <c r="C90" i="3"/>
  <c r="C193" i="3" s="1"/>
  <c r="B90" i="3"/>
  <c r="B193" i="3" s="1"/>
  <c r="A90" i="3"/>
  <c r="AC89" i="3"/>
  <c r="AB89" i="3"/>
  <c r="AA89" i="3"/>
  <c r="Z89" i="3"/>
  <c r="Y89" i="3"/>
  <c r="X89" i="3"/>
  <c r="W89" i="3"/>
  <c r="V89" i="3"/>
  <c r="U89" i="3"/>
  <c r="T89" i="3"/>
  <c r="S89" i="3"/>
  <c r="R89" i="3"/>
  <c r="E89" i="3"/>
  <c r="E192" i="3" s="1"/>
  <c r="D89" i="3"/>
  <c r="C89" i="3"/>
  <c r="C192" i="3" s="1"/>
  <c r="B89" i="3"/>
  <c r="B192" i="3" s="1"/>
  <c r="A89" i="3"/>
  <c r="A192" i="3" s="1"/>
  <c r="AC88" i="3"/>
  <c r="AB88" i="3"/>
  <c r="AA88" i="3"/>
  <c r="Z88" i="3"/>
  <c r="Y88" i="3"/>
  <c r="X88" i="3"/>
  <c r="W88" i="3"/>
  <c r="V88" i="3"/>
  <c r="U88" i="3"/>
  <c r="T88" i="3"/>
  <c r="S88" i="3"/>
  <c r="R88" i="3"/>
  <c r="E88" i="3"/>
  <c r="E191" i="3" s="1"/>
  <c r="D88" i="3"/>
  <c r="C88" i="3"/>
  <c r="C191" i="3" s="1"/>
  <c r="B88" i="3"/>
  <c r="B191" i="3" s="1"/>
  <c r="A88" i="3"/>
  <c r="A191" i="3" s="1"/>
  <c r="AC87" i="3"/>
  <c r="AB87" i="3"/>
  <c r="AA87" i="3"/>
  <c r="Z87" i="3"/>
  <c r="Y87" i="3"/>
  <c r="X87" i="3"/>
  <c r="W87" i="3"/>
  <c r="V87" i="3"/>
  <c r="U87" i="3"/>
  <c r="T87" i="3"/>
  <c r="S87" i="3"/>
  <c r="R87" i="3"/>
  <c r="E87" i="3"/>
  <c r="E190" i="3" s="1"/>
  <c r="D87" i="3"/>
  <c r="C87" i="3"/>
  <c r="B87" i="3"/>
  <c r="B190" i="3" s="1"/>
  <c r="A87" i="3"/>
  <c r="A190" i="3" s="1"/>
  <c r="AC86" i="3"/>
  <c r="AB86" i="3"/>
  <c r="AA86" i="3"/>
  <c r="Z86" i="3"/>
  <c r="Y86" i="3"/>
  <c r="X86" i="3"/>
  <c r="W86" i="3"/>
  <c r="V86" i="3"/>
  <c r="U86" i="3"/>
  <c r="T86" i="3"/>
  <c r="S86" i="3"/>
  <c r="R86" i="3"/>
  <c r="E86" i="3"/>
  <c r="E189" i="3" s="1"/>
  <c r="D86" i="3"/>
  <c r="D189" i="3" s="1"/>
  <c r="C86" i="3"/>
  <c r="C189" i="3" s="1"/>
  <c r="B86" i="3"/>
  <c r="A86" i="3"/>
  <c r="AC85" i="3"/>
  <c r="AB85" i="3"/>
  <c r="AA85" i="3"/>
  <c r="Z85" i="3"/>
  <c r="Y85" i="3"/>
  <c r="X85" i="3"/>
  <c r="W85" i="3"/>
  <c r="V85" i="3"/>
  <c r="U85" i="3"/>
  <c r="T85" i="3"/>
  <c r="S85" i="3"/>
  <c r="R85" i="3"/>
  <c r="E85" i="3"/>
  <c r="E188" i="3" s="1"/>
  <c r="D85" i="3"/>
  <c r="C85" i="3"/>
  <c r="C188" i="3" s="1"/>
  <c r="B85" i="3"/>
  <c r="B188" i="3" s="1"/>
  <c r="A85" i="3"/>
  <c r="A188" i="3" s="1"/>
  <c r="AC84" i="3"/>
  <c r="AB84" i="3"/>
  <c r="AA84" i="3"/>
  <c r="Z84" i="3"/>
  <c r="Y84" i="3"/>
  <c r="X84" i="3"/>
  <c r="W84" i="3"/>
  <c r="V84" i="3"/>
  <c r="U84" i="3"/>
  <c r="T84" i="3"/>
  <c r="S84" i="3"/>
  <c r="R84" i="3"/>
  <c r="E84" i="3"/>
  <c r="D84" i="3"/>
  <c r="D187" i="3" s="1"/>
  <c r="C84" i="3"/>
  <c r="C187" i="3" s="1"/>
  <c r="B84" i="3"/>
  <c r="A84" i="3"/>
  <c r="A187" i="3" s="1"/>
  <c r="AC83" i="3"/>
  <c r="AB83" i="3"/>
  <c r="AA83" i="3"/>
  <c r="Z83" i="3"/>
  <c r="Y83" i="3"/>
  <c r="X83" i="3"/>
  <c r="W83" i="3"/>
  <c r="V83" i="3"/>
  <c r="U83" i="3"/>
  <c r="T83" i="3"/>
  <c r="S83" i="3"/>
  <c r="R83" i="3"/>
  <c r="E83" i="3"/>
  <c r="E186" i="3" s="1"/>
  <c r="D83" i="3"/>
  <c r="C83" i="3"/>
  <c r="C186" i="3" s="1"/>
  <c r="B83" i="3"/>
  <c r="B186" i="3" s="1"/>
  <c r="A83" i="3"/>
  <c r="A186" i="3" s="1"/>
  <c r="AC82" i="3"/>
  <c r="AB82" i="3"/>
  <c r="AA82" i="3"/>
  <c r="Z82" i="3"/>
  <c r="Y82" i="3"/>
  <c r="X82" i="3"/>
  <c r="W82" i="3"/>
  <c r="V82" i="3"/>
  <c r="U82" i="3"/>
  <c r="T82" i="3"/>
  <c r="S82" i="3"/>
  <c r="R82" i="3"/>
  <c r="E82" i="3"/>
  <c r="E185" i="3" s="1"/>
  <c r="D82" i="3"/>
  <c r="D185" i="3" s="1"/>
  <c r="C82" i="3"/>
  <c r="C185" i="3" s="1"/>
  <c r="B82" i="3"/>
  <c r="A82" i="3"/>
  <c r="AC81" i="3"/>
  <c r="AB81" i="3"/>
  <c r="AA81" i="3"/>
  <c r="Z81" i="3"/>
  <c r="Y81" i="3"/>
  <c r="X81" i="3"/>
  <c r="W81" i="3"/>
  <c r="V81" i="3"/>
  <c r="U81" i="3"/>
  <c r="T81" i="3"/>
  <c r="S81" i="3"/>
  <c r="R81" i="3"/>
  <c r="E81" i="3"/>
  <c r="E184" i="3" s="1"/>
  <c r="D81" i="3"/>
  <c r="D184" i="3" s="1"/>
  <c r="C81" i="3"/>
  <c r="C184" i="3" s="1"/>
  <c r="B81" i="3"/>
  <c r="B184" i="3" s="1"/>
  <c r="A81" i="3"/>
  <c r="A184" i="3" s="1"/>
  <c r="AC80" i="3"/>
  <c r="AB80" i="3"/>
  <c r="AA80" i="3"/>
  <c r="Z80" i="3"/>
  <c r="Y80" i="3"/>
  <c r="X80" i="3"/>
  <c r="W80" i="3"/>
  <c r="V80" i="3"/>
  <c r="U80" i="3"/>
  <c r="T80" i="3"/>
  <c r="S80" i="3"/>
  <c r="R80" i="3"/>
  <c r="E80" i="3"/>
  <c r="E183" i="3" s="1"/>
  <c r="D80" i="3"/>
  <c r="D183" i="3" s="1"/>
  <c r="C80" i="3"/>
  <c r="C183" i="3" s="1"/>
  <c r="B80" i="3"/>
  <c r="A80" i="3"/>
  <c r="A183" i="3" s="1"/>
  <c r="AC79" i="3"/>
  <c r="AB79" i="3"/>
  <c r="AA79" i="3"/>
  <c r="Z79" i="3"/>
  <c r="Y79" i="3"/>
  <c r="X79" i="3"/>
  <c r="W79" i="3"/>
  <c r="V79" i="3"/>
  <c r="U79" i="3"/>
  <c r="T79" i="3"/>
  <c r="S79" i="3"/>
  <c r="R79" i="3"/>
  <c r="E79" i="3"/>
  <c r="D79" i="3"/>
  <c r="D182" i="3" s="1"/>
  <c r="C79" i="3"/>
  <c r="B79" i="3"/>
  <c r="B182" i="3" s="1"/>
  <c r="A79" i="3"/>
  <c r="AC78" i="3"/>
  <c r="AB78" i="3"/>
  <c r="AA78" i="3"/>
  <c r="Z78" i="3"/>
  <c r="Y78" i="3"/>
  <c r="X78" i="3"/>
  <c r="W78" i="3"/>
  <c r="V78" i="3"/>
  <c r="U78" i="3"/>
  <c r="T78" i="3"/>
  <c r="S78" i="3"/>
  <c r="R78" i="3"/>
  <c r="E78" i="3"/>
  <c r="E181" i="3" s="1"/>
  <c r="D78" i="3"/>
  <c r="D181" i="3" s="1"/>
  <c r="C78" i="3"/>
  <c r="C181" i="3" s="1"/>
  <c r="B78" i="3"/>
  <c r="A78" i="3"/>
  <c r="A181" i="3" s="1"/>
  <c r="AC77" i="3"/>
  <c r="AB77" i="3"/>
  <c r="AA77" i="3"/>
  <c r="Z77" i="3"/>
  <c r="Y77" i="3"/>
  <c r="X77" i="3"/>
  <c r="W77" i="3"/>
  <c r="V77" i="3"/>
  <c r="U77" i="3"/>
  <c r="T77" i="3"/>
  <c r="S77" i="3"/>
  <c r="R77" i="3"/>
  <c r="E77" i="3"/>
  <c r="E180" i="3" s="1"/>
  <c r="D77" i="3"/>
  <c r="C77" i="3"/>
  <c r="B77" i="3"/>
  <c r="B180" i="3" s="1"/>
  <c r="A77" i="3"/>
  <c r="A180" i="3" s="1"/>
  <c r="AC76" i="3"/>
  <c r="AB76" i="3"/>
  <c r="AA76" i="3"/>
  <c r="Z76" i="3"/>
  <c r="Y76" i="3"/>
  <c r="X76" i="3"/>
  <c r="W76" i="3"/>
  <c r="V76" i="3"/>
  <c r="U76" i="3"/>
  <c r="T76" i="3"/>
  <c r="S76" i="3"/>
  <c r="R76" i="3"/>
  <c r="E76" i="3"/>
  <c r="B76" i="3"/>
  <c r="A76" i="3"/>
  <c r="AC75" i="3"/>
  <c r="AB75" i="3"/>
  <c r="AA75" i="3"/>
  <c r="Z75" i="3"/>
  <c r="Y75" i="3"/>
  <c r="X75" i="3"/>
  <c r="W75" i="3"/>
  <c r="V75" i="3"/>
  <c r="U75" i="3"/>
  <c r="T75" i="3"/>
  <c r="S75" i="3"/>
  <c r="R75" i="3"/>
  <c r="E75" i="3"/>
  <c r="E179" i="3" s="1"/>
  <c r="D75" i="3"/>
  <c r="D179" i="3" s="1"/>
  <c r="C75" i="3"/>
  <c r="C179" i="3" s="1"/>
  <c r="B75" i="3"/>
  <c r="B179" i="3" s="1"/>
  <c r="A75" i="3"/>
  <c r="A179" i="3" s="1"/>
  <c r="AC74" i="3"/>
  <c r="AB74" i="3"/>
  <c r="AA74" i="3"/>
  <c r="Z74" i="3"/>
  <c r="Y74" i="3"/>
  <c r="X74" i="3"/>
  <c r="W74" i="3"/>
  <c r="V74" i="3"/>
  <c r="U74" i="3"/>
  <c r="T74" i="3"/>
  <c r="S74" i="3"/>
  <c r="R74" i="3"/>
  <c r="E74" i="3"/>
  <c r="E178" i="3" s="1"/>
  <c r="D74" i="3"/>
  <c r="C74" i="3"/>
  <c r="B74" i="3"/>
  <c r="B178" i="3" s="1"/>
  <c r="A74" i="3"/>
  <c r="A178" i="3" s="1"/>
  <c r="AC73" i="3"/>
  <c r="AB73" i="3"/>
  <c r="AA73" i="3"/>
  <c r="Z73" i="3"/>
  <c r="Y73" i="3"/>
  <c r="X73" i="3"/>
  <c r="W73" i="3"/>
  <c r="V73" i="3"/>
  <c r="U73" i="3"/>
  <c r="T73" i="3"/>
  <c r="S73" i="3"/>
  <c r="R73" i="3"/>
  <c r="E73" i="3"/>
  <c r="E177" i="3" s="1"/>
  <c r="D73" i="3"/>
  <c r="D177" i="3" s="1"/>
  <c r="C73" i="3"/>
  <c r="B73" i="3"/>
  <c r="B177" i="3" s="1"/>
  <c r="A73" i="3"/>
  <c r="A177" i="3" s="1"/>
  <c r="AC72" i="3"/>
  <c r="AB72" i="3"/>
  <c r="AA72" i="3"/>
  <c r="Z72" i="3"/>
  <c r="Y72" i="3"/>
  <c r="X72" i="3"/>
  <c r="W72" i="3"/>
  <c r="V72" i="3"/>
  <c r="U72" i="3"/>
  <c r="T72" i="3"/>
  <c r="S72" i="3"/>
  <c r="R72" i="3"/>
  <c r="E72" i="3"/>
  <c r="E176" i="3" s="1"/>
  <c r="D72" i="3"/>
  <c r="C72" i="3"/>
  <c r="C176" i="3" s="1"/>
  <c r="B72" i="3"/>
  <c r="B176" i="3" s="1"/>
  <c r="A72" i="3"/>
  <c r="A176" i="3" s="1"/>
  <c r="AC71" i="3"/>
  <c r="AB71" i="3"/>
  <c r="AA71" i="3"/>
  <c r="Z71" i="3"/>
  <c r="Y71" i="3"/>
  <c r="X71" i="3"/>
  <c r="W71" i="3"/>
  <c r="V71" i="3"/>
  <c r="U71" i="3"/>
  <c r="T71" i="3"/>
  <c r="S71" i="3"/>
  <c r="R71" i="3"/>
  <c r="E71" i="3"/>
  <c r="D71" i="3"/>
  <c r="D175" i="3" s="1"/>
  <c r="C71" i="3"/>
  <c r="C175" i="3" s="1"/>
  <c r="B71" i="3"/>
  <c r="A71" i="3"/>
  <c r="AC70" i="3"/>
  <c r="AB70" i="3"/>
  <c r="AA70" i="3"/>
  <c r="Z70" i="3"/>
  <c r="Y70" i="3"/>
  <c r="X70" i="3"/>
  <c r="W70" i="3"/>
  <c r="V70" i="3"/>
  <c r="U70" i="3"/>
  <c r="T70" i="3"/>
  <c r="S70" i="3"/>
  <c r="R70" i="3"/>
  <c r="E70" i="3"/>
  <c r="E174" i="3" s="1"/>
  <c r="D70" i="3"/>
  <c r="D174" i="3" s="1"/>
  <c r="C70" i="3"/>
  <c r="B70" i="3"/>
  <c r="B174" i="3" s="1"/>
  <c r="A70" i="3"/>
  <c r="A174" i="3" s="1"/>
  <c r="AC69" i="3"/>
  <c r="AB69" i="3"/>
  <c r="AA69" i="3"/>
  <c r="Z69" i="3"/>
  <c r="Y69" i="3"/>
  <c r="X69" i="3"/>
  <c r="W69" i="3"/>
  <c r="V69" i="3"/>
  <c r="U69" i="3"/>
  <c r="T69" i="3"/>
  <c r="S69" i="3"/>
  <c r="R69" i="3"/>
  <c r="E69" i="3"/>
  <c r="E173" i="3" s="1"/>
  <c r="D69" i="3"/>
  <c r="D173" i="3" s="1"/>
  <c r="C69" i="3"/>
  <c r="C173" i="3" s="1"/>
  <c r="B69" i="3"/>
  <c r="A69" i="3"/>
  <c r="A173" i="3" s="1"/>
  <c r="AC68" i="3"/>
  <c r="AB68" i="3"/>
  <c r="AA68" i="3"/>
  <c r="Z68" i="3"/>
  <c r="Y68" i="3"/>
  <c r="X68" i="3"/>
  <c r="W68" i="3"/>
  <c r="V68" i="3"/>
  <c r="U68" i="3"/>
  <c r="T68" i="3"/>
  <c r="S68" i="3"/>
  <c r="R68" i="3"/>
  <c r="E68" i="3"/>
  <c r="E172" i="3" s="1"/>
  <c r="D68" i="3"/>
  <c r="D172" i="3" s="1"/>
  <c r="C68" i="3"/>
  <c r="C172" i="3" s="1"/>
  <c r="B68" i="3"/>
  <c r="B172" i="3" s="1"/>
  <c r="A68" i="3"/>
  <c r="A172" i="3" s="1"/>
  <c r="AC67" i="3"/>
  <c r="AB67" i="3"/>
  <c r="AA67" i="3"/>
  <c r="Z67" i="3"/>
  <c r="Y67" i="3"/>
  <c r="X67" i="3"/>
  <c r="W67" i="3"/>
  <c r="V67" i="3"/>
  <c r="U67" i="3"/>
  <c r="T67" i="3"/>
  <c r="S67" i="3"/>
  <c r="R67" i="3"/>
  <c r="E67" i="3"/>
  <c r="E171" i="3" s="1"/>
  <c r="D67" i="3"/>
  <c r="D171" i="3" s="1"/>
  <c r="C67" i="3"/>
  <c r="C171" i="3" s="1"/>
  <c r="B67" i="3"/>
  <c r="A67" i="3"/>
  <c r="A171" i="3" s="1"/>
  <c r="AC66" i="3"/>
  <c r="AB66" i="3"/>
  <c r="AA66" i="3"/>
  <c r="Z66" i="3"/>
  <c r="Y66" i="3"/>
  <c r="X66" i="3"/>
  <c r="W66" i="3"/>
  <c r="V66" i="3"/>
  <c r="U66" i="3"/>
  <c r="T66" i="3"/>
  <c r="S66" i="3"/>
  <c r="R66" i="3"/>
  <c r="E66" i="3"/>
  <c r="E170" i="3" s="1"/>
  <c r="D66" i="3"/>
  <c r="D170" i="3" s="1"/>
  <c r="C66" i="3"/>
  <c r="C170" i="3" s="1"/>
  <c r="B66" i="3"/>
  <c r="B170" i="3" s="1"/>
  <c r="A66" i="3"/>
  <c r="A170" i="3" s="1"/>
  <c r="AC65" i="3"/>
  <c r="AB65" i="3"/>
  <c r="AA65" i="3"/>
  <c r="Z65" i="3"/>
  <c r="Y65" i="3"/>
  <c r="X65" i="3"/>
  <c r="W65" i="3"/>
  <c r="V65" i="3"/>
  <c r="U65" i="3"/>
  <c r="T65" i="3"/>
  <c r="S65" i="3"/>
  <c r="R65" i="3"/>
  <c r="E65" i="3"/>
  <c r="E169" i="3" s="1"/>
  <c r="D65" i="3"/>
  <c r="D169" i="3" s="1"/>
  <c r="C65" i="3"/>
  <c r="B65" i="3"/>
  <c r="A65" i="3"/>
  <c r="A169" i="3" s="1"/>
  <c r="AC64" i="3"/>
  <c r="AB64" i="3"/>
  <c r="AA64" i="3"/>
  <c r="Z64" i="3"/>
  <c r="Y64" i="3"/>
  <c r="X64" i="3"/>
  <c r="W64" i="3"/>
  <c r="V64" i="3"/>
  <c r="U64" i="3"/>
  <c r="T64" i="3"/>
  <c r="S64" i="3"/>
  <c r="R64" i="3"/>
  <c r="E64" i="3"/>
  <c r="E168" i="3" s="1"/>
  <c r="D64" i="3"/>
  <c r="C64" i="3"/>
  <c r="B64" i="3"/>
  <c r="B168" i="3" s="1"/>
  <c r="A64" i="3"/>
  <c r="A168" i="3" s="1"/>
  <c r="AC63" i="3"/>
  <c r="AB63" i="3"/>
  <c r="AA63" i="3"/>
  <c r="Z63" i="3"/>
  <c r="Y63" i="3"/>
  <c r="X63" i="3"/>
  <c r="W63" i="3"/>
  <c r="V63" i="3"/>
  <c r="U63" i="3"/>
  <c r="T63" i="3"/>
  <c r="S63" i="3"/>
  <c r="R63" i="3"/>
  <c r="E63" i="3"/>
  <c r="E167" i="3" s="1"/>
  <c r="D63" i="3"/>
  <c r="D167" i="3" s="1"/>
  <c r="C63" i="3"/>
  <c r="C167" i="3" s="1"/>
  <c r="B63" i="3"/>
  <c r="B167" i="3" s="1"/>
  <c r="A63" i="3"/>
  <c r="A167" i="3" s="1"/>
  <c r="AC62" i="3"/>
  <c r="AB62" i="3"/>
  <c r="AA62" i="3"/>
  <c r="Z62" i="3"/>
  <c r="Y62" i="3"/>
  <c r="X62" i="3"/>
  <c r="W62" i="3"/>
  <c r="V62" i="3"/>
  <c r="U62" i="3"/>
  <c r="T62" i="3"/>
  <c r="S62" i="3"/>
  <c r="R62" i="3"/>
  <c r="E62" i="3"/>
  <c r="E166" i="3" s="1"/>
  <c r="D62" i="3"/>
  <c r="D166" i="3" s="1"/>
  <c r="C62" i="3"/>
  <c r="C166" i="3" s="1"/>
  <c r="B62" i="3"/>
  <c r="A62" i="3"/>
  <c r="A166" i="3" s="1"/>
  <c r="AC61" i="3"/>
  <c r="AB61" i="3"/>
  <c r="AA61" i="3"/>
  <c r="Z61" i="3"/>
  <c r="Y61" i="3"/>
  <c r="X61" i="3"/>
  <c r="W61" i="3"/>
  <c r="V61" i="3"/>
  <c r="U61" i="3"/>
  <c r="T61" i="3"/>
  <c r="S61" i="3"/>
  <c r="R61" i="3"/>
  <c r="E61" i="3"/>
  <c r="D61" i="3"/>
  <c r="D165" i="3" s="1"/>
  <c r="C61" i="3"/>
  <c r="C165" i="3" s="1"/>
  <c r="B61" i="3"/>
  <c r="B165" i="3" s="1"/>
  <c r="A61" i="3"/>
  <c r="A165" i="3" s="1"/>
  <c r="AC60" i="3"/>
  <c r="AB60" i="3"/>
  <c r="AA60" i="3"/>
  <c r="Z60" i="3"/>
  <c r="Y60" i="3"/>
  <c r="X60" i="3"/>
  <c r="W60" i="3"/>
  <c r="V60" i="3"/>
  <c r="U60" i="3"/>
  <c r="T60" i="3"/>
  <c r="S60" i="3"/>
  <c r="R60" i="3"/>
  <c r="E60" i="3"/>
  <c r="E164" i="3" s="1"/>
  <c r="D60" i="3"/>
  <c r="D164" i="3" s="1"/>
  <c r="C60" i="3"/>
  <c r="B60" i="3"/>
  <c r="B164" i="3" s="1"/>
  <c r="A60" i="3"/>
  <c r="A164" i="3" s="1"/>
  <c r="AC59" i="3"/>
  <c r="AB59" i="3"/>
  <c r="AA59" i="3"/>
  <c r="Z59" i="3"/>
  <c r="Y59" i="3"/>
  <c r="X59" i="3"/>
  <c r="W59" i="3"/>
  <c r="V59" i="3"/>
  <c r="U59" i="3"/>
  <c r="T59" i="3"/>
  <c r="S59" i="3"/>
  <c r="R59" i="3"/>
  <c r="E59" i="3"/>
  <c r="D59" i="3"/>
  <c r="D163" i="3" s="1"/>
  <c r="C59" i="3"/>
  <c r="C163" i="3" s="1"/>
  <c r="B59" i="3"/>
  <c r="B163" i="3" s="1"/>
  <c r="A59" i="3"/>
  <c r="AC58" i="3"/>
  <c r="AB58" i="3"/>
  <c r="AA58" i="3"/>
  <c r="Z58" i="3"/>
  <c r="Y58" i="3"/>
  <c r="X58" i="3"/>
  <c r="W58" i="3"/>
  <c r="V58" i="3"/>
  <c r="U58" i="3"/>
  <c r="T58" i="3"/>
  <c r="S58" i="3"/>
  <c r="R58" i="3"/>
  <c r="E58" i="3"/>
  <c r="B58" i="3"/>
  <c r="A58" i="3"/>
  <c r="AC57" i="3"/>
  <c r="AB57" i="3"/>
  <c r="AA57" i="3"/>
  <c r="Z57" i="3"/>
  <c r="Y57" i="3"/>
  <c r="X57" i="3"/>
  <c r="W57" i="3"/>
  <c r="V57" i="3"/>
  <c r="U57" i="3"/>
  <c r="T57" i="3"/>
  <c r="S57" i="3"/>
  <c r="R57" i="3"/>
  <c r="E57" i="3"/>
  <c r="E162" i="3" s="1"/>
  <c r="D57" i="3"/>
  <c r="C57" i="3"/>
  <c r="C162" i="3" s="1"/>
  <c r="B57" i="3"/>
  <c r="B162" i="3" s="1"/>
  <c r="A57" i="3"/>
  <c r="A162" i="3" s="1"/>
  <c r="AC56" i="3"/>
  <c r="AB56" i="3"/>
  <c r="AA56" i="3"/>
  <c r="Z56" i="3"/>
  <c r="Y56" i="3"/>
  <c r="X56" i="3"/>
  <c r="W56" i="3"/>
  <c r="V56" i="3"/>
  <c r="U56" i="3"/>
  <c r="T56" i="3"/>
  <c r="S56" i="3"/>
  <c r="R56" i="3"/>
  <c r="E56" i="3"/>
  <c r="E161" i="3" s="1"/>
  <c r="D56" i="3"/>
  <c r="C56" i="3"/>
  <c r="C161" i="3" s="1"/>
  <c r="B56" i="3"/>
  <c r="A56" i="3"/>
  <c r="AC55" i="3"/>
  <c r="AB55" i="3"/>
  <c r="AA55" i="3"/>
  <c r="Z55" i="3"/>
  <c r="Y55" i="3"/>
  <c r="X55" i="3"/>
  <c r="W55" i="3"/>
  <c r="V55" i="3"/>
  <c r="U55" i="3"/>
  <c r="T55" i="3"/>
  <c r="S55" i="3"/>
  <c r="R55" i="3"/>
  <c r="E55" i="3"/>
  <c r="E160" i="3" s="1"/>
  <c r="D55" i="3"/>
  <c r="C55" i="3"/>
  <c r="C160" i="3" s="1"/>
  <c r="B55" i="3"/>
  <c r="B160" i="3" s="1"/>
  <c r="A55" i="3"/>
  <c r="A160" i="3" s="1"/>
  <c r="AC54" i="3"/>
  <c r="AB54" i="3"/>
  <c r="AA54" i="3"/>
  <c r="Z54" i="3"/>
  <c r="Y54" i="3"/>
  <c r="X54" i="3"/>
  <c r="W54" i="3"/>
  <c r="V54" i="3"/>
  <c r="U54" i="3"/>
  <c r="T54" i="3"/>
  <c r="S54" i="3"/>
  <c r="R54" i="3"/>
  <c r="E54" i="3"/>
  <c r="E159" i="3" s="1"/>
  <c r="D54" i="3"/>
  <c r="D159" i="3" s="1"/>
  <c r="C54" i="3"/>
  <c r="C159" i="3" s="1"/>
  <c r="B54" i="3"/>
  <c r="B159" i="3" s="1"/>
  <c r="A54" i="3"/>
  <c r="AC53" i="3"/>
  <c r="AB53" i="3"/>
  <c r="AA53" i="3"/>
  <c r="Z53" i="3"/>
  <c r="Y53" i="3"/>
  <c r="X53" i="3"/>
  <c r="W53" i="3"/>
  <c r="V53" i="3"/>
  <c r="U53" i="3"/>
  <c r="T53" i="3"/>
  <c r="S53" i="3"/>
  <c r="R53" i="3"/>
  <c r="E53" i="3"/>
  <c r="E158" i="3" s="1"/>
  <c r="D53" i="3"/>
  <c r="D158" i="3" s="1"/>
  <c r="C53" i="3"/>
  <c r="C158" i="3" s="1"/>
  <c r="B53" i="3"/>
  <c r="B158" i="3" s="1"/>
  <c r="A53" i="3"/>
  <c r="A158" i="3" s="1"/>
  <c r="AC52" i="3"/>
  <c r="AB52" i="3"/>
  <c r="AA52" i="3"/>
  <c r="Z52" i="3"/>
  <c r="Y52" i="3"/>
  <c r="X52" i="3"/>
  <c r="W52" i="3"/>
  <c r="V52" i="3"/>
  <c r="U52" i="3"/>
  <c r="T52" i="3"/>
  <c r="S52" i="3"/>
  <c r="R52" i="3"/>
  <c r="E52" i="3"/>
  <c r="D52" i="3"/>
  <c r="D157" i="3" s="1"/>
  <c r="C52" i="3"/>
  <c r="C157" i="3" s="1"/>
  <c r="B52" i="3"/>
  <c r="B157" i="3" s="1"/>
  <c r="A52" i="3"/>
  <c r="A157" i="3" s="1"/>
  <c r="AC51" i="3"/>
  <c r="AB51" i="3"/>
  <c r="AA51" i="3"/>
  <c r="Z51" i="3"/>
  <c r="Y51" i="3"/>
  <c r="X51" i="3"/>
  <c r="W51" i="3"/>
  <c r="V51" i="3"/>
  <c r="U51" i="3"/>
  <c r="T51" i="3"/>
  <c r="S51" i="3"/>
  <c r="R51" i="3"/>
  <c r="E51" i="3"/>
  <c r="E156" i="3" s="1"/>
  <c r="D51" i="3"/>
  <c r="D156" i="3" s="1"/>
  <c r="C51" i="3"/>
  <c r="C156" i="3" s="1"/>
  <c r="B51" i="3"/>
  <c r="B156" i="3" s="1"/>
  <c r="A51" i="3"/>
  <c r="A156" i="3" s="1"/>
  <c r="AC50" i="3"/>
  <c r="AB50" i="3"/>
  <c r="AA50" i="3"/>
  <c r="Z50" i="3"/>
  <c r="Y50" i="3"/>
  <c r="X50" i="3"/>
  <c r="W50" i="3"/>
  <c r="V50" i="3"/>
  <c r="U50" i="3"/>
  <c r="T50" i="3"/>
  <c r="S50" i="3"/>
  <c r="R50" i="3"/>
  <c r="E50" i="3"/>
  <c r="E155" i="3" s="1"/>
  <c r="D50" i="3"/>
  <c r="D155" i="3" s="1"/>
  <c r="C50" i="3"/>
  <c r="C155" i="3" s="1"/>
  <c r="B50" i="3"/>
  <c r="B155" i="3" s="1"/>
  <c r="A50" i="3"/>
  <c r="AC49" i="3"/>
  <c r="AB49" i="3"/>
  <c r="AA49" i="3"/>
  <c r="Z49" i="3"/>
  <c r="Y49" i="3"/>
  <c r="X49" i="3"/>
  <c r="W49" i="3"/>
  <c r="V49" i="3"/>
  <c r="U49" i="3"/>
  <c r="T49" i="3"/>
  <c r="S49" i="3"/>
  <c r="R49" i="3"/>
  <c r="E49" i="3"/>
  <c r="E154" i="3" s="1"/>
  <c r="D49" i="3"/>
  <c r="D154" i="3" s="1"/>
  <c r="C49" i="3"/>
  <c r="C154" i="3" s="1"/>
  <c r="B49" i="3"/>
  <c r="B154" i="3" s="1"/>
  <c r="A49" i="3"/>
  <c r="A154" i="3" s="1"/>
  <c r="AC48" i="3"/>
  <c r="AB48" i="3"/>
  <c r="AA48" i="3"/>
  <c r="Z48" i="3"/>
  <c r="Y48" i="3"/>
  <c r="X48" i="3"/>
  <c r="W48" i="3"/>
  <c r="V48" i="3"/>
  <c r="U48" i="3"/>
  <c r="T48" i="3"/>
  <c r="S48" i="3"/>
  <c r="R48" i="3"/>
  <c r="E48" i="3"/>
  <c r="D48" i="3"/>
  <c r="D153" i="3" s="1"/>
  <c r="C48" i="3"/>
  <c r="C153" i="3" s="1"/>
  <c r="B48" i="3"/>
  <c r="B153" i="3" s="1"/>
  <c r="A48" i="3"/>
  <c r="AC47" i="3"/>
  <c r="AB47" i="3"/>
  <c r="AA47" i="3"/>
  <c r="Z47" i="3"/>
  <c r="Y47" i="3"/>
  <c r="X47" i="3"/>
  <c r="W47" i="3"/>
  <c r="V47" i="3"/>
  <c r="U47" i="3"/>
  <c r="T47" i="3"/>
  <c r="S47" i="3"/>
  <c r="R47" i="3"/>
  <c r="E47" i="3"/>
  <c r="E152" i="3" s="1"/>
  <c r="D47" i="3"/>
  <c r="D152" i="3" s="1"/>
  <c r="C47" i="3"/>
  <c r="C152" i="3" s="1"/>
  <c r="B47" i="3"/>
  <c r="B152" i="3" s="1"/>
  <c r="A47" i="3"/>
  <c r="A152" i="3" s="1"/>
  <c r="AC46" i="3"/>
  <c r="AB46" i="3"/>
  <c r="AA46" i="3"/>
  <c r="Z46" i="3"/>
  <c r="Y46" i="3"/>
  <c r="X46" i="3"/>
  <c r="W46" i="3"/>
  <c r="V46" i="3"/>
  <c r="U46" i="3"/>
  <c r="T46" i="3"/>
  <c r="S46" i="3"/>
  <c r="R46" i="3"/>
  <c r="E46" i="3"/>
  <c r="E151" i="3" s="1"/>
  <c r="D46" i="3"/>
  <c r="D151" i="3" s="1"/>
  <c r="C46" i="3"/>
  <c r="C151" i="3" s="1"/>
  <c r="B46" i="3"/>
  <c r="A46" i="3"/>
  <c r="A151" i="3" s="1"/>
  <c r="AC45" i="3"/>
  <c r="AB45" i="3"/>
  <c r="AA45" i="3"/>
  <c r="Z45" i="3"/>
  <c r="Y45" i="3"/>
  <c r="X45" i="3"/>
  <c r="W45" i="3"/>
  <c r="V45" i="3"/>
  <c r="U45" i="3"/>
  <c r="T45" i="3"/>
  <c r="S45" i="3"/>
  <c r="R45" i="3"/>
  <c r="E45" i="3"/>
  <c r="E150" i="3" s="1"/>
  <c r="D45" i="3"/>
  <c r="C45" i="3"/>
  <c r="C150" i="3" s="1"/>
  <c r="B45" i="3"/>
  <c r="B150" i="3" s="1"/>
  <c r="A45" i="3"/>
  <c r="A150" i="3" s="1"/>
  <c r="AC44" i="3"/>
  <c r="AB44" i="3"/>
  <c r="AA44" i="3"/>
  <c r="Z44" i="3"/>
  <c r="Y44" i="3"/>
  <c r="X44" i="3"/>
  <c r="W44" i="3"/>
  <c r="V44" i="3"/>
  <c r="U44" i="3"/>
  <c r="T44" i="3"/>
  <c r="S44" i="3"/>
  <c r="R44" i="3"/>
  <c r="E44" i="3"/>
  <c r="D44" i="3"/>
  <c r="D149" i="3" s="1"/>
  <c r="C44" i="3"/>
  <c r="C149" i="3" s="1"/>
  <c r="B44" i="3"/>
  <c r="B149" i="3" s="1"/>
  <c r="A44" i="3"/>
  <c r="A149" i="3" s="1"/>
  <c r="AC43" i="3"/>
  <c r="AB43" i="3"/>
  <c r="AA43" i="3"/>
  <c r="Z43" i="3"/>
  <c r="Y43" i="3"/>
  <c r="X43" i="3"/>
  <c r="W43" i="3"/>
  <c r="V43" i="3"/>
  <c r="U43" i="3"/>
  <c r="T43" i="3"/>
  <c r="S43" i="3"/>
  <c r="R43" i="3"/>
  <c r="E43" i="3"/>
  <c r="E148" i="3" s="1"/>
  <c r="D43" i="3"/>
  <c r="C43" i="3"/>
  <c r="B43" i="3"/>
  <c r="B148" i="3" s="1"/>
  <c r="A43" i="3"/>
  <c r="A148" i="3" s="1"/>
  <c r="AC42" i="3"/>
  <c r="AB42" i="3"/>
  <c r="AA42" i="3"/>
  <c r="Z42" i="3"/>
  <c r="Y42" i="3"/>
  <c r="X42" i="3"/>
  <c r="W42" i="3"/>
  <c r="V42" i="3"/>
  <c r="U42" i="3"/>
  <c r="T42" i="3"/>
  <c r="S42" i="3"/>
  <c r="R42" i="3"/>
  <c r="E42" i="3"/>
  <c r="E147" i="3" s="1"/>
  <c r="D42" i="3"/>
  <c r="D147" i="3" s="1"/>
  <c r="C42" i="3"/>
  <c r="B42" i="3"/>
  <c r="B147" i="3" s="1"/>
  <c r="A42" i="3"/>
  <c r="AC41" i="3"/>
  <c r="AB41" i="3"/>
  <c r="AA41" i="3"/>
  <c r="Z41" i="3"/>
  <c r="Y41" i="3"/>
  <c r="X41" i="3"/>
  <c r="W41" i="3"/>
  <c r="V41" i="3"/>
  <c r="U41" i="3"/>
  <c r="T41" i="3"/>
  <c r="S41" i="3"/>
  <c r="R41" i="3"/>
  <c r="E41" i="3"/>
  <c r="E146" i="3" s="1"/>
  <c r="D41" i="3"/>
  <c r="C41" i="3"/>
  <c r="C146" i="3" s="1"/>
  <c r="B41" i="3"/>
  <c r="B146" i="3" s="1"/>
  <c r="A41" i="3"/>
  <c r="A146" i="3" s="1"/>
  <c r="AC40" i="3"/>
  <c r="AB40" i="3"/>
  <c r="AA40" i="3"/>
  <c r="Z40" i="3"/>
  <c r="Y40" i="3"/>
  <c r="X40" i="3"/>
  <c r="W40" i="3"/>
  <c r="V40" i="3"/>
  <c r="U40" i="3"/>
  <c r="T40" i="3"/>
  <c r="S40" i="3"/>
  <c r="R40" i="3"/>
  <c r="E40" i="3"/>
  <c r="B40" i="3"/>
  <c r="A40" i="3"/>
  <c r="AC39" i="3"/>
  <c r="AB39" i="3"/>
  <c r="AA39" i="3"/>
  <c r="Z39" i="3"/>
  <c r="Y39" i="3"/>
  <c r="X39" i="3"/>
  <c r="W39" i="3"/>
  <c r="V39" i="3"/>
  <c r="U39" i="3"/>
  <c r="T39" i="3"/>
  <c r="S39" i="3"/>
  <c r="R39" i="3"/>
  <c r="E39" i="3"/>
  <c r="E145" i="3" s="1"/>
  <c r="D39" i="3"/>
  <c r="D145" i="3" s="1"/>
  <c r="C39" i="3"/>
  <c r="C145" i="3" s="1"/>
  <c r="B39" i="3"/>
  <c r="B145" i="3" s="1"/>
  <c r="A39" i="3"/>
  <c r="AC38" i="3"/>
  <c r="AB38" i="3"/>
  <c r="AA38" i="3"/>
  <c r="Z38" i="3"/>
  <c r="Y38" i="3"/>
  <c r="X38" i="3"/>
  <c r="W38" i="3"/>
  <c r="V38" i="3"/>
  <c r="U38" i="3"/>
  <c r="T38" i="3"/>
  <c r="S38" i="3"/>
  <c r="R38" i="3"/>
  <c r="E38" i="3"/>
  <c r="D38" i="3"/>
  <c r="D144" i="3" s="1"/>
  <c r="C38" i="3"/>
  <c r="C144" i="3" s="1"/>
  <c r="B38" i="3"/>
  <c r="B144" i="3" s="1"/>
  <c r="A38" i="3"/>
  <c r="AC37" i="3"/>
  <c r="AB37" i="3"/>
  <c r="AA37" i="3"/>
  <c r="Z37" i="3"/>
  <c r="Y37" i="3"/>
  <c r="X37" i="3"/>
  <c r="W37" i="3"/>
  <c r="V37" i="3"/>
  <c r="U37" i="3"/>
  <c r="T37" i="3"/>
  <c r="S37" i="3"/>
  <c r="R37" i="3"/>
  <c r="E37" i="3"/>
  <c r="E143" i="3" s="1"/>
  <c r="D37" i="3"/>
  <c r="D143" i="3" s="1"/>
  <c r="C37" i="3"/>
  <c r="C143" i="3" s="1"/>
  <c r="B37" i="3"/>
  <c r="B143" i="3" s="1"/>
  <c r="A37" i="3"/>
  <c r="A143" i="3" s="1"/>
  <c r="AC36" i="3"/>
  <c r="AB36" i="3"/>
  <c r="AA36" i="3"/>
  <c r="Z36" i="3"/>
  <c r="Y36" i="3"/>
  <c r="X36" i="3"/>
  <c r="W36" i="3"/>
  <c r="V36" i="3"/>
  <c r="U36" i="3"/>
  <c r="T36" i="3"/>
  <c r="S36" i="3"/>
  <c r="R36" i="3"/>
  <c r="E36" i="3"/>
  <c r="E142" i="3" s="1"/>
  <c r="D36" i="3"/>
  <c r="D142" i="3" s="1"/>
  <c r="C36" i="3"/>
  <c r="B36" i="3"/>
  <c r="B142" i="3" s="1"/>
  <c r="A36" i="3"/>
  <c r="A142" i="3" s="1"/>
  <c r="AC35" i="3"/>
  <c r="AB35" i="3"/>
  <c r="AA35" i="3"/>
  <c r="Z35" i="3"/>
  <c r="Y35" i="3"/>
  <c r="X35" i="3"/>
  <c r="W35" i="3"/>
  <c r="V35" i="3"/>
  <c r="U35" i="3"/>
  <c r="T35" i="3"/>
  <c r="S35" i="3"/>
  <c r="R35" i="3"/>
  <c r="E35" i="3"/>
  <c r="D35" i="3"/>
  <c r="D141" i="3" s="1"/>
  <c r="C35" i="3"/>
  <c r="C141" i="3" s="1"/>
  <c r="B35" i="3"/>
  <c r="B141" i="3" s="1"/>
  <c r="A35" i="3"/>
  <c r="A141" i="3" s="1"/>
  <c r="AC34" i="3"/>
  <c r="AB34" i="3"/>
  <c r="AA34" i="3"/>
  <c r="Z34" i="3"/>
  <c r="Y34" i="3"/>
  <c r="X34" i="3"/>
  <c r="W34" i="3"/>
  <c r="V34" i="3"/>
  <c r="U34" i="3"/>
  <c r="T34" i="3"/>
  <c r="S34" i="3"/>
  <c r="R34" i="3"/>
  <c r="E34" i="3"/>
  <c r="E140" i="3" s="1"/>
  <c r="D34" i="3"/>
  <c r="C34" i="3"/>
  <c r="C140" i="3" s="1"/>
  <c r="B34" i="3"/>
  <c r="B140" i="3" s="1"/>
  <c r="A34" i="3"/>
  <c r="A140" i="3" s="1"/>
  <c r="AC33" i="3"/>
  <c r="AB33" i="3"/>
  <c r="AA33" i="3"/>
  <c r="Z33" i="3"/>
  <c r="Y33" i="3"/>
  <c r="X33" i="3"/>
  <c r="W33" i="3"/>
  <c r="V33" i="3"/>
  <c r="U33" i="3"/>
  <c r="T33" i="3"/>
  <c r="S33" i="3"/>
  <c r="R33" i="3"/>
  <c r="E33" i="3"/>
  <c r="E139" i="3" s="1"/>
  <c r="D33" i="3"/>
  <c r="D139" i="3" s="1"/>
  <c r="C33" i="3"/>
  <c r="C139" i="3" s="1"/>
  <c r="B33" i="3"/>
  <c r="B139" i="3" s="1"/>
  <c r="A33" i="3"/>
  <c r="A139" i="3" s="1"/>
  <c r="AC32" i="3"/>
  <c r="AB32" i="3"/>
  <c r="AA32" i="3"/>
  <c r="Z32" i="3"/>
  <c r="Y32" i="3"/>
  <c r="X32" i="3"/>
  <c r="W32" i="3"/>
  <c r="V32" i="3"/>
  <c r="U32" i="3"/>
  <c r="T32" i="3"/>
  <c r="S32" i="3"/>
  <c r="R32" i="3"/>
  <c r="E32" i="3"/>
  <c r="D32" i="3"/>
  <c r="D138" i="3" s="1"/>
  <c r="C32" i="3"/>
  <c r="C138" i="3" s="1"/>
  <c r="B32" i="3"/>
  <c r="B138" i="3" s="1"/>
  <c r="A32" i="3"/>
  <c r="A138" i="3" s="1"/>
  <c r="AC31" i="3"/>
  <c r="AB31" i="3"/>
  <c r="AA31" i="3"/>
  <c r="Z31" i="3"/>
  <c r="Y31" i="3"/>
  <c r="X31" i="3"/>
  <c r="W31" i="3"/>
  <c r="V31" i="3"/>
  <c r="U31" i="3"/>
  <c r="T31" i="3"/>
  <c r="S31" i="3"/>
  <c r="R31" i="3"/>
  <c r="E31" i="3"/>
  <c r="E137" i="3" s="1"/>
  <c r="D31" i="3"/>
  <c r="D137" i="3" s="1"/>
  <c r="C31" i="3"/>
  <c r="C137" i="3" s="1"/>
  <c r="B31" i="3"/>
  <c r="B137" i="3" s="1"/>
  <c r="A31" i="3"/>
  <c r="A137" i="3" s="1"/>
  <c r="AC30" i="3"/>
  <c r="AB30" i="3"/>
  <c r="AA30" i="3"/>
  <c r="Z30" i="3"/>
  <c r="Y30" i="3"/>
  <c r="X30" i="3"/>
  <c r="W30" i="3"/>
  <c r="V30" i="3"/>
  <c r="U30" i="3"/>
  <c r="T30" i="3"/>
  <c r="S30" i="3"/>
  <c r="R30" i="3"/>
  <c r="E30" i="3"/>
  <c r="D30" i="3"/>
  <c r="D136" i="3" s="1"/>
  <c r="C30" i="3"/>
  <c r="C136" i="3" s="1"/>
  <c r="B30" i="3"/>
  <c r="B136" i="3" s="1"/>
  <c r="A30" i="3"/>
  <c r="A136" i="3" s="1"/>
  <c r="AC29" i="3"/>
  <c r="AB29" i="3"/>
  <c r="AA29" i="3"/>
  <c r="Z29" i="3"/>
  <c r="Y29" i="3"/>
  <c r="X29" i="3"/>
  <c r="W29" i="3"/>
  <c r="V29" i="3"/>
  <c r="U29" i="3"/>
  <c r="T29" i="3"/>
  <c r="S29" i="3"/>
  <c r="R29" i="3"/>
  <c r="E29" i="3"/>
  <c r="E135" i="3" s="1"/>
  <c r="D29" i="3"/>
  <c r="D135" i="3" s="1"/>
  <c r="C29" i="3"/>
  <c r="C135" i="3" s="1"/>
  <c r="B29" i="3"/>
  <c r="A29" i="3"/>
  <c r="A135" i="3" s="1"/>
  <c r="AC28" i="3"/>
  <c r="AB28" i="3"/>
  <c r="AA28" i="3"/>
  <c r="Z28" i="3"/>
  <c r="Y28" i="3"/>
  <c r="X28" i="3"/>
  <c r="W28" i="3"/>
  <c r="V28" i="3"/>
  <c r="U28" i="3"/>
  <c r="T28" i="3"/>
  <c r="S28" i="3"/>
  <c r="R28" i="3"/>
  <c r="E28" i="3"/>
  <c r="E134" i="3" s="1"/>
  <c r="D28" i="3"/>
  <c r="D134" i="3" s="1"/>
  <c r="C28" i="3"/>
  <c r="B28" i="3"/>
  <c r="B134" i="3" s="1"/>
  <c r="A28" i="3"/>
  <c r="AC27" i="3"/>
  <c r="AB27" i="3"/>
  <c r="AA27" i="3"/>
  <c r="Z27" i="3"/>
  <c r="Y27" i="3"/>
  <c r="X27" i="3"/>
  <c r="W27" i="3"/>
  <c r="V27" i="3"/>
  <c r="U27" i="3"/>
  <c r="T27" i="3"/>
  <c r="S27" i="3"/>
  <c r="R27" i="3"/>
  <c r="E27" i="3"/>
  <c r="E133" i="3" s="1"/>
  <c r="D27" i="3"/>
  <c r="D133" i="3" s="1"/>
  <c r="C27" i="3"/>
  <c r="C133" i="3" s="1"/>
  <c r="B27" i="3"/>
  <c r="B133" i="3" s="1"/>
  <c r="A27" i="3"/>
  <c r="A133" i="3" s="1"/>
  <c r="AC26" i="3"/>
  <c r="AB26" i="3"/>
  <c r="AA26" i="3"/>
  <c r="Z26" i="3"/>
  <c r="Y26" i="3"/>
  <c r="X26" i="3"/>
  <c r="W26" i="3"/>
  <c r="V26" i="3"/>
  <c r="U26" i="3"/>
  <c r="T26" i="3"/>
  <c r="S26" i="3"/>
  <c r="R26" i="3"/>
  <c r="E26" i="3"/>
  <c r="D26" i="3"/>
  <c r="D132" i="3" s="1"/>
  <c r="C26" i="3"/>
  <c r="C132" i="3" s="1"/>
  <c r="B26" i="3"/>
  <c r="B132" i="3" s="1"/>
  <c r="A26" i="3"/>
  <c r="A132" i="3" s="1"/>
  <c r="AC25" i="3"/>
  <c r="AB25" i="3"/>
  <c r="AA25" i="3"/>
  <c r="Z25" i="3"/>
  <c r="Y25" i="3"/>
  <c r="X25" i="3"/>
  <c r="W25" i="3"/>
  <c r="V25" i="3"/>
  <c r="U25" i="3"/>
  <c r="T25" i="3"/>
  <c r="S25" i="3"/>
  <c r="R25" i="3"/>
  <c r="E25" i="3"/>
  <c r="E131" i="3" s="1"/>
  <c r="D25" i="3"/>
  <c r="D131" i="3" s="1"/>
  <c r="C25" i="3"/>
  <c r="C131" i="3" s="1"/>
  <c r="B25" i="3"/>
  <c r="B131" i="3" s="1"/>
  <c r="A25" i="3"/>
  <c r="A131" i="3" s="1"/>
  <c r="AC24" i="3"/>
  <c r="AB24" i="3"/>
  <c r="AA24" i="3"/>
  <c r="Z24" i="3"/>
  <c r="Y24" i="3"/>
  <c r="X24" i="3"/>
  <c r="W24" i="3"/>
  <c r="V24" i="3"/>
  <c r="U24" i="3"/>
  <c r="T24" i="3"/>
  <c r="S24" i="3"/>
  <c r="R24" i="3"/>
  <c r="E24" i="3"/>
  <c r="D24" i="3"/>
  <c r="D130" i="3" s="1"/>
  <c r="C24" i="3"/>
  <c r="C130" i="3" s="1"/>
  <c r="B24" i="3"/>
  <c r="B130" i="3" s="1"/>
  <c r="A24" i="3"/>
  <c r="A130" i="3" s="1"/>
  <c r="AC23" i="3"/>
  <c r="AB23" i="3"/>
  <c r="AA23" i="3"/>
  <c r="Z23" i="3"/>
  <c r="Y23" i="3"/>
  <c r="X23" i="3"/>
  <c r="W23" i="3"/>
  <c r="V23" i="3"/>
  <c r="U23" i="3"/>
  <c r="T23" i="3"/>
  <c r="S23" i="3"/>
  <c r="R23" i="3"/>
  <c r="E23" i="3"/>
  <c r="E129" i="3" s="1"/>
  <c r="D23" i="3"/>
  <c r="D129" i="3" s="1"/>
  <c r="C23" i="3"/>
  <c r="C129" i="3" s="1"/>
  <c r="B23" i="3"/>
  <c r="B129" i="3" s="1"/>
  <c r="A23" i="3"/>
  <c r="A129" i="3" s="1"/>
  <c r="AC22" i="3"/>
  <c r="AB22" i="3"/>
  <c r="AA22" i="3"/>
  <c r="Z22" i="3"/>
  <c r="Y22" i="3"/>
  <c r="X22" i="3"/>
  <c r="W22" i="3"/>
  <c r="V22" i="3"/>
  <c r="U22" i="3"/>
  <c r="T22" i="3"/>
  <c r="S22" i="3"/>
  <c r="R22" i="3"/>
  <c r="E22" i="3"/>
  <c r="B22" i="3"/>
  <c r="A22" i="3"/>
  <c r="AC21" i="3"/>
  <c r="AB21" i="3"/>
  <c r="AA21" i="3"/>
  <c r="Z21" i="3"/>
  <c r="Y21" i="3"/>
  <c r="X21" i="3"/>
  <c r="W21" i="3"/>
  <c r="V21" i="3"/>
  <c r="U21" i="3"/>
  <c r="T21" i="3"/>
  <c r="S21" i="3"/>
  <c r="R21" i="3"/>
  <c r="E21" i="3"/>
  <c r="E128" i="3" s="1"/>
  <c r="D21" i="3"/>
  <c r="D128" i="3" s="1"/>
  <c r="C21" i="3"/>
  <c r="C128" i="3" s="1"/>
  <c r="B21" i="3"/>
  <c r="B128" i="3" s="1"/>
  <c r="A21" i="3"/>
  <c r="AC20" i="3"/>
  <c r="AB20" i="3"/>
  <c r="AA20" i="3"/>
  <c r="Z20" i="3"/>
  <c r="Y20" i="3"/>
  <c r="X20" i="3"/>
  <c r="W20" i="3"/>
  <c r="V20" i="3"/>
  <c r="U20" i="3"/>
  <c r="T20" i="3"/>
  <c r="S20" i="3"/>
  <c r="R20" i="3"/>
  <c r="E20" i="3"/>
  <c r="E127" i="3" s="1"/>
  <c r="D20" i="3"/>
  <c r="D127" i="3" s="1"/>
  <c r="C20" i="3"/>
  <c r="B20" i="3"/>
  <c r="B127" i="3" s="1"/>
  <c r="A20" i="3"/>
  <c r="AC19" i="3"/>
  <c r="AB19" i="3"/>
  <c r="AA19" i="3"/>
  <c r="Z19" i="3"/>
  <c r="Y19" i="3"/>
  <c r="X19" i="3"/>
  <c r="W19" i="3"/>
  <c r="V19" i="3"/>
  <c r="U19" i="3"/>
  <c r="T19" i="3"/>
  <c r="S19" i="3"/>
  <c r="R19" i="3"/>
  <c r="E19" i="3"/>
  <c r="E126" i="3" s="1"/>
  <c r="D19" i="3"/>
  <c r="D126" i="3" s="1"/>
  <c r="C19" i="3"/>
  <c r="C126" i="3" s="1"/>
  <c r="B19" i="3"/>
  <c r="A19" i="3"/>
  <c r="A126" i="3" s="1"/>
  <c r="AC18" i="3"/>
  <c r="AB18" i="3"/>
  <c r="AA18" i="3"/>
  <c r="Z18" i="3"/>
  <c r="Y18" i="3"/>
  <c r="X18" i="3"/>
  <c r="W18" i="3"/>
  <c r="V18" i="3"/>
  <c r="U18" i="3"/>
  <c r="T18" i="3"/>
  <c r="S18" i="3"/>
  <c r="R18" i="3"/>
  <c r="E18" i="3"/>
  <c r="E125" i="3" s="1"/>
  <c r="D18" i="3"/>
  <c r="D125" i="3" s="1"/>
  <c r="C18" i="3"/>
  <c r="C125" i="3" s="1"/>
  <c r="B18" i="3"/>
  <c r="B125" i="3" s="1"/>
  <c r="A18" i="3"/>
  <c r="A125" i="3" s="1"/>
  <c r="AC17" i="3"/>
  <c r="AB17" i="3"/>
  <c r="AA17" i="3"/>
  <c r="Z17" i="3"/>
  <c r="Y17" i="3"/>
  <c r="X17" i="3"/>
  <c r="W17" i="3"/>
  <c r="V17" i="3"/>
  <c r="U17" i="3"/>
  <c r="T17" i="3"/>
  <c r="S17" i="3"/>
  <c r="R17" i="3"/>
  <c r="E17" i="3"/>
  <c r="E124" i="3" s="1"/>
  <c r="D17" i="3"/>
  <c r="C17" i="3"/>
  <c r="C124" i="3" s="1"/>
  <c r="B17" i="3"/>
  <c r="A17" i="3"/>
  <c r="A124" i="3" s="1"/>
  <c r="AC16" i="3"/>
  <c r="AB16" i="3"/>
  <c r="AA16" i="3"/>
  <c r="Z16" i="3"/>
  <c r="Y16" i="3"/>
  <c r="X16" i="3"/>
  <c r="W16" i="3"/>
  <c r="V16" i="3"/>
  <c r="U16" i="3"/>
  <c r="T16" i="3"/>
  <c r="S16" i="3"/>
  <c r="R16" i="3"/>
  <c r="E16" i="3"/>
  <c r="D16" i="3"/>
  <c r="D123" i="3" s="1"/>
  <c r="C16" i="3"/>
  <c r="C123" i="3" s="1"/>
  <c r="B16" i="3"/>
  <c r="B123" i="3" s="1"/>
  <c r="A16" i="3"/>
  <c r="A123" i="3" s="1"/>
  <c r="AC15" i="3"/>
  <c r="AB15" i="3"/>
  <c r="AA15" i="3"/>
  <c r="Z15" i="3"/>
  <c r="Y15" i="3"/>
  <c r="X15" i="3"/>
  <c r="W15" i="3"/>
  <c r="V15" i="3"/>
  <c r="U15" i="3"/>
  <c r="T15" i="3"/>
  <c r="S15" i="3"/>
  <c r="R15" i="3"/>
  <c r="E15" i="3"/>
  <c r="E122" i="3" s="1"/>
  <c r="D15" i="3"/>
  <c r="D122" i="3" s="1"/>
  <c r="C15" i="3"/>
  <c r="C122" i="3" s="1"/>
  <c r="B15" i="3"/>
  <c r="B122" i="3" s="1"/>
  <c r="A15" i="3"/>
  <c r="A122" i="3" s="1"/>
  <c r="AC14" i="3"/>
  <c r="AB14" i="3"/>
  <c r="AA14" i="3"/>
  <c r="Z14" i="3"/>
  <c r="Y14" i="3"/>
  <c r="X14" i="3"/>
  <c r="W14" i="3"/>
  <c r="V14" i="3"/>
  <c r="U14" i="3"/>
  <c r="T14" i="3"/>
  <c r="S14" i="3"/>
  <c r="R14" i="3"/>
  <c r="E14" i="3"/>
  <c r="E121" i="3" s="1"/>
  <c r="D14" i="3"/>
  <c r="C14" i="3"/>
  <c r="C121" i="3" s="1"/>
  <c r="B14" i="3"/>
  <c r="B121" i="3" s="1"/>
  <c r="A14" i="3"/>
  <c r="A121" i="3" s="1"/>
  <c r="AC13" i="3"/>
  <c r="AB13" i="3"/>
  <c r="AA13" i="3"/>
  <c r="Z13" i="3"/>
  <c r="Y13" i="3"/>
  <c r="X13" i="3"/>
  <c r="W13" i="3"/>
  <c r="V13" i="3"/>
  <c r="U13" i="3"/>
  <c r="T13" i="3"/>
  <c r="S13" i="3"/>
  <c r="R13" i="3"/>
  <c r="E13" i="3"/>
  <c r="E120" i="3" s="1"/>
  <c r="D13" i="3"/>
  <c r="C13" i="3"/>
  <c r="C120" i="3" s="1"/>
  <c r="B13" i="3"/>
  <c r="B120" i="3" s="1"/>
  <c r="A13" i="3"/>
  <c r="A120" i="3" s="1"/>
  <c r="AC12" i="3"/>
  <c r="AB12" i="3"/>
  <c r="AA12" i="3"/>
  <c r="Z12" i="3"/>
  <c r="Y12" i="3"/>
  <c r="X12" i="3"/>
  <c r="W12" i="3"/>
  <c r="V12" i="3"/>
  <c r="U12" i="3"/>
  <c r="T12" i="3"/>
  <c r="S12" i="3"/>
  <c r="R12" i="3"/>
  <c r="E12" i="3"/>
  <c r="D12" i="3"/>
  <c r="D119" i="3" s="1"/>
  <c r="C12" i="3"/>
  <c r="C119" i="3" s="1"/>
  <c r="B12" i="3"/>
  <c r="B119" i="3" s="1"/>
  <c r="A12" i="3"/>
  <c r="AC11" i="3"/>
  <c r="AB11" i="3"/>
  <c r="AA11" i="3"/>
  <c r="Z11" i="3"/>
  <c r="Y11" i="3"/>
  <c r="X11" i="3"/>
  <c r="W11" i="3"/>
  <c r="V11" i="3"/>
  <c r="U11" i="3"/>
  <c r="T11" i="3"/>
  <c r="S11" i="3"/>
  <c r="R11" i="3"/>
  <c r="E11" i="3"/>
  <c r="E118" i="3" s="1"/>
  <c r="D11" i="3"/>
  <c r="D118" i="3" s="1"/>
  <c r="C11" i="3"/>
  <c r="C118" i="3" s="1"/>
  <c r="B11" i="3"/>
  <c r="A11" i="3"/>
  <c r="A118" i="3" s="1"/>
  <c r="AC10" i="3"/>
  <c r="AB10" i="3"/>
  <c r="AA10" i="3"/>
  <c r="Z10" i="3"/>
  <c r="Y10" i="3"/>
  <c r="X10" i="3"/>
  <c r="W10" i="3"/>
  <c r="V10" i="3"/>
  <c r="U10" i="3"/>
  <c r="T10" i="3"/>
  <c r="S10" i="3"/>
  <c r="R10" i="3"/>
  <c r="E10" i="3"/>
  <c r="E117" i="3" s="1"/>
  <c r="D10" i="3"/>
  <c r="D117" i="3" s="1"/>
  <c r="C10" i="3"/>
  <c r="C117" i="3" s="1"/>
  <c r="B10" i="3"/>
  <c r="B117" i="3" s="1"/>
  <c r="A10" i="3"/>
  <c r="A117" i="3" s="1"/>
  <c r="AC9" i="3"/>
  <c r="AB9" i="3"/>
  <c r="AA9" i="3"/>
  <c r="Z9" i="3"/>
  <c r="Y9" i="3"/>
  <c r="X9" i="3"/>
  <c r="W9" i="3"/>
  <c r="V9" i="3"/>
  <c r="U9" i="3"/>
  <c r="T9" i="3"/>
  <c r="S9" i="3"/>
  <c r="R9" i="3"/>
  <c r="E9" i="3"/>
  <c r="E116" i="3" s="1"/>
  <c r="D9" i="3"/>
  <c r="C9" i="3"/>
  <c r="C116" i="3" s="1"/>
  <c r="B9" i="3"/>
  <c r="B116" i="3" s="1"/>
  <c r="A9" i="3"/>
  <c r="A116" i="3" s="1"/>
  <c r="AC8" i="3"/>
  <c r="AB8" i="3"/>
  <c r="AA8" i="3"/>
  <c r="Z8" i="3"/>
  <c r="Y8" i="3"/>
  <c r="X8" i="3"/>
  <c r="W8" i="3"/>
  <c r="V8" i="3"/>
  <c r="U8" i="3"/>
  <c r="T8" i="3"/>
  <c r="S8" i="3"/>
  <c r="R8" i="3"/>
  <c r="E8" i="3"/>
  <c r="D8" i="3"/>
  <c r="C8" i="3"/>
  <c r="C115" i="3" s="1"/>
  <c r="B8" i="3"/>
  <c r="B115" i="3" s="1"/>
  <c r="A8" i="3"/>
  <c r="A115" i="3" s="1"/>
  <c r="AC7" i="3"/>
  <c r="AB7" i="3"/>
  <c r="AA7" i="3"/>
  <c r="Z7" i="3"/>
  <c r="Y7" i="3"/>
  <c r="X7" i="3"/>
  <c r="W7" i="3"/>
  <c r="V7" i="3"/>
  <c r="U7" i="3"/>
  <c r="T7" i="3"/>
  <c r="S7" i="3"/>
  <c r="R7" i="3"/>
  <c r="E7" i="3"/>
  <c r="E114" i="3" s="1"/>
  <c r="D7" i="3"/>
  <c r="D114" i="3" s="1"/>
  <c r="C7" i="3"/>
  <c r="C114" i="3" s="1"/>
  <c r="B7" i="3"/>
  <c r="B114" i="3" s="1"/>
  <c r="A7" i="3"/>
  <c r="A114" i="3" s="1"/>
  <c r="AC6" i="3"/>
  <c r="AB6" i="3"/>
  <c r="AA6" i="3"/>
  <c r="Z6" i="3"/>
  <c r="Y6" i="3"/>
  <c r="X6" i="3"/>
  <c r="W6" i="3"/>
  <c r="V6" i="3"/>
  <c r="U6" i="3"/>
  <c r="T6" i="3"/>
  <c r="S6" i="3"/>
  <c r="R6" i="3"/>
  <c r="E6" i="3"/>
  <c r="E113" i="3" s="1"/>
  <c r="D6" i="3"/>
  <c r="D113" i="3" s="1"/>
  <c r="C6" i="3"/>
  <c r="C113" i="3" s="1"/>
  <c r="B6" i="3"/>
  <c r="B113" i="3" s="1"/>
  <c r="A6" i="3"/>
  <c r="AC5" i="3"/>
  <c r="AB5" i="3"/>
  <c r="AA5" i="3"/>
  <c r="Z5" i="3"/>
  <c r="Y5" i="3"/>
  <c r="X5" i="3"/>
  <c r="W5" i="3"/>
  <c r="V5" i="3"/>
  <c r="U5" i="3"/>
  <c r="T5" i="3"/>
  <c r="S5" i="3"/>
  <c r="R5" i="3"/>
  <c r="E5" i="3"/>
  <c r="E112" i="3" s="1"/>
  <c r="D5" i="3"/>
  <c r="C5" i="3"/>
  <c r="C112" i="3" s="1"/>
  <c r="B5" i="3"/>
  <c r="B112" i="3" s="1"/>
  <c r="A5" i="3"/>
  <c r="A112" i="3" s="1"/>
  <c r="AC4" i="3"/>
  <c r="AB4" i="3"/>
  <c r="AA4" i="3"/>
  <c r="Z4" i="3"/>
  <c r="Y4" i="3"/>
  <c r="X4" i="3"/>
  <c r="W4" i="3"/>
  <c r="V4" i="3"/>
  <c r="U4" i="3"/>
  <c r="T4" i="3"/>
  <c r="S4" i="3"/>
  <c r="R4" i="3"/>
  <c r="E4" i="3"/>
  <c r="B4" i="3"/>
  <c r="A4" i="3"/>
  <c r="AC3" i="3"/>
  <c r="AB3" i="3"/>
  <c r="AA3" i="3"/>
  <c r="Z3" i="3"/>
  <c r="Y3" i="3"/>
  <c r="X3" i="3"/>
  <c r="W3" i="3"/>
  <c r="V3" i="3"/>
  <c r="U3" i="3"/>
  <c r="T3" i="3"/>
  <c r="S3" i="3"/>
  <c r="R3" i="3"/>
  <c r="E3" i="3"/>
  <c r="B3" i="3"/>
  <c r="A3" i="3"/>
  <c r="E2" i="3"/>
  <c r="D2" i="3"/>
  <c r="C2" i="3"/>
  <c r="B2" i="3"/>
  <c r="A2" i="3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D93" i="2"/>
  <c r="C93" i="2"/>
  <c r="B93" i="2"/>
  <c r="E92" i="2"/>
  <c r="D92" i="2"/>
  <c r="C92" i="2"/>
  <c r="B92" i="2"/>
  <c r="A92" i="2"/>
  <c r="E91" i="2"/>
  <c r="D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D79" i="2"/>
  <c r="C79" i="2"/>
  <c r="B79" i="2"/>
  <c r="E78" i="2"/>
  <c r="D78" i="2"/>
  <c r="C78" i="2"/>
  <c r="B78" i="2"/>
  <c r="A78" i="2"/>
  <c r="E77" i="2"/>
  <c r="D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B73" i="2"/>
  <c r="A73" i="2"/>
  <c r="E72" i="2"/>
  <c r="D72" i="2"/>
  <c r="C72" i="2"/>
  <c r="B72" i="2"/>
  <c r="A72" i="2"/>
  <c r="D71" i="2"/>
  <c r="C71" i="2"/>
  <c r="B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B65" i="2"/>
  <c r="A65" i="2"/>
  <c r="E64" i="2"/>
  <c r="C64" i="2"/>
  <c r="B64" i="2"/>
  <c r="A64" i="2"/>
  <c r="E63" i="2"/>
  <c r="D63" i="2"/>
  <c r="C63" i="2"/>
  <c r="B63" i="2"/>
  <c r="A63" i="2"/>
  <c r="E62" i="2"/>
  <c r="D62" i="2"/>
  <c r="C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C56" i="2"/>
  <c r="B56" i="2"/>
  <c r="A56" i="2"/>
  <c r="E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E5" i="2"/>
  <c r="D5" i="2"/>
  <c r="C5" i="2"/>
  <c r="B5" i="2"/>
  <c r="A5" i="2"/>
  <c r="E4" i="2"/>
  <c r="D4" i="2"/>
  <c r="C4" i="2"/>
  <c r="B4" i="2"/>
  <c r="A4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E2" i="2"/>
  <c r="D2" i="2"/>
  <c r="C2" i="2"/>
  <c r="B2" i="2"/>
  <c r="A2" i="2"/>
  <c r="F165" i="3"/>
  <c r="F134" i="3"/>
  <c r="F115" i="3"/>
  <c r="F126" i="3"/>
  <c r="F127" i="3"/>
  <c r="F150" i="3"/>
  <c r="F171" i="3"/>
  <c r="F193" i="3"/>
  <c r="F142" i="3"/>
  <c r="F156" i="3"/>
  <c r="F164" i="3"/>
  <c r="F139" i="3"/>
  <c r="F118" i="3"/>
  <c r="F137" i="3"/>
  <c r="F177" i="3"/>
  <c r="F114" i="3"/>
  <c r="F182" i="3"/>
  <c r="F190" i="3"/>
  <c r="F174" i="3"/>
  <c r="F143" i="3"/>
  <c r="F152" i="3"/>
  <c r="F144" i="3"/>
  <c r="F136" i="3"/>
  <c r="F128" i="3"/>
  <c r="F173" i="3"/>
  <c r="F133" i="3"/>
  <c r="F162" i="3"/>
  <c r="F161" i="3"/>
  <c r="F183" i="3"/>
  <c r="F181" i="3"/>
  <c r="F163" i="3"/>
  <c r="F122" i="3"/>
  <c r="F160" i="3"/>
  <c r="F119" i="3"/>
  <c r="F191" i="3"/>
  <c r="F120" i="3"/>
  <c r="F192" i="3"/>
  <c r="F184" i="3"/>
  <c r="F166" i="3"/>
  <c r="F124" i="3"/>
  <c r="F176" i="3"/>
  <c r="F170" i="3"/>
  <c r="F141" i="3"/>
  <c r="F130" i="3"/>
  <c r="F179" i="3"/>
  <c r="F186" i="3"/>
  <c r="F138" i="3"/>
  <c r="F123" i="3"/>
  <c r="F146" i="3"/>
  <c r="F178" i="3"/>
  <c r="F145" i="3"/>
  <c r="F157" i="3"/>
  <c r="F187" i="3"/>
  <c r="F153" i="3"/>
  <c r="F194" i="3"/>
  <c r="F112" i="3"/>
  <c r="F169" i="3"/>
  <c r="F121" i="3"/>
  <c r="F116" i="3"/>
  <c r="F125" i="3"/>
  <c r="F147" i="3"/>
  <c r="F195" i="3"/>
  <c r="F155" i="3"/>
  <c r="F151" i="3"/>
  <c r="F196" i="3"/>
  <c r="F117" i="3"/>
  <c r="F172" i="3"/>
  <c r="F175" i="3"/>
  <c r="F129" i="3"/>
  <c r="F113" i="3"/>
  <c r="C217" i="3"/>
  <c r="F159" i="3"/>
  <c r="F132" i="3"/>
  <c r="F188" i="3"/>
  <c r="F189" i="3"/>
  <c r="F140" i="3"/>
  <c r="F148" i="3"/>
  <c r="F168" i="3"/>
  <c r="F135" i="3"/>
  <c r="F180" i="3"/>
  <c r="F131" i="3"/>
  <c r="F158" i="3"/>
  <c r="F149" i="3"/>
  <c r="C219" i="3"/>
  <c r="C221" i="3"/>
  <c r="F185" i="3"/>
  <c r="F167" i="3"/>
  <c r="F154" i="3"/>
  <c r="A104" i="3"/>
  <c r="B205" i="3" l="1"/>
  <c r="B209" i="3"/>
  <c r="B211" i="3"/>
  <c r="B213" i="3"/>
  <c r="B217" i="3"/>
  <c r="B219" i="3"/>
  <c r="B221" i="3"/>
  <c r="A145" i="3"/>
  <c r="A39" i="2"/>
  <c r="D160" i="3"/>
  <c r="D55" i="2"/>
  <c r="D11" i="2"/>
  <c r="D140" i="3"/>
  <c r="D34" i="2"/>
  <c r="B18" i="2"/>
  <c r="A175" i="3"/>
  <c r="A71" i="2"/>
  <c r="E175" i="3"/>
  <c r="E71" i="2"/>
  <c r="C180" i="3"/>
  <c r="C77" i="2"/>
  <c r="B166" i="3"/>
  <c r="B62" i="2"/>
  <c r="C169" i="3"/>
  <c r="C65" i="2"/>
  <c r="D161" i="3"/>
  <c r="D56" i="2"/>
  <c r="D168" i="3"/>
  <c r="D64" i="2"/>
  <c r="C177" i="3"/>
  <c r="C73" i="2"/>
  <c r="A182" i="3"/>
  <c r="A79" i="2"/>
  <c r="E182" i="3"/>
  <c r="E79" i="2"/>
  <c r="D191" i="3"/>
  <c r="D88" i="2"/>
  <c r="A196" i="3"/>
  <c r="A93" i="2"/>
  <c r="E196" i="3"/>
  <c r="E93" i="2"/>
  <c r="K215" i="3" l="1"/>
  <c r="K216" i="3" s="1"/>
  <c r="G215" i="3"/>
  <c r="G216" i="3" s="1"/>
  <c r="C215" i="3"/>
  <c r="C216" i="3" s="1"/>
  <c r="N215" i="3"/>
  <c r="N216" i="3" s="1"/>
  <c r="J215" i="3"/>
  <c r="J216" i="3" s="1"/>
  <c r="F215" i="3"/>
  <c r="F216" i="3" s="1"/>
  <c r="B215" i="3"/>
  <c r="B216" i="3" s="1"/>
  <c r="H215" i="3"/>
  <c r="H216" i="3" s="1"/>
  <c r="M215" i="3"/>
  <c r="M216" i="3" s="1"/>
  <c r="D215" i="3"/>
  <c r="D216" i="3" s="1"/>
  <c r="L215" i="3"/>
  <c r="L216" i="3" s="1"/>
  <c r="I215" i="3"/>
  <c r="I216" i="3" s="1"/>
  <c r="E215" i="3"/>
  <c r="E216" i="3" s="1"/>
  <c r="K223" i="3"/>
  <c r="K224" i="3" s="1"/>
  <c r="G223" i="3"/>
  <c r="G224" i="3" s="1"/>
  <c r="C223" i="3"/>
  <c r="C224" i="3" s="1"/>
  <c r="N223" i="3"/>
  <c r="N224" i="3" s="1"/>
  <c r="J223" i="3"/>
  <c r="J224" i="3" s="1"/>
  <c r="F223" i="3"/>
  <c r="F224" i="3" s="1"/>
  <c r="B223" i="3"/>
  <c r="B224" i="3" s="1"/>
  <c r="M223" i="3"/>
  <c r="M224" i="3" s="1"/>
  <c r="E223" i="3"/>
  <c r="E224" i="3" s="1"/>
  <c r="H223" i="3"/>
  <c r="H224" i="3" s="1"/>
  <c r="L223" i="3"/>
  <c r="L224" i="3" s="1"/>
  <c r="D223" i="3"/>
  <c r="D224" i="3" s="1"/>
  <c r="I223" i="3"/>
  <c r="I224" i="3" s="1"/>
  <c r="T2" i="3" l="1"/>
  <c r="H2" i="3"/>
  <c r="O2" i="2" s="1"/>
  <c r="P2" i="3"/>
  <c r="G2" i="2" s="1"/>
  <c r="AB2" i="3"/>
  <c r="Y2" i="3"/>
  <c r="M2" i="3"/>
  <c r="J2" i="2" s="1"/>
  <c r="N2" i="3"/>
  <c r="I2" i="2" s="1"/>
  <c r="Z2" i="3"/>
  <c r="X2" i="3"/>
  <c r="L2" i="3"/>
  <c r="K2" i="2" s="1"/>
  <c r="W2" i="3"/>
  <c r="K2" i="3"/>
  <c r="L2" i="2" s="1"/>
  <c r="AC2" i="3"/>
  <c r="Q2" i="3"/>
  <c r="F2" i="2" s="1"/>
  <c r="AA2" i="3"/>
  <c r="O2" i="3"/>
  <c r="H2" i="2" s="1"/>
  <c r="B110" i="3"/>
  <c r="R2" i="3"/>
  <c r="F2" i="3"/>
  <c r="Q2" i="2" s="1"/>
  <c r="S2" i="3"/>
  <c r="G2" i="3"/>
  <c r="P2" i="2" s="1"/>
  <c r="I2" i="3"/>
  <c r="N2" i="2" s="1"/>
  <c r="U2" i="3"/>
  <c r="V2" i="3"/>
  <c r="J2" i="3"/>
  <c r="M2" i="2" s="1"/>
  <c r="N93" i="3" l="1"/>
  <c r="G92" i="3"/>
  <c r="Q90" i="3"/>
  <c r="J89" i="3"/>
  <c r="P87" i="3"/>
  <c r="M86" i="3"/>
  <c r="O84" i="3"/>
  <c r="L83" i="3"/>
  <c r="I82" i="3"/>
  <c r="K80" i="3"/>
  <c r="H79" i="3"/>
  <c r="N77" i="3"/>
  <c r="O74" i="3"/>
  <c r="L73" i="3"/>
  <c r="I72" i="3"/>
  <c r="K70" i="3"/>
  <c r="H69" i="3"/>
  <c r="N67" i="3"/>
  <c r="O93" i="3"/>
  <c r="N91" i="3"/>
  <c r="O89" i="3"/>
  <c r="N87" i="3"/>
  <c r="O85" i="3"/>
  <c r="N83" i="3"/>
  <c r="O81" i="3"/>
  <c r="N79" i="3"/>
  <c r="O77" i="3"/>
  <c r="G75" i="3"/>
  <c r="K73" i="3"/>
  <c r="L71" i="3"/>
  <c r="Q69" i="3"/>
  <c r="Q67" i="3"/>
  <c r="I66" i="3"/>
  <c r="K64" i="3"/>
  <c r="H63" i="3"/>
  <c r="N61" i="3"/>
  <c r="G60" i="3"/>
  <c r="P57" i="3"/>
  <c r="M56" i="3"/>
  <c r="O54" i="3"/>
  <c r="L53" i="3"/>
  <c r="I52" i="3"/>
  <c r="K50" i="3"/>
  <c r="H49" i="3"/>
  <c r="N47" i="3"/>
  <c r="G46" i="3"/>
  <c r="Q44" i="3"/>
  <c r="J43" i="3"/>
  <c r="P41" i="3"/>
  <c r="L39" i="3"/>
  <c r="I38" i="3"/>
  <c r="K36" i="3"/>
  <c r="H35" i="3"/>
  <c r="N33" i="3"/>
  <c r="G32" i="3"/>
  <c r="Q30" i="3"/>
  <c r="J29" i="3"/>
  <c r="P27" i="3"/>
  <c r="M26" i="3"/>
  <c r="O24" i="3"/>
  <c r="L23" i="3"/>
  <c r="H21" i="3"/>
  <c r="N19" i="3"/>
  <c r="G18" i="3"/>
  <c r="Q16" i="3"/>
  <c r="J15" i="3"/>
  <c r="P13" i="3"/>
  <c r="M12" i="3"/>
  <c r="O10" i="3"/>
  <c r="L9" i="3"/>
  <c r="I8" i="3"/>
  <c r="K6" i="3"/>
  <c r="H5" i="3"/>
  <c r="K91" i="3"/>
  <c r="P88" i="3"/>
  <c r="N86" i="3"/>
  <c r="M84" i="3"/>
  <c r="K81" i="3"/>
  <c r="G79" i="3"/>
  <c r="G77" i="3"/>
  <c r="M73" i="3"/>
  <c r="J70" i="3"/>
  <c r="G68" i="3"/>
  <c r="G66" i="3"/>
  <c r="H64" i="3"/>
  <c r="G62" i="3"/>
  <c r="H60" i="3"/>
  <c r="G57" i="3"/>
  <c r="H55" i="3"/>
  <c r="G53" i="3"/>
  <c r="H51" i="3"/>
  <c r="G49" i="3"/>
  <c r="H47" i="3"/>
  <c r="G45" i="3"/>
  <c r="H43" i="3"/>
  <c r="G41" i="3"/>
  <c r="J92" i="3"/>
  <c r="H90" i="3"/>
  <c r="H88" i="3"/>
  <c r="J84" i="3"/>
  <c r="H82" i="3"/>
  <c r="H80" i="3"/>
  <c r="M75" i="3"/>
  <c r="J72" i="3"/>
  <c r="H70" i="3"/>
  <c r="M67" i="3"/>
  <c r="Q64" i="3"/>
  <c r="Q93" i="3"/>
  <c r="L89" i="3"/>
  <c r="K85" i="3"/>
  <c r="O78" i="3"/>
  <c r="G73" i="3"/>
  <c r="J69" i="3"/>
  <c r="M65" i="3"/>
  <c r="J62" i="3"/>
  <c r="J60" i="3"/>
  <c r="L56" i="3"/>
  <c r="N53" i="3"/>
  <c r="M50" i="3"/>
  <c r="G47" i="3"/>
  <c r="O43" i="3"/>
  <c r="Q39" i="3"/>
  <c r="O37" i="3"/>
  <c r="N35" i="3"/>
  <c r="O33" i="3"/>
  <c r="N31" i="3"/>
  <c r="O29" i="3"/>
  <c r="N27" i="3"/>
  <c r="O25" i="3"/>
  <c r="N23" i="3"/>
  <c r="N20" i="3"/>
  <c r="G19" i="3"/>
  <c r="K17" i="3"/>
  <c r="L15" i="3"/>
  <c r="Q13" i="3"/>
  <c r="Q11" i="3"/>
  <c r="I10" i="3"/>
  <c r="H8" i="3"/>
  <c r="N6" i="3"/>
  <c r="P93" i="3"/>
  <c r="H85" i="3"/>
  <c r="M81" i="3"/>
  <c r="P77" i="3"/>
  <c r="H71" i="3"/>
  <c r="G63" i="3"/>
  <c r="H61" i="3"/>
  <c r="G59" i="3"/>
  <c r="L54" i="3"/>
  <c r="L50" i="3"/>
  <c r="L46" i="3"/>
  <c r="L42" i="3"/>
  <c r="O38" i="3"/>
  <c r="P36" i="3"/>
  <c r="O34" i="3"/>
  <c r="P32" i="3"/>
  <c r="O30" i="3"/>
  <c r="P28" i="3"/>
  <c r="O26" i="3"/>
  <c r="P24" i="3"/>
  <c r="O21" i="3"/>
  <c r="P19" i="3"/>
  <c r="O17" i="3"/>
  <c r="P15" i="3"/>
  <c r="O13" i="3"/>
  <c r="P11" i="3"/>
  <c r="O9" i="3"/>
  <c r="P7" i="3"/>
  <c r="O5" i="3"/>
  <c r="M89" i="3"/>
  <c r="G82" i="3"/>
  <c r="M70" i="3"/>
  <c r="N62" i="3"/>
  <c r="J57" i="3"/>
  <c r="J53" i="3"/>
  <c r="J49" i="3"/>
  <c r="J45" i="3"/>
  <c r="J41" i="3"/>
  <c r="K35" i="3"/>
  <c r="Q31" i="3"/>
  <c r="K27" i="3"/>
  <c r="Q23" i="3"/>
  <c r="J18" i="3"/>
  <c r="P14" i="3"/>
  <c r="J10" i="3"/>
  <c r="P6" i="3"/>
  <c r="M88" i="3"/>
  <c r="H74" i="3"/>
  <c r="H65" i="3"/>
  <c r="G56" i="3"/>
  <c r="G52" i="3"/>
  <c r="G48" i="3"/>
  <c r="G44" i="3"/>
  <c r="M39" i="3"/>
  <c r="Q35" i="3"/>
  <c r="K31" i="3"/>
  <c r="Q27" i="3"/>
  <c r="K23" i="3"/>
  <c r="P18" i="3"/>
  <c r="J14" i="3"/>
  <c r="P10" i="3"/>
  <c r="J6" i="3"/>
  <c r="P85" i="3"/>
  <c r="K77" i="3"/>
  <c r="P66" i="3"/>
  <c r="I55" i="3"/>
  <c r="I51" i="3"/>
  <c r="I47" i="3"/>
  <c r="I43" i="3"/>
  <c r="L38" i="3"/>
  <c r="O35" i="3"/>
  <c r="N64" i="3"/>
  <c r="P55" i="3"/>
  <c r="P47" i="3"/>
  <c r="G34" i="3"/>
  <c r="I28" i="3"/>
  <c r="I21" i="3"/>
  <c r="O12" i="3"/>
  <c r="I5" i="3"/>
  <c r="G30" i="3"/>
  <c r="I24" i="3"/>
  <c r="Q14" i="3"/>
  <c r="H7" i="3"/>
  <c r="L34" i="3"/>
  <c r="N28" i="3"/>
  <c r="J20" i="3"/>
  <c r="L10" i="3"/>
  <c r="K87" i="3"/>
  <c r="Q50" i="3"/>
  <c r="Q54" i="3"/>
  <c r="H56" i="3"/>
  <c r="K93" i="3"/>
  <c r="H44" i="3"/>
  <c r="J93" i="3"/>
  <c r="P91" i="3"/>
  <c r="M90" i="3"/>
  <c r="O88" i="3"/>
  <c r="L87" i="3"/>
  <c r="I86" i="3"/>
  <c r="K84" i="3"/>
  <c r="H83" i="3"/>
  <c r="N81" i="3"/>
  <c r="G80" i="3"/>
  <c r="Q78" i="3"/>
  <c r="J77" i="3"/>
  <c r="K74" i="3"/>
  <c r="H73" i="3"/>
  <c r="N71" i="3"/>
  <c r="G70" i="3"/>
  <c r="Q68" i="3"/>
  <c r="J67" i="3"/>
  <c r="I93" i="3"/>
  <c r="I91" i="3"/>
  <c r="I89" i="3"/>
  <c r="I87" i="3"/>
  <c r="I85" i="3"/>
  <c r="I83" i="3"/>
  <c r="I81" i="3"/>
  <c r="I79" i="3"/>
  <c r="I77" i="3"/>
  <c r="N74" i="3"/>
  <c r="N72" i="3"/>
  <c r="G71" i="3"/>
  <c r="K69" i="3"/>
  <c r="L67" i="3"/>
  <c r="N65" i="3"/>
  <c r="G64" i="3"/>
  <c r="Q62" i="3"/>
  <c r="J61" i="3"/>
  <c r="P59" i="3"/>
  <c r="L57" i="3"/>
  <c r="I56" i="3"/>
  <c r="K54" i="3"/>
  <c r="H53" i="3"/>
  <c r="N51" i="3"/>
  <c r="G50" i="3"/>
  <c r="Q48" i="3"/>
  <c r="J47" i="3"/>
  <c r="P45" i="3"/>
  <c r="M44" i="3"/>
  <c r="O42" i="3"/>
  <c r="L41" i="3"/>
  <c r="H39" i="3"/>
  <c r="N37" i="3"/>
  <c r="G36" i="3"/>
  <c r="Q34" i="3"/>
  <c r="J33" i="3"/>
  <c r="P31" i="3"/>
  <c r="M30" i="3"/>
  <c r="O28" i="3"/>
  <c r="L27" i="3"/>
  <c r="I26" i="3"/>
  <c r="K24" i="3"/>
  <c r="H23" i="3"/>
  <c r="Q20" i="3"/>
  <c r="J19" i="3"/>
  <c r="P17" i="3"/>
  <c r="M16" i="3"/>
  <c r="O14" i="3"/>
  <c r="L13" i="3"/>
  <c r="I12" i="3"/>
  <c r="K10" i="3"/>
  <c r="H9" i="3"/>
  <c r="N7" i="3"/>
  <c r="G6" i="3"/>
  <c r="M93" i="3"/>
  <c r="J90" i="3"/>
  <c r="I88" i="3"/>
  <c r="G86" i="3"/>
  <c r="K83" i="3"/>
  <c r="P80" i="3"/>
  <c r="N78" i="3"/>
  <c r="O75" i="3"/>
  <c r="K72" i="3"/>
  <c r="O69" i="3"/>
  <c r="O67" i="3"/>
  <c r="P65" i="3"/>
  <c r="O63" i="3"/>
  <c r="P61" i="3"/>
  <c r="O59" i="3"/>
  <c r="O56" i="3"/>
  <c r="P54" i="3"/>
  <c r="O52" i="3"/>
  <c r="P50" i="3"/>
  <c r="O48" i="3"/>
  <c r="P46" i="3"/>
  <c r="O44" i="3"/>
  <c r="P42" i="3"/>
  <c r="O39" i="3"/>
  <c r="Q91" i="3"/>
  <c r="P89" i="3"/>
  <c r="M87" i="3"/>
  <c r="Q83" i="3"/>
  <c r="P81" i="3"/>
  <c r="M79" i="3"/>
  <c r="L74" i="3"/>
  <c r="P71" i="3"/>
  <c r="N69" i="3"/>
  <c r="L66" i="3"/>
  <c r="L64" i="3"/>
  <c r="H92" i="3"/>
  <c r="J88" i="3"/>
  <c r="N84" i="3"/>
  <c r="Q77" i="3"/>
  <c r="G72" i="3"/>
  <c r="J68" i="3"/>
  <c r="I64" i="3"/>
  <c r="Q61" i="3"/>
  <c r="Q59" i="3"/>
  <c r="O55" i="3"/>
  <c r="L52" i="3"/>
  <c r="N49" i="3"/>
  <c r="M46" i="3"/>
  <c r="G43" i="3"/>
  <c r="I39" i="3"/>
  <c r="I37" i="3"/>
  <c r="I35" i="3"/>
  <c r="I33" i="3"/>
  <c r="I31" i="3"/>
  <c r="I29" i="3"/>
  <c r="I27" i="3"/>
  <c r="I25" i="3"/>
  <c r="I23" i="3"/>
  <c r="H20" i="3"/>
  <c r="N18" i="3"/>
  <c r="N16" i="3"/>
  <c r="G15" i="3"/>
  <c r="K13" i="3"/>
  <c r="L11" i="3"/>
  <c r="Q9" i="3"/>
  <c r="Q7" i="3"/>
  <c r="I6" i="3"/>
  <c r="P92" i="3"/>
  <c r="I84" i="3"/>
  <c r="M80" i="3"/>
  <c r="K75" i="3"/>
  <c r="H66" i="3"/>
  <c r="O62" i="3"/>
  <c r="P60" i="3"/>
  <c r="K57" i="3"/>
  <c r="K53" i="3"/>
  <c r="K49" i="3"/>
  <c r="K45" i="3"/>
  <c r="K41" i="3"/>
  <c r="J38" i="3"/>
  <c r="J36" i="3"/>
  <c r="J34" i="3"/>
  <c r="J32" i="3"/>
  <c r="J30" i="3"/>
  <c r="J28" i="3"/>
  <c r="J26" i="3"/>
  <c r="J24" i="3"/>
  <c r="J21" i="3"/>
  <c r="K19" i="3"/>
  <c r="J17" i="3"/>
  <c r="K15" i="3"/>
  <c r="J13" i="3"/>
  <c r="K11" i="3"/>
  <c r="J9" i="3"/>
  <c r="K7" i="3"/>
  <c r="J5" i="3"/>
  <c r="Q87" i="3"/>
  <c r="H77" i="3"/>
  <c r="P68" i="3"/>
  <c r="M61" i="3"/>
  <c r="N56" i="3"/>
  <c r="N52" i="3"/>
  <c r="N48" i="3"/>
  <c r="N44" i="3"/>
  <c r="H38" i="3"/>
  <c r="N34" i="3"/>
  <c r="H30" i="3"/>
  <c r="N26" i="3"/>
  <c r="G21" i="3"/>
  <c r="M17" i="3"/>
  <c r="G13" i="3"/>
  <c r="M9" i="3"/>
  <c r="G5" i="3"/>
  <c r="Q85" i="3"/>
  <c r="O71" i="3"/>
  <c r="J64" i="3"/>
  <c r="K55" i="3"/>
  <c r="K51" i="3"/>
  <c r="K47" i="3"/>
  <c r="K43" i="3"/>
  <c r="N38" i="3"/>
  <c r="H34" i="3"/>
  <c r="N30" i="3"/>
  <c r="H26" i="3"/>
  <c r="M21" i="3"/>
  <c r="G17" i="3"/>
  <c r="M13" i="3"/>
  <c r="G9" i="3"/>
  <c r="M5" i="3"/>
  <c r="L82" i="3"/>
  <c r="I75" i="3"/>
  <c r="G65" i="3"/>
  <c r="I54" i="3"/>
  <c r="I50" i="3"/>
  <c r="I46" i="3"/>
  <c r="I42" i="3"/>
  <c r="Q37" i="3"/>
  <c r="I92" i="3"/>
  <c r="K62" i="3"/>
  <c r="I53" i="3"/>
  <c r="I45" i="3"/>
  <c r="G33" i="3"/>
  <c r="Q25" i="3"/>
  <c r="Q18" i="3"/>
  <c r="H11" i="3"/>
  <c r="L37" i="3"/>
  <c r="G29" i="3"/>
  <c r="M19" i="3"/>
  <c r="N13" i="3"/>
  <c r="H78" i="3"/>
  <c r="L33" i="3"/>
  <c r="J27" i="3"/>
  <c r="O16" i="3"/>
  <c r="I9" i="3"/>
  <c r="P84" i="3"/>
  <c r="Q42" i="3"/>
  <c r="Q46" i="3"/>
  <c r="N32" i="3"/>
  <c r="J74" i="3"/>
  <c r="Q33" i="3"/>
  <c r="O92" i="3"/>
  <c r="L91" i="3"/>
  <c r="I90" i="3"/>
  <c r="K88" i="3"/>
  <c r="H87" i="3"/>
  <c r="N85" i="3"/>
  <c r="G84" i="3"/>
  <c r="Q82" i="3"/>
  <c r="J81" i="3"/>
  <c r="P79" i="3"/>
  <c r="M78" i="3"/>
  <c r="N75" i="3"/>
  <c r="G74" i="3"/>
  <c r="Q72" i="3"/>
  <c r="J71" i="3"/>
  <c r="P69" i="3"/>
  <c r="M68" i="3"/>
  <c r="O66" i="3"/>
  <c r="Q92" i="3"/>
  <c r="P90" i="3"/>
  <c r="Q88" i="3"/>
  <c r="P86" i="3"/>
  <c r="Q84" i="3"/>
  <c r="P82" i="3"/>
  <c r="Q80" i="3"/>
  <c r="P78" i="3"/>
  <c r="Q75" i="3"/>
  <c r="I74" i="3"/>
  <c r="H72" i="3"/>
  <c r="N70" i="3"/>
  <c r="N68" i="3"/>
  <c r="G67" i="3"/>
  <c r="J65" i="3"/>
  <c r="P63" i="3"/>
  <c r="M62" i="3"/>
  <c r="O60" i="3"/>
  <c r="L59" i="3"/>
  <c r="H57" i="3"/>
  <c r="N55" i="3"/>
  <c r="G54" i="3"/>
  <c r="Q52" i="3"/>
  <c r="J51" i="3"/>
  <c r="P49" i="3"/>
  <c r="M48" i="3"/>
  <c r="O46" i="3"/>
  <c r="L45" i="3"/>
  <c r="I44" i="3"/>
  <c r="K42" i="3"/>
  <c r="H41" i="3"/>
  <c r="Q38" i="3"/>
  <c r="J37" i="3"/>
  <c r="P35" i="3"/>
  <c r="M34" i="3"/>
  <c r="O32" i="3"/>
  <c r="L31" i="3"/>
  <c r="I30" i="3"/>
  <c r="K28" i="3"/>
  <c r="H27" i="3"/>
  <c r="N25" i="3"/>
  <c r="G24" i="3"/>
  <c r="P21" i="3"/>
  <c r="M20" i="3"/>
  <c r="O18" i="3"/>
  <c r="L17" i="3"/>
  <c r="I16" i="3"/>
  <c r="K14" i="3"/>
  <c r="H13" i="3"/>
  <c r="N11" i="3"/>
  <c r="G10" i="3"/>
  <c r="Q8" i="3"/>
  <c r="J7" i="3"/>
  <c r="P5" i="3"/>
  <c r="G93" i="3"/>
  <c r="Q89" i="3"/>
  <c r="O87" i="3"/>
  <c r="M85" i="3"/>
  <c r="J82" i="3"/>
  <c r="I80" i="3"/>
  <c r="G78" i="3"/>
  <c r="H75" i="3"/>
  <c r="K71" i="3"/>
  <c r="I69" i="3"/>
  <c r="H67" i="3"/>
  <c r="K65" i="3"/>
  <c r="J63" i="3"/>
  <c r="K61" i="3"/>
  <c r="J59" i="3"/>
  <c r="J56" i="3"/>
  <c r="J54" i="3"/>
  <c r="J52" i="3"/>
  <c r="J50" i="3"/>
  <c r="J48" i="3"/>
  <c r="J46" i="3"/>
  <c r="J44" i="3"/>
  <c r="J42" i="3"/>
  <c r="J39" i="3"/>
  <c r="J91" i="3"/>
  <c r="H89" i="3"/>
  <c r="L86" i="3"/>
  <c r="J83" i="3"/>
  <c r="H81" i="3"/>
  <c r="L78" i="3"/>
  <c r="J73" i="3"/>
  <c r="I71" i="3"/>
  <c r="G69" i="3"/>
  <c r="O65" i="3"/>
  <c r="N63" i="3"/>
  <c r="G91" i="3"/>
  <c r="J87" i="3"/>
  <c r="O83" i="3"/>
  <c r="P75" i="3"/>
  <c r="M71" i="3"/>
  <c r="I67" i="3"/>
  <c r="K63" i="3"/>
  <c r="I61" i="3"/>
  <c r="I59" i="3"/>
  <c r="G55" i="3"/>
  <c r="O51" i="3"/>
  <c r="L48" i="3"/>
  <c r="N45" i="3"/>
  <c r="M42" i="3"/>
  <c r="P38" i="3"/>
  <c r="Q36" i="3"/>
  <c r="P34" i="3"/>
  <c r="Q32" i="3"/>
  <c r="P30" i="3"/>
  <c r="Q28" i="3"/>
  <c r="P26" i="3"/>
  <c r="Q24" i="3"/>
  <c r="Q21" i="3"/>
  <c r="Q19" i="3"/>
  <c r="I18" i="3"/>
  <c r="H16" i="3"/>
  <c r="N14" i="3"/>
  <c r="N12" i="3"/>
  <c r="G11" i="3"/>
  <c r="K9" i="3"/>
  <c r="L7" i="3"/>
  <c r="Q5" i="3"/>
  <c r="G90" i="3"/>
  <c r="M83" i="3"/>
  <c r="K79" i="3"/>
  <c r="P74" i="3"/>
  <c r="L65" i="3"/>
  <c r="H62" i="3"/>
  <c r="I60" i="3"/>
  <c r="K56" i="3"/>
  <c r="K52" i="3"/>
  <c r="K48" i="3"/>
  <c r="K44" i="3"/>
  <c r="N39" i="3"/>
  <c r="M37" i="3"/>
  <c r="M35" i="3"/>
  <c r="M33" i="3"/>
  <c r="M31" i="3"/>
  <c r="M29" i="3"/>
  <c r="M27" i="3"/>
  <c r="M25" i="3"/>
  <c r="M23" i="3"/>
  <c r="L20" i="3"/>
  <c r="M18" i="3"/>
  <c r="L16" i="3"/>
  <c r="M14" i="3"/>
  <c r="L12" i="3"/>
  <c r="M10" i="3"/>
  <c r="L8" i="3"/>
  <c r="M6" i="3"/>
  <c r="N92" i="3"/>
  <c r="J86" i="3"/>
  <c r="N73" i="3"/>
  <c r="K67" i="3"/>
  <c r="N60" i="3"/>
  <c r="Q55" i="3"/>
  <c r="Q51" i="3"/>
  <c r="Q47" i="3"/>
  <c r="Q43" i="3"/>
  <c r="P37" i="3"/>
  <c r="K33" i="3"/>
  <c r="P29" i="3"/>
  <c r="K25" i="3"/>
  <c r="K20" i="3"/>
  <c r="P16" i="3"/>
  <c r="K12" i="3"/>
  <c r="P8" i="3"/>
  <c r="H93" i="3"/>
  <c r="H84" i="3"/>
  <c r="M69" i="3"/>
  <c r="G61" i="3"/>
  <c r="N54" i="3"/>
  <c r="N50" i="3"/>
  <c r="N46" i="3"/>
  <c r="N42" i="3"/>
  <c r="K37" i="3"/>
  <c r="P33" i="3"/>
  <c r="K29" i="3"/>
  <c r="P25" i="3"/>
  <c r="P20" i="3"/>
  <c r="K16" i="3"/>
  <c r="P12" i="3"/>
  <c r="K8" i="3"/>
  <c r="O91" i="3"/>
  <c r="G81" i="3"/>
  <c r="O72" i="3"/>
  <c r="O57" i="3"/>
  <c r="O53" i="3"/>
  <c r="O49" i="3"/>
  <c r="O45" i="3"/>
  <c r="O41" i="3"/>
  <c r="G37" i="3"/>
  <c r="J80" i="3"/>
  <c r="L60" i="3"/>
  <c r="P51" i="3"/>
  <c r="P43" i="3"/>
  <c r="L30" i="3"/>
  <c r="N24" i="3"/>
  <c r="N17" i="3"/>
  <c r="M7" i="3"/>
  <c r="J35" i="3"/>
  <c r="L26" i="3"/>
  <c r="L18" i="3"/>
  <c r="J12" i="3"/>
  <c r="G38" i="3"/>
  <c r="I32" i="3"/>
  <c r="O23" i="3"/>
  <c r="H15" i="3"/>
  <c r="Q6" i="3"/>
  <c r="K68" i="3"/>
  <c r="G26" i="3"/>
  <c r="G25" i="3"/>
  <c r="O20" i="3"/>
  <c r="K59" i="3"/>
  <c r="J31" i="3"/>
  <c r="K92" i="3"/>
  <c r="H91" i="3"/>
  <c r="N89" i="3"/>
  <c r="G88" i="3"/>
  <c r="Q86" i="3"/>
  <c r="J85" i="3"/>
  <c r="P83" i="3"/>
  <c r="M82" i="3"/>
  <c r="O80" i="3"/>
  <c r="L79" i="3"/>
  <c r="I78" i="3"/>
  <c r="J75" i="3"/>
  <c r="P73" i="3"/>
  <c r="M72" i="3"/>
  <c r="O70" i="3"/>
  <c r="L69" i="3"/>
  <c r="I68" i="3"/>
  <c r="K66" i="3"/>
  <c r="L92" i="3"/>
  <c r="K90" i="3"/>
  <c r="L88" i="3"/>
  <c r="K86" i="3"/>
  <c r="L84" i="3"/>
  <c r="K82" i="3"/>
  <c r="L80" i="3"/>
  <c r="K78" i="3"/>
  <c r="L75" i="3"/>
  <c r="Q73" i="3"/>
  <c r="Q71" i="3"/>
  <c r="I70" i="3"/>
  <c r="H68" i="3"/>
  <c r="N66" i="3"/>
  <c r="O64" i="3"/>
  <c r="L63" i="3"/>
  <c r="I62" i="3"/>
  <c r="K60" i="3"/>
  <c r="H59" i="3"/>
  <c r="Q56" i="3"/>
  <c r="J55" i="3"/>
  <c r="P53" i="3"/>
  <c r="M52" i="3"/>
  <c r="O50" i="3"/>
  <c r="L49" i="3"/>
  <c r="I48" i="3"/>
  <c r="K46" i="3"/>
  <c r="H45" i="3"/>
  <c r="N43" i="3"/>
  <c r="G42" i="3"/>
  <c r="P39" i="3"/>
  <c r="M38" i="3"/>
  <c r="O36" i="3"/>
  <c r="L35" i="3"/>
  <c r="I34" i="3"/>
  <c r="K32" i="3"/>
  <c r="H31" i="3"/>
  <c r="N29" i="3"/>
  <c r="G28" i="3"/>
  <c r="Q26" i="3"/>
  <c r="J25" i="3"/>
  <c r="P23" i="3"/>
  <c r="L21" i="3"/>
  <c r="I20" i="3"/>
  <c r="K18" i="3"/>
  <c r="H17" i="3"/>
  <c r="N15" i="3"/>
  <c r="G14" i="3"/>
  <c r="Q12" i="3"/>
  <c r="J11" i="3"/>
  <c r="P9" i="3"/>
  <c r="M8" i="3"/>
  <c r="O6" i="3"/>
  <c r="L5" i="3"/>
  <c r="M92" i="3"/>
  <c r="K89" i="3"/>
  <c r="G87" i="3"/>
  <c r="G85" i="3"/>
  <c r="Q81" i="3"/>
  <c r="O79" i="3"/>
  <c r="M77" i="3"/>
  <c r="M74" i="3"/>
  <c r="Q70" i="3"/>
  <c r="O68" i="3"/>
  <c r="M66" i="3"/>
  <c r="M64" i="3"/>
  <c r="L62" i="3"/>
  <c r="M60" i="3"/>
  <c r="M57" i="3"/>
  <c r="M55" i="3"/>
  <c r="M53" i="3"/>
  <c r="M51" i="3"/>
  <c r="M49" i="3"/>
  <c r="M47" i="3"/>
  <c r="M45" i="3"/>
  <c r="M43" i="3"/>
  <c r="M41" i="3"/>
  <c r="L93" i="3"/>
  <c r="O90" i="3"/>
  <c r="N88" i="3"/>
  <c r="L85" i="3"/>
  <c r="O82" i="3"/>
  <c r="N80" i="3"/>
  <c r="L77" i="3"/>
  <c r="P72" i="3"/>
  <c r="P70" i="3"/>
  <c r="L68" i="3"/>
  <c r="I65" i="3"/>
  <c r="I63" i="3"/>
  <c r="L90" i="3"/>
  <c r="H86" i="3"/>
  <c r="Q79" i="3"/>
  <c r="Q74" i="3"/>
  <c r="L70" i="3"/>
  <c r="J66" i="3"/>
  <c r="P62" i="3"/>
  <c r="Q60" i="3"/>
  <c r="N57" i="3"/>
  <c r="M54" i="3"/>
  <c r="G51" i="3"/>
  <c r="O47" i="3"/>
  <c r="L44" i="3"/>
  <c r="N41" i="3"/>
  <c r="K38" i="3"/>
  <c r="L36" i="3"/>
  <c r="K34" i="3"/>
  <c r="L32" i="3"/>
  <c r="K30" i="3"/>
  <c r="L28" i="3"/>
  <c r="K26" i="3"/>
  <c r="L24" i="3"/>
  <c r="K21" i="3"/>
  <c r="L19" i="3"/>
  <c r="Q17" i="3"/>
  <c r="Q15" i="3"/>
  <c r="I14" i="3"/>
  <c r="H12" i="3"/>
  <c r="N10" i="3"/>
  <c r="N8" i="3"/>
  <c r="G7" i="3"/>
  <c r="K5" i="3"/>
  <c r="G89" i="3"/>
  <c r="N82" i="3"/>
  <c r="J78" i="3"/>
  <c r="O73" i="3"/>
  <c r="P64" i="3"/>
  <c r="O61" i="3"/>
  <c r="N59" i="3"/>
  <c r="L55" i="3"/>
  <c r="L51" i="3"/>
  <c r="L47" i="3"/>
  <c r="L43" i="3"/>
  <c r="G39" i="3"/>
  <c r="H37" i="3"/>
  <c r="G35" i="3"/>
  <c r="H33" i="3"/>
  <c r="G31" i="3"/>
  <c r="H29" i="3"/>
  <c r="G27" i="3"/>
  <c r="H25" i="3"/>
  <c r="G23" i="3"/>
  <c r="G20" i="3"/>
  <c r="H18" i="3"/>
  <c r="G16" i="3"/>
  <c r="H14" i="3"/>
  <c r="G12" i="3"/>
  <c r="H10" i="3"/>
  <c r="G8" i="3"/>
  <c r="H6" i="3"/>
  <c r="M91" i="3"/>
  <c r="G83" i="3"/>
  <c r="L72" i="3"/>
  <c r="Q63" i="3"/>
  <c r="M59" i="3"/>
  <c r="H54" i="3"/>
  <c r="H50" i="3"/>
  <c r="H46" i="3"/>
  <c r="H42" i="3"/>
  <c r="H36" i="3"/>
  <c r="M32" i="3"/>
  <c r="H28" i="3"/>
  <c r="M24" i="3"/>
  <c r="O19" i="3"/>
  <c r="I15" i="3"/>
  <c r="O11" i="3"/>
  <c r="I7" i="3"/>
  <c r="N90" i="3"/>
  <c r="L81" i="3"/>
  <c r="Q66" i="3"/>
  <c r="Q57" i="3"/>
  <c r="Q53" i="3"/>
  <c r="Q49" i="3"/>
  <c r="Q45" i="3"/>
  <c r="Q41" i="3"/>
  <c r="M36" i="3"/>
  <c r="H32" i="3"/>
  <c r="M28" i="3"/>
  <c r="H24" i="3"/>
  <c r="I19" i="3"/>
  <c r="O15" i="3"/>
  <c r="I11" i="3"/>
  <c r="O7" i="3"/>
  <c r="O86" i="3"/>
  <c r="J79" i="3"/>
  <c r="P67" i="3"/>
  <c r="P56" i="3"/>
  <c r="P52" i="3"/>
  <c r="P48" i="3"/>
  <c r="P44" i="3"/>
  <c r="K39" i="3"/>
  <c r="I36" i="3"/>
  <c r="I73" i="3"/>
  <c r="I57" i="3"/>
  <c r="I49" i="3"/>
  <c r="I41" i="3"/>
  <c r="L29" i="3"/>
  <c r="J23" i="3"/>
  <c r="J16" i="3"/>
  <c r="L6" i="3"/>
  <c r="O31" i="3"/>
  <c r="L25" i="3"/>
  <c r="I17" i="3"/>
  <c r="O8" i="3"/>
  <c r="N36" i="3"/>
  <c r="Q29" i="3"/>
  <c r="N21" i="3"/>
  <c r="M11" i="3"/>
  <c r="N5" i="3"/>
  <c r="Q65" i="3"/>
  <c r="L61" i="3"/>
  <c r="M63" i="3"/>
  <c r="I13" i="3"/>
  <c r="H52" i="3"/>
  <c r="H19" i="3"/>
  <c r="H48" i="3"/>
  <c r="F46" i="3"/>
  <c r="F10" i="3"/>
  <c r="F36" i="3"/>
  <c r="F57" i="3"/>
  <c r="F78" i="3"/>
  <c r="F50" i="3"/>
  <c r="F85" i="3"/>
  <c r="F45" i="3"/>
  <c r="F69" i="3"/>
  <c r="F48" i="3"/>
  <c r="F5" i="3"/>
  <c r="F93" i="3"/>
  <c r="F61" i="3"/>
  <c r="F21" i="3"/>
  <c r="F16" i="3"/>
  <c r="F18" i="3"/>
  <c r="F71" i="3"/>
  <c r="F70" i="3"/>
  <c r="F30" i="3"/>
  <c r="F35" i="3"/>
  <c r="F92" i="3"/>
  <c r="F23" i="3"/>
  <c r="L14" i="3"/>
  <c r="Q10" i="3"/>
  <c r="F82" i="3"/>
  <c r="F79" i="3"/>
  <c r="F81" i="3"/>
  <c r="F83" i="3"/>
  <c r="F54" i="3"/>
  <c r="F73" i="3"/>
  <c r="F88" i="3"/>
  <c r="F42" i="3"/>
  <c r="F20" i="3"/>
  <c r="F17" i="3"/>
  <c r="F26" i="3"/>
  <c r="F72" i="3"/>
  <c r="F77" i="3"/>
  <c r="N9" i="3"/>
  <c r="J8" i="3"/>
  <c r="F49" i="3"/>
  <c r="F31" i="3"/>
  <c r="F39" i="3"/>
  <c r="F65" i="3"/>
  <c r="F60" i="3"/>
  <c r="F56" i="3"/>
  <c r="F84" i="3"/>
  <c r="F86" i="3"/>
  <c r="F19" i="3"/>
  <c r="F62" i="3"/>
  <c r="F66" i="3"/>
  <c r="F68" i="3"/>
  <c r="F7" i="3"/>
  <c r="F13" i="3"/>
  <c r="O27" i="3"/>
  <c r="F63" i="3"/>
  <c r="F90" i="3"/>
  <c r="F80" i="3"/>
  <c r="F59" i="3"/>
  <c r="F64" i="3"/>
  <c r="F67" i="3"/>
  <c r="F47" i="3"/>
  <c r="F52" i="3"/>
  <c r="F53" i="3"/>
  <c r="F37" i="3"/>
  <c r="F15" i="3"/>
  <c r="F75" i="3"/>
  <c r="F25" i="3"/>
  <c r="F33" i="3"/>
  <c r="F55" i="3"/>
  <c r="F44" i="3"/>
  <c r="M15" i="3"/>
  <c r="F29" i="3"/>
  <c r="F51" i="3"/>
  <c r="F38" i="3"/>
  <c r="F41" i="3"/>
  <c r="F43" i="3"/>
  <c r="F87" i="3"/>
  <c r="F89" i="3"/>
  <c r="F91" i="3"/>
  <c r="F6" i="3"/>
  <c r="F11" i="3"/>
  <c r="F12" i="3"/>
  <c r="F9" i="3"/>
  <c r="F8" i="3"/>
  <c r="F27" i="3"/>
  <c r="F32" i="3"/>
  <c r="F34" i="3"/>
  <c r="F24" i="3"/>
  <c r="F28" i="3"/>
  <c r="F74" i="3"/>
  <c r="F14" i="3"/>
  <c r="Q14" i="2" l="1"/>
  <c r="Q74" i="2"/>
  <c r="Q28" i="2"/>
  <c r="Q24" i="2"/>
  <c r="Q34" i="2"/>
  <c r="Q32" i="2"/>
  <c r="Q27" i="2"/>
  <c r="Q8" i="2"/>
  <c r="Q9" i="2"/>
  <c r="Q12" i="2"/>
  <c r="Q11" i="2"/>
  <c r="Q6" i="2"/>
  <c r="Q91" i="2"/>
  <c r="Q89" i="2"/>
  <c r="Q87" i="2"/>
  <c r="Q43" i="2"/>
  <c r="F40" i="3"/>
  <c r="Q40" i="2" s="1"/>
  <c r="Q41" i="2"/>
  <c r="Q38" i="2"/>
  <c r="Q51" i="2"/>
  <c r="Q29" i="2"/>
  <c r="J15" i="2"/>
  <c r="Q44" i="2"/>
  <c r="Q55" i="2"/>
  <c r="Q33" i="2"/>
  <c r="Q25" i="2"/>
  <c r="Q75" i="2"/>
  <c r="Q15" i="2"/>
  <c r="Q37" i="2"/>
  <c r="Q53" i="2"/>
  <c r="Q52" i="2"/>
  <c r="Q47" i="2"/>
  <c r="Q67" i="2"/>
  <c r="Q64" i="2"/>
  <c r="Q59" i="2"/>
  <c r="F58" i="3"/>
  <c r="Q58" i="2" s="1"/>
  <c r="Q80" i="2"/>
  <c r="Q90" i="2"/>
  <c r="Q63" i="2"/>
  <c r="H27" i="2"/>
  <c r="Q13" i="2"/>
  <c r="Q7" i="2"/>
  <c r="Q68" i="2"/>
  <c r="Q66" i="2"/>
  <c r="Q62" i="2"/>
  <c r="Q19" i="2"/>
  <c r="Q86" i="2"/>
  <c r="Q84" i="2"/>
  <c r="Q56" i="2"/>
  <c r="Q60" i="2"/>
  <c r="Q65" i="2"/>
  <c r="Q39" i="2"/>
  <c r="Q31" i="2"/>
  <c r="Q49" i="2"/>
  <c r="M8" i="2"/>
  <c r="I9" i="2"/>
  <c r="F76" i="3"/>
  <c r="Q76" i="2" s="1"/>
  <c r="Q77" i="2"/>
  <c r="Q72" i="2"/>
  <c r="Q26" i="2"/>
  <c r="Q17" i="2"/>
  <c r="Q20" i="2"/>
  <c r="Q42" i="2"/>
  <c r="Q88" i="2"/>
  <c r="Q73" i="2"/>
  <c r="Q54" i="2"/>
  <c r="Q83" i="2"/>
  <c r="Q81" i="2"/>
  <c r="Q79" i="2"/>
  <c r="Q82" i="2"/>
  <c r="F10" i="2"/>
  <c r="K14" i="2"/>
  <c r="F22" i="3"/>
  <c r="Q22" i="2" s="1"/>
  <c r="Q23" i="2"/>
  <c r="Q92" i="2"/>
  <c r="Q35" i="2"/>
  <c r="Q30" i="2"/>
  <c r="Q70" i="2"/>
  <c r="Q71" i="2"/>
  <c r="Q18" i="2"/>
  <c r="Q16" i="2"/>
  <c r="Q21" i="2"/>
  <c r="Q61" i="2"/>
  <c r="Q93" i="2"/>
  <c r="F4" i="3"/>
  <c r="Q4" i="2" s="1"/>
  <c r="Q5" i="2"/>
  <c r="Q48" i="2"/>
  <c r="Q69" i="2"/>
  <c r="Q45" i="2"/>
  <c r="Q85" i="2"/>
  <c r="Q50" i="2"/>
  <c r="Q78" i="2"/>
  <c r="Q57" i="2"/>
  <c r="Q36" i="2"/>
  <c r="Q10" i="2"/>
  <c r="Q46" i="2"/>
  <c r="O48" i="2"/>
  <c r="O19" i="2"/>
  <c r="O52" i="2"/>
  <c r="N13" i="2"/>
  <c r="J63" i="2"/>
  <c r="K61" i="2"/>
  <c r="F65" i="2"/>
  <c r="N4" i="3"/>
  <c r="I4" i="2" s="1"/>
  <c r="I5" i="2"/>
  <c r="J11" i="2"/>
  <c r="I21" i="2"/>
  <c r="F29" i="2"/>
  <c r="I36" i="2"/>
  <c r="H8" i="2"/>
  <c r="N17" i="2"/>
  <c r="K25" i="2"/>
  <c r="H31" i="2"/>
  <c r="K6" i="2"/>
  <c r="M16" i="2"/>
  <c r="J22" i="3"/>
  <c r="M22" i="2" s="1"/>
  <c r="M23" i="2"/>
  <c r="K29" i="2"/>
  <c r="I40" i="3"/>
  <c r="N40" i="2" s="1"/>
  <c r="N41" i="2"/>
  <c r="N49" i="2"/>
  <c r="N57" i="2"/>
  <c r="N73" i="2"/>
  <c r="N36" i="2"/>
  <c r="L39" i="2"/>
  <c r="G44" i="2"/>
  <c r="G48" i="2"/>
  <c r="G52" i="2"/>
  <c r="G56" i="2"/>
  <c r="G67" i="2"/>
  <c r="M79" i="2"/>
  <c r="H86" i="2"/>
  <c r="H7" i="2"/>
  <c r="N11" i="2"/>
  <c r="H15" i="2"/>
  <c r="N19" i="2"/>
  <c r="O24" i="2"/>
  <c r="J28" i="2"/>
  <c r="O32" i="2"/>
  <c r="J36" i="2"/>
  <c r="Q40" i="3"/>
  <c r="F40" i="2" s="1"/>
  <c r="F41" i="2"/>
  <c r="F45" i="2"/>
  <c r="F49" i="2"/>
  <c r="F53" i="2"/>
  <c r="F57" i="2"/>
  <c r="F66" i="2"/>
  <c r="K81" i="2"/>
  <c r="I90" i="2"/>
  <c r="N7" i="2"/>
  <c r="H11" i="2"/>
  <c r="N15" i="2"/>
  <c r="H19" i="2"/>
  <c r="J24" i="2"/>
  <c r="O28" i="2"/>
  <c r="J32" i="2"/>
  <c r="O36" i="2"/>
  <c r="O42" i="2"/>
  <c r="O46" i="2"/>
  <c r="O50" i="2"/>
  <c r="O54" i="2"/>
  <c r="M58" i="3"/>
  <c r="J58" i="2" s="1"/>
  <c r="J59" i="2"/>
  <c r="F63" i="2"/>
  <c r="K72" i="2"/>
  <c r="P83" i="2"/>
  <c r="J91" i="2"/>
  <c r="O6" i="2"/>
  <c r="P8" i="2"/>
  <c r="O10" i="2"/>
  <c r="P12" i="2"/>
  <c r="O14" i="2"/>
  <c r="P16" i="2"/>
  <c r="O18" i="2"/>
  <c r="P20" i="2"/>
  <c r="G22" i="3"/>
  <c r="P22" i="2" s="1"/>
  <c r="P23" i="2"/>
  <c r="O25" i="2"/>
  <c r="P27" i="2"/>
  <c r="O29" i="2"/>
  <c r="P31" i="2"/>
  <c r="O33" i="2"/>
  <c r="P35" i="2"/>
  <c r="O37" i="2"/>
  <c r="P39" i="2"/>
  <c r="K43" i="2"/>
  <c r="K47" i="2"/>
  <c r="K51" i="2"/>
  <c r="K55" i="2"/>
  <c r="I59" i="2"/>
  <c r="N58" i="3"/>
  <c r="I58" i="2" s="1"/>
  <c r="H61" i="2"/>
  <c r="G64" i="2"/>
  <c r="H73" i="2"/>
  <c r="M78" i="2"/>
  <c r="I82" i="2"/>
  <c r="P89" i="2"/>
  <c r="K4" i="3"/>
  <c r="L4" i="2" s="1"/>
  <c r="L5" i="2"/>
  <c r="P7" i="2"/>
  <c r="I8" i="2"/>
  <c r="I10" i="2"/>
  <c r="O12" i="2"/>
  <c r="N14" i="2"/>
  <c r="F15" i="2"/>
  <c r="F17" i="2"/>
  <c r="K19" i="2"/>
  <c r="L21" i="2"/>
  <c r="K24" i="2"/>
  <c r="L26" i="2"/>
  <c r="K28" i="2"/>
  <c r="L30" i="2"/>
  <c r="K32" i="2"/>
  <c r="L34" i="2"/>
  <c r="K36" i="2"/>
  <c r="L38" i="2"/>
  <c r="N40" i="3"/>
  <c r="I40" i="2" s="1"/>
  <c r="I41" i="2"/>
  <c r="K44" i="2"/>
  <c r="H47" i="2"/>
  <c r="P51" i="2"/>
  <c r="J54" i="2"/>
  <c r="I57" i="2"/>
  <c r="F60" i="2"/>
  <c r="G62" i="2"/>
  <c r="M66" i="2"/>
  <c r="K70" i="2"/>
  <c r="F74" i="2"/>
  <c r="F79" i="2"/>
  <c r="O86" i="2"/>
  <c r="K90" i="2"/>
  <c r="N63" i="2"/>
  <c r="N65" i="2"/>
  <c r="K68" i="2"/>
  <c r="G70" i="2"/>
  <c r="G72" i="2"/>
  <c r="L76" i="3"/>
  <c r="K76" i="2" s="1"/>
  <c r="K77" i="2"/>
  <c r="I80" i="2"/>
  <c r="H82" i="2"/>
  <c r="K85" i="2"/>
  <c r="I88" i="2"/>
  <c r="H90" i="2"/>
  <c r="K93" i="2"/>
  <c r="M40" i="3"/>
  <c r="J40" i="2" s="1"/>
  <c r="J41" i="2"/>
  <c r="J43" i="2"/>
  <c r="J45" i="2"/>
  <c r="J47" i="2"/>
  <c r="J49" i="2"/>
  <c r="J51" i="2"/>
  <c r="J53" i="2"/>
  <c r="J55" i="2"/>
  <c r="J57" i="2"/>
  <c r="J60" i="2"/>
  <c r="K62" i="2"/>
  <c r="J64" i="2"/>
  <c r="J66" i="2"/>
  <c r="H68" i="2"/>
  <c r="F70" i="2"/>
  <c r="J74" i="2"/>
  <c r="M76" i="3"/>
  <c r="J76" i="2" s="1"/>
  <c r="J77" i="2"/>
  <c r="H79" i="2"/>
  <c r="F81" i="2"/>
  <c r="P85" i="2"/>
  <c r="P87" i="2"/>
  <c r="L89" i="2"/>
  <c r="J92" i="2"/>
  <c r="L4" i="3"/>
  <c r="K4" i="2" s="1"/>
  <c r="K5" i="2"/>
  <c r="H6" i="2"/>
  <c r="J8" i="2"/>
  <c r="G9" i="2"/>
  <c r="M11" i="2"/>
  <c r="F12" i="2"/>
  <c r="P14" i="2"/>
  <c r="I15" i="2"/>
  <c r="O17" i="2"/>
  <c r="L18" i="2"/>
  <c r="N20" i="2"/>
  <c r="K21" i="2"/>
  <c r="P22" i="3"/>
  <c r="G22" i="2" s="1"/>
  <c r="G23" i="2"/>
  <c r="M25" i="2"/>
  <c r="F26" i="2"/>
  <c r="P28" i="2"/>
  <c r="I29" i="2"/>
  <c r="O31" i="2"/>
  <c r="L32" i="2"/>
  <c r="N34" i="2"/>
  <c r="K35" i="2"/>
  <c r="H36" i="2"/>
  <c r="J38" i="2"/>
  <c r="G39" i="2"/>
  <c r="P42" i="2"/>
  <c r="I43" i="2"/>
  <c r="O45" i="2"/>
  <c r="L46" i="2"/>
  <c r="N48" i="2"/>
  <c r="K49" i="2"/>
  <c r="H50" i="2"/>
  <c r="J52" i="2"/>
  <c r="G53" i="2"/>
  <c r="M55" i="2"/>
  <c r="F56" i="2"/>
  <c r="H58" i="3"/>
  <c r="O58" i="2" s="1"/>
  <c r="O59" i="2"/>
  <c r="L60" i="2"/>
  <c r="N62" i="2"/>
  <c r="K63" i="2"/>
  <c r="H64" i="2"/>
  <c r="I66" i="2"/>
  <c r="O68" i="2"/>
  <c r="N70" i="2"/>
  <c r="F71" i="2"/>
  <c r="F73" i="2"/>
  <c r="K75" i="2"/>
  <c r="L78" i="2"/>
  <c r="K80" i="2"/>
  <c r="L82" i="2"/>
  <c r="K84" i="2"/>
  <c r="L86" i="2"/>
  <c r="K88" i="2"/>
  <c r="L90" i="2"/>
  <c r="K92" i="2"/>
  <c r="L66" i="2"/>
  <c r="N68" i="2"/>
  <c r="K69" i="2"/>
  <c r="H70" i="2"/>
  <c r="J72" i="2"/>
  <c r="G73" i="2"/>
  <c r="M75" i="2"/>
  <c r="N78" i="2"/>
  <c r="K79" i="2"/>
  <c r="H80" i="2"/>
  <c r="J82" i="2"/>
  <c r="G83" i="2"/>
  <c r="M85" i="2"/>
  <c r="F86" i="2"/>
  <c r="P88" i="2"/>
  <c r="I89" i="2"/>
  <c r="O91" i="2"/>
  <c r="L92" i="2"/>
  <c r="M31" i="2"/>
  <c r="K58" i="3"/>
  <c r="L58" i="2" s="1"/>
  <c r="L59" i="2"/>
  <c r="H20" i="2"/>
  <c r="P25" i="2"/>
  <c r="P26" i="2"/>
  <c r="L68" i="2"/>
  <c r="F6" i="2"/>
  <c r="O15" i="2"/>
  <c r="O22" i="3"/>
  <c r="H22" i="2" s="1"/>
  <c r="H23" i="2"/>
  <c r="N32" i="2"/>
  <c r="P38" i="2"/>
  <c r="M12" i="2"/>
  <c r="K18" i="2"/>
  <c r="K26" i="2"/>
  <c r="M35" i="2"/>
  <c r="J7" i="2"/>
  <c r="I17" i="2"/>
  <c r="I24" i="2"/>
  <c r="K30" i="2"/>
  <c r="G43" i="2"/>
  <c r="G51" i="2"/>
  <c r="K60" i="2"/>
  <c r="M80" i="2"/>
  <c r="P37" i="2"/>
  <c r="O40" i="3"/>
  <c r="H40" i="2" s="1"/>
  <c r="H41" i="2"/>
  <c r="H45" i="2"/>
  <c r="H49" i="2"/>
  <c r="H53" i="2"/>
  <c r="H57" i="2"/>
  <c r="H72" i="2"/>
  <c r="P81" i="2"/>
  <c r="H91" i="2"/>
  <c r="L8" i="2"/>
  <c r="G12" i="2"/>
  <c r="L16" i="2"/>
  <c r="G20" i="2"/>
  <c r="G25" i="2"/>
  <c r="L29" i="2"/>
  <c r="G33" i="2"/>
  <c r="L37" i="2"/>
  <c r="I42" i="2"/>
  <c r="I46" i="2"/>
  <c r="I50" i="2"/>
  <c r="I54" i="2"/>
  <c r="P61" i="2"/>
  <c r="J69" i="2"/>
  <c r="O84" i="2"/>
  <c r="O93" i="2"/>
  <c r="G8" i="2"/>
  <c r="L12" i="2"/>
  <c r="G16" i="2"/>
  <c r="L20" i="2"/>
  <c r="L25" i="2"/>
  <c r="G29" i="2"/>
  <c r="L33" i="2"/>
  <c r="G37" i="2"/>
  <c r="F43" i="2"/>
  <c r="F47" i="2"/>
  <c r="F51" i="2"/>
  <c r="F55" i="2"/>
  <c r="I60" i="2"/>
  <c r="L67" i="2"/>
  <c r="I73" i="2"/>
  <c r="M86" i="2"/>
  <c r="I92" i="2"/>
  <c r="J6" i="2"/>
  <c r="K8" i="2"/>
  <c r="J10" i="2"/>
  <c r="K12" i="2"/>
  <c r="J14" i="2"/>
  <c r="K16" i="2"/>
  <c r="J18" i="2"/>
  <c r="K20" i="2"/>
  <c r="M22" i="3"/>
  <c r="J22" i="2" s="1"/>
  <c r="J23" i="2"/>
  <c r="J25" i="2"/>
  <c r="J27" i="2"/>
  <c r="J29" i="2"/>
  <c r="J31" i="2"/>
  <c r="J33" i="2"/>
  <c r="J35" i="2"/>
  <c r="J37" i="2"/>
  <c r="I39" i="2"/>
  <c r="L44" i="2"/>
  <c r="L48" i="2"/>
  <c r="L52" i="2"/>
  <c r="L56" i="2"/>
  <c r="N60" i="2"/>
  <c r="O62" i="2"/>
  <c r="K65" i="2"/>
  <c r="G74" i="2"/>
  <c r="L79" i="2"/>
  <c r="J83" i="2"/>
  <c r="P90" i="2"/>
  <c r="Q4" i="3"/>
  <c r="F4" i="2" s="1"/>
  <c r="F5" i="2"/>
  <c r="K7" i="2"/>
  <c r="L9" i="2"/>
  <c r="P11" i="2"/>
  <c r="I12" i="2"/>
  <c r="I14" i="2"/>
  <c r="O16" i="2"/>
  <c r="N18" i="2"/>
  <c r="F19" i="2"/>
  <c r="F21" i="2"/>
  <c r="F24" i="2"/>
  <c r="G26" i="2"/>
  <c r="F28" i="2"/>
  <c r="G30" i="2"/>
  <c r="F32" i="2"/>
  <c r="G34" i="2"/>
  <c r="F36" i="2"/>
  <c r="G38" i="2"/>
  <c r="J42" i="2"/>
  <c r="I45" i="2"/>
  <c r="K48" i="2"/>
  <c r="H51" i="2"/>
  <c r="P55" i="2"/>
  <c r="I58" i="3"/>
  <c r="N58" i="2" s="1"/>
  <c r="N59" i="2"/>
  <c r="N61" i="2"/>
  <c r="L63" i="2"/>
  <c r="N67" i="2"/>
  <c r="J71" i="2"/>
  <c r="G75" i="2"/>
  <c r="H83" i="2"/>
  <c r="M87" i="2"/>
  <c r="P91" i="2"/>
  <c r="I63" i="2"/>
  <c r="H65" i="2"/>
  <c r="P69" i="2"/>
  <c r="N71" i="2"/>
  <c r="M73" i="2"/>
  <c r="K78" i="2"/>
  <c r="O81" i="2"/>
  <c r="M83" i="2"/>
  <c r="K86" i="2"/>
  <c r="O89" i="2"/>
  <c r="M91" i="2"/>
  <c r="M39" i="2"/>
  <c r="M42" i="2"/>
  <c r="M44" i="2"/>
  <c r="M46" i="2"/>
  <c r="M48" i="2"/>
  <c r="M50" i="2"/>
  <c r="M52" i="2"/>
  <c r="M54" i="2"/>
  <c r="M56" i="2"/>
  <c r="J58" i="3"/>
  <c r="M58" i="2" s="1"/>
  <c r="M59" i="2"/>
  <c r="L61" i="2"/>
  <c r="M63" i="2"/>
  <c r="L65" i="2"/>
  <c r="O67" i="2"/>
  <c r="N69" i="2"/>
  <c r="L71" i="2"/>
  <c r="O75" i="2"/>
  <c r="P78" i="2"/>
  <c r="N80" i="2"/>
  <c r="M82" i="2"/>
  <c r="J85" i="2"/>
  <c r="H87" i="2"/>
  <c r="F89" i="2"/>
  <c r="P93" i="2"/>
  <c r="P4" i="3"/>
  <c r="G4" i="2" s="1"/>
  <c r="G5" i="2"/>
  <c r="M7" i="2"/>
  <c r="F8" i="2"/>
  <c r="P10" i="2"/>
  <c r="I11" i="2"/>
  <c r="O13" i="2"/>
  <c r="L14" i="2"/>
  <c r="N16" i="2"/>
  <c r="K17" i="2"/>
  <c r="H18" i="2"/>
  <c r="J20" i="2"/>
  <c r="G21" i="2"/>
  <c r="P24" i="2"/>
  <c r="I25" i="2"/>
  <c r="O27" i="2"/>
  <c r="L28" i="2"/>
  <c r="N30" i="2"/>
  <c r="K31" i="2"/>
  <c r="H32" i="2"/>
  <c r="J34" i="2"/>
  <c r="G35" i="2"/>
  <c r="M37" i="2"/>
  <c r="F38" i="2"/>
  <c r="O41" i="2"/>
  <c r="H40" i="3"/>
  <c r="O40" i="2" s="1"/>
  <c r="L42" i="2"/>
  <c r="N44" i="2"/>
  <c r="K45" i="2"/>
  <c r="H46" i="2"/>
  <c r="J48" i="2"/>
  <c r="G49" i="2"/>
  <c r="M51" i="2"/>
  <c r="F52" i="2"/>
  <c r="P54" i="2"/>
  <c r="I55" i="2"/>
  <c r="O57" i="2"/>
  <c r="L58" i="3"/>
  <c r="K58" i="2" s="1"/>
  <c r="K59" i="2"/>
  <c r="H60" i="2"/>
  <c r="J62" i="2"/>
  <c r="G63" i="2"/>
  <c r="M65" i="2"/>
  <c r="P67" i="2"/>
  <c r="I68" i="2"/>
  <c r="I70" i="2"/>
  <c r="O72" i="2"/>
  <c r="N74" i="2"/>
  <c r="F75" i="2"/>
  <c r="G78" i="2"/>
  <c r="F80" i="2"/>
  <c r="G82" i="2"/>
  <c r="F84" i="2"/>
  <c r="G86" i="2"/>
  <c r="F88" i="2"/>
  <c r="G90" i="2"/>
  <c r="F92" i="2"/>
  <c r="H66" i="2"/>
  <c r="J68" i="2"/>
  <c r="G69" i="2"/>
  <c r="M71" i="2"/>
  <c r="F72" i="2"/>
  <c r="P74" i="2"/>
  <c r="I75" i="2"/>
  <c r="J78" i="2"/>
  <c r="G79" i="2"/>
  <c r="M81" i="2"/>
  <c r="F82" i="2"/>
  <c r="P84" i="2"/>
  <c r="I85" i="2"/>
  <c r="O87" i="2"/>
  <c r="L88" i="2"/>
  <c r="N90" i="2"/>
  <c r="K91" i="2"/>
  <c r="H92" i="2"/>
  <c r="F33" i="2"/>
  <c r="M74" i="2"/>
  <c r="I32" i="2"/>
  <c r="F46" i="2"/>
  <c r="F42" i="2"/>
  <c r="G84" i="2"/>
  <c r="N9" i="2"/>
  <c r="H16" i="2"/>
  <c r="M27" i="2"/>
  <c r="K33" i="2"/>
  <c r="O78" i="2"/>
  <c r="I13" i="2"/>
  <c r="J19" i="2"/>
  <c r="P29" i="2"/>
  <c r="K37" i="2"/>
  <c r="O11" i="2"/>
  <c r="F18" i="2"/>
  <c r="F25" i="2"/>
  <c r="P33" i="2"/>
  <c r="N45" i="2"/>
  <c r="N53" i="2"/>
  <c r="L62" i="2"/>
  <c r="N92" i="2"/>
  <c r="F37" i="2"/>
  <c r="N42" i="2"/>
  <c r="N46" i="2"/>
  <c r="N50" i="2"/>
  <c r="N54" i="2"/>
  <c r="P65" i="2"/>
  <c r="N75" i="2"/>
  <c r="K82" i="2"/>
  <c r="M4" i="3"/>
  <c r="J4" i="2" s="1"/>
  <c r="J5" i="2"/>
  <c r="P9" i="2"/>
  <c r="J13" i="2"/>
  <c r="P17" i="2"/>
  <c r="J21" i="2"/>
  <c r="O26" i="2"/>
  <c r="I30" i="2"/>
  <c r="O34" i="2"/>
  <c r="I38" i="2"/>
  <c r="L43" i="2"/>
  <c r="L47" i="2"/>
  <c r="L51" i="2"/>
  <c r="L55" i="2"/>
  <c r="M64" i="2"/>
  <c r="H71" i="2"/>
  <c r="F85" i="2"/>
  <c r="G4" i="3"/>
  <c r="P4" i="2" s="1"/>
  <c r="P5" i="2"/>
  <c r="J9" i="2"/>
  <c r="P13" i="2"/>
  <c r="J17" i="2"/>
  <c r="P21" i="2"/>
  <c r="I26" i="2"/>
  <c r="O30" i="2"/>
  <c r="I34" i="2"/>
  <c r="O38" i="2"/>
  <c r="I44" i="2"/>
  <c r="I48" i="2"/>
  <c r="I52" i="2"/>
  <c r="I56" i="2"/>
  <c r="J61" i="2"/>
  <c r="G68" i="2"/>
  <c r="H76" i="3"/>
  <c r="O76" i="2" s="1"/>
  <c r="O77" i="2"/>
  <c r="F87" i="2"/>
  <c r="J4" i="3"/>
  <c r="M4" i="2" s="1"/>
  <c r="M5" i="2"/>
  <c r="L7" i="2"/>
  <c r="M9" i="2"/>
  <c r="L11" i="2"/>
  <c r="M13" i="2"/>
  <c r="L15" i="2"/>
  <c r="M17" i="2"/>
  <c r="L19" i="2"/>
  <c r="M21" i="2"/>
  <c r="M24" i="2"/>
  <c r="M26" i="2"/>
  <c r="M28" i="2"/>
  <c r="M30" i="2"/>
  <c r="M32" i="2"/>
  <c r="M34" i="2"/>
  <c r="M36" i="2"/>
  <c r="M38" i="2"/>
  <c r="K40" i="3"/>
  <c r="L40" i="2" s="1"/>
  <c r="L41" i="2"/>
  <c r="L45" i="2"/>
  <c r="L49" i="2"/>
  <c r="L53" i="2"/>
  <c r="L57" i="2"/>
  <c r="G60" i="2"/>
  <c r="H62" i="2"/>
  <c r="O66" i="2"/>
  <c r="L75" i="2"/>
  <c r="J80" i="2"/>
  <c r="N84" i="2"/>
  <c r="G92" i="2"/>
  <c r="N6" i="2"/>
  <c r="F7" i="2"/>
  <c r="F9" i="2"/>
  <c r="K11" i="2"/>
  <c r="L13" i="2"/>
  <c r="P15" i="2"/>
  <c r="I16" i="2"/>
  <c r="I18" i="2"/>
  <c r="O20" i="2"/>
  <c r="I22" i="3"/>
  <c r="N22" i="2" s="1"/>
  <c r="N23" i="2"/>
  <c r="N25" i="2"/>
  <c r="N27" i="2"/>
  <c r="N29" i="2"/>
  <c r="N31" i="2"/>
  <c r="N33" i="2"/>
  <c r="N35" i="2"/>
  <c r="N37" i="2"/>
  <c r="N39" i="2"/>
  <c r="P43" i="2"/>
  <c r="J46" i="2"/>
  <c r="I49" i="2"/>
  <c r="K52" i="2"/>
  <c r="H55" i="2"/>
  <c r="Q58" i="3"/>
  <c r="F58" i="2" s="1"/>
  <c r="F59" i="2"/>
  <c r="F61" i="2"/>
  <c r="N64" i="2"/>
  <c r="M68" i="2"/>
  <c r="P72" i="2"/>
  <c r="Q76" i="3"/>
  <c r="F76" i="2" s="1"/>
  <c r="F77" i="2"/>
  <c r="I84" i="2"/>
  <c r="M88" i="2"/>
  <c r="O92" i="2"/>
  <c r="K64" i="2"/>
  <c r="K66" i="2"/>
  <c r="I69" i="2"/>
  <c r="G71" i="2"/>
  <c r="K74" i="2"/>
  <c r="J79" i="2"/>
  <c r="G81" i="2"/>
  <c r="F83" i="2"/>
  <c r="J87" i="2"/>
  <c r="G89" i="2"/>
  <c r="F91" i="2"/>
  <c r="H39" i="2"/>
  <c r="G42" i="2"/>
  <c r="H44" i="2"/>
  <c r="G46" i="2"/>
  <c r="H48" i="2"/>
  <c r="G50" i="2"/>
  <c r="H52" i="2"/>
  <c r="G54" i="2"/>
  <c r="H56" i="2"/>
  <c r="O58" i="3"/>
  <c r="H58" i="2" s="1"/>
  <c r="H59" i="2"/>
  <c r="G61" i="2"/>
  <c r="H63" i="2"/>
  <c r="G65" i="2"/>
  <c r="H67" i="2"/>
  <c r="H69" i="2"/>
  <c r="L72" i="2"/>
  <c r="H75" i="2"/>
  <c r="I78" i="2"/>
  <c r="G80" i="2"/>
  <c r="L83" i="2"/>
  <c r="P86" i="2"/>
  <c r="N88" i="2"/>
  <c r="M90" i="2"/>
  <c r="J93" i="2"/>
  <c r="P6" i="2"/>
  <c r="I7" i="2"/>
  <c r="O9" i="2"/>
  <c r="L10" i="2"/>
  <c r="N12" i="2"/>
  <c r="K13" i="2"/>
  <c r="H14" i="2"/>
  <c r="J16" i="2"/>
  <c r="G17" i="2"/>
  <c r="M19" i="2"/>
  <c r="F20" i="2"/>
  <c r="H22" i="3"/>
  <c r="O22" i="2" s="1"/>
  <c r="O23" i="2"/>
  <c r="L24" i="2"/>
  <c r="N26" i="2"/>
  <c r="K27" i="2"/>
  <c r="H28" i="2"/>
  <c r="J30" i="2"/>
  <c r="G31" i="2"/>
  <c r="M33" i="2"/>
  <c r="F34" i="2"/>
  <c r="P36" i="2"/>
  <c r="I37" i="2"/>
  <c r="O39" i="2"/>
  <c r="L40" i="3"/>
  <c r="K40" i="2" s="1"/>
  <c r="K41" i="2"/>
  <c r="H42" i="2"/>
  <c r="J44" i="2"/>
  <c r="G45" i="2"/>
  <c r="M47" i="2"/>
  <c r="F48" i="2"/>
  <c r="P50" i="2"/>
  <c r="I51" i="2"/>
  <c r="O53" i="2"/>
  <c r="L54" i="2"/>
  <c r="N56" i="2"/>
  <c r="K57" i="2"/>
  <c r="P58" i="3"/>
  <c r="G58" i="2" s="1"/>
  <c r="G59" i="2"/>
  <c r="M61" i="2"/>
  <c r="F62" i="2"/>
  <c r="P64" i="2"/>
  <c r="I65" i="2"/>
  <c r="K67" i="2"/>
  <c r="L69" i="2"/>
  <c r="P71" i="2"/>
  <c r="I72" i="2"/>
  <c r="I74" i="2"/>
  <c r="I76" i="3"/>
  <c r="N76" i="2" s="1"/>
  <c r="N77" i="2"/>
  <c r="N79" i="2"/>
  <c r="N81" i="2"/>
  <c r="N83" i="2"/>
  <c r="N85" i="2"/>
  <c r="N87" i="2"/>
  <c r="N89" i="2"/>
  <c r="N91" i="2"/>
  <c r="N93" i="2"/>
  <c r="M67" i="2"/>
  <c r="F68" i="2"/>
  <c r="P70" i="2"/>
  <c r="I71" i="2"/>
  <c r="O73" i="2"/>
  <c r="L74" i="2"/>
  <c r="J76" i="3"/>
  <c r="M76" i="2" s="1"/>
  <c r="M77" i="2"/>
  <c r="F78" i="2"/>
  <c r="P80" i="2"/>
  <c r="I81" i="2"/>
  <c r="O83" i="2"/>
  <c r="L84" i="2"/>
  <c r="N86" i="2"/>
  <c r="K87" i="2"/>
  <c r="H88" i="2"/>
  <c r="J90" i="2"/>
  <c r="G91" i="2"/>
  <c r="M93" i="2"/>
  <c r="O44" i="2"/>
  <c r="L93" i="2"/>
  <c r="O56" i="2"/>
  <c r="F54" i="2"/>
  <c r="F50" i="2"/>
  <c r="L87" i="2"/>
  <c r="K10" i="2"/>
  <c r="M20" i="2"/>
  <c r="I28" i="2"/>
  <c r="K34" i="2"/>
  <c r="O7" i="2"/>
  <c r="F14" i="2"/>
  <c r="N24" i="2"/>
  <c r="P30" i="2"/>
  <c r="I4" i="3"/>
  <c r="N4" i="2" s="1"/>
  <c r="N5" i="2"/>
  <c r="H12" i="2"/>
  <c r="N21" i="2"/>
  <c r="N28" i="2"/>
  <c r="P34" i="2"/>
  <c r="G47" i="2"/>
  <c r="G55" i="2"/>
  <c r="I64" i="2"/>
  <c r="H35" i="2"/>
  <c r="K38" i="2"/>
  <c r="N43" i="2"/>
  <c r="N47" i="2"/>
  <c r="N51" i="2"/>
  <c r="N55" i="2"/>
  <c r="G66" i="2"/>
  <c r="K76" i="3"/>
  <c r="L76" i="2" s="1"/>
  <c r="L77" i="2"/>
  <c r="G85" i="2"/>
  <c r="M6" i="2"/>
  <c r="G10" i="2"/>
  <c r="M14" i="2"/>
  <c r="G18" i="2"/>
  <c r="K22" i="3"/>
  <c r="L22" i="2" s="1"/>
  <c r="L23" i="2"/>
  <c r="F27" i="2"/>
  <c r="L31" i="2"/>
  <c r="F35" i="2"/>
  <c r="J39" i="2"/>
  <c r="P44" i="2"/>
  <c r="P48" i="2"/>
  <c r="P52" i="2"/>
  <c r="P56" i="2"/>
  <c r="O65" i="2"/>
  <c r="O74" i="2"/>
  <c r="J88" i="2"/>
  <c r="G6" i="2"/>
  <c r="M10" i="2"/>
  <c r="G14" i="2"/>
  <c r="M18" i="2"/>
  <c r="Q22" i="3"/>
  <c r="F22" i="2" s="1"/>
  <c r="F23" i="2"/>
  <c r="L27" i="2"/>
  <c r="F31" i="2"/>
  <c r="L35" i="2"/>
  <c r="J40" i="3"/>
  <c r="M40" i="2" s="1"/>
  <c r="M41" i="2"/>
  <c r="M45" i="2"/>
  <c r="M49" i="2"/>
  <c r="M53" i="2"/>
  <c r="M57" i="2"/>
  <c r="I62" i="2"/>
  <c r="J70" i="2"/>
  <c r="P82" i="2"/>
  <c r="J89" i="2"/>
  <c r="O4" i="3"/>
  <c r="H4" i="2" s="1"/>
  <c r="H5" i="2"/>
  <c r="G7" i="2"/>
  <c r="H9" i="2"/>
  <c r="G11" i="2"/>
  <c r="H13" i="2"/>
  <c r="G15" i="2"/>
  <c r="H17" i="2"/>
  <c r="G19" i="2"/>
  <c r="H21" i="2"/>
  <c r="G24" i="2"/>
  <c r="H26" i="2"/>
  <c r="G28" i="2"/>
  <c r="H30" i="2"/>
  <c r="G32" i="2"/>
  <c r="H34" i="2"/>
  <c r="G36" i="2"/>
  <c r="H38" i="2"/>
  <c r="K42" i="2"/>
  <c r="K46" i="2"/>
  <c r="K50" i="2"/>
  <c r="K54" i="2"/>
  <c r="G58" i="3"/>
  <c r="P58" i="2" s="1"/>
  <c r="P59" i="2"/>
  <c r="O61" i="2"/>
  <c r="P63" i="2"/>
  <c r="O71" i="2"/>
  <c r="G77" i="2"/>
  <c r="P76" i="3"/>
  <c r="G76" i="2" s="1"/>
  <c r="J81" i="2"/>
  <c r="O85" i="2"/>
  <c r="G93" i="2"/>
  <c r="I6" i="2"/>
  <c r="O8" i="2"/>
  <c r="N10" i="2"/>
  <c r="F11" i="2"/>
  <c r="F13" i="2"/>
  <c r="K15" i="2"/>
  <c r="L17" i="2"/>
  <c r="P19" i="2"/>
  <c r="I20" i="2"/>
  <c r="N22" i="3"/>
  <c r="I22" i="2" s="1"/>
  <c r="I23" i="2"/>
  <c r="H25" i="2"/>
  <c r="I27" i="2"/>
  <c r="H29" i="2"/>
  <c r="I31" i="2"/>
  <c r="H33" i="2"/>
  <c r="I35" i="2"/>
  <c r="H37" i="2"/>
  <c r="F39" i="2"/>
  <c r="H43" i="2"/>
  <c r="P47" i="2"/>
  <c r="J50" i="2"/>
  <c r="I53" i="2"/>
  <c r="K56" i="2"/>
  <c r="M60" i="2"/>
  <c r="M62" i="2"/>
  <c r="J65" i="2"/>
  <c r="M69" i="2"/>
  <c r="P73" i="2"/>
  <c r="H78" i="2"/>
  <c r="L85" i="2"/>
  <c r="K89" i="2"/>
  <c r="F93" i="2"/>
  <c r="F64" i="2"/>
  <c r="J67" i="2"/>
  <c r="O70" i="2"/>
  <c r="M72" i="2"/>
  <c r="J75" i="2"/>
  <c r="O80" i="2"/>
  <c r="O82" i="2"/>
  <c r="M84" i="2"/>
  <c r="O88" i="2"/>
  <c r="O90" i="2"/>
  <c r="M92" i="2"/>
  <c r="G40" i="3"/>
  <c r="P40" i="2" s="1"/>
  <c r="P41" i="2"/>
  <c r="O43" i="2"/>
  <c r="P45" i="2"/>
  <c r="O47" i="2"/>
  <c r="P49" i="2"/>
  <c r="O51" i="2"/>
  <c r="P53" i="2"/>
  <c r="O55" i="2"/>
  <c r="P57" i="2"/>
  <c r="O60" i="2"/>
  <c r="P62" i="2"/>
  <c r="O64" i="2"/>
  <c r="P66" i="2"/>
  <c r="P68" i="2"/>
  <c r="M70" i="2"/>
  <c r="J73" i="2"/>
  <c r="G76" i="3"/>
  <c r="P76" i="2" s="1"/>
  <c r="P77" i="2"/>
  <c r="P79" i="2"/>
  <c r="L81" i="2"/>
  <c r="J84" i="2"/>
  <c r="I86" i="2"/>
  <c r="G88" i="2"/>
  <c r="L91" i="2"/>
  <c r="H4" i="3"/>
  <c r="O4" i="2" s="1"/>
  <c r="O5" i="2"/>
  <c r="L6" i="2"/>
  <c r="N8" i="2"/>
  <c r="K9" i="2"/>
  <c r="H10" i="2"/>
  <c r="J12" i="2"/>
  <c r="G13" i="2"/>
  <c r="M15" i="2"/>
  <c r="F16" i="2"/>
  <c r="P18" i="2"/>
  <c r="I19" i="2"/>
  <c r="O21" i="2"/>
  <c r="L22" i="3"/>
  <c r="K22" i="2" s="1"/>
  <c r="K23" i="2"/>
  <c r="H24" i="2"/>
  <c r="J26" i="2"/>
  <c r="G27" i="2"/>
  <c r="M29" i="2"/>
  <c r="F30" i="2"/>
  <c r="P32" i="2"/>
  <c r="I33" i="2"/>
  <c r="O35" i="2"/>
  <c r="L36" i="2"/>
  <c r="N38" i="2"/>
  <c r="K39" i="2"/>
  <c r="P40" i="3"/>
  <c r="G40" i="2" s="1"/>
  <c r="G41" i="2"/>
  <c r="M43" i="2"/>
  <c r="F44" i="2"/>
  <c r="P46" i="2"/>
  <c r="I47" i="2"/>
  <c r="O49" i="2"/>
  <c r="L50" i="2"/>
  <c r="N52" i="2"/>
  <c r="K53" i="2"/>
  <c r="H54" i="2"/>
  <c r="J56" i="2"/>
  <c r="G57" i="2"/>
  <c r="P60" i="2"/>
  <c r="I61" i="2"/>
  <c r="O63" i="2"/>
  <c r="L64" i="2"/>
  <c r="N66" i="2"/>
  <c r="F67" i="2"/>
  <c r="F69" i="2"/>
  <c r="K71" i="2"/>
  <c r="L73" i="2"/>
  <c r="P75" i="2"/>
  <c r="O76" i="3"/>
  <c r="H76" i="2" s="1"/>
  <c r="H77" i="2"/>
  <c r="I79" i="2"/>
  <c r="H81" i="2"/>
  <c r="I83" i="2"/>
  <c r="H85" i="2"/>
  <c r="I87" i="2"/>
  <c r="H89" i="2"/>
  <c r="I91" i="2"/>
  <c r="H93" i="2"/>
  <c r="I67" i="2"/>
  <c r="O69" i="2"/>
  <c r="L70" i="2"/>
  <c r="N72" i="2"/>
  <c r="K73" i="2"/>
  <c r="H74" i="2"/>
  <c r="N76" i="3"/>
  <c r="I76" i="2" s="1"/>
  <c r="I77" i="2"/>
  <c r="O79" i="2"/>
  <c r="L80" i="2"/>
  <c r="N82" i="2"/>
  <c r="K83" i="2"/>
  <c r="H84" i="2"/>
  <c r="J86" i="2"/>
  <c r="G87" i="2"/>
  <c r="M89" i="2"/>
  <c r="F90" i="2"/>
  <c r="P92" i="2"/>
  <c r="I93" i="2"/>
</calcChain>
</file>

<file path=xl/sharedStrings.xml><?xml version="1.0" encoding="utf-8"?>
<sst xmlns="http://schemas.openxmlformats.org/spreadsheetml/2006/main" count="3675" uniqueCount="138">
  <si>
    <t>Gross Profit</t>
  </si>
  <si>
    <t>**IMPORTANT NOTE**</t>
  </si>
  <si>
    <t>This document, the information contained herein and any derived information created therefrom are for the exclusive use of VENKATESAPRASAD HARISH at BITS PILANI HYDERABA.</t>
  </si>
  <si>
    <t>~~~~~~~~~~~~~~~~~~~~~~~~~~~~~~~~~~~~~~~~~~~~~~~~~~~~~~~~~~~~~~~~~~~~~~~~~~~~~~~~~~~~~~~~~~~~~~~~~~~~~~~~~~~~~~~~~~~~~~~~~~~~~~~~~~~~~~~~~~~~~~~~~~~~~~~~~~~~~~~~</t>
  </si>
  <si>
    <t>**REFERENCE**</t>
  </si>
  <si>
    <t xml:space="preserve">     Spreadsheets generated from the BI Excel export can be used as reference tables to fuel various models and other sheets on your desktop.</t>
  </si>
  <si>
    <t xml:space="preserve">     Automated model building or 'drag and drop' from the BI export sheet are not supported at this time, but using the BI export</t>
  </si>
  <si>
    <t xml:space="preserve">     as a reference table for use in other spreadsheets is a powerful and convenient tool to help achieve your goals.</t>
  </si>
  <si>
    <t xml:space="preserve">   --The BI Excel export sheet typically contains two data tabs (certain BI modules like those in the 'Monitor' section on BI will only result in a single 'Sheet 1' data tab):</t>
  </si>
  <si>
    <t xml:space="preserve">     1) 'BIData':  This is the fully curated grid that is meant to be a clean, simple, synchronized match to what is seen on the BI dashboard. </t>
  </si>
  <si>
    <t xml:space="preserve">          The grid on the 'BIData' tab can be used as a reference table for use in your models and other downstream spreadsheets.</t>
  </si>
  <si>
    <t xml:space="preserve">     2) 'ReferenceData':  This is the tab where all the raw data is housed and data preparation is done.  There are typically 2 separate grids here:</t>
  </si>
  <si>
    <t xml:space="preserve">          a top curated grid that includes error handling, expressions, etc., and a bottom raw grid that includes any/all live API information for this export. </t>
  </si>
  <si>
    <t xml:space="preserve">          The bottom grid on the ReferenceData tab is where actual API (BDP/BDH) expressions are constructed, so refer to this section if you</t>
  </si>
  <si>
    <t xml:space="preserve">          are interested in seeing/using the underlying API details.</t>
  </si>
  <si>
    <t xml:space="preserve">          Note: In some cases the bottom grid will not exist (in the event that none of the data selected is coming from live API links).</t>
  </si>
  <si>
    <t xml:space="preserve">   --In any grid on either tab, there are common columns:</t>
  </si>
  <si>
    <t xml:space="preserve">     1) Description:  The row label that matches the row label you'd find on BI</t>
  </si>
  <si>
    <t xml:space="preserve">     2) Ticker:  The company/index ticker corresponding to that row (this is the ticker used in the </t>
  </si>
  <si>
    <t xml:space="preserve">          BDP/BDH formula for that row, if applicable)</t>
  </si>
  <si>
    <t xml:space="preserve">     3) Field ID:  The calcrout ID used to structure the BDP/BDH formula for that row (where applicable).</t>
  </si>
  <si>
    <t xml:space="preserve">     4) Field Mnemonic:  The calcrout mnemonic corresponding to the field ID used to structure the BDP/BDH formula for that row (where applicable).</t>
  </si>
  <si>
    <t xml:space="preserve">     5) Data State:  The state of the data within that particular row, including 'Dynamic', 'Static', 'Sum', 'Average', 'Median' or 'Heading'.  If 'Dynamic'</t>
  </si>
  <si>
    <t xml:space="preserve">          then new data will be expected to come to the sheet when it becomes available in the database with no need for another export.</t>
  </si>
  <si>
    <t xml:space="preserve">          If 'Static' then there are no live links in this row and new data will only be procured by running and exporting from BI again.</t>
  </si>
  <si>
    <t xml:space="preserve">          If it's 'Sum', 'Average', 'Median' or 'Expression', then new data may come to the sheet for some expression components, but</t>
  </si>
  <si>
    <t xml:space="preserve">          to ensure the latest data is present in the sheet, BI should be run and exported again.</t>
  </si>
  <si>
    <t>**HELP**</t>
  </si>
  <si>
    <t xml:space="preserve">     If you experience any issues with the BI Excel export process or results, run the BI&lt;GO&gt; function on your Bloomberg terminal, and then hit the &lt;HELP&gt; key twice.</t>
  </si>
  <si>
    <t>Description</t>
  </si>
  <si>
    <t>Ticker</t>
  </si>
  <si>
    <t>Field ID</t>
  </si>
  <si>
    <t>Field Mnemonic</t>
  </si>
  <si>
    <t>Data State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</si>
  <si>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</si>
  <si>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</si>
  <si>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</si>
  <si>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</si>
  <si>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</si>
  <si>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</si>
  <si>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</si>
  <si>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</si>
  <si>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</si>
  <si>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</si>
  <si>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</si>
  <si>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</si>
  <si>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Underlying Data:</t>
  </si>
  <si>
    <t/>
  </si>
  <si>
    <t>Heading</t>
  </si>
  <si>
    <t>Sales</t>
  </si>
  <si>
    <t>BRITBPOV Index</t>
  </si>
  <si>
    <t>Sum</t>
  </si>
  <si>
    <t xml:space="preserve">    Accenture PLC</t>
  </si>
  <si>
    <t>ACN US Equity</t>
  </si>
  <si>
    <t>IS010</t>
  </si>
  <si>
    <t>SALES_REV_TURN</t>
  </si>
  <si>
    <t>Dynamic</t>
  </si>
  <si>
    <t xml:space="preserve">    Amdocs Ltd</t>
  </si>
  <si>
    <t>DOX US Equity</t>
  </si>
  <si>
    <t xml:space="preserve">    Atos SE</t>
  </si>
  <si>
    <t>ATO FP Equity</t>
  </si>
  <si>
    <t xml:space="preserve">    Capgemini SE</t>
  </si>
  <si>
    <t>CAP FP Equity</t>
  </si>
  <si>
    <t xml:space="preserve">    CGI Inc</t>
  </si>
  <si>
    <t>GIB US Equity</t>
  </si>
  <si>
    <t xml:space="preserve">    Cognizant Technology Solutions Corp</t>
  </si>
  <si>
    <t>CTSH US Equity</t>
  </si>
  <si>
    <t xml:space="preserve">    Conduent Inc</t>
  </si>
  <si>
    <t>CNDT US Equity</t>
  </si>
  <si>
    <t xml:space="preserve">    DXC Technology Co</t>
  </si>
  <si>
    <t>DXC US Equity</t>
  </si>
  <si>
    <t xml:space="preserve">    EPAM Systems Inc</t>
  </si>
  <si>
    <t>EPAM US Equity</t>
  </si>
  <si>
    <t xml:space="preserve">    Genpact Ltd</t>
  </si>
  <si>
    <t>G US Equity</t>
  </si>
  <si>
    <t xml:space="preserve">    HCL Technologies Ltd</t>
  </si>
  <si>
    <t>HCLT IN Equity</t>
  </si>
  <si>
    <t xml:space="preserve">    Indra Sistemas SA</t>
  </si>
  <si>
    <t>IDR SM Equity</t>
  </si>
  <si>
    <t xml:space="preserve">    Infosys Ltd</t>
  </si>
  <si>
    <t>INFY US Equity</t>
  </si>
  <si>
    <t xml:space="preserve">    International Business Machines Corp</t>
  </si>
  <si>
    <t>IBM US Equity</t>
  </si>
  <si>
    <t xml:space="preserve">    Tata Consultancy Services Ltd</t>
  </si>
  <si>
    <t>TCS IN Equity</t>
  </si>
  <si>
    <t xml:space="preserve">    Tech Mahindra Ltd</t>
  </si>
  <si>
    <t>TECHM IN Equity</t>
  </si>
  <si>
    <t xml:space="preserve">    Wipro Ltd</t>
  </si>
  <si>
    <t>WIT US Equity</t>
  </si>
  <si>
    <t>RR861</t>
  </si>
  <si>
    <t>GROSS_PROFIT</t>
  </si>
  <si>
    <t>EBITDA</t>
  </si>
  <si>
    <t>RR009</t>
  </si>
  <si>
    <t>Operating Income</t>
  </si>
  <si>
    <t>IS033</t>
  </si>
  <si>
    <t>IS_OPER_INC</t>
  </si>
  <si>
    <t>EPS Before XO</t>
  </si>
  <si>
    <t>Average</t>
  </si>
  <si>
    <t>IS148</t>
  </si>
  <si>
    <t>IS_DIL_EPS_BEF_XO</t>
  </si>
  <si>
    <t>Source: Company Filings</t>
  </si>
  <si>
    <t>~~~~~~~~~~</t>
  </si>
  <si>
    <t>All rows below have been added for reference by formula rows above.</t>
  </si>
  <si>
    <t>Currency</t>
  </si>
  <si>
    <t>USD</t>
  </si>
  <si>
    <t>Periodicity</t>
  </si>
  <si>
    <t>CQ</t>
  </si>
  <si>
    <t>AQ</t>
  </si>
  <si>
    <t>Number of Periods</t>
  </si>
  <si>
    <t>Start Date</t>
  </si>
  <si>
    <t>-12CQ</t>
  </si>
  <si>
    <t>-12AQ</t>
  </si>
  <si>
    <t>End Date</t>
  </si>
  <si>
    <t>HeaderStatus</t>
  </si>
  <si>
    <t>~~~~~~~~~~~~~~~~~~~~~</t>
  </si>
  <si>
    <t>Rows below for column date calculation</t>
  </si>
  <si>
    <t>Downloaded at</t>
  </si>
  <si>
    <t>This is End Date</t>
  </si>
  <si>
    <t>Snapshot Date</t>
  </si>
  <si>
    <t>Snapshot header</t>
  </si>
  <si>
    <t>BDH snapshot header0</t>
  </si>
  <si>
    <t>#N/A Invalid Parameter: Invalid override field id specified</t>
  </si>
  <si>
    <t>BDH snapshot result0</t>
  </si>
  <si>
    <t>BDH snapshot header1</t>
  </si>
  <si>
    <t>BDH snapshot result1</t>
  </si>
  <si>
    <t>BDH snapshot header2</t>
  </si>
  <si>
    <t>BDH snapshot result2</t>
  </si>
  <si>
    <t>BDH snapshot</t>
  </si>
  <si>
    <t>BDH snapshot title</t>
  </si>
  <si>
    <t>BDH dynamic header0</t>
  </si>
  <si>
    <t>BDH dynamic result0</t>
  </si>
  <si>
    <t>BDH dynamic header1</t>
  </si>
  <si>
    <t>BDH dynamic result1</t>
  </si>
  <si>
    <t>BDH dynamic header2</t>
  </si>
  <si>
    <t>BDH dynamic result2</t>
  </si>
  <si>
    <t>BDH dynamic</t>
  </si>
  <si>
    <t>BDH dynamic title</t>
  </si>
  <si>
    <t>No error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</si>
</sst>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2">
    <xf numFmtId="0" fontId="0" fillId="0" borderId="0" xfId="0"/>
    <xf numFmtId="0" fontId="1" fillId="33" borderId="0" xfId="26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BDH|12573805479774963344</stp>
        <tr r="F191" s="3"/>
      </tp>
      <tp t="s">
        <v>#N/A N/A</v>
        <stp/>
        <stp>BDH|13111534262989398361</stp>
        <tr r="F177" s="3"/>
      </tp>
      <tp t="s">
        <v>#N/A N/A</v>
        <stp/>
        <stp>BDH|15352850548844127706</stp>
        <tr r="F119" s="3"/>
      </tp>
      <tp t="s">
        <v>#N/A N/A</v>
        <stp/>
        <stp>BDH|11913170797559860823</stp>
        <tr r="F125" s="3"/>
      </tp>
      <tp t="s">
        <v>#N/A N/A</v>
        <stp/>
        <stp>BDH|11984418663233856930</stp>
        <tr r="F194" s="3"/>
      </tp>
      <tp t="s">
        <v>#N/A N/A</v>
        <stp/>
        <stp>BDH|14042201590643534262</stp>
        <tr r="F163" s="3"/>
      </tp>
      <tp t="s">
        <v>#N/A N/A</v>
        <stp/>
        <stp>BDH|15177201684285194431</stp>
        <tr r="F157" s="3"/>
      </tp>
      <tp t="s">
        <v>#N/A N/A</v>
        <stp/>
        <stp>BDH|13480680452068367446</stp>
        <tr r="F126" s="3"/>
      </tp>
      <tp t="s">
        <v>#N/A N/A</v>
        <stp/>
        <stp>BDH|13905696767079416686</stp>
        <tr r="F165" s="3"/>
      </tp>
      <tp t="s">
        <v>#N/A N/A</v>
        <stp/>
        <stp>BDH|17064927150771655680</stp>
        <tr r="F133" s="3"/>
      </tp>
      <tp t="s">
        <v>#N/A N/A</v>
        <stp/>
        <stp>BDH|12218092330769551599</stp>
        <tr r="F158" s="3"/>
      </tp>
      <tp t="s">
        <v>#N/A N/A</v>
        <stp/>
        <stp>BDH|11356110346937745149</stp>
        <tr r="F178" s="3"/>
      </tp>
      <tp t="s">
        <v>#N/A N/A</v>
        <stp/>
        <stp>BDH|10517844382612242087</stp>
        <tr r="F153" s="3"/>
      </tp>
      <tp t="s">
        <v>#N/A N/A</v>
        <stp/>
        <stp>BDH|17481240614116780126</stp>
        <tr r="F150" s="3"/>
      </tp>
      <tp t="s">
        <v>#N/A N/A</v>
        <stp/>
        <stp>BDH|18114287128802151904</stp>
        <tr r="F145" s="3"/>
      </tp>
      <tp t="s">
        <v>#N/A N/A</v>
        <stp/>
        <stp>BDH|17028718235856505682</stp>
        <tr r="F152" s="3"/>
      </tp>
      <tp t="s">
        <v>#N/A N/A</v>
        <stp/>
        <stp>BDH|13834947313748238038</stp>
        <tr r="F143" s="3"/>
      </tp>
      <tp t="s">
        <v>#N/A N/A</v>
        <stp/>
        <stp>BDH|17246327943011133150</stp>
        <tr r="F130" s="3"/>
      </tp>
      <tp t="s">
        <v>#N/A N/A</v>
        <stp/>
        <stp>BDH|13970843074148468457</stp>
        <tr r="F176" s="3"/>
      </tp>
      <tp t="s">
        <v>#N/A N/A</v>
        <stp/>
        <stp>BDH|12354474874860323191</stp>
        <tr r="F151" s="3"/>
      </tp>
      <tp t="s">
        <v>#N/A N/A</v>
        <stp/>
        <stp>BDH|17363669459762349791</stp>
        <tr r="F195" s="3"/>
      </tp>
      <tp t="s">
        <v>#N/A N/A</v>
        <stp/>
        <stp>BDH|13884523601544299320</stp>
        <tr r="F128" s="3"/>
      </tp>
      <tp t="s">
        <v>#N/A N/A</v>
        <stp/>
        <stp>BDH|11603027152630520599</stp>
        <tr r="F186" s="3"/>
      </tp>
      <tp t="s">
        <v>#N/A N/A</v>
        <stp/>
        <stp>BDH|10015053918328517828</stp>
        <tr r="F174" s="3"/>
      </tp>
      <tp t="s">
        <v>#N/A N/A</v>
        <stp/>
        <stp>BDH|10111754473419895826</stp>
        <tr r="F127" s="3"/>
      </tp>
      <tp t="s">
        <v>#N/A N/A</v>
        <stp/>
        <stp>BDH|12939587010232199239</stp>
        <tr r="C217" s="3"/>
        <tr r="C209" s="3"/>
      </tp>
      <tp t="s">
        <v>#N/A N/A</v>
        <stp/>
        <stp>BDH|11021379523020729698</stp>
        <tr r="F124" s="3"/>
      </tp>
      <tp t="s">
        <v>#N/A N/A</v>
        <stp/>
        <stp>BDH|15993456525393008650</stp>
        <tr r="F137" s="3"/>
      </tp>
      <tp t="s">
        <v>#N/A N/A</v>
        <stp/>
        <stp>BDH|13146810658091492925</stp>
        <tr r="F167" s="3"/>
      </tp>
      <tp t="s">
        <v>#N/A N/A</v>
        <stp/>
        <stp>BDH|18050167595641484512</stp>
        <tr r="C219" s="3"/>
        <tr r="C211" s="3"/>
      </tp>
      <tp t="s">
        <v>#N/A N/A</v>
        <stp/>
        <stp>BDH|11800791515235776699</stp>
        <tr r="F168" s="3"/>
      </tp>
      <tp t="s">
        <v>#N/A N/A</v>
        <stp/>
        <stp>BDH|11384196941724390513</stp>
        <tr r="F117" s="3"/>
      </tp>
    </main>
    <main first="bloomberg.ccyreader">
      <tp>
        <v>0</v>
        <stp/>
        <stp>#track</stp>
        <stp>DBG</stp>
        <stp>BIHITX</stp>
        <stp>1.0</stp>
        <stp>RepeatHit</stp>
        <tr r="A104" s="3"/>
      </tp>
    </main>
    <main first="bofaddin.rtdserver">
      <tp t="s">
        <v>#N/A N/A</v>
        <stp/>
        <stp>BDH|4583606177029952013</stp>
        <tr r="F122" s="3"/>
      </tp>
      <tp t="s">
        <v>#N/A N/A</v>
        <stp/>
        <stp>BDH|2681507178994339860</stp>
        <tr r="F131" s="3"/>
      </tp>
      <tp t="s">
        <v>#N/A N/A</v>
        <stp/>
        <stp>BDH|6839068540797431945</stp>
        <tr r="F140" s="3"/>
      </tp>
      <tp t="s">
        <v>#N/A N/A</v>
        <stp/>
        <stp>BDH|2701939901494194335</stp>
        <tr r="F171" s="3"/>
      </tp>
      <tp t="s">
        <v>#N/A N/A</v>
        <stp/>
        <stp>BDH|1869809717673640659</stp>
        <tr r="F139" s="3"/>
      </tp>
      <tp t="s">
        <v>#N/A N/A</v>
        <stp/>
        <stp>BDH|5580359398274050513</stp>
        <tr r="F193" s="3"/>
      </tp>
      <tp t="s">
        <v>#N/A N/A</v>
        <stp/>
        <stp>BDH|2182061081373622736</stp>
        <tr r="F132" s="3"/>
      </tp>
      <tp t="s">
        <v>#N/A N/A</v>
        <stp/>
        <stp>BDH|9788588923125243581</stp>
        <tr r="F180" s="3"/>
      </tp>
      <tp t="s">
        <v>#N/A N/A</v>
        <stp/>
        <stp>BDH|5157837068474401046</stp>
        <tr r="C221" s="3"/>
        <tr r="C213" s="3"/>
      </tp>
      <tp t="s">
        <v>#N/A N/A</v>
        <stp/>
        <stp>BDH|6523025133802556896</stp>
        <tr r="F154" s="3"/>
      </tp>
      <tp t="s">
        <v>#N/A N/A</v>
        <stp/>
        <stp>BDH|6090140222658674224</stp>
        <tr r="F162" s="3"/>
      </tp>
      <tp t="s">
        <v>#N/A N/A</v>
        <stp/>
        <stp>BDH|1328545814178694266</stp>
        <tr r="F173" s="3"/>
      </tp>
      <tp t="s">
        <v>#N/A N/A</v>
        <stp/>
        <stp>BDH|7850098292310387162</stp>
        <tr r="F164" s="3"/>
      </tp>
      <tp t="s">
        <v>#N/A N/A</v>
        <stp/>
        <stp>BDH|3327921435030551188</stp>
        <tr r="F159" s="3"/>
      </tp>
      <tp t="s">
        <v>#N/A N/A</v>
        <stp/>
        <stp>BDH|2758078474925866812</stp>
        <tr r="F190" s="3"/>
      </tp>
      <tp t="s">
        <v>#N/A N/A</v>
        <stp/>
        <stp>BDH|8770795938660980503</stp>
        <tr r="F182" s="3"/>
      </tp>
      <tp t="s">
        <v>#N/A N/A</v>
        <stp/>
        <stp>BDH|3084027586291750322</stp>
        <tr r="F189" s="3"/>
      </tp>
      <tp t="s">
        <v>#N/A N/A</v>
        <stp/>
        <stp>BDH|1877353626938910151</stp>
        <tr r="F134" s="3"/>
      </tp>
      <tp t="s">
        <v>#N/A N/A</v>
        <stp/>
        <stp>BDH|6678510785451613306</stp>
        <tr r="F170" s="3"/>
      </tp>
      <tp t="s">
        <v>#N/A N/A</v>
        <stp/>
        <stp>BDH|6784216377158823179</stp>
        <tr r="F114" s="3"/>
      </tp>
      <tp t="s">
        <v>#N/A N/A</v>
        <stp/>
        <stp>BDH|2330655610699656644</stp>
        <tr r="F135" s="3"/>
      </tp>
      <tp t="s">
        <v>#N/A N/A</v>
        <stp/>
        <stp>BDH|6934962588758483561</stp>
        <tr r="F175" s="3"/>
      </tp>
      <tp t="s">
        <v>#N/A N/A</v>
        <stp/>
        <stp>BDH|8433594996959233648</stp>
        <tr r="F123" s="3"/>
      </tp>
      <tp t="s">
        <v>#N/A N/A</v>
        <stp/>
        <stp>BDH|2194714857962547937</stp>
        <tr r="F129" s="3"/>
      </tp>
      <tp t="s">
        <v>#N/A N/A</v>
        <stp/>
        <stp>BDH|6619830849529244715</stp>
        <tr r="F160" s="3"/>
      </tp>
      <tp t="s">
        <v>#N/A N/A</v>
        <stp/>
        <stp>BDH|9319873552355152555</stp>
        <tr r="F141" s="3"/>
      </tp>
      <tp t="s">
        <v>#N/A N/A</v>
        <stp/>
        <stp>BDH|2143691332905992644</stp>
        <tr r="F112" s="3"/>
      </tp>
      <tp t="s">
        <v>#N/A N/A</v>
        <stp/>
        <stp>BDH|2345036007245451370</stp>
        <tr r="F115" s="3"/>
      </tp>
      <tp t="s">
        <v>#N/A N/A</v>
        <stp/>
        <stp>BDH|4333053968617070087</stp>
        <tr r="F142" s="3"/>
      </tp>
      <tp t="s">
        <v>#N/A N/A</v>
        <stp/>
        <stp>BDH|7472059127590926090</stp>
        <tr r="F120" s="3"/>
      </tp>
      <tp t="s">
        <v>#N/A N/A</v>
        <stp/>
        <stp>BDH|7345838179205577899</stp>
        <tr r="F169" s="3"/>
      </tp>
      <tp t="s">
        <v>#N/A N/A</v>
        <stp/>
        <stp>BDH|3355923180661796503</stp>
        <tr r="F146" s="3"/>
      </tp>
      <tp t="s">
        <v>#N/A N/A</v>
        <stp/>
        <stp>BDH|1831290887179847549</stp>
        <tr r="F149" s="3"/>
      </tp>
      <tp t="s">
        <v>#N/A N/A</v>
        <stp/>
        <stp>BDH|6133790931942896789</stp>
        <tr r="F187" s="3"/>
      </tp>
      <tp t="s">
        <v>#N/A N/A</v>
        <stp/>
        <stp>BDH|7392169172026398099</stp>
        <tr r="F147" s="3"/>
      </tp>
      <tp t="s">
        <v>#N/A N/A</v>
        <stp/>
        <stp>BDH|6074405594068964408</stp>
        <tr r="F181" s="3"/>
      </tp>
      <tp t="s">
        <v>#N/A N/A</v>
        <stp/>
        <stp>BDH|9064292114059718489</stp>
        <tr r="F116" s="3"/>
      </tp>
      <tp t="s">
        <v>#N/A N/A</v>
        <stp/>
        <stp>BDH|8916972773564931550</stp>
        <tr r="F148" s="3"/>
      </tp>
      <tp t="s">
        <v>#N/A N/A</v>
        <stp/>
        <stp>BDH|4803702474732317199</stp>
        <tr r="F196" s="3"/>
      </tp>
      <tp t="s">
        <v>#N/A N/A</v>
        <stp/>
        <stp>BDH|5498135021708042930</stp>
        <tr r="F183" s="3"/>
      </tp>
      <tp t="s">
        <v>#N/A N/A</v>
        <stp/>
        <stp>BDH|2138589584106103901</stp>
        <tr r="F185" s="3"/>
      </tp>
      <tp t="s">
        <v>#N/A N/A</v>
        <stp/>
        <stp>BDH|4499732602944187774</stp>
        <tr r="F113" s="3"/>
      </tp>
      <tp t="s">
        <v>#N/A N/A</v>
        <stp/>
        <stp>BDH|1675602976279396891</stp>
        <tr r="F188" s="3"/>
      </tp>
      <tp t="s">
        <v>#N/A N/A</v>
        <stp/>
        <stp>BDH|9831785900767739891</stp>
        <tr r="F156" s="3"/>
      </tp>
      <tp t="s">
        <v>#N/A N/A</v>
        <stp/>
        <stp>BDH|4595526131732508294</stp>
        <tr r="F138" s="3"/>
      </tp>
      <tp t="s">
        <v>#N/A N/A</v>
        <stp/>
        <stp>BDH|1219654696868976519</stp>
        <tr r="F179" s="3"/>
      </tp>
      <tp t="s">
        <v>#N/A N/A</v>
        <stp/>
        <stp>BDH|5709291947350661023</stp>
        <tr r="F136" s="3"/>
      </tp>
      <tp t="s">
        <v>#N/A N/A</v>
        <stp/>
        <stp>BDH|1842687767377387591</stp>
        <tr r="F184" s="3"/>
      </tp>
      <tp t="s">
        <v>#N/A N/A</v>
        <stp/>
        <stp>BDH|2925656985586012948</stp>
        <tr r="F161" s="3"/>
      </tp>
      <tp t="s">
        <v>#N/A N/A</v>
        <stp/>
        <stp>BDH|9119749390317339309</stp>
        <tr r="F144" s="3"/>
      </tp>
      <tp t="s">
        <v>#N/A N/A</v>
        <stp/>
        <stp>BDH|629427211792253283</stp>
        <tr r="F172" s="3"/>
      </tp>
      <tp t="s">
        <v>#N/A N/A</v>
        <stp/>
        <stp>BDH|344480489301664843</stp>
        <tr r="F155" s="3"/>
      </tp>
      <tp t="s">
        <v>#N/A N/A</v>
        <stp/>
        <stp>BDH|294696622345163134</stp>
        <tr r="F166" s="3"/>
      </tp>
      <tp t="s">
        <v>#N/A N/A</v>
        <stp/>
        <stp>BDH|403607105415933176</stp>
        <tr r="F118" s="3"/>
      </tp>
      <tp t="s">
        <v>#N/A N/A</v>
        <stp/>
        <stp>BDH|342159502740308335</stp>
        <tr r="F192" s="3"/>
      </tp>
      <tp t="s">
        <v>#N/A N/A</v>
        <stp/>
        <stp>BDH|997113683147360690</stp>
        <tr r="F121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4"/>
  <sheetViews>
    <sheetView workbookViewId="0">
      <selection sqref="A1:XFD1048576"/>
    </sheetView>
  </sheetViews>
  <sheetFormatPr defaultRowHeight="15" x14ac:dyDescent="0.25"/>
  <cols>
    <col min="1" max="1" width="56.28515625" customWidth="1"/>
    <col min="2" max="2" width="15.85546875" customWidth="1"/>
    <col min="3" max="17" width="9.140625" bestFit="1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t="str">
        <f>IFERROR(IF(0=LEN(ReferenceData!$A$2),"",ReferenceData!$A$2),"")</f>
        <v>Description</v>
      </c>
      <c r="B2" t="str">
        <f>IFERROR(IF(0=LEN(ReferenceData!$B$2),"",ReferenceData!$B$2),"")</f>
        <v>Ticker</v>
      </c>
      <c r="C2" t="str">
        <f>IFERROR(IF(0=LEN(ReferenceData!$C$2),"",ReferenceData!$C$2),"")</f>
        <v>Field ID</v>
      </c>
      <c r="D2" t="str">
        <f>IFERROR(IF(0=LEN(ReferenceData!$D$2),"",ReferenceData!$D$2),"")</f>
        <v>Field Mnemonic</v>
      </c>
      <c r="E2" t="str">
        <f>IFERROR(IF(0=LEN(ReferenceData!$E$2),"",ReferenceData!$E$2),"")</f>
        <v>Data State</v>
      </c>
      <c r="F2" t="str">
        <f>IFERROR(IF(0=LEN(ReferenceData!$Q$2),"",ReferenceData!$Q$2),"")</f>
        <v>2017 Q2</v>
      </c>
      <c r="G2" t="str">
        <f>IFERROR(IF(0=LEN(ReferenceData!$P$2),"",ReferenceData!$P$2),"")</f>
        <v>2017 Q3</v>
      </c>
      <c r="H2" t="str">
        <f>IFERROR(IF(0=LEN(ReferenceData!$O$2),"",ReferenceData!$O$2),"")</f>
        <v>2017 Q4</v>
      </c>
      <c r="I2" t="str">
        <f>IFERROR(IF(0=LEN(ReferenceData!$N$2),"",ReferenceData!$N$2),"")</f>
        <v>2018 Q1</v>
      </c>
      <c r="J2" t="str">
        <f>IFERROR(IF(0=LEN(ReferenceData!$M$2),"",ReferenceData!$M$2),"")</f>
        <v>2018 Q2</v>
      </c>
      <c r="K2" t="str">
        <f>IFERROR(IF(0=LEN(ReferenceData!$L$2),"",ReferenceData!$L$2),"")</f>
        <v>2018 Q3</v>
      </c>
      <c r="L2" t="str">
        <f>IFERROR(IF(0=LEN(ReferenceData!$K$2),"",ReferenceData!$K$2),"")</f>
        <v>2018 Q4</v>
      </c>
      <c r="M2" t="str">
        <f>IFERROR(IF(0=LEN(ReferenceData!$J$2),"",ReferenceData!$J$2),"")</f>
        <v>2019 Q1</v>
      </c>
      <c r="N2" t="str">
        <f>IFERROR(IF(0=LEN(ReferenceData!$I$2),"",ReferenceData!$I$2),"")</f>
        <v>2019 Q2</v>
      </c>
      <c r="O2" t="str">
        <f>IFERROR(IF(0=LEN(ReferenceData!$H$2),"",ReferenceData!$H$2),"")</f>
        <v>2019 Q3</v>
      </c>
      <c r="P2" t="str">
        <f>IFERROR(IF(0=LEN(ReferenceData!$G$2),"",ReferenceData!$G$2),"")</f>
        <v>2019 Q4</v>
      </c>
      <c r="Q2" t="str">
        <f>IFERROR(IF(0=LEN(ReferenceData!$F$2),"",ReferenceData!$F$2),"")</f>
        <v>2020 Q1</v>
      </c>
    </row>
    <row r="3" spans="1:17" x14ac:dyDescent="0.25">
      <c r="A3" t="str">
        <f>IFERROR(IF(0=LEN(ReferenceData!$A$3),"",ReferenceData!$A$3),"")</f>
        <v>Underlying Data:</v>
      </c>
      <c r="B3" t="str">
        <f>IFERROR(IF(0=LEN(ReferenceData!$B$3),"",ReferenceData!$B$3),"")</f>
        <v/>
      </c>
      <c r="C3" t="str">
        <f>IFERROR(IF(0=LEN(ReferenceData!$C$3),"",ReferenceData!$C$3),"")</f>
        <v/>
      </c>
      <c r="D3" t="str">
        <f>IFERROR(IF(0=LEN(ReferenceData!$D$3),"",ReferenceData!$D$3),"")</f>
        <v/>
      </c>
      <c r="E3" t="str">
        <f>IFERROR(IF(0=LEN(ReferenceData!$E$3),"",ReferenceData!$E$3),"")</f>
        <v>Heading</v>
      </c>
      <c r="F3" t="str">
        <f>IFERROR(IF(0=LEN(ReferenceData!$Q$3),"",ReferenceData!$Q$3),"")</f>
        <v/>
      </c>
      <c r="G3" t="str">
        <f>IFERROR(IF(0=LEN(ReferenceData!$P$3),"",ReferenceData!$P$3),"")</f>
        <v/>
      </c>
      <c r="H3" t="str">
        <f>IFERROR(IF(0=LEN(ReferenceData!$O$3),"",ReferenceData!$O$3),"")</f>
        <v/>
      </c>
      <c r="I3" t="str">
        <f>IFERROR(IF(0=LEN(ReferenceData!$N$3),"",ReferenceData!$N$3),"")</f>
        <v/>
      </c>
      <c r="J3" t="str">
        <f>IFERROR(IF(0=LEN(ReferenceData!$M$3),"",ReferenceData!$M$3),"")</f>
        <v/>
      </c>
      <c r="K3" t="str">
        <f>IFERROR(IF(0=LEN(ReferenceData!$L$3),"",ReferenceData!$L$3),"")</f>
        <v/>
      </c>
      <c r="L3" t="str">
        <f>IFERROR(IF(0=LEN(ReferenceData!$K$3),"",ReferenceData!$K$3),"")</f>
        <v/>
      </c>
      <c r="M3" t="str">
        <f>IFERROR(IF(0=LEN(ReferenceData!$J$3),"",ReferenceData!$J$3),"")</f>
        <v/>
      </c>
      <c r="N3" t="str">
        <f>IFERROR(IF(0=LEN(ReferenceData!$I$3),"",ReferenceData!$I$3),"")</f>
        <v/>
      </c>
      <c r="O3" t="str">
        <f>IFERROR(IF(0=LEN(ReferenceData!$H$3),"",ReferenceData!$H$3),"")</f>
        <v/>
      </c>
      <c r="P3" t="str">
        <f>IFERROR(IF(0=LEN(ReferenceData!$G$3),"",ReferenceData!$G$3),"")</f>
        <v/>
      </c>
      <c r="Q3" t="str">
        <f>IFERROR(IF(0=LEN(ReferenceData!$F$3),"",ReferenceData!$F$3),"")</f>
        <v/>
      </c>
    </row>
    <row r="4" spans="1:17" x14ac:dyDescent="0.25">
      <c r="A4" t="str">
        <f>IFERROR(IF(0=LEN(ReferenceData!$A$4),"",ReferenceData!$A$4),"")</f>
        <v>Sales</v>
      </c>
      <c r="B4" t="str">
        <f>IFERROR(IF(0=LEN(ReferenceData!$B$4),"",ReferenceData!$B$4),"")</f>
        <v>BRITBPOV Index</v>
      </c>
      <c r="C4" t="str">
        <f>IFERROR(IF(0=LEN(ReferenceData!$C$4),"",ReferenceData!$C$4),"")</f>
        <v/>
      </c>
      <c r="D4" t="str">
        <f>IFERROR(IF(0=LEN(ReferenceData!$D$4),"",ReferenceData!$D$4),"")</f>
        <v/>
      </c>
      <c r="E4" t="str">
        <f>IFERROR(IF(0=LEN(ReferenceData!$E$4),"",ReferenceData!$E$4),"")</f>
        <v>Sum</v>
      </c>
      <c r="F4">
        <f ca="1">IFERROR(IF(0=LEN(ReferenceData!$Q$4),"",ReferenceData!$Q$4),"")</f>
        <v>63086.614398199999</v>
      </c>
      <c r="G4">
        <f ca="1">IFERROR(IF(0=LEN(ReferenceData!$P$4),"",ReferenceData!$P$4),"")</f>
        <v>64152.679203200001</v>
      </c>
      <c r="H4">
        <f ca="1">IFERROR(IF(0=LEN(ReferenceData!$O$4),"",ReferenceData!$O$4),"")</f>
        <v>69218.333553999997</v>
      </c>
      <c r="I4">
        <f ca="1">IFERROR(IF(0=LEN(ReferenceData!$N$4),"",ReferenceData!$N$4),"")</f>
        <v>65935.777257399997</v>
      </c>
      <c r="J4">
        <f ca="1">IFERROR(IF(0=LEN(ReferenceData!$M$4),"",ReferenceData!$M$4),"")</f>
        <v>66745.474788100008</v>
      </c>
      <c r="K4">
        <f ca="1">IFERROR(IF(0=LEN(ReferenceData!$L$4),"",ReferenceData!$L$4),"")</f>
        <v>65556.1584783</v>
      </c>
      <c r="L4">
        <f ca="1">IFERROR(IF(0=LEN(ReferenceData!$K$4),"",ReferenceData!$K$4),"")</f>
        <v>70135.590173999997</v>
      </c>
      <c r="M4">
        <f ca="1">IFERROR(IF(0=LEN(ReferenceData!$J$4),"",ReferenceData!$J$4),"")</f>
        <v>65907.573663499992</v>
      </c>
      <c r="N4">
        <f ca="1">IFERROR(IF(0=LEN(ReferenceData!$I$4),"",ReferenceData!$I$4),"")</f>
        <v>67747.602970399996</v>
      </c>
      <c r="O4">
        <f ca="1">IFERROR(IF(0=LEN(ReferenceData!$H$4),"",ReferenceData!$H$4),"")</f>
        <v>66469.051619799997</v>
      </c>
      <c r="P4">
        <f ca="1">IFERROR(IF(0=LEN(ReferenceData!$G$4),"",ReferenceData!$G$4),"")</f>
        <v>71839.888519000015</v>
      </c>
      <c r="Q4">
        <f ca="1">IFERROR(IF(0=LEN(ReferenceData!$F$4),"",ReferenceData!$F$4),"")</f>
        <v>66352.303479299997</v>
      </c>
    </row>
    <row r="5" spans="1:17" x14ac:dyDescent="0.25">
      <c r="A5" t="str">
        <f>IFERROR(IF(0=LEN(ReferenceData!$A$5),"",ReferenceData!$A$5),"")</f>
        <v xml:space="preserve">    Accenture PLC</v>
      </c>
      <c r="B5" t="str">
        <f>IFERROR(IF(0=LEN(ReferenceData!$B$5),"",ReferenceData!$B$5),"")</f>
        <v>ACN US Equity</v>
      </c>
      <c r="C5" t="str">
        <f>IFERROR(IF(0=LEN(ReferenceData!$C$5),"",ReferenceData!$C$5),"")</f>
        <v>IS010</v>
      </c>
      <c r="D5" t="str">
        <f>IFERROR(IF(0=LEN(ReferenceData!$D$5),"",ReferenceData!$D$5),"")</f>
        <v>SALES_REV_TURN</v>
      </c>
      <c r="E5" t="str">
        <f>IFERROR(IF(0=LEN(ReferenceData!$E$5),"",ReferenceData!$E$5),"")</f>
        <v>Dynamic</v>
      </c>
      <c r="F5">
        <f ca="1">IFERROR(IF(0=LEN(ReferenceData!$Q$5),"",ReferenceData!$Q$5),"")</f>
        <v>9356.7870000000003</v>
      </c>
      <c r="G5">
        <f ca="1">IFERROR(IF(0=LEN(ReferenceData!$P$5),"",ReferenceData!$P$5),"")</f>
        <v>9640.9060000000009</v>
      </c>
      <c r="H5">
        <f ca="1">IFERROR(IF(0=LEN(ReferenceData!$O$5),"",ReferenceData!$O$5),"")</f>
        <v>9884.3130000000001</v>
      </c>
      <c r="I5">
        <f ca="1">IFERROR(IF(0=LEN(ReferenceData!$N$5),"",ReferenceData!$N$5),"")</f>
        <v>9909.2379999999994</v>
      </c>
      <c r="J5">
        <f ca="1">IFERROR(IF(0=LEN(ReferenceData!$M$5),"",ReferenceData!$M$5),"")</f>
        <v>10694.995999999999</v>
      </c>
      <c r="K5">
        <f ca="1">IFERROR(IF(0=LEN(ReferenceData!$L$5),"",ReferenceData!$L$5),"")</f>
        <v>10503.986999999999</v>
      </c>
      <c r="L5">
        <f ca="1">IFERROR(IF(0=LEN(ReferenceData!$K$5),"",ReferenceData!$K$5),"")</f>
        <v>10605.546</v>
      </c>
      <c r="M5">
        <f ca="1">IFERROR(IF(0=LEN(ReferenceData!$J$5),"",ReferenceData!$J$5),"")</f>
        <v>10454.129000000001</v>
      </c>
      <c r="N5">
        <f ca="1">IFERROR(IF(0=LEN(ReferenceData!$I$5),"",ReferenceData!$I$5),"")</f>
        <v>11099.688</v>
      </c>
      <c r="O5">
        <f ca="1">IFERROR(IF(0=LEN(ReferenceData!$H$5),"",ReferenceData!$H$5),"")</f>
        <v>11055.65</v>
      </c>
      <c r="P5">
        <f ca="1">IFERROR(IF(0=LEN(ReferenceData!$G$5),"",ReferenceData!$G$5),"")</f>
        <v>11358.958000000001</v>
      </c>
      <c r="Q5">
        <f ca="1">IFERROR(IF(0=LEN(ReferenceData!$F$5),"",ReferenceData!$F$5),"")</f>
        <v>11141.504999999999</v>
      </c>
    </row>
    <row r="6" spans="1:17" x14ac:dyDescent="0.25">
      <c r="A6" t="str">
        <f>IFERROR(IF(0=LEN(ReferenceData!$A$6),"",ReferenceData!$A$6),"")</f>
        <v xml:space="preserve">    Amdocs Ltd</v>
      </c>
      <c r="B6" t="str">
        <f>IFERROR(IF(0=LEN(ReferenceData!$B$6),"",ReferenceData!$B$6),"")</f>
        <v>DOX US Equity</v>
      </c>
      <c r="C6" t="str">
        <f>IFERROR(IF(0=LEN(ReferenceData!$C$6),"",ReferenceData!$C$6),"")</f>
        <v>IS010</v>
      </c>
      <c r="D6" t="str">
        <f>IFERROR(IF(0=LEN(ReferenceData!$D$6),"",ReferenceData!$D$6),"")</f>
        <v>SALES_REV_TURN</v>
      </c>
      <c r="E6" t="str">
        <f>IFERROR(IF(0=LEN(ReferenceData!$E$6),"",ReferenceData!$E$6),"")</f>
        <v>Dynamic</v>
      </c>
      <c r="F6">
        <f ca="1">IFERROR(IF(0=LEN(ReferenceData!$Q$6),"",ReferenceData!$Q$6),"")</f>
        <v>966.69500000000005</v>
      </c>
      <c r="G6">
        <f ca="1">IFERROR(IF(0=LEN(ReferenceData!$P$6),"",ReferenceData!$P$6),"")</f>
        <v>979.72400000000005</v>
      </c>
      <c r="H6">
        <f ca="1">IFERROR(IF(0=LEN(ReferenceData!$O$6),"",ReferenceData!$O$6),"")</f>
        <v>977.71100000000001</v>
      </c>
      <c r="I6">
        <f ca="1">IFERROR(IF(0=LEN(ReferenceData!$N$6),"",ReferenceData!$N$6),"")</f>
        <v>992.34</v>
      </c>
      <c r="J6">
        <f ca="1">IFERROR(IF(0=LEN(ReferenceData!$M$6),"",ReferenceData!$M$6),"")</f>
        <v>1002.198</v>
      </c>
      <c r="K6">
        <f ca="1">IFERROR(IF(0=LEN(ReferenceData!$L$6),"",ReferenceData!$L$6),"")</f>
        <v>1002.588</v>
      </c>
      <c r="L6">
        <f ca="1">IFERROR(IF(0=LEN(ReferenceData!$K$6),"",ReferenceData!$K$6),"")</f>
        <v>1012.0549999999999</v>
      </c>
      <c r="M6">
        <f ca="1">IFERROR(IF(0=LEN(ReferenceData!$J$6),"",ReferenceData!$J$6),"")</f>
        <v>1019.657</v>
      </c>
      <c r="N6">
        <f ca="1">IFERROR(IF(0=LEN(ReferenceData!$I$6),"",ReferenceData!$I$6),"")</f>
        <v>1024.704</v>
      </c>
      <c r="O6">
        <f ca="1">IFERROR(IF(0=LEN(ReferenceData!$H$6),"",ReferenceData!$H$6),"")</f>
        <v>1030.2529999999999</v>
      </c>
      <c r="P6">
        <f ca="1">IFERROR(IF(0=LEN(ReferenceData!$G$6),"",ReferenceData!$G$6),"")</f>
        <v>1041.9570000000001</v>
      </c>
      <c r="Q6">
        <f ca="1">IFERROR(IF(0=LEN(ReferenceData!$F$6),"",ReferenceData!$F$6),"")</f>
        <v>1047.933</v>
      </c>
    </row>
    <row r="7" spans="1:17" x14ac:dyDescent="0.25">
      <c r="A7" t="str">
        <f>IFERROR(IF(0=LEN(ReferenceData!$A$7),"",ReferenceData!$A$7),"")</f>
        <v xml:space="preserve">    Atos SE</v>
      </c>
      <c r="B7" t="str">
        <f>IFERROR(IF(0=LEN(ReferenceData!$B$7),"",ReferenceData!$B$7),"")</f>
        <v>ATO FP Equity</v>
      </c>
      <c r="C7" t="str">
        <f>IFERROR(IF(0=LEN(ReferenceData!$C$7),"",ReferenceData!$C$7),"")</f>
        <v>IS010</v>
      </c>
      <c r="D7" t="str">
        <f>IFERROR(IF(0=LEN(ReferenceData!$D$7),"",ReferenceData!$D$7),"")</f>
        <v>SALES_REV_TURN</v>
      </c>
      <c r="E7" t="str">
        <f>IFERROR(IF(0=LEN(ReferenceData!$E$7),"",ReferenceData!$E$7),"")</f>
        <v>Dynamic</v>
      </c>
      <c r="F7">
        <f ca="1">IFERROR(IF(0=LEN(ReferenceData!$Q$7),"",ReferenceData!$Q$7),"")</f>
        <v>3188.6062710000001</v>
      </c>
      <c r="G7">
        <f ca="1">IFERROR(IF(0=LEN(ReferenceData!$P$7),"",ReferenceData!$P$7),"")</f>
        <v>3384.958482</v>
      </c>
      <c r="H7">
        <f ca="1">IFERROR(IF(0=LEN(ReferenceData!$O$7),"",ReferenceData!$O$7),"")</f>
        <v>3978.3979250000002</v>
      </c>
      <c r="I7">
        <f ca="1">IFERROR(IF(0=LEN(ReferenceData!$N$7),"",ReferenceData!$N$7),"")</f>
        <v>3619.3021520000002</v>
      </c>
      <c r="J7">
        <f ca="1">IFERROR(IF(0=LEN(ReferenceData!$M$7),"",ReferenceData!$M$7),"")</f>
        <v>2737.2684170000002</v>
      </c>
      <c r="K7">
        <f ca="1">IFERROR(IF(0=LEN(ReferenceData!$L$7),"",ReferenceData!$L$7),"")</f>
        <v>3353.7181890000002</v>
      </c>
      <c r="L7">
        <f ca="1">IFERROR(IF(0=LEN(ReferenceData!$K$7),"",ReferenceData!$K$7),"")</f>
        <v>3843.1831080000002</v>
      </c>
      <c r="M7">
        <f ca="1">IFERROR(IF(0=LEN(ReferenceData!$J$7),"",ReferenceData!$J$7),"")</f>
        <v>3200.30375</v>
      </c>
      <c r="N7">
        <f ca="1">IFERROR(IF(0=LEN(ReferenceData!$I$7),"",ReferenceData!$I$7),"")</f>
        <v>3287.5849520000002</v>
      </c>
      <c r="O7">
        <f ca="1">IFERROR(IF(0=LEN(ReferenceData!$H$7),"",ReferenceData!$H$7),"")</f>
        <v>3080.310215</v>
      </c>
      <c r="P7">
        <f ca="1">IFERROR(IF(0=LEN(ReferenceData!$G$7),"",ReferenceData!$G$7),"")</f>
        <v>3403.6452800000002</v>
      </c>
      <c r="Q7">
        <f ca="1">IFERROR(IF(0=LEN(ReferenceData!$F$7),"",ReferenceData!$F$7),"")</f>
        <v>3124.4922379999998</v>
      </c>
    </row>
    <row r="8" spans="1:17" x14ac:dyDescent="0.25">
      <c r="A8" t="str">
        <f>IFERROR(IF(0=LEN(ReferenceData!$A$8),"",ReferenceData!$A$8),"")</f>
        <v xml:space="preserve">    Capgemini SE</v>
      </c>
      <c r="B8" t="str">
        <f>IFERROR(IF(0=LEN(ReferenceData!$B$8),"",ReferenceData!$B$8),"")</f>
        <v>CAP FP Equity</v>
      </c>
      <c r="C8" t="str">
        <f>IFERROR(IF(0=LEN(ReferenceData!$C$8),"",ReferenceData!$C$8),"")</f>
        <v>IS010</v>
      </c>
      <c r="D8" t="str">
        <f>IFERROR(IF(0=LEN(ReferenceData!$D$8),"",ReferenceData!$D$8),"")</f>
        <v>SALES_REV_TURN</v>
      </c>
      <c r="E8" t="str">
        <f>IFERROR(IF(0=LEN(ReferenceData!$E$8),"",ReferenceData!$E$8),"")</f>
        <v>Dynamic</v>
      </c>
      <c r="F8">
        <f ca="1">IFERROR(IF(0=LEN(ReferenceData!$Q$8),"",ReferenceData!$Q$8),"")</f>
        <v>3568.4644069999999</v>
      </c>
      <c r="G8">
        <f ca="1">IFERROR(IF(0=LEN(ReferenceData!$P$8),"",ReferenceData!$P$8),"")</f>
        <v>3578.821081</v>
      </c>
      <c r="H8">
        <f ca="1">IFERROR(IF(0=LEN(ReferenceData!$O$8),"",ReferenceData!$O$8),"")</f>
        <v>3826.4697620000002</v>
      </c>
      <c r="I8">
        <f ca="1">IFERROR(IF(0=LEN(ReferenceData!$N$8),"",ReferenceData!$N$8),"")</f>
        <v>3874.926888</v>
      </c>
      <c r="J8">
        <f ca="1">IFERROR(IF(0=LEN(ReferenceData!$M$8),"",ReferenceData!$M$8),"")</f>
        <v>3950.917915</v>
      </c>
      <c r="K8">
        <f ca="1">IFERROR(IF(0=LEN(ReferenceData!$L$8),"",ReferenceData!$L$8),"")</f>
        <v>3753.745602</v>
      </c>
      <c r="L8">
        <f ca="1">IFERROR(IF(0=LEN(ReferenceData!$K$8),"",ReferenceData!$K$8),"")</f>
        <v>3996.0888490000002</v>
      </c>
      <c r="M8">
        <f ca="1">IFERROR(IF(0=LEN(ReferenceData!$J$8),"",ReferenceData!$J$8),"")</f>
        <v>3907.8229959999999</v>
      </c>
      <c r="N8">
        <f ca="1">IFERROR(IF(0=LEN(ReferenceData!$I$8),"",ReferenceData!$I$8),"")</f>
        <v>4006.6739360000001</v>
      </c>
      <c r="O8">
        <f ca="1">IFERROR(IF(0=LEN(ReferenceData!$H$8),"",ReferenceData!$H$8),"")</f>
        <v>3856.503909</v>
      </c>
      <c r="P8">
        <f ca="1">IFERROR(IF(0=LEN(ReferenceData!$G$8),"",ReferenceData!$G$8),"")</f>
        <v>4041.4135569999999</v>
      </c>
      <c r="Q8">
        <f ca="1">IFERROR(IF(0=LEN(ReferenceData!$F$8),"",ReferenceData!$F$8),"")</f>
        <v>3910.5765580000002</v>
      </c>
    </row>
    <row r="9" spans="1:17" x14ac:dyDescent="0.25">
      <c r="A9" t="str">
        <f>IFERROR(IF(0=LEN(ReferenceData!$A$9),"",ReferenceData!$A$9),"")</f>
        <v xml:space="preserve">    CGI Inc</v>
      </c>
      <c r="B9" t="str">
        <f>IFERROR(IF(0=LEN(ReferenceData!$B$9),"",ReferenceData!$B$9),"")</f>
        <v>GIB US Equity</v>
      </c>
      <c r="C9" t="str">
        <f>IFERROR(IF(0=LEN(ReferenceData!$C$9),"",ReferenceData!$C$9),"")</f>
        <v>IS010</v>
      </c>
      <c r="D9" t="str">
        <f>IFERROR(IF(0=LEN(ReferenceData!$D$9),"",ReferenceData!$D$9),"")</f>
        <v>SALES_REV_TURN</v>
      </c>
      <c r="E9" t="str">
        <f>IFERROR(IF(0=LEN(ReferenceData!$E$9),"",ReferenceData!$E$9),"")</f>
        <v>Dynamic</v>
      </c>
      <c r="F9">
        <f ca="1">IFERROR(IF(0=LEN(ReferenceData!$Q$9),"",ReferenceData!$Q$9),"")</f>
        <v>2109.3630290000001</v>
      </c>
      <c r="G9">
        <f ca="1">IFERROR(IF(0=LEN(ReferenceData!$P$9),"",ReferenceData!$P$9),"")</f>
        <v>2081.1847899999998</v>
      </c>
      <c r="H9">
        <f ca="1">IFERROR(IF(0=LEN(ReferenceData!$O$9),"",ReferenceData!$O$9),"")</f>
        <v>2216.2137320000002</v>
      </c>
      <c r="I9">
        <f ca="1">IFERROR(IF(0=LEN(ReferenceData!$N$9),"",ReferenceData!$N$9),"")</f>
        <v>2332.9850280000001</v>
      </c>
      <c r="J9">
        <f ca="1">IFERROR(IF(0=LEN(ReferenceData!$M$9),"",ReferenceData!$M$9),"")</f>
        <v>2278.661294</v>
      </c>
      <c r="K9">
        <f ca="1">IFERROR(IF(0=LEN(ReferenceData!$L$9),"",ReferenceData!$L$9),"")</f>
        <v>2141.1609079999998</v>
      </c>
      <c r="L9">
        <f ca="1">IFERROR(IF(0=LEN(ReferenceData!$K$9),"",ReferenceData!$K$9),"")</f>
        <v>2243.591238</v>
      </c>
      <c r="M9">
        <f ca="1">IFERROR(IF(0=LEN(ReferenceData!$J$9),"",ReferenceData!$J$9),"")</f>
        <v>2307.3579129999998</v>
      </c>
      <c r="N9">
        <f ca="1">IFERROR(IF(0=LEN(ReferenceData!$I$9),"",ReferenceData!$I$9),"")</f>
        <v>2331.9430149999998</v>
      </c>
      <c r="O9">
        <f ca="1">IFERROR(IF(0=LEN(ReferenceData!$H$9),"",ReferenceData!$H$9),"")</f>
        <v>2241.2733659999999</v>
      </c>
      <c r="P9">
        <f ca="1">IFERROR(IF(0=LEN(ReferenceData!$G$9),"",ReferenceData!$G$9),"")</f>
        <v>2314.7656790000001</v>
      </c>
      <c r="Q9">
        <f ca="1">IFERROR(IF(0=LEN(ReferenceData!$F$9),"",ReferenceData!$F$9),"")</f>
        <v>2332.1932740000002</v>
      </c>
    </row>
    <row r="10" spans="1:17" x14ac:dyDescent="0.25">
      <c r="A10" t="str">
        <f>IFERROR(IF(0=LEN(ReferenceData!$A$10),"",ReferenceData!$A$10),"")</f>
        <v xml:space="preserve">    Cognizant Technology Solutions Corp</v>
      </c>
      <c r="B10" t="str">
        <f>IFERROR(IF(0=LEN(ReferenceData!$B$10),"",ReferenceData!$B$10),"")</f>
        <v>CTSH US Equity</v>
      </c>
      <c r="C10" t="str">
        <f>IFERROR(IF(0=LEN(ReferenceData!$C$10),"",ReferenceData!$C$10),"")</f>
        <v>IS010</v>
      </c>
      <c r="D10" t="str">
        <f>IFERROR(IF(0=LEN(ReferenceData!$D$10),"",ReferenceData!$D$10),"")</f>
        <v>SALES_REV_TURN</v>
      </c>
      <c r="E10" t="str">
        <f>IFERROR(IF(0=LEN(ReferenceData!$E$10),"",ReferenceData!$E$10),"")</f>
        <v>Dynamic</v>
      </c>
      <c r="F10">
        <f ca="1">IFERROR(IF(0=LEN(ReferenceData!$Q$10),"",ReferenceData!$Q$10),"")</f>
        <v>3670</v>
      </c>
      <c r="G10">
        <f ca="1">IFERROR(IF(0=LEN(ReferenceData!$P$10),"",ReferenceData!$P$10),"")</f>
        <v>3766</v>
      </c>
      <c r="H10">
        <f ca="1">IFERROR(IF(0=LEN(ReferenceData!$O$10),"",ReferenceData!$O$10),"")</f>
        <v>3828</v>
      </c>
      <c r="I10">
        <f ca="1">IFERROR(IF(0=LEN(ReferenceData!$N$10),"",ReferenceData!$N$10),"")</f>
        <v>3912</v>
      </c>
      <c r="J10">
        <f ca="1">IFERROR(IF(0=LEN(ReferenceData!$M$10),"",ReferenceData!$M$10),"")</f>
        <v>4006</v>
      </c>
      <c r="K10">
        <f ca="1">IFERROR(IF(0=LEN(ReferenceData!$L$10),"",ReferenceData!$L$10),"")</f>
        <v>4078</v>
      </c>
      <c r="L10">
        <f ca="1">IFERROR(IF(0=LEN(ReferenceData!$K$10),"",ReferenceData!$K$10),"")</f>
        <v>4129</v>
      </c>
      <c r="M10">
        <f ca="1">IFERROR(IF(0=LEN(ReferenceData!$J$10),"",ReferenceData!$J$10),"")</f>
        <v>4110</v>
      </c>
      <c r="N10">
        <f ca="1">IFERROR(IF(0=LEN(ReferenceData!$I$10),"",ReferenceData!$I$10),"")</f>
        <v>4141</v>
      </c>
      <c r="O10">
        <f ca="1">IFERROR(IF(0=LEN(ReferenceData!$H$10),"",ReferenceData!$H$10),"")</f>
        <v>4248</v>
      </c>
      <c r="P10">
        <f ca="1">IFERROR(IF(0=LEN(ReferenceData!$G$10),"",ReferenceData!$G$10),"")</f>
        <v>4284</v>
      </c>
      <c r="Q10">
        <f ca="1">IFERROR(IF(0=LEN(ReferenceData!$F$10),"",ReferenceData!$F$10),"")</f>
        <v>4225</v>
      </c>
    </row>
    <row r="11" spans="1:17" x14ac:dyDescent="0.25">
      <c r="A11" t="str">
        <f>IFERROR(IF(0=LEN(ReferenceData!$A$11),"",ReferenceData!$A$11),"")</f>
        <v xml:space="preserve">    Conduent Inc</v>
      </c>
      <c r="B11" t="str">
        <f>IFERROR(IF(0=LEN(ReferenceData!$B$11),"",ReferenceData!$B$11),"")</f>
        <v>CNDT US Equity</v>
      </c>
      <c r="C11" t="str">
        <f>IFERROR(IF(0=LEN(ReferenceData!$C$11),"",ReferenceData!$C$11),"")</f>
        <v>IS010</v>
      </c>
      <c r="D11" t="str">
        <f>IFERROR(IF(0=LEN(ReferenceData!$D$11),"",ReferenceData!$D$11),"")</f>
        <v>SALES_REV_TURN</v>
      </c>
      <c r="E11" t="str">
        <f>IFERROR(IF(0=LEN(ReferenceData!$E$11),"",ReferenceData!$E$11),"")</f>
        <v>Dynamic</v>
      </c>
      <c r="F11">
        <f ca="1">IFERROR(IF(0=LEN(ReferenceData!$Q$11),"",ReferenceData!$Q$11),"")</f>
        <v>1496</v>
      </c>
      <c r="G11">
        <f ca="1">IFERROR(IF(0=LEN(ReferenceData!$P$11),"",ReferenceData!$P$11),"")</f>
        <v>1480</v>
      </c>
      <c r="H11">
        <f ca="1">IFERROR(IF(0=LEN(ReferenceData!$O$11),"",ReferenceData!$O$11),"")</f>
        <v>1493</v>
      </c>
      <c r="I11">
        <f ca="1">IFERROR(IF(0=LEN(ReferenceData!$N$11),"",ReferenceData!$N$11),"")</f>
        <v>1420</v>
      </c>
      <c r="J11">
        <f ca="1">IFERROR(IF(0=LEN(ReferenceData!$M$11),"",ReferenceData!$M$11),"")</f>
        <v>1387</v>
      </c>
      <c r="K11">
        <f ca="1">IFERROR(IF(0=LEN(ReferenceData!$L$11),"",ReferenceData!$L$11),"")</f>
        <v>1304</v>
      </c>
      <c r="L11">
        <f ca="1">IFERROR(IF(0=LEN(ReferenceData!$K$11),"",ReferenceData!$K$11),"")</f>
        <v>1282</v>
      </c>
      <c r="M11">
        <f ca="1">IFERROR(IF(0=LEN(ReferenceData!$J$11),"",ReferenceData!$J$11),"")</f>
        <v>1158</v>
      </c>
      <c r="N11">
        <f ca="1">IFERROR(IF(0=LEN(ReferenceData!$I$11),"",ReferenceData!$I$11),"")</f>
        <v>1112</v>
      </c>
      <c r="O11">
        <f ca="1">IFERROR(IF(0=LEN(ReferenceData!$H$11),"",ReferenceData!$H$11),"")</f>
        <v>1098</v>
      </c>
      <c r="P11">
        <f ca="1">IFERROR(IF(0=LEN(ReferenceData!$G$11),"",ReferenceData!$G$11),"")</f>
        <v>1099</v>
      </c>
      <c r="Q11">
        <f ca="1">IFERROR(IF(0=LEN(ReferenceData!$F$11),"",ReferenceData!$F$11),"")</f>
        <v>1051</v>
      </c>
    </row>
    <row r="12" spans="1:17" x14ac:dyDescent="0.25">
      <c r="A12" t="str">
        <f>IFERROR(IF(0=LEN(ReferenceData!$A$12),"",ReferenceData!$A$12),"")</f>
        <v xml:space="preserve">    DXC Technology Co</v>
      </c>
      <c r="B12" t="str">
        <f>IFERROR(IF(0=LEN(ReferenceData!$B$12),"",ReferenceData!$B$12),"")</f>
        <v>DXC US Equity</v>
      </c>
      <c r="C12" t="str">
        <f>IFERROR(IF(0=LEN(ReferenceData!$C$12),"",ReferenceData!$C$12),"")</f>
        <v>IS010</v>
      </c>
      <c r="D12" t="str">
        <f>IFERROR(IF(0=LEN(ReferenceData!$D$12),"",ReferenceData!$D$12),"")</f>
        <v>SALES_REV_TURN</v>
      </c>
      <c r="E12" t="str">
        <f>IFERROR(IF(0=LEN(ReferenceData!$E$12),"",ReferenceData!$E$12),"")</f>
        <v>Dynamic</v>
      </c>
      <c r="F12">
        <f ca="1">IFERROR(IF(0=LEN(ReferenceData!$Q$12),"",ReferenceData!$Q$12),"")</f>
        <v>5236</v>
      </c>
      <c r="G12">
        <f ca="1">IFERROR(IF(0=LEN(ReferenceData!$P$12),"",ReferenceData!$P$12),"")</f>
        <v>5453</v>
      </c>
      <c r="H12">
        <f ca="1">IFERROR(IF(0=LEN(ReferenceData!$O$12),"",ReferenceData!$O$12),"")</f>
        <v>5460</v>
      </c>
      <c r="I12">
        <f ca="1">IFERROR(IF(0=LEN(ReferenceData!$N$12),"",ReferenceData!$N$12),"")</f>
        <v>5584</v>
      </c>
      <c r="J12">
        <f ca="1">IFERROR(IF(0=LEN(ReferenceData!$M$12),"",ReferenceData!$M$12),"")</f>
        <v>5282</v>
      </c>
      <c r="K12">
        <f ca="1">IFERROR(IF(0=LEN(ReferenceData!$L$12),"",ReferenceData!$L$12),"")</f>
        <v>5013</v>
      </c>
      <c r="L12">
        <f ca="1">IFERROR(IF(0=LEN(ReferenceData!$K$12),"",ReferenceData!$K$12),"")</f>
        <v>5178</v>
      </c>
      <c r="M12">
        <f ca="1">IFERROR(IF(0=LEN(ReferenceData!$J$12),"",ReferenceData!$J$12),"")</f>
        <v>5280</v>
      </c>
      <c r="N12">
        <f ca="1">IFERROR(IF(0=LEN(ReferenceData!$I$12),"",ReferenceData!$I$12),"")</f>
        <v>4890</v>
      </c>
      <c r="O12">
        <f ca="1">IFERROR(IF(0=LEN(ReferenceData!$H$12),"",ReferenceData!$H$12),"")</f>
        <v>4851</v>
      </c>
      <c r="P12">
        <f ca="1">IFERROR(IF(0=LEN(ReferenceData!$G$12),"",ReferenceData!$G$12),"")</f>
        <v>5021</v>
      </c>
      <c r="Q12">
        <f ca="1">IFERROR(IF(0=LEN(ReferenceData!$F$12),"",ReferenceData!$F$12),"")</f>
        <v>4815</v>
      </c>
    </row>
    <row r="13" spans="1:17" x14ac:dyDescent="0.25">
      <c r="A13" t="str">
        <f>IFERROR(IF(0=LEN(ReferenceData!$A$13),"",ReferenceData!$A$13),"")</f>
        <v xml:space="preserve">    EPAM Systems Inc</v>
      </c>
      <c r="B13" t="str">
        <f>IFERROR(IF(0=LEN(ReferenceData!$B$13),"",ReferenceData!$B$13),"")</f>
        <v>EPAM US Equity</v>
      </c>
      <c r="C13" t="str">
        <f>IFERROR(IF(0=LEN(ReferenceData!$C$13),"",ReferenceData!$C$13),"")</f>
        <v>IS010</v>
      </c>
      <c r="D13" t="str">
        <f>IFERROR(IF(0=LEN(ReferenceData!$D$13),"",ReferenceData!$D$13),"")</f>
        <v>SALES_REV_TURN</v>
      </c>
      <c r="E13" t="str">
        <f>IFERROR(IF(0=LEN(ReferenceData!$E$13),"",ReferenceData!$E$13),"")</f>
        <v>Dynamic</v>
      </c>
      <c r="F13">
        <f ca="1">IFERROR(IF(0=LEN(ReferenceData!$Q$13),"",ReferenceData!$Q$13),"")</f>
        <v>348.97699999999998</v>
      </c>
      <c r="G13">
        <f ca="1">IFERROR(IF(0=LEN(ReferenceData!$P$13),"",ReferenceData!$P$13),"")</f>
        <v>377.52300000000002</v>
      </c>
      <c r="H13">
        <f ca="1">IFERROR(IF(0=LEN(ReferenceData!$O$13),"",ReferenceData!$O$13),"")</f>
        <v>399.29700000000003</v>
      </c>
      <c r="I13">
        <f ca="1">IFERROR(IF(0=LEN(ReferenceData!$N$13),"",ReferenceData!$N$13),"")</f>
        <v>424.14800000000002</v>
      </c>
      <c r="J13">
        <f ca="1">IFERROR(IF(0=LEN(ReferenceData!$M$13),"",ReferenceData!$M$13),"")</f>
        <v>445.64699999999999</v>
      </c>
      <c r="K13">
        <f ca="1">IFERROR(IF(0=LEN(ReferenceData!$L$13),"",ReferenceData!$L$13),"")</f>
        <v>468.18599999999998</v>
      </c>
      <c r="L13">
        <f ca="1">IFERROR(IF(0=LEN(ReferenceData!$K$13),"",ReferenceData!$K$13),"")</f>
        <v>504.93099999999998</v>
      </c>
      <c r="M13">
        <f ca="1">IFERROR(IF(0=LEN(ReferenceData!$J$13),"",ReferenceData!$J$13),"")</f>
        <v>521.33299999999997</v>
      </c>
      <c r="N13">
        <f ca="1">IFERROR(IF(0=LEN(ReferenceData!$I$13),"",ReferenceData!$I$13),"")</f>
        <v>551.58699999999999</v>
      </c>
      <c r="O13">
        <f ca="1">IFERROR(IF(0=LEN(ReferenceData!$H$13),"",ReferenceData!$H$13),"")</f>
        <v>588.10299999999995</v>
      </c>
      <c r="P13">
        <f ca="1">IFERROR(IF(0=LEN(ReferenceData!$G$13),"",ReferenceData!$G$13),"")</f>
        <v>632.77499999999998</v>
      </c>
      <c r="Q13">
        <f ca="1">IFERROR(IF(0=LEN(ReferenceData!$F$13),"",ReferenceData!$F$13),"")</f>
        <v>651.35900000000004</v>
      </c>
    </row>
    <row r="14" spans="1:17" x14ac:dyDescent="0.25">
      <c r="A14" t="str">
        <f>IFERROR(IF(0=LEN(ReferenceData!$A$14),"",ReferenceData!$A$14),"")</f>
        <v xml:space="preserve">    Genpact Ltd</v>
      </c>
      <c r="B14" t="str">
        <f>IFERROR(IF(0=LEN(ReferenceData!$B$14),"",ReferenceData!$B$14),"")</f>
        <v>G US Equity</v>
      </c>
      <c r="C14" t="str">
        <f>IFERROR(IF(0=LEN(ReferenceData!$C$14),"",ReferenceData!$C$14),"")</f>
        <v>IS010</v>
      </c>
      <c r="D14" t="str">
        <f>IFERROR(IF(0=LEN(ReferenceData!$D$14),"",ReferenceData!$D$14),"")</f>
        <v>SALES_REV_TURN</v>
      </c>
      <c r="E14" t="str">
        <f>IFERROR(IF(0=LEN(ReferenceData!$E$14),"",ReferenceData!$E$14),"")</f>
        <v>Dynamic</v>
      </c>
      <c r="F14">
        <f ca="1">IFERROR(IF(0=LEN(ReferenceData!$Q$14),"",ReferenceData!$Q$14),"")</f>
        <v>670.697</v>
      </c>
      <c r="G14">
        <f ca="1">IFERROR(IF(0=LEN(ReferenceData!$P$14),"",ReferenceData!$P$14),"")</f>
        <v>708.82399999999996</v>
      </c>
      <c r="H14">
        <f ca="1">IFERROR(IF(0=LEN(ReferenceData!$O$14),"",ReferenceData!$O$14),"")</f>
        <v>734.41300000000001</v>
      </c>
      <c r="I14">
        <f ca="1">IFERROR(IF(0=LEN(ReferenceData!$N$14),"",ReferenceData!$N$14),"")</f>
        <v>688.91200000000003</v>
      </c>
      <c r="J14">
        <f ca="1">IFERROR(IF(0=LEN(ReferenceData!$M$14),"",ReferenceData!$M$14),"")</f>
        <v>728.56100000000004</v>
      </c>
      <c r="K14">
        <f ca="1">IFERROR(IF(0=LEN(ReferenceData!$L$14),"",ReferenceData!$L$14),"")</f>
        <v>747.97799999999995</v>
      </c>
      <c r="L14">
        <f ca="1">IFERROR(IF(0=LEN(ReferenceData!$K$14),"",ReferenceData!$K$14),"")</f>
        <v>835.33900000000006</v>
      </c>
      <c r="M14">
        <f ca="1">IFERROR(IF(0=LEN(ReferenceData!$J$14),"",ReferenceData!$J$14),"")</f>
        <v>809.20600000000002</v>
      </c>
      <c r="N14">
        <f ca="1">IFERROR(IF(0=LEN(ReferenceData!$I$14),"",ReferenceData!$I$14),"")</f>
        <v>881.79899999999998</v>
      </c>
      <c r="O14">
        <f ca="1">IFERROR(IF(0=LEN(ReferenceData!$H$14),"",ReferenceData!$H$14),"")</f>
        <v>888.79899999999998</v>
      </c>
      <c r="P14">
        <f ca="1">IFERROR(IF(0=LEN(ReferenceData!$G$14),"",ReferenceData!$G$14),"")</f>
        <v>940.73900000000003</v>
      </c>
      <c r="Q14">
        <f ca="1">IFERROR(IF(0=LEN(ReferenceData!$F$14),"",ReferenceData!$F$14),"")</f>
        <v>923.19200000000001</v>
      </c>
    </row>
    <row r="15" spans="1:17" x14ac:dyDescent="0.25">
      <c r="A15" t="str">
        <f>IFERROR(IF(0=LEN(ReferenceData!$A$15),"",ReferenceData!$A$15),"")</f>
        <v xml:space="preserve">    HCL Technologies Ltd</v>
      </c>
      <c r="B15" t="str">
        <f>IFERROR(IF(0=LEN(ReferenceData!$B$15),"",ReferenceData!$B$15),"")</f>
        <v>HCLT IN Equity</v>
      </c>
      <c r="C15" t="str">
        <f>IFERROR(IF(0=LEN(ReferenceData!$C$15),"",ReferenceData!$C$15),"")</f>
        <v>IS010</v>
      </c>
      <c r="D15" t="str">
        <f>IFERROR(IF(0=LEN(ReferenceData!$D$15),"",ReferenceData!$D$15),"")</f>
        <v>SALES_REV_TURN</v>
      </c>
      <c r="E15" t="str">
        <f>IFERROR(IF(0=LEN(ReferenceData!$E$15),"",ReferenceData!$E$15),"")</f>
        <v>Dynamic</v>
      </c>
      <c r="F15">
        <f ca="1">IFERROR(IF(0=LEN(ReferenceData!$Q$15),"",ReferenceData!$Q$15),"")</f>
        <v>1884.2</v>
      </c>
      <c r="G15">
        <f ca="1">IFERROR(IF(0=LEN(ReferenceData!$P$15),"",ReferenceData!$P$15),"")</f>
        <v>1928</v>
      </c>
      <c r="H15">
        <f ca="1">IFERROR(IF(0=LEN(ReferenceData!$O$15),"",ReferenceData!$O$15),"")</f>
        <v>1987.5</v>
      </c>
      <c r="I15">
        <f ca="1">IFERROR(IF(0=LEN(ReferenceData!$N$15),"",ReferenceData!$N$15),"")</f>
        <v>2047.1011940000001</v>
      </c>
      <c r="J15">
        <f ca="1">IFERROR(IF(0=LEN(ReferenceData!$M$15),"",ReferenceData!$M$15),"")</f>
        <v>2054.5</v>
      </c>
      <c r="K15">
        <f ca="1">IFERROR(IF(0=LEN(ReferenceData!$L$15),"",ReferenceData!$L$15),"")</f>
        <v>2098.6</v>
      </c>
      <c r="L15">
        <f ca="1">IFERROR(IF(0=LEN(ReferenceData!$K$15),"",ReferenceData!$K$15),"")</f>
        <v>2201.5</v>
      </c>
      <c r="M15">
        <f ca="1">IFERROR(IF(0=LEN(ReferenceData!$J$15),"",ReferenceData!$J$15),"")</f>
        <v>2277.8000000000002</v>
      </c>
      <c r="N15">
        <f ca="1">IFERROR(IF(0=LEN(ReferenceData!$I$15),"",ReferenceData!$I$15),"")</f>
        <v>2363.6</v>
      </c>
      <c r="O15">
        <f ca="1">IFERROR(IF(0=LEN(ReferenceData!$H$15),"",ReferenceData!$H$15),"")</f>
        <v>2485.6</v>
      </c>
      <c r="P15">
        <f ca="1">IFERROR(IF(0=LEN(ReferenceData!$G$15),"",ReferenceData!$G$15),"")</f>
        <v>2543.4</v>
      </c>
      <c r="Q15">
        <f ca="1">IFERROR(IF(0=LEN(ReferenceData!$F$15),"",ReferenceData!$F$15),"")</f>
        <v>2543.4</v>
      </c>
    </row>
    <row r="16" spans="1:17" x14ac:dyDescent="0.25">
      <c r="A16" t="str">
        <f>IFERROR(IF(0=LEN(ReferenceData!$A$16),"",ReferenceData!$A$16),"")</f>
        <v xml:space="preserve">    Indra Sistemas SA</v>
      </c>
      <c r="B16" t="str">
        <f>IFERROR(IF(0=LEN(ReferenceData!$B$16),"",ReferenceData!$B$16),"")</f>
        <v>IDR SM Equity</v>
      </c>
      <c r="C16" t="str">
        <f>IFERROR(IF(0=LEN(ReferenceData!$C$16),"",ReferenceData!$C$16),"")</f>
        <v>IS010</v>
      </c>
      <c r="D16" t="str">
        <f>IFERROR(IF(0=LEN(ReferenceData!$D$16),"",ReferenceData!$D$16),"")</f>
        <v>SALES_REV_TURN</v>
      </c>
      <c r="E16" t="str">
        <f>IFERROR(IF(0=LEN(ReferenceData!$E$16),"",ReferenceData!$E$16),"")</f>
        <v>Dynamic</v>
      </c>
      <c r="F16">
        <f ca="1">IFERROR(IF(0=LEN(ReferenceData!$Q$16),"",ReferenceData!$Q$16),"")</f>
        <v>815.44201220000002</v>
      </c>
      <c r="G16">
        <f ca="1">IFERROR(IF(0=LEN(ReferenceData!$P$16),"",ReferenceData!$P$16),"")</f>
        <v>865.56713420000005</v>
      </c>
      <c r="H16">
        <f ca="1">IFERROR(IF(0=LEN(ReferenceData!$O$16),"",ReferenceData!$O$16),"")</f>
        <v>1054.380269</v>
      </c>
      <c r="I16">
        <f ca="1">IFERROR(IF(0=LEN(ReferenceData!$N$16),"",ReferenceData!$N$16),"")</f>
        <v>877.11237540000002</v>
      </c>
      <c r="J16">
        <f ca="1">IFERROR(IF(0=LEN(ReferenceData!$M$16),"",ReferenceData!$M$16),"")</f>
        <v>893.32352309999999</v>
      </c>
      <c r="K16">
        <f ca="1">IFERROR(IF(0=LEN(ReferenceData!$L$16),"",ReferenceData!$L$16),"")</f>
        <v>826.3356953</v>
      </c>
      <c r="L16">
        <f ca="1">IFERROR(IF(0=LEN(ReferenceData!$K$16),"",ReferenceData!$K$16),"")</f>
        <v>1061.251426</v>
      </c>
      <c r="M16">
        <f ca="1">IFERROR(IF(0=LEN(ReferenceData!$J$16),"",ReferenceData!$J$16),"")</f>
        <v>835.39511649999997</v>
      </c>
      <c r="N16">
        <f ca="1">IFERROR(IF(0=LEN(ReferenceData!$I$16),"",ReferenceData!$I$16),"")</f>
        <v>910.83406239999999</v>
      </c>
      <c r="O16">
        <f ca="1">IFERROR(IF(0=LEN(ReferenceData!$H$16),"",ReferenceData!$H$16),"")</f>
        <v>824.34439080000004</v>
      </c>
      <c r="P16">
        <f ca="1">IFERROR(IF(0=LEN(ReferenceData!$G$16),"",ReferenceData!$G$16),"")</f>
        <v>1014.714794</v>
      </c>
      <c r="Q16">
        <f ca="1">IFERROR(IF(0=LEN(ReferenceData!$F$16),"",ReferenceData!$F$16),"")</f>
        <v>810.44962729999997</v>
      </c>
    </row>
    <row r="17" spans="1:17" x14ac:dyDescent="0.25">
      <c r="A17" t="str">
        <f>IFERROR(IF(0=LEN(ReferenceData!$A$17),"",ReferenceData!$A$17),"")</f>
        <v xml:space="preserve">    Infosys Ltd</v>
      </c>
      <c r="B17" t="str">
        <f>IFERROR(IF(0=LEN(ReferenceData!$B$17),"",ReferenceData!$B$17),"")</f>
        <v>INFY US Equity</v>
      </c>
      <c r="C17" t="str">
        <f>IFERROR(IF(0=LEN(ReferenceData!$C$17),"",ReferenceData!$C$17),"")</f>
        <v>IS010</v>
      </c>
      <c r="D17" t="str">
        <f>IFERROR(IF(0=LEN(ReferenceData!$D$17),"",ReferenceData!$D$17),"")</f>
        <v>SALES_REV_TURN</v>
      </c>
      <c r="E17" t="str">
        <f>IFERROR(IF(0=LEN(ReferenceData!$E$17),"",ReferenceData!$E$17),"")</f>
        <v>Dynamic</v>
      </c>
      <c r="F17">
        <f ca="1">IFERROR(IF(0=LEN(ReferenceData!$Q$17),"",ReferenceData!$Q$17),"")</f>
        <v>2648.259697</v>
      </c>
      <c r="G17">
        <f ca="1">IFERROR(IF(0=LEN(ReferenceData!$P$17),"",ReferenceData!$P$17),"")</f>
        <v>2732.7473340000001</v>
      </c>
      <c r="H17">
        <f ca="1">IFERROR(IF(0=LEN(ReferenceData!$O$17),"",ReferenceData!$O$17),"")</f>
        <v>2748.8053</v>
      </c>
      <c r="I17">
        <f ca="1">IFERROR(IF(0=LEN(ReferenceData!$N$17),"",ReferenceData!$N$17),"")</f>
        <v>2809.0553110000001</v>
      </c>
      <c r="J17">
        <f ca="1">IFERROR(IF(0=LEN(ReferenceData!$M$17),"",ReferenceData!$M$17),"")</f>
        <v>2852.7518420000001</v>
      </c>
      <c r="K17">
        <f ca="1">IFERROR(IF(0=LEN(ReferenceData!$L$17),"",ReferenceData!$L$17),"")</f>
        <v>2941.5199309999998</v>
      </c>
      <c r="L17">
        <f ca="1">IFERROR(IF(0=LEN(ReferenceData!$K$17),"",ReferenceData!$K$17),"")</f>
        <v>2969.9646299999999</v>
      </c>
      <c r="M17">
        <f ca="1">IFERROR(IF(0=LEN(ReferenceData!$J$17),"",ReferenceData!$J$17),"")</f>
        <v>3057.2499299999999</v>
      </c>
      <c r="N17">
        <f ca="1">IFERROR(IF(0=LEN(ReferenceData!$I$17),"",ReferenceData!$I$17),"")</f>
        <v>3135.351823</v>
      </c>
      <c r="O17">
        <f ca="1">IFERROR(IF(0=LEN(ReferenceData!$H$17),"",ReferenceData!$H$17),"")</f>
        <v>3215.798104</v>
      </c>
      <c r="P17">
        <f ca="1">IFERROR(IF(0=LEN(ReferenceData!$G$17),"",ReferenceData!$G$17),"")</f>
        <v>3242.468218</v>
      </c>
      <c r="Q17">
        <f ca="1">IFERROR(IF(0=LEN(ReferenceData!$F$17),"",ReferenceData!$F$17),"")</f>
        <v>3211.9106539999998</v>
      </c>
    </row>
    <row r="18" spans="1:17" x14ac:dyDescent="0.25">
      <c r="A18" t="str">
        <f>IFERROR(IF(0=LEN(ReferenceData!$A$18),"",ReferenceData!$A$18),"")</f>
        <v xml:space="preserve">    International Business Machines Corp</v>
      </c>
      <c r="B18" t="str">
        <f>IFERROR(IF(0=LEN(ReferenceData!$B$18),"",ReferenceData!$B$18),"")</f>
        <v>IBM US Equity</v>
      </c>
      <c r="C18" t="str">
        <f>IFERROR(IF(0=LEN(ReferenceData!$C$18),"",ReferenceData!$C$18),"")</f>
        <v>IS010</v>
      </c>
      <c r="D18" t="str">
        <f>IFERROR(IF(0=LEN(ReferenceData!$D$18),"",ReferenceData!$D$18),"")</f>
        <v>SALES_REV_TURN</v>
      </c>
      <c r="E18" t="str">
        <f>IFERROR(IF(0=LEN(ReferenceData!$E$18),"",ReferenceData!$E$18),"")</f>
        <v>Dynamic</v>
      </c>
      <c r="F18">
        <f ca="1">IFERROR(IF(0=LEN(ReferenceData!$Q$18),"",ReferenceData!$Q$18),"")</f>
        <v>19289</v>
      </c>
      <c r="G18">
        <f ca="1">IFERROR(IF(0=LEN(ReferenceData!$P$18),"",ReferenceData!$P$18),"")</f>
        <v>19153</v>
      </c>
      <c r="H18">
        <f ca="1">IFERROR(IF(0=LEN(ReferenceData!$O$18),"",ReferenceData!$O$18),"")</f>
        <v>22543</v>
      </c>
      <c r="I18">
        <f ca="1">IFERROR(IF(0=LEN(ReferenceData!$N$18),"",ReferenceData!$N$18),"")</f>
        <v>19072</v>
      </c>
      <c r="J18">
        <f ca="1">IFERROR(IF(0=LEN(ReferenceData!$M$18),"",ReferenceData!$M$18),"")</f>
        <v>20003</v>
      </c>
      <c r="K18">
        <f ca="1">IFERROR(IF(0=LEN(ReferenceData!$L$18),"",ReferenceData!$L$18),"")</f>
        <v>18756</v>
      </c>
      <c r="L18">
        <f ca="1">IFERROR(IF(0=LEN(ReferenceData!$K$18),"",ReferenceData!$K$18),"")</f>
        <v>21760</v>
      </c>
      <c r="M18">
        <f ca="1">IFERROR(IF(0=LEN(ReferenceData!$J$18),"",ReferenceData!$J$18),"")</f>
        <v>18182</v>
      </c>
      <c r="N18">
        <f ca="1">IFERROR(IF(0=LEN(ReferenceData!$I$18),"",ReferenceData!$I$18),"")</f>
        <v>19161</v>
      </c>
      <c r="O18">
        <f ca="1">IFERROR(IF(0=LEN(ReferenceData!$H$18),"",ReferenceData!$H$18),"")</f>
        <v>18028</v>
      </c>
      <c r="P18">
        <f ca="1">IFERROR(IF(0=LEN(ReferenceData!$G$18),"",ReferenceData!$G$18),"")</f>
        <v>21777</v>
      </c>
      <c r="Q18">
        <f ca="1">IFERROR(IF(0=LEN(ReferenceData!$F$18),"",ReferenceData!$F$18),"")</f>
        <v>17571</v>
      </c>
    </row>
    <row r="19" spans="1:17" x14ac:dyDescent="0.25">
      <c r="A19" t="str">
        <f>IFERROR(IF(0=LEN(ReferenceData!$A$19),"",ReferenceData!$A$19),"")</f>
        <v xml:space="preserve">    Tata Consultancy Services Ltd</v>
      </c>
      <c r="B19" t="str">
        <f>IFERROR(IF(0=LEN(ReferenceData!$B$19),"",ReferenceData!$B$19),"")</f>
        <v>TCS IN Equity</v>
      </c>
      <c r="C19" t="str">
        <f>IFERROR(IF(0=LEN(ReferenceData!$C$19),"",ReferenceData!$C$19),"")</f>
        <v>IS010</v>
      </c>
      <c r="D19" t="str">
        <f>IFERROR(IF(0=LEN(ReferenceData!$D$19),"",ReferenceData!$D$19),"")</f>
        <v>SALES_REV_TURN</v>
      </c>
      <c r="E19" t="str">
        <f>IFERROR(IF(0=LEN(ReferenceData!$E$19),"",ReferenceData!$E$19),"")</f>
        <v>Dynamic</v>
      </c>
      <c r="F19">
        <f ca="1">IFERROR(IF(0=LEN(ReferenceData!$Q$19),"",ReferenceData!$Q$19),"")</f>
        <v>4587.5462509999998</v>
      </c>
      <c r="G19">
        <f ca="1">IFERROR(IF(0=LEN(ReferenceData!$P$19),"",ReferenceData!$P$19),"")</f>
        <v>4751.0011000000004</v>
      </c>
      <c r="H19">
        <f ca="1">IFERROR(IF(0=LEN(ReferenceData!$O$19),"",ReferenceData!$O$19),"")</f>
        <v>4774.029391</v>
      </c>
      <c r="I19">
        <f ca="1">IFERROR(IF(0=LEN(ReferenceData!$N$19),"",ReferenceData!$N$19),"")</f>
        <v>4982.6051589999997</v>
      </c>
      <c r="J19">
        <f ca="1">IFERROR(IF(0=LEN(ReferenceData!$M$19),"",ReferenceData!$M$19),"")</f>
        <v>5109.688983</v>
      </c>
      <c r="K19">
        <f ca="1">IFERROR(IF(0=LEN(ReferenceData!$L$19),"",ReferenceData!$L$19),"")</f>
        <v>5260.1666999999998</v>
      </c>
      <c r="L19">
        <f ca="1">IFERROR(IF(0=LEN(ReferenceData!$K$19),"",ReferenceData!$K$19),"")</f>
        <v>5181.894362</v>
      </c>
      <c r="M19">
        <f ca="1">IFERROR(IF(0=LEN(ReferenceData!$J$19),"",ReferenceData!$J$19),"")</f>
        <v>5395.1469360000001</v>
      </c>
      <c r="N19">
        <f ca="1">IFERROR(IF(0=LEN(ReferenceData!$I$19),"",ReferenceData!$I$19),"")</f>
        <v>5489.274402</v>
      </c>
      <c r="O19">
        <f ca="1">IFERROR(IF(0=LEN(ReferenceData!$H$19),"",ReferenceData!$H$19),"")</f>
        <v>5539.0058200000003</v>
      </c>
      <c r="P19">
        <f ca="1">IFERROR(IF(0=LEN(ReferenceData!$G$19),"",ReferenceData!$G$19),"")</f>
        <v>5596.1081059999997</v>
      </c>
      <c r="Q19">
        <f ca="1">IFERROR(IF(0=LEN(ReferenceData!$F$19),"",ReferenceData!$F$19),"")</f>
        <v>5514.3758529999996</v>
      </c>
    </row>
    <row r="20" spans="1:17" x14ac:dyDescent="0.25">
      <c r="A20" t="str">
        <f>IFERROR(IF(0=LEN(ReferenceData!$A$20),"",ReferenceData!$A$20),"")</f>
        <v xml:space="preserve">    Tech Mahindra Ltd</v>
      </c>
      <c r="B20" t="str">
        <f>IFERROR(IF(0=LEN(ReferenceData!$B$20),"",ReferenceData!$B$20),"")</f>
        <v>TECHM IN Equity</v>
      </c>
      <c r="C20" t="str">
        <f>IFERROR(IF(0=LEN(ReferenceData!$C$20),"",ReferenceData!$C$20),"")</f>
        <v>IS010</v>
      </c>
      <c r="D20" t="str">
        <f>IFERROR(IF(0=LEN(ReferenceData!$D$20),"",ReferenceData!$D$20),"")</f>
        <v>SALES_REV_TURN</v>
      </c>
      <c r="E20" t="str">
        <f>IFERROR(IF(0=LEN(ReferenceData!$E$20),"",ReferenceData!$E$20),"")</f>
        <v>Dynamic</v>
      </c>
      <c r="F20">
        <f ca="1">IFERROR(IF(0=LEN(ReferenceData!$Q$20),"",ReferenceData!$Q$20),"")</f>
        <v>1137.5979600000001</v>
      </c>
      <c r="G20">
        <f ca="1">IFERROR(IF(0=LEN(ReferenceData!$P$20),"",ReferenceData!$P$20),"")</f>
        <v>1183.259217</v>
      </c>
      <c r="H20">
        <f ca="1">IFERROR(IF(0=LEN(ReferenceData!$O$20),"",ReferenceData!$O$20),"")</f>
        <v>1201.2251349999999</v>
      </c>
      <c r="I20">
        <f ca="1">IFERROR(IF(0=LEN(ReferenceData!$N$20),"",ReferenceData!$N$20),"")</f>
        <v>1251.204778</v>
      </c>
      <c r="J20">
        <f ca="1">IFERROR(IF(0=LEN(ReferenceData!$M$20),"",ReferenceData!$M$20),"")</f>
        <v>1234.325231</v>
      </c>
      <c r="K20">
        <f ca="1">IFERROR(IF(0=LEN(ReferenceData!$L$20),"",ReferenceData!$L$20),"")</f>
        <v>1231.7373849999999</v>
      </c>
      <c r="L20">
        <f ca="1">IFERROR(IF(0=LEN(ReferenceData!$K$20),"",ReferenceData!$K$20),"")</f>
        <v>1241.23704</v>
      </c>
      <c r="M20">
        <f ca="1">IFERROR(IF(0=LEN(ReferenceData!$J$20),"",ReferenceData!$J$20),"")</f>
        <v>1262.1748250000001</v>
      </c>
      <c r="N20">
        <f ca="1">IFERROR(IF(0=LEN(ReferenceData!$I$20),"",ReferenceData!$I$20),"")</f>
        <v>1244.333318</v>
      </c>
      <c r="O20">
        <f ca="1">IFERROR(IF(0=LEN(ReferenceData!$H$20),"",ReferenceData!$H$20),"")</f>
        <v>1288.917872</v>
      </c>
      <c r="P20">
        <f ca="1">IFERROR(IF(0=LEN(ReferenceData!$G$20),"",ReferenceData!$G$20),"")</f>
        <v>1355.6502519999999</v>
      </c>
      <c r="Q20">
        <f ca="1">IFERROR(IF(0=LEN(ReferenceData!$F$20),"",ReferenceData!$F$20),"")</f>
        <v>1310.079369</v>
      </c>
    </row>
    <row r="21" spans="1:17" x14ac:dyDescent="0.25">
      <c r="A21" t="str">
        <f>IFERROR(IF(0=LEN(ReferenceData!$A$21),"",ReferenceData!$A$21),"")</f>
        <v xml:space="preserve">    Wipro Ltd</v>
      </c>
      <c r="B21" t="str">
        <f>IFERROR(IF(0=LEN(ReferenceData!$B$21),"",ReferenceData!$B$21),"")</f>
        <v>WIT US Equity</v>
      </c>
      <c r="C21" t="str">
        <f>IFERROR(IF(0=LEN(ReferenceData!$C$21),"",ReferenceData!$C$21),"")</f>
        <v>IS010</v>
      </c>
      <c r="D21" t="str">
        <f>IFERROR(IF(0=LEN(ReferenceData!$D$21),"",ReferenceData!$D$21),"")</f>
        <v>SALES_REV_TURN</v>
      </c>
      <c r="E21" t="str">
        <f>IFERROR(IF(0=LEN(ReferenceData!$E$21),"",ReferenceData!$E$21),"")</f>
        <v>Dynamic</v>
      </c>
      <c r="F21">
        <f ca="1">IFERROR(IF(0=LEN(ReferenceData!$Q$21),"",ReferenceData!$Q$21),"")</f>
        <v>2112.9787710000001</v>
      </c>
      <c r="G21">
        <f ca="1">IFERROR(IF(0=LEN(ReferenceData!$P$21),"",ReferenceData!$P$21),"")</f>
        <v>2088.1630650000002</v>
      </c>
      <c r="H21">
        <f ca="1">IFERROR(IF(0=LEN(ReferenceData!$O$21),"",ReferenceData!$O$21),"")</f>
        <v>2111.5780399999999</v>
      </c>
      <c r="I21">
        <f ca="1">IFERROR(IF(0=LEN(ReferenceData!$N$21),"",ReferenceData!$N$21),"")</f>
        <v>2138.846372</v>
      </c>
      <c r="J21">
        <f ca="1">IFERROR(IF(0=LEN(ReferenceData!$M$21),"",ReferenceData!$M$21),"")</f>
        <v>2084.6355830000002</v>
      </c>
      <c r="K21">
        <f ca="1">IFERROR(IF(0=LEN(ReferenceData!$L$21),"",ReferenceData!$L$21),"")</f>
        <v>2075.4350679999998</v>
      </c>
      <c r="L21">
        <f ca="1">IFERROR(IF(0=LEN(ReferenceData!$K$21),"",ReferenceData!$K$21),"")</f>
        <v>2090.0085210000002</v>
      </c>
      <c r="M21">
        <f ca="1">IFERROR(IF(0=LEN(ReferenceData!$J$21),"",ReferenceData!$J$21),"")</f>
        <v>2129.9971970000001</v>
      </c>
      <c r="N21">
        <f ca="1">IFERROR(IF(0=LEN(ReferenceData!$I$21),"",ReferenceData!$I$21),"")</f>
        <v>2116.2294619999998</v>
      </c>
      <c r="O21">
        <f ca="1">IFERROR(IF(0=LEN(ReferenceData!$H$21),"",ReferenceData!$H$21),"")</f>
        <v>2149.4929430000002</v>
      </c>
      <c r="P21">
        <f ca="1">IFERROR(IF(0=LEN(ReferenceData!$G$21),"",ReferenceData!$G$21),"")</f>
        <v>2172.2936330000002</v>
      </c>
      <c r="Q21">
        <f ca="1">IFERROR(IF(0=LEN(ReferenceData!$F$21),"",ReferenceData!$F$21),"")</f>
        <v>2168.836906</v>
      </c>
    </row>
    <row r="22" spans="1:17" x14ac:dyDescent="0.25">
      <c r="A22" t="str">
        <f>IFERROR(IF(0=LEN(ReferenceData!$A$22),"",ReferenceData!$A$22),"")</f>
        <v>Gross Profit</v>
      </c>
      <c r="B22" t="str">
        <f>IFERROR(IF(0=LEN(ReferenceData!$B$22),"",ReferenceData!$B$22),"")</f>
        <v>BRITBPOV Index</v>
      </c>
      <c r="C22" t="str">
        <f>IFERROR(IF(0=LEN(ReferenceData!$C$22),"",ReferenceData!$C$22),"")</f>
        <v/>
      </c>
      <c r="D22" t="str">
        <f>IFERROR(IF(0=LEN(ReferenceData!$D$22),"",ReferenceData!$D$22),"")</f>
        <v/>
      </c>
      <c r="E22" t="str">
        <f>IFERROR(IF(0=LEN(ReferenceData!$E$22),"",ReferenceData!$E$22),"")</f>
        <v>Sum</v>
      </c>
      <c r="F22">
        <f ca="1">IFERROR(IF(0=LEN(ReferenceData!$Q$22),"",ReferenceData!$Q$22),"")</f>
        <v>19583.0913927</v>
      </c>
      <c r="G22">
        <f ca="1">IFERROR(IF(0=LEN(ReferenceData!$P$22),"",ReferenceData!$P$22),"")</f>
        <v>20302.8509849</v>
      </c>
      <c r="H22">
        <f ca="1">IFERROR(IF(0=LEN(ReferenceData!$O$22),"",ReferenceData!$O$22),"")</f>
        <v>22713.867099499996</v>
      </c>
      <c r="I22">
        <f ca="1">IFERROR(IF(0=LEN(ReferenceData!$N$22),"",ReferenceData!$N$22),"")</f>
        <v>19230.937822</v>
      </c>
      <c r="J22">
        <f ca="1">IFERROR(IF(0=LEN(ReferenceData!$M$22),"",ReferenceData!$M$22),"")</f>
        <v>21390.540375199998</v>
      </c>
      <c r="K22">
        <f ca="1">IFERROR(IF(0=LEN(ReferenceData!$L$22),"",ReferenceData!$L$22),"")</f>
        <v>21227.188045599996</v>
      </c>
      <c r="L22">
        <f ca="1">IFERROR(IF(0=LEN(ReferenceData!$K$22),"",ReferenceData!$K$22),"")</f>
        <v>23101.705328799999</v>
      </c>
      <c r="M22">
        <f ca="1">IFERROR(IF(0=LEN(ReferenceData!$J$22),"",ReferenceData!$J$22),"")</f>
        <v>20186.531719999999</v>
      </c>
      <c r="N22">
        <f ca="1">IFERROR(IF(0=LEN(ReferenceData!$I$22),"",ReferenceData!$I$22),"")</f>
        <v>21413.771786099998</v>
      </c>
      <c r="O22">
        <f ca="1">IFERROR(IF(0=LEN(ReferenceData!$H$22),"",ReferenceData!$H$22),"")</f>
        <v>20849.957725</v>
      </c>
      <c r="P22">
        <f ca="1">IFERROR(IF(0=LEN(ReferenceData!$G$22),"",ReferenceData!$G$22),"")</f>
        <v>23981.744383999998</v>
      </c>
      <c r="Q22">
        <f ca="1">IFERROR(IF(0=LEN(ReferenceData!$F$22),"",ReferenceData!$F$22),"")</f>
        <v>20293.297756399999</v>
      </c>
    </row>
    <row r="23" spans="1:17" x14ac:dyDescent="0.25">
      <c r="A23" t="str">
        <f>IFERROR(IF(0=LEN(ReferenceData!$A$23),"",ReferenceData!$A$23),"")</f>
        <v xml:space="preserve">    Accenture PLC</v>
      </c>
      <c r="B23" t="str">
        <f>IFERROR(IF(0=LEN(ReferenceData!$B$23),"",ReferenceData!$B$23),"")</f>
        <v>ACN US Equity</v>
      </c>
      <c r="C23" t="str">
        <f>IFERROR(IF(0=LEN(ReferenceData!$C$23),"",ReferenceData!$C$23),"")</f>
        <v>RR861</v>
      </c>
      <c r="D23" t="str">
        <f>IFERROR(IF(0=LEN(ReferenceData!$D$23),"",ReferenceData!$D$23),"")</f>
        <v>GROSS_PROFIT</v>
      </c>
      <c r="E23" t="str">
        <f>IFERROR(IF(0=LEN(ReferenceData!$E$23),"",ReferenceData!$E$23),"")</f>
        <v>Dynamic</v>
      </c>
      <c r="F23">
        <f ca="1">IFERROR(IF(0=LEN(ReferenceData!$Q$23),"",ReferenceData!$Q$23),"")</f>
        <v>2909.6309999999999</v>
      </c>
      <c r="G23">
        <f ca="1">IFERROR(IF(0=LEN(ReferenceData!$P$23),"",ReferenceData!$P$23),"")</f>
        <v>2886.6729999999998</v>
      </c>
      <c r="H23">
        <f ca="1">IFERROR(IF(0=LEN(ReferenceData!$O$23),"",ReferenceData!$O$23),"")</f>
        <v>3064.1529999999998</v>
      </c>
      <c r="I23">
        <f ca="1">IFERROR(IF(0=LEN(ReferenceData!$N$23),"",ReferenceData!$N$23),"")</f>
        <v>2859.54</v>
      </c>
      <c r="J23">
        <f ca="1">IFERROR(IF(0=LEN(ReferenceData!$M$23),"",ReferenceData!$M$23),"")</f>
        <v>3332.0149999999999</v>
      </c>
      <c r="K23">
        <f ca="1">IFERROR(IF(0=LEN(ReferenceData!$L$23),"",ReferenceData!$L$23),"")</f>
        <v>3237.6559999999999</v>
      </c>
      <c r="L23">
        <f ca="1">IFERROR(IF(0=LEN(ReferenceData!$K$23),"",ReferenceData!$K$23),"")</f>
        <v>3297.4250000000002</v>
      </c>
      <c r="M23">
        <f ca="1">IFERROR(IF(0=LEN(ReferenceData!$J$23),"",ReferenceData!$J$23),"")</f>
        <v>3054.3490000000002</v>
      </c>
      <c r="N23">
        <f ca="1">IFERROR(IF(0=LEN(ReferenceData!$I$23),"",ReferenceData!$I$23),"")</f>
        <v>3528.2979999999998</v>
      </c>
      <c r="O23">
        <f ca="1">IFERROR(IF(0=LEN(ReferenceData!$H$23),"",ReferenceData!$H$23),"")</f>
        <v>3434.616</v>
      </c>
      <c r="P23">
        <f ca="1">IFERROR(IF(0=LEN(ReferenceData!$G$23),"",ReferenceData!$G$23),"")</f>
        <v>3647.759</v>
      </c>
      <c r="Q23">
        <f ca="1">IFERROR(IF(0=LEN(ReferenceData!$F$23),"",ReferenceData!$F$23),"")</f>
        <v>3359.1709999999998</v>
      </c>
    </row>
    <row r="24" spans="1:17" x14ac:dyDescent="0.25">
      <c r="A24" t="str">
        <f>IFERROR(IF(0=LEN(ReferenceData!$A$24),"",ReferenceData!$A$24),"")</f>
        <v xml:space="preserve">    Amdocs Ltd</v>
      </c>
      <c r="B24" t="str">
        <f>IFERROR(IF(0=LEN(ReferenceData!$B$24),"",ReferenceData!$B$24),"")</f>
        <v>DOX US Equity</v>
      </c>
      <c r="C24" t="str">
        <f>IFERROR(IF(0=LEN(ReferenceData!$C$24),"",ReferenceData!$C$24),"")</f>
        <v>RR861</v>
      </c>
      <c r="D24" t="str">
        <f>IFERROR(IF(0=LEN(ReferenceData!$D$24),"",ReferenceData!$D$24),"")</f>
        <v>GROSS_PROFIT</v>
      </c>
      <c r="E24" t="str">
        <f>IFERROR(IF(0=LEN(ReferenceData!$E$24),"",ReferenceData!$E$24),"")</f>
        <v>Dynamic</v>
      </c>
      <c r="F24">
        <f ca="1">IFERROR(IF(0=LEN(ReferenceData!$Q$24),"",ReferenceData!$Q$24),"")</f>
        <v>338.05500000000001</v>
      </c>
      <c r="G24">
        <f ca="1">IFERROR(IF(0=LEN(ReferenceData!$P$24),"",ReferenceData!$P$24),"")</f>
        <v>343.279</v>
      </c>
      <c r="H24">
        <f ca="1">IFERROR(IF(0=LEN(ReferenceData!$O$24),"",ReferenceData!$O$24),"")</f>
        <v>334.51400000000001</v>
      </c>
      <c r="I24">
        <f ca="1">IFERROR(IF(0=LEN(ReferenceData!$N$24),"",ReferenceData!$N$24),"")</f>
        <v>345.75299999999999</v>
      </c>
      <c r="J24">
        <f ca="1">IFERROR(IF(0=LEN(ReferenceData!$M$24),"",ReferenceData!$M$24),"")</f>
        <v>351.62900000000002</v>
      </c>
      <c r="K24">
        <f ca="1">IFERROR(IF(0=LEN(ReferenceData!$L$24),"",ReferenceData!$L$24),"")</f>
        <v>347.66500000000002</v>
      </c>
      <c r="L24">
        <f ca="1">IFERROR(IF(0=LEN(ReferenceData!$K$24),"",ReferenceData!$K$24),"")</f>
        <v>349.48700000000002</v>
      </c>
      <c r="M24">
        <f ca="1">IFERROR(IF(0=LEN(ReferenceData!$J$24),"",ReferenceData!$J$24),"")</f>
        <v>361.04399999999998</v>
      </c>
      <c r="N24">
        <f ca="1">IFERROR(IF(0=LEN(ReferenceData!$I$24),"",ReferenceData!$I$24),"")</f>
        <v>359.84199999999998</v>
      </c>
      <c r="O24">
        <f ca="1">IFERROR(IF(0=LEN(ReferenceData!$H$24),"",ReferenceData!$H$24),"")</f>
        <v>363.12400000000002</v>
      </c>
      <c r="P24">
        <f ca="1">IFERROR(IF(0=LEN(ReferenceData!$G$24),"",ReferenceData!$G$24),"")</f>
        <v>355.64499999999998</v>
      </c>
      <c r="Q24">
        <f ca="1">IFERROR(IF(0=LEN(ReferenceData!$F$24),"",ReferenceData!$F$24),"")</f>
        <v>363.96300000000002</v>
      </c>
    </row>
    <row r="25" spans="1:17" x14ac:dyDescent="0.25">
      <c r="A25" t="str">
        <f>IFERROR(IF(0=LEN(ReferenceData!$A$25),"",ReferenceData!$A$25),"")</f>
        <v xml:space="preserve">    Atos SE</v>
      </c>
      <c r="B25" t="str">
        <f>IFERROR(IF(0=LEN(ReferenceData!$B$25),"",ReferenceData!$B$25),"")</f>
        <v>ATO FP Equity</v>
      </c>
      <c r="C25" t="str">
        <f>IFERROR(IF(0=LEN(ReferenceData!$C$25),"",ReferenceData!$C$25),"")</f>
        <v>RR861</v>
      </c>
      <c r="D25" t="str">
        <f>IFERROR(IF(0=LEN(ReferenceData!$D$25),"",ReferenceData!$D$25),"")</f>
        <v>GROSS_PROFIT</v>
      </c>
      <c r="E25" t="str">
        <f>IFERROR(IF(0=LEN(ReferenceData!$E$25),"",ReferenceData!$E$25),"")</f>
        <v>Dynamic</v>
      </c>
      <c r="F25" t="str">
        <f ca="1">IFERROR(IF(0=LEN(ReferenceData!$Q$25),"",ReferenceData!$Q$25),"")</f>
        <v/>
      </c>
      <c r="G25" t="str">
        <f ca="1">IFERROR(IF(0=LEN(ReferenceData!$P$25),"",ReferenceData!$P$25),"")</f>
        <v/>
      </c>
      <c r="H25" t="str">
        <f ca="1">IFERROR(IF(0=LEN(ReferenceData!$O$25),"",ReferenceData!$O$25),"")</f>
        <v/>
      </c>
      <c r="I25" t="str">
        <f ca="1">IFERROR(IF(0=LEN(ReferenceData!$N$25),"",ReferenceData!$N$25),"")</f>
        <v/>
      </c>
      <c r="J25" t="str">
        <f ca="1">IFERROR(IF(0=LEN(ReferenceData!$M$25),"",ReferenceData!$M$25),"")</f>
        <v/>
      </c>
      <c r="K25" t="str">
        <f ca="1">IFERROR(IF(0=LEN(ReferenceData!$L$25),"",ReferenceData!$L$25),"")</f>
        <v/>
      </c>
      <c r="L25" t="str">
        <f ca="1">IFERROR(IF(0=LEN(ReferenceData!$K$25),"",ReferenceData!$K$25),"")</f>
        <v/>
      </c>
      <c r="M25" t="str">
        <f ca="1">IFERROR(IF(0=LEN(ReferenceData!$J$25),"",ReferenceData!$J$25),"")</f>
        <v/>
      </c>
      <c r="N25" t="str">
        <f ca="1">IFERROR(IF(0=LEN(ReferenceData!$I$25),"",ReferenceData!$I$25),"")</f>
        <v/>
      </c>
      <c r="O25" t="str">
        <f ca="1">IFERROR(IF(0=LEN(ReferenceData!$H$25),"",ReferenceData!$H$25),"")</f>
        <v/>
      </c>
      <c r="P25" t="str">
        <f ca="1">IFERROR(IF(0=LEN(ReferenceData!$G$25),"",ReferenceData!$G$25),"")</f>
        <v/>
      </c>
      <c r="Q25" t="str">
        <f ca="1">IFERROR(IF(0=LEN(ReferenceData!$F$25),"",ReferenceData!$F$25),"")</f>
        <v/>
      </c>
    </row>
    <row r="26" spans="1:17" x14ac:dyDescent="0.25">
      <c r="A26" t="str">
        <f>IFERROR(IF(0=LEN(ReferenceData!$A$26),"",ReferenceData!$A$26),"")</f>
        <v xml:space="preserve">    Capgemini SE</v>
      </c>
      <c r="B26" t="str">
        <f>IFERROR(IF(0=LEN(ReferenceData!$B$26),"",ReferenceData!$B$26),"")</f>
        <v>CAP FP Equity</v>
      </c>
      <c r="C26" t="str">
        <f>IFERROR(IF(0=LEN(ReferenceData!$C$26),"",ReferenceData!$C$26),"")</f>
        <v>RR861</v>
      </c>
      <c r="D26" t="str">
        <f>IFERROR(IF(0=LEN(ReferenceData!$D$26),"",ReferenceData!$D$26),"")</f>
        <v>GROSS_PROFIT</v>
      </c>
      <c r="E26" t="str">
        <f>IFERROR(IF(0=LEN(ReferenceData!$E$26),"",ReferenceData!$E$26),"")</f>
        <v>Dynamic</v>
      </c>
      <c r="F26" t="str">
        <f ca="1">IFERROR(IF(0=LEN(ReferenceData!$Q$26),"",ReferenceData!$Q$26),"")</f>
        <v/>
      </c>
      <c r="G26" t="str">
        <f ca="1">IFERROR(IF(0=LEN(ReferenceData!$P$26),"",ReferenceData!$P$26),"")</f>
        <v/>
      </c>
      <c r="H26" t="str">
        <f ca="1">IFERROR(IF(0=LEN(ReferenceData!$O$26),"",ReferenceData!$O$26),"")</f>
        <v/>
      </c>
      <c r="I26" t="str">
        <f ca="1">IFERROR(IF(0=LEN(ReferenceData!$N$26),"",ReferenceData!$N$26),"")</f>
        <v/>
      </c>
      <c r="J26" t="str">
        <f ca="1">IFERROR(IF(0=LEN(ReferenceData!$M$26),"",ReferenceData!$M$26),"")</f>
        <v/>
      </c>
      <c r="K26" t="str">
        <f ca="1">IFERROR(IF(0=LEN(ReferenceData!$L$26),"",ReferenceData!$L$26),"")</f>
        <v/>
      </c>
      <c r="L26" t="str">
        <f ca="1">IFERROR(IF(0=LEN(ReferenceData!$K$26),"",ReferenceData!$K$26),"")</f>
        <v/>
      </c>
      <c r="M26" t="str">
        <f ca="1">IFERROR(IF(0=LEN(ReferenceData!$J$26),"",ReferenceData!$J$26),"")</f>
        <v/>
      </c>
      <c r="N26" t="str">
        <f ca="1">IFERROR(IF(0=LEN(ReferenceData!$I$26),"",ReferenceData!$I$26),"")</f>
        <v/>
      </c>
      <c r="O26" t="str">
        <f ca="1">IFERROR(IF(0=LEN(ReferenceData!$H$26),"",ReferenceData!$H$26),"")</f>
        <v/>
      </c>
      <c r="P26" t="str">
        <f ca="1">IFERROR(IF(0=LEN(ReferenceData!$G$26),"",ReferenceData!$G$26),"")</f>
        <v/>
      </c>
      <c r="Q26" t="str">
        <f ca="1">IFERROR(IF(0=LEN(ReferenceData!$F$26),"",ReferenceData!$F$26),"")</f>
        <v/>
      </c>
    </row>
    <row r="27" spans="1:17" x14ac:dyDescent="0.25">
      <c r="A27" t="str">
        <f>IFERROR(IF(0=LEN(ReferenceData!$A$27),"",ReferenceData!$A$27),"")</f>
        <v xml:space="preserve">    CGI Inc</v>
      </c>
      <c r="B27" t="str">
        <f>IFERROR(IF(0=LEN(ReferenceData!$B$27),"",ReferenceData!$B$27),"")</f>
        <v>GIB US Equity</v>
      </c>
      <c r="C27" t="str">
        <f>IFERROR(IF(0=LEN(ReferenceData!$C$27),"",ReferenceData!$C$27),"")</f>
        <v>RR861</v>
      </c>
      <c r="D27" t="str">
        <f>IFERROR(IF(0=LEN(ReferenceData!$D$27),"",ReferenceData!$D$27),"")</f>
        <v>GROSS_PROFIT</v>
      </c>
      <c r="E27" t="str">
        <f>IFERROR(IF(0=LEN(ReferenceData!$E$27),"",ReferenceData!$E$27),"")</f>
        <v>Dynamic</v>
      </c>
      <c r="F27">
        <f ca="1">IFERROR(IF(0=LEN(ReferenceData!$Q$27),"",ReferenceData!$Q$27),"")</f>
        <v>297.40814360000002</v>
      </c>
      <c r="G27">
        <f ca="1">IFERROR(IF(0=LEN(ReferenceData!$P$27),"",ReferenceData!$P$27),"")</f>
        <v>313.55274050000003</v>
      </c>
      <c r="H27">
        <f ca="1">IFERROR(IF(0=LEN(ReferenceData!$O$27),"",ReferenceData!$O$27),"")</f>
        <v>319.63052909999999</v>
      </c>
      <c r="I27">
        <f ca="1">IFERROR(IF(0=LEN(ReferenceData!$N$27),"",ReferenceData!$N$27),"")</f>
        <v>335.57726960000002</v>
      </c>
      <c r="J27">
        <f ca="1">IFERROR(IF(0=LEN(ReferenceData!$M$27),"",ReferenceData!$M$27),"")</f>
        <v>338.620069</v>
      </c>
      <c r="K27">
        <f ca="1">IFERROR(IF(0=LEN(ReferenceData!$L$27),"",ReferenceData!$L$27),"")</f>
        <v>334.60496849999998</v>
      </c>
      <c r="L27">
        <f ca="1">IFERROR(IF(0=LEN(ReferenceData!$K$27),"",ReferenceData!$K$27),"")</f>
        <v>330.91075699999999</v>
      </c>
      <c r="M27">
        <f ca="1">IFERROR(IF(0=LEN(ReferenceData!$J$27),"",ReferenceData!$J$27),"")</f>
        <v>343.95636610000003</v>
      </c>
      <c r="N27">
        <f ca="1">IFERROR(IF(0=LEN(ReferenceData!$I$27),"",ReferenceData!$I$27),"")</f>
        <v>355.37162430000001</v>
      </c>
      <c r="O27">
        <f ca="1">IFERROR(IF(0=LEN(ReferenceData!$H$27),"",ReferenceData!$H$27),"")</f>
        <v>346.31609250000002</v>
      </c>
      <c r="P27">
        <f ca="1">IFERROR(IF(0=LEN(ReferenceData!$G$27),"",ReferenceData!$G$27),"")</f>
        <v>359.91563250000002</v>
      </c>
      <c r="Q27">
        <f ca="1">IFERROR(IF(0=LEN(ReferenceData!$F$27),"",ReferenceData!$F$27),"")</f>
        <v>361.64946079999999</v>
      </c>
    </row>
    <row r="28" spans="1:17" x14ac:dyDescent="0.25">
      <c r="A28" t="str">
        <f>IFERROR(IF(0=LEN(ReferenceData!$A$28),"",ReferenceData!$A$28),"")</f>
        <v xml:space="preserve">    Cognizant Technology Solutions Corp</v>
      </c>
      <c r="B28" t="str">
        <f>IFERROR(IF(0=LEN(ReferenceData!$B$28),"",ReferenceData!$B$28),"")</f>
        <v>CTSH US Equity</v>
      </c>
      <c r="C28" t="str">
        <f>IFERROR(IF(0=LEN(ReferenceData!$C$28),"",ReferenceData!$C$28),"")</f>
        <v>RR861</v>
      </c>
      <c r="D28" t="str">
        <f>IFERROR(IF(0=LEN(ReferenceData!$D$28),"",ReferenceData!$D$28),"")</f>
        <v>GROSS_PROFIT</v>
      </c>
      <c r="E28" t="str">
        <f>IFERROR(IF(0=LEN(ReferenceData!$E$28),"",ReferenceData!$E$28),"")</f>
        <v>Dynamic</v>
      </c>
      <c r="F28">
        <f ca="1">IFERROR(IF(0=LEN(ReferenceData!$Q$28),"",ReferenceData!$Q$28),"")</f>
        <v>1409</v>
      </c>
      <c r="G28">
        <f ca="1">IFERROR(IF(0=LEN(ReferenceData!$P$28),"",ReferenceData!$P$28),"")</f>
        <v>1429</v>
      </c>
      <c r="H28">
        <f ca="1">IFERROR(IF(0=LEN(ReferenceData!$O$28),"",ReferenceData!$O$28),"")</f>
        <v>1468</v>
      </c>
      <c r="I28">
        <f ca="1">IFERROR(IF(0=LEN(ReferenceData!$N$28),"",ReferenceData!$N$28),"")</f>
        <v>1511</v>
      </c>
      <c r="J28">
        <f ca="1">IFERROR(IF(0=LEN(ReferenceData!$M$28),"",ReferenceData!$M$28),"")</f>
        <v>1589</v>
      </c>
      <c r="K28">
        <f ca="1">IFERROR(IF(0=LEN(ReferenceData!$L$28),"",ReferenceData!$L$28),"")</f>
        <v>1598</v>
      </c>
      <c r="L28">
        <f ca="1">IFERROR(IF(0=LEN(ReferenceData!$K$28),"",ReferenceData!$K$28),"")</f>
        <v>1589</v>
      </c>
      <c r="M28">
        <f ca="1">IFERROR(IF(0=LEN(ReferenceData!$J$28),"",ReferenceData!$J$28),"")</f>
        <v>1535</v>
      </c>
      <c r="N28">
        <f ca="1">IFERROR(IF(0=LEN(ReferenceData!$I$28),"",ReferenceData!$I$28),"")</f>
        <v>1512</v>
      </c>
      <c r="O28">
        <f ca="1">IFERROR(IF(0=LEN(ReferenceData!$H$28),"",ReferenceData!$H$28),"")</f>
        <v>1567</v>
      </c>
      <c r="P28">
        <f ca="1">IFERROR(IF(0=LEN(ReferenceData!$G$28),"",ReferenceData!$G$28),"")</f>
        <v>1535</v>
      </c>
      <c r="Q28">
        <f ca="1">IFERROR(IF(0=LEN(ReferenceData!$F$28),"",ReferenceData!$F$28),"")</f>
        <v>1478</v>
      </c>
    </row>
    <row r="29" spans="1:17" x14ac:dyDescent="0.25">
      <c r="A29" t="str">
        <f>IFERROR(IF(0=LEN(ReferenceData!$A$29),"",ReferenceData!$A$29),"")</f>
        <v xml:space="preserve">    Conduent Inc</v>
      </c>
      <c r="B29" t="str">
        <f>IFERROR(IF(0=LEN(ReferenceData!$B$29),"",ReferenceData!$B$29),"")</f>
        <v>CNDT US Equity</v>
      </c>
      <c r="C29" t="str">
        <f>IFERROR(IF(0=LEN(ReferenceData!$C$29),"",ReferenceData!$C$29),"")</f>
        <v>RR861</v>
      </c>
      <c r="D29" t="str">
        <f>IFERROR(IF(0=LEN(ReferenceData!$D$29),"",ReferenceData!$D$29),"")</f>
        <v>GROSS_PROFIT</v>
      </c>
      <c r="E29" t="str">
        <f>IFERROR(IF(0=LEN(ReferenceData!$E$29),"",ReferenceData!$E$29),"")</f>
        <v>Dynamic</v>
      </c>
      <c r="F29">
        <f ca="1">IFERROR(IF(0=LEN(ReferenceData!$Q$29),"",ReferenceData!$Q$29),"")</f>
        <v>243</v>
      </c>
      <c r="G29">
        <f ca="1">IFERROR(IF(0=LEN(ReferenceData!$P$29),"",ReferenceData!$P$29),"")</f>
        <v>261</v>
      </c>
      <c r="H29">
        <f ca="1">IFERROR(IF(0=LEN(ReferenceData!$O$29),"",ReferenceData!$O$29),"")</f>
        <v>339</v>
      </c>
      <c r="I29">
        <f ca="1">IFERROR(IF(0=LEN(ReferenceData!$N$29),"",ReferenceData!$N$29),"")</f>
        <v>305</v>
      </c>
      <c r="J29">
        <f ca="1">IFERROR(IF(0=LEN(ReferenceData!$M$29),"",ReferenceData!$M$29),"")</f>
        <v>314</v>
      </c>
      <c r="K29">
        <f ca="1">IFERROR(IF(0=LEN(ReferenceData!$L$29),"",ReferenceData!$L$29),"")</f>
        <v>299</v>
      </c>
      <c r="L29">
        <f ca="1">IFERROR(IF(0=LEN(ReferenceData!$K$29),"",ReferenceData!$K$29),"")</f>
        <v>293</v>
      </c>
      <c r="M29">
        <f ca="1">IFERROR(IF(0=LEN(ReferenceData!$J$29),"",ReferenceData!$J$29),"")</f>
        <v>252</v>
      </c>
      <c r="N29">
        <f ca="1">IFERROR(IF(0=LEN(ReferenceData!$I$29),"",ReferenceData!$I$29),"")</f>
        <v>233</v>
      </c>
      <c r="O29">
        <f ca="1">IFERROR(IF(0=LEN(ReferenceData!$H$29),"",ReferenceData!$H$29),"")</f>
        <v>239</v>
      </c>
      <c r="P29">
        <f ca="1">IFERROR(IF(0=LEN(ReferenceData!$G$29),"",ReferenceData!$G$29),"")</f>
        <v>249</v>
      </c>
      <c r="Q29">
        <f ca="1">IFERROR(IF(0=LEN(ReferenceData!$F$29),"",ReferenceData!$F$29),"")</f>
        <v>219</v>
      </c>
    </row>
    <row r="30" spans="1:17" x14ac:dyDescent="0.25">
      <c r="A30" t="str">
        <f>IFERROR(IF(0=LEN(ReferenceData!$A$30),"",ReferenceData!$A$30),"")</f>
        <v xml:space="preserve">    DXC Technology Co</v>
      </c>
      <c r="B30" t="str">
        <f>IFERROR(IF(0=LEN(ReferenceData!$B$30),"",ReferenceData!$B$30),"")</f>
        <v>DXC US Equity</v>
      </c>
      <c r="C30" t="str">
        <f>IFERROR(IF(0=LEN(ReferenceData!$C$30),"",ReferenceData!$C$30),"")</f>
        <v>RR861</v>
      </c>
      <c r="D30" t="str">
        <f>IFERROR(IF(0=LEN(ReferenceData!$D$30),"",ReferenceData!$D$30),"")</f>
        <v>GROSS_PROFIT</v>
      </c>
      <c r="E30" t="str">
        <f>IFERROR(IF(0=LEN(ReferenceData!$E$30),"",ReferenceData!$E$30),"")</f>
        <v>Dynamic</v>
      </c>
      <c r="F30">
        <f ca="1">IFERROR(IF(0=LEN(ReferenceData!$Q$30),"",ReferenceData!$Q$30),"")</f>
        <v>927</v>
      </c>
      <c r="G30">
        <f ca="1">IFERROR(IF(0=LEN(ReferenceData!$P$30),"",ReferenceData!$P$30),"")</f>
        <v>1583</v>
      </c>
      <c r="H30">
        <f ca="1">IFERROR(IF(0=LEN(ReferenceData!$O$30),"",ReferenceData!$O$30),"")</f>
        <v>1409</v>
      </c>
      <c r="I30">
        <f ca="1">IFERROR(IF(0=LEN(ReferenceData!$N$30),"",ReferenceData!$N$30),"")</f>
        <v>1497</v>
      </c>
      <c r="J30">
        <f ca="1">IFERROR(IF(0=LEN(ReferenceData!$M$30),"",ReferenceData!$M$30),"")</f>
        <v>1415</v>
      </c>
      <c r="K30">
        <f ca="1">IFERROR(IF(0=LEN(ReferenceData!$L$30),"",ReferenceData!$L$30),"")</f>
        <v>1495</v>
      </c>
      <c r="L30">
        <f ca="1">IFERROR(IF(0=LEN(ReferenceData!$K$30),"",ReferenceData!$K$30),"")</f>
        <v>1453</v>
      </c>
      <c r="M30">
        <f ca="1">IFERROR(IF(0=LEN(ReferenceData!$J$30),"",ReferenceData!$J$30),"")</f>
        <v>1444</v>
      </c>
      <c r="N30">
        <f ca="1">IFERROR(IF(0=LEN(ReferenceData!$I$30),"",ReferenceData!$I$30),"")</f>
        <v>1268</v>
      </c>
      <c r="O30">
        <f ca="1">IFERROR(IF(0=LEN(ReferenceData!$H$30),"",ReferenceData!$H$30),"")</f>
        <v>1172</v>
      </c>
      <c r="P30">
        <f ca="1">IFERROR(IF(0=LEN(ReferenceData!$G$30),"",ReferenceData!$G$30),"")</f>
        <v>1194</v>
      </c>
      <c r="Q30">
        <f ca="1">IFERROR(IF(0=LEN(ReferenceData!$F$30),"",ReferenceData!$F$30),"")</f>
        <v>1042</v>
      </c>
    </row>
    <row r="31" spans="1:17" x14ac:dyDescent="0.25">
      <c r="A31" t="str">
        <f>IFERROR(IF(0=LEN(ReferenceData!$A$31),"",ReferenceData!$A$31),"")</f>
        <v xml:space="preserve">    EPAM Systems Inc</v>
      </c>
      <c r="B31" t="str">
        <f>IFERROR(IF(0=LEN(ReferenceData!$B$31),"",ReferenceData!$B$31),"")</f>
        <v>EPAM US Equity</v>
      </c>
      <c r="C31" t="str">
        <f>IFERROR(IF(0=LEN(ReferenceData!$C$31),"",ReferenceData!$C$31),"")</f>
        <v>RR861</v>
      </c>
      <c r="D31" t="str">
        <f>IFERROR(IF(0=LEN(ReferenceData!$D$31),"",ReferenceData!$D$31),"")</f>
        <v>GROSS_PROFIT</v>
      </c>
      <c r="E31" t="str">
        <f>IFERROR(IF(0=LEN(ReferenceData!$E$31),"",ReferenceData!$E$31),"")</f>
        <v>Dynamic</v>
      </c>
      <c r="F31">
        <f ca="1">IFERROR(IF(0=LEN(ReferenceData!$Q$31),"",ReferenceData!$Q$31),"")</f>
        <v>128.845</v>
      </c>
      <c r="G31">
        <f ca="1">IFERROR(IF(0=LEN(ReferenceData!$P$31),"",ReferenceData!$P$31),"")</f>
        <v>138.154</v>
      </c>
      <c r="H31">
        <f ca="1">IFERROR(IF(0=LEN(ReferenceData!$O$31),"",ReferenceData!$O$31),"")</f>
        <v>145.17599999999999</v>
      </c>
      <c r="I31">
        <f ca="1">IFERROR(IF(0=LEN(ReferenceData!$N$31),"",ReferenceData!$N$31),"")</f>
        <v>146.51400000000001</v>
      </c>
      <c r="J31">
        <f ca="1">IFERROR(IF(0=LEN(ReferenceData!$M$31),"",ReferenceData!$M$31),"")</f>
        <v>156.47200000000001</v>
      </c>
      <c r="K31">
        <f ca="1">IFERROR(IF(0=LEN(ReferenceData!$L$31),"",ReferenceData!$L$31),"")</f>
        <v>167.10499999999999</v>
      </c>
      <c r="L31">
        <f ca="1">IFERROR(IF(0=LEN(ReferenceData!$K$31),"",ReferenceData!$K$31),"")</f>
        <v>185.9</v>
      </c>
      <c r="M31">
        <f ca="1">IFERROR(IF(0=LEN(ReferenceData!$J$31),"",ReferenceData!$J$31),"")</f>
        <v>176.64400000000001</v>
      </c>
      <c r="N31">
        <f ca="1">IFERROR(IF(0=LEN(ReferenceData!$I$31),"",ReferenceData!$I$31),"")</f>
        <v>195.672</v>
      </c>
      <c r="O31">
        <f ca="1">IFERROR(IF(0=LEN(ReferenceData!$H$31),"",ReferenceData!$H$31),"")</f>
        <v>210.578</v>
      </c>
      <c r="P31">
        <f ca="1">IFERROR(IF(0=LEN(ReferenceData!$G$31),"",ReferenceData!$G$31),"")</f>
        <v>222.70599999999999</v>
      </c>
      <c r="Q31">
        <f ca="1">IFERROR(IF(0=LEN(ReferenceData!$F$31),"",ReferenceData!$F$31),"")</f>
        <v>227.55699999999999</v>
      </c>
    </row>
    <row r="32" spans="1:17" x14ac:dyDescent="0.25">
      <c r="A32" t="str">
        <f>IFERROR(IF(0=LEN(ReferenceData!$A$32),"",ReferenceData!$A$32),"")</f>
        <v xml:space="preserve">    Genpact Ltd</v>
      </c>
      <c r="B32" t="str">
        <f>IFERROR(IF(0=LEN(ReferenceData!$B$32),"",ReferenceData!$B$32),"")</f>
        <v>G US Equity</v>
      </c>
      <c r="C32" t="str">
        <f>IFERROR(IF(0=LEN(ReferenceData!$C$32),"",ReferenceData!$C$32),"")</f>
        <v>RR861</v>
      </c>
      <c r="D32" t="str">
        <f>IFERROR(IF(0=LEN(ReferenceData!$D$32),"",ReferenceData!$D$32),"")</f>
        <v>GROSS_PROFIT</v>
      </c>
      <c r="E32" t="str">
        <f>IFERROR(IF(0=LEN(ReferenceData!$E$32),"",ReferenceData!$E$32),"")</f>
        <v>Dynamic</v>
      </c>
      <c r="F32">
        <f ca="1">IFERROR(IF(0=LEN(ReferenceData!$Q$32),"",ReferenceData!$Q$32),"")</f>
        <v>256.18900000000002</v>
      </c>
      <c r="G32">
        <f ca="1">IFERROR(IF(0=LEN(ReferenceData!$P$32),"",ReferenceData!$P$32),"")</f>
        <v>280.03399999999999</v>
      </c>
      <c r="H32">
        <f ca="1">IFERROR(IF(0=LEN(ReferenceData!$O$32),"",ReferenceData!$O$32),"")</f>
        <v>279.61</v>
      </c>
      <c r="I32">
        <f ca="1">IFERROR(IF(0=LEN(ReferenceData!$N$32),"",ReferenceData!$N$32),"")</f>
        <v>244.58799999999999</v>
      </c>
      <c r="J32">
        <f ca="1">IFERROR(IF(0=LEN(ReferenceData!$M$32),"",ReferenceData!$M$32),"")</f>
        <v>265.66300000000001</v>
      </c>
      <c r="K32">
        <f ca="1">IFERROR(IF(0=LEN(ReferenceData!$L$32),"",ReferenceData!$L$32),"")</f>
        <v>266.56599999999997</v>
      </c>
      <c r="L32">
        <f ca="1">IFERROR(IF(0=LEN(ReferenceData!$K$32),"",ReferenceData!$K$32),"")</f>
        <v>302.20499999999998</v>
      </c>
      <c r="M32">
        <f ca="1">IFERROR(IF(0=LEN(ReferenceData!$J$32),"",ReferenceData!$J$32),"")</f>
        <v>290.06900000000002</v>
      </c>
      <c r="N32">
        <f ca="1">IFERROR(IF(0=LEN(ReferenceData!$I$32),"",ReferenceData!$I$32),"")</f>
        <v>310.55500000000001</v>
      </c>
      <c r="O32">
        <f ca="1">IFERROR(IF(0=LEN(ReferenceData!$H$32),"",ReferenceData!$H$32),"")</f>
        <v>315.14</v>
      </c>
      <c r="P32">
        <f ca="1">IFERROR(IF(0=LEN(ReferenceData!$G$32),"",ReferenceData!$G$32),"")</f>
        <v>310.09100000000001</v>
      </c>
      <c r="Q32">
        <f ca="1">IFERROR(IF(0=LEN(ReferenceData!$F$32),"",ReferenceData!$F$32),"")</f>
        <v>318.42099999999999</v>
      </c>
    </row>
    <row r="33" spans="1:17" x14ac:dyDescent="0.25">
      <c r="A33" t="str">
        <f>IFERROR(IF(0=LEN(ReferenceData!$A$33),"",ReferenceData!$A$33),"")</f>
        <v xml:space="preserve">    HCL Technologies Ltd</v>
      </c>
      <c r="B33" t="str">
        <f>IFERROR(IF(0=LEN(ReferenceData!$B$33),"",ReferenceData!$B$33),"")</f>
        <v>HCLT IN Equity</v>
      </c>
      <c r="C33" t="str">
        <f>IFERROR(IF(0=LEN(ReferenceData!$C$33),"",ReferenceData!$C$33),"")</f>
        <v>RR861</v>
      </c>
      <c r="D33" t="str">
        <f>IFERROR(IF(0=LEN(ReferenceData!$D$33),"",ReferenceData!$D$33),"")</f>
        <v>GROSS_PROFIT</v>
      </c>
      <c r="E33" t="str">
        <f>IFERROR(IF(0=LEN(ReferenceData!$E$33),"",ReferenceData!$E$33),"")</f>
        <v>Dynamic</v>
      </c>
      <c r="F33">
        <f ca="1">IFERROR(IF(0=LEN(ReferenceData!$Q$33),"",ReferenceData!$Q$33),"")</f>
        <v>634.6</v>
      </c>
      <c r="G33">
        <f ca="1">IFERROR(IF(0=LEN(ReferenceData!$P$33),"",ReferenceData!$P$33),"")</f>
        <v>655.4</v>
      </c>
      <c r="H33">
        <f ca="1">IFERROR(IF(0=LEN(ReferenceData!$O$33),"",ReferenceData!$O$33),"")</f>
        <v>682.1</v>
      </c>
      <c r="I33" t="str">
        <f ca="1">IFERROR(IF(0=LEN(ReferenceData!$N$33),"",ReferenceData!$N$33),"")</f>
        <v/>
      </c>
      <c r="J33">
        <f ca="1">IFERROR(IF(0=LEN(ReferenceData!$M$33),"",ReferenceData!$M$33),"")</f>
        <v>706.5</v>
      </c>
      <c r="K33">
        <f ca="1">IFERROR(IF(0=LEN(ReferenceData!$L$33),"",ReferenceData!$L$33),"")</f>
        <v>775.5</v>
      </c>
      <c r="L33">
        <f ca="1">IFERROR(IF(0=LEN(ReferenceData!$K$33),"",ReferenceData!$K$33),"")</f>
        <v>776.5</v>
      </c>
      <c r="M33">
        <f ca="1">IFERROR(IF(0=LEN(ReferenceData!$J$33),"",ReferenceData!$J$33),"")</f>
        <v>791.9</v>
      </c>
      <c r="N33">
        <f ca="1">IFERROR(IF(0=LEN(ReferenceData!$I$33),"",ReferenceData!$I$33),"")</f>
        <v>792.3</v>
      </c>
      <c r="O33">
        <f ca="1">IFERROR(IF(0=LEN(ReferenceData!$H$33),"",ReferenceData!$H$33),"")</f>
        <v>917.1</v>
      </c>
      <c r="P33">
        <f ca="1">IFERROR(IF(0=LEN(ReferenceData!$G$33),"",ReferenceData!$G$33),"")</f>
        <v>976.7</v>
      </c>
      <c r="Q33">
        <f ca="1">IFERROR(IF(0=LEN(ReferenceData!$F$33),"",ReferenceData!$F$33),"")</f>
        <v>1020.2</v>
      </c>
    </row>
    <row r="34" spans="1:17" x14ac:dyDescent="0.25">
      <c r="A34" t="str">
        <f>IFERROR(IF(0=LEN(ReferenceData!$A$34),"",ReferenceData!$A$34),"")</f>
        <v xml:space="preserve">    Indra Sistemas SA</v>
      </c>
      <c r="B34" t="str">
        <f>IFERROR(IF(0=LEN(ReferenceData!$B$34),"",ReferenceData!$B$34),"")</f>
        <v>IDR SM Equity</v>
      </c>
      <c r="C34" t="str">
        <f>IFERROR(IF(0=LEN(ReferenceData!$C$34),"",ReferenceData!$C$34),"")</f>
        <v>RR861</v>
      </c>
      <c r="D34" t="str">
        <f>IFERROR(IF(0=LEN(ReferenceData!$D$34),"",ReferenceData!$D$34),"")</f>
        <v>GROSS_PROFIT</v>
      </c>
      <c r="E34" t="str">
        <f>IFERROR(IF(0=LEN(ReferenceData!$E$34),"",ReferenceData!$E$34),"")</f>
        <v>Dynamic</v>
      </c>
      <c r="F34" t="str">
        <f ca="1">IFERROR(IF(0=LEN(ReferenceData!$Q$34),"",ReferenceData!$Q$34),"")</f>
        <v/>
      </c>
      <c r="G34" t="str">
        <f ca="1">IFERROR(IF(0=LEN(ReferenceData!$P$34),"",ReferenceData!$P$34),"")</f>
        <v/>
      </c>
      <c r="H34" t="str">
        <f ca="1">IFERROR(IF(0=LEN(ReferenceData!$O$34),"",ReferenceData!$O$34),"")</f>
        <v/>
      </c>
      <c r="I34" t="str">
        <f ca="1">IFERROR(IF(0=LEN(ReferenceData!$N$34),"",ReferenceData!$N$34),"")</f>
        <v/>
      </c>
      <c r="J34" t="str">
        <f ca="1">IFERROR(IF(0=LEN(ReferenceData!$M$34),"",ReferenceData!$M$34),"")</f>
        <v/>
      </c>
      <c r="K34" t="str">
        <f ca="1">IFERROR(IF(0=LEN(ReferenceData!$L$34),"",ReferenceData!$L$34),"")</f>
        <v/>
      </c>
      <c r="L34" t="str">
        <f ca="1">IFERROR(IF(0=LEN(ReferenceData!$K$34),"",ReferenceData!$K$34),"")</f>
        <v/>
      </c>
      <c r="M34" t="str">
        <f ca="1">IFERROR(IF(0=LEN(ReferenceData!$J$34),"",ReferenceData!$J$34),"")</f>
        <v/>
      </c>
      <c r="N34" t="str">
        <f ca="1">IFERROR(IF(0=LEN(ReferenceData!$I$34),"",ReferenceData!$I$34),"")</f>
        <v/>
      </c>
      <c r="O34" t="str">
        <f ca="1">IFERROR(IF(0=LEN(ReferenceData!$H$34),"",ReferenceData!$H$34),"")</f>
        <v/>
      </c>
      <c r="P34" t="str">
        <f ca="1">IFERROR(IF(0=LEN(ReferenceData!$G$34),"",ReferenceData!$G$34),"")</f>
        <v/>
      </c>
      <c r="Q34" t="str">
        <f ca="1">IFERROR(IF(0=LEN(ReferenceData!$F$34),"",ReferenceData!$F$34),"")</f>
        <v/>
      </c>
    </row>
    <row r="35" spans="1:17" x14ac:dyDescent="0.25">
      <c r="A35" t="str">
        <f>IFERROR(IF(0=LEN(ReferenceData!$A$35),"",ReferenceData!$A$35),"")</f>
        <v xml:space="preserve">    Infosys Ltd</v>
      </c>
      <c r="B35" t="str">
        <f>IFERROR(IF(0=LEN(ReferenceData!$B$35),"",ReferenceData!$B$35),"")</f>
        <v>INFY US Equity</v>
      </c>
      <c r="C35" t="str">
        <f>IFERROR(IF(0=LEN(ReferenceData!$C$35),"",ReferenceData!$C$35),"")</f>
        <v>RR861</v>
      </c>
      <c r="D35" t="str">
        <f>IFERROR(IF(0=LEN(ReferenceData!$D$35),"",ReferenceData!$D$35),"")</f>
        <v>GROSS_PROFIT</v>
      </c>
      <c r="E35" t="str">
        <f>IFERROR(IF(0=LEN(ReferenceData!$E$35),"",ReferenceData!$E$35),"")</f>
        <v>Dynamic</v>
      </c>
      <c r="F35">
        <f ca="1">IFERROR(IF(0=LEN(ReferenceData!$Q$35),"",ReferenceData!$Q$35),"")</f>
        <v>958.01314009999999</v>
      </c>
      <c r="G35">
        <f ca="1">IFERROR(IF(0=LEN(ReferenceData!$P$35),"",ReferenceData!$P$35),"")</f>
        <v>986.25935530000004</v>
      </c>
      <c r="H35">
        <f ca="1">IFERROR(IF(0=LEN(ReferenceData!$O$35),"",ReferenceData!$O$35),"")</f>
        <v>980.01690589999998</v>
      </c>
      <c r="I35">
        <f ca="1">IFERROR(IF(0=LEN(ReferenceData!$N$35),"",ReferenceData!$N$35),"")</f>
        <v>1014.230057</v>
      </c>
      <c r="J35">
        <f ca="1">IFERROR(IF(0=LEN(ReferenceData!$M$35),"",ReferenceData!$M$35),"")</f>
        <v>1020.118287</v>
      </c>
      <c r="K35">
        <f ca="1">IFERROR(IF(0=LEN(ReferenceData!$L$35),"",ReferenceData!$L$35),"")</f>
        <v>1045.924501</v>
      </c>
      <c r="L35">
        <f ca="1">IFERROR(IF(0=LEN(ReferenceData!$K$35),"",ReferenceData!$K$35),"")</f>
        <v>1024.7765810000001</v>
      </c>
      <c r="M35">
        <f ca="1">IFERROR(IF(0=LEN(ReferenceData!$J$35),"",ReferenceData!$J$35),"")</f>
        <v>1029.918079</v>
      </c>
      <c r="N35">
        <f ca="1">IFERROR(IF(0=LEN(ReferenceData!$I$35),"",ReferenceData!$I$35),"")</f>
        <v>1010.077109</v>
      </c>
      <c r="O35">
        <f ca="1">IFERROR(IF(0=LEN(ReferenceData!$H$35),"",ReferenceData!$H$35),"")</f>
        <v>1072.927469</v>
      </c>
      <c r="P35">
        <f ca="1">IFERROR(IF(0=LEN(ReferenceData!$G$35),"",ReferenceData!$G$35),"")</f>
        <v>1083.8650689999999</v>
      </c>
      <c r="Q35">
        <f ca="1">IFERROR(IF(0=LEN(ReferenceData!$F$35),"",ReferenceData!$F$35),"")</f>
        <v>1072.063357</v>
      </c>
    </row>
    <row r="36" spans="1:17" x14ac:dyDescent="0.25">
      <c r="A36" t="str">
        <f>IFERROR(IF(0=LEN(ReferenceData!$A$36),"",ReferenceData!$A$36),"")</f>
        <v xml:space="preserve">    International Business Machines Corp</v>
      </c>
      <c r="B36" t="str">
        <f>IFERROR(IF(0=LEN(ReferenceData!$B$36),"",ReferenceData!$B$36),"")</f>
        <v>IBM US Equity</v>
      </c>
      <c r="C36" t="str">
        <f>IFERROR(IF(0=LEN(ReferenceData!$C$36),"",ReferenceData!$C$36),"")</f>
        <v>RR861</v>
      </c>
      <c r="D36" t="str">
        <f>IFERROR(IF(0=LEN(ReferenceData!$D$36),"",ReferenceData!$D$36),"")</f>
        <v>GROSS_PROFIT</v>
      </c>
      <c r="E36" t="str">
        <f>IFERROR(IF(0=LEN(ReferenceData!$E$36),"",ReferenceData!$E$36),"")</f>
        <v>Dynamic</v>
      </c>
      <c r="F36">
        <f ca="1">IFERROR(IF(0=LEN(ReferenceData!$Q$36),"",ReferenceData!$Q$36),"")</f>
        <v>8968</v>
      </c>
      <c r="G36">
        <f ca="1">IFERROR(IF(0=LEN(ReferenceData!$P$36),"",ReferenceData!$P$36),"")</f>
        <v>8800</v>
      </c>
      <c r="H36">
        <f ca="1">IFERROR(IF(0=LEN(ReferenceData!$O$36),"",ReferenceData!$O$36),"")</f>
        <v>11049</v>
      </c>
      <c r="I36">
        <f ca="1">IFERROR(IF(0=LEN(ReferenceData!$N$36),"",ReferenceData!$N$36),"")</f>
        <v>8247</v>
      </c>
      <c r="J36">
        <f ca="1">IFERROR(IF(0=LEN(ReferenceData!$M$36),"",ReferenceData!$M$36),"")</f>
        <v>9199</v>
      </c>
      <c r="K36">
        <f ca="1">IFERROR(IF(0=LEN(ReferenceData!$L$36),"",ReferenceData!$L$36),"")</f>
        <v>8803</v>
      </c>
      <c r="L36">
        <f ca="1">IFERROR(IF(0=LEN(ReferenceData!$K$36),"",ReferenceData!$K$36),"")</f>
        <v>10687</v>
      </c>
      <c r="M36">
        <f ca="1">IFERROR(IF(0=LEN(ReferenceData!$J$36),"",ReferenceData!$J$36),"")</f>
        <v>8043</v>
      </c>
      <c r="N36">
        <f ca="1">IFERROR(IF(0=LEN(ReferenceData!$I$36),"",ReferenceData!$I$36),"")</f>
        <v>9010</v>
      </c>
      <c r="O36">
        <f ca="1">IFERROR(IF(0=LEN(ReferenceData!$H$36),"",ReferenceData!$H$36),"")</f>
        <v>8336</v>
      </c>
      <c r="P36">
        <f ca="1">IFERROR(IF(0=LEN(ReferenceData!$G$36),"",ReferenceData!$G$36),"")</f>
        <v>11100</v>
      </c>
      <c r="Q36">
        <f ca="1">IFERROR(IF(0=LEN(ReferenceData!$F$36),"",ReferenceData!$F$36),"")</f>
        <v>7922</v>
      </c>
    </row>
    <row r="37" spans="1:17" x14ac:dyDescent="0.25">
      <c r="A37" t="str">
        <f>IFERROR(IF(0=LEN(ReferenceData!$A$37),"",ReferenceData!$A$37),"")</f>
        <v xml:space="preserve">    Tata Consultancy Services Ltd</v>
      </c>
      <c r="B37" t="str">
        <f>IFERROR(IF(0=LEN(ReferenceData!$B$37),"",ReferenceData!$B$37),"")</f>
        <v>TCS IN Equity</v>
      </c>
      <c r="C37" t="str">
        <f>IFERROR(IF(0=LEN(ReferenceData!$C$37),"",ReferenceData!$C$37),"")</f>
        <v>RR861</v>
      </c>
      <c r="D37" t="str">
        <f>IFERROR(IF(0=LEN(ReferenceData!$D$37),"",ReferenceData!$D$37),"")</f>
        <v>GROSS_PROFIT</v>
      </c>
      <c r="E37" t="str">
        <f>IFERROR(IF(0=LEN(ReferenceData!$E$37),"",ReferenceData!$E$37),"")</f>
        <v>Dynamic</v>
      </c>
      <c r="F37">
        <f ca="1">IFERROR(IF(0=LEN(ReferenceData!$Q$37),"",ReferenceData!$Q$37),"")</f>
        <v>1906.256965</v>
      </c>
      <c r="G37">
        <f ca="1">IFERROR(IF(0=LEN(ReferenceData!$P$37),"",ReferenceData!$P$37),"")</f>
        <v>2011.4090639999999</v>
      </c>
      <c r="H37">
        <f ca="1">IFERROR(IF(0=LEN(ReferenceData!$O$37),"",ReferenceData!$O$37),"")</f>
        <v>2014.719497</v>
      </c>
      <c r="I37">
        <f ca="1">IFERROR(IF(0=LEN(ReferenceData!$N$37),"",ReferenceData!$N$37),"")</f>
        <v>2105.0438819999999</v>
      </c>
      <c r="J37">
        <f ca="1">IFERROR(IF(0=LEN(ReferenceData!$M$37),"",ReferenceData!$M$37),"")</f>
        <v>2114.5083450000002</v>
      </c>
      <c r="K37">
        <f ca="1">IFERROR(IF(0=LEN(ReferenceData!$L$37),"",ReferenceData!$L$37),"")</f>
        <v>2234.2934150000001</v>
      </c>
      <c r="L37">
        <f ca="1">IFERROR(IF(0=LEN(ReferenceData!$K$37),"",ReferenceData!$K$37),"")</f>
        <v>2165.4372950000002</v>
      </c>
      <c r="M37">
        <f ca="1">IFERROR(IF(0=LEN(ReferenceData!$J$37),"",ReferenceData!$J$37),"")</f>
        <v>2252.5909459999998</v>
      </c>
      <c r="N37">
        <f ca="1">IFERROR(IF(0=LEN(ReferenceData!$I$37),"",ReferenceData!$I$37),"")</f>
        <v>2221.910793</v>
      </c>
      <c r="O37">
        <f ca="1">IFERROR(IF(0=LEN(ReferenceData!$H$37),"",ReferenceData!$H$37),"")</f>
        <v>2261.53215</v>
      </c>
      <c r="P37">
        <f ca="1">IFERROR(IF(0=LEN(ReferenceData!$G$37),"",ReferenceData!$G$37),"")</f>
        <v>2314.7448720000002</v>
      </c>
      <c r="Q37">
        <f ca="1">IFERROR(IF(0=LEN(ReferenceData!$F$37),"",ReferenceData!$F$37),"")</f>
        <v>2315.993684</v>
      </c>
    </row>
    <row r="38" spans="1:17" x14ac:dyDescent="0.25">
      <c r="A38" t="str">
        <f>IFERROR(IF(0=LEN(ReferenceData!$A$38),"",ReferenceData!$A$38),"")</f>
        <v xml:space="preserve">    Tech Mahindra Ltd</v>
      </c>
      <c r="B38" t="str">
        <f>IFERROR(IF(0=LEN(ReferenceData!$B$38),"",ReferenceData!$B$38),"")</f>
        <v>TECHM IN Equity</v>
      </c>
      <c r="C38" t="str">
        <f>IFERROR(IF(0=LEN(ReferenceData!$C$38),"",ReferenceData!$C$38),"")</f>
        <v>RR861</v>
      </c>
      <c r="D38" t="str">
        <f>IFERROR(IF(0=LEN(ReferenceData!$D$38),"",ReferenceData!$D$38),"")</f>
        <v>GROSS_PROFIT</v>
      </c>
      <c r="E38" t="str">
        <f>IFERROR(IF(0=LEN(ReferenceData!$E$38),"",ReferenceData!$E$38),"")</f>
        <v>Dynamic</v>
      </c>
      <c r="F38" t="str">
        <f ca="1">IFERROR(IF(0=LEN(ReferenceData!$Q$38),"",ReferenceData!$Q$38),"")</f>
        <v/>
      </c>
      <c r="G38" t="str">
        <f ca="1">IFERROR(IF(0=LEN(ReferenceData!$P$38),"",ReferenceData!$P$38),"")</f>
        <v/>
      </c>
      <c r="H38" t="str">
        <f ca="1">IFERROR(IF(0=LEN(ReferenceData!$O$38),"",ReferenceData!$O$38),"")</f>
        <v/>
      </c>
      <c r="I38" t="str">
        <f ca="1">IFERROR(IF(0=LEN(ReferenceData!$N$38),"",ReferenceData!$N$38),"")</f>
        <v/>
      </c>
      <c r="J38" t="str">
        <f ca="1">IFERROR(IF(0=LEN(ReferenceData!$M$38),"",ReferenceData!$M$38),"")</f>
        <v/>
      </c>
      <c r="K38" t="str">
        <f ca="1">IFERROR(IF(0=LEN(ReferenceData!$L$38),"",ReferenceData!$L$38),"")</f>
        <v/>
      </c>
      <c r="L38" t="str">
        <f ca="1">IFERROR(IF(0=LEN(ReferenceData!$K$38),"",ReferenceData!$K$38),"")</f>
        <v/>
      </c>
      <c r="M38" t="str">
        <f ca="1">IFERROR(IF(0=LEN(ReferenceData!$J$38),"",ReferenceData!$J$38),"")</f>
        <v/>
      </c>
      <c r="N38" t="str">
        <f ca="1">IFERROR(IF(0=LEN(ReferenceData!$I$38),"",ReferenceData!$I$38),"")</f>
        <v/>
      </c>
      <c r="O38" t="str">
        <f ca="1">IFERROR(IF(0=LEN(ReferenceData!$H$38),"",ReferenceData!$H$38),"")</f>
        <v/>
      </c>
      <c r="P38" t="str">
        <f ca="1">IFERROR(IF(0=LEN(ReferenceData!$G$38),"",ReferenceData!$G$38),"")</f>
        <v/>
      </c>
      <c r="Q38" t="str">
        <f ca="1">IFERROR(IF(0=LEN(ReferenceData!$F$38),"",ReferenceData!$F$38),"")</f>
        <v/>
      </c>
    </row>
    <row r="39" spans="1:17" x14ac:dyDescent="0.25">
      <c r="A39" t="str">
        <f>IFERROR(IF(0=LEN(ReferenceData!$A$39),"",ReferenceData!$A$39),"")</f>
        <v xml:space="preserve">    Wipro Ltd</v>
      </c>
      <c r="B39" t="str">
        <f>IFERROR(IF(0=LEN(ReferenceData!$B$39),"",ReferenceData!$B$39),"")</f>
        <v>WIT US Equity</v>
      </c>
      <c r="C39" t="str">
        <f>IFERROR(IF(0=LEN(ReferenceData!$C$39),"",ReferenceData!$C$39),"")</f>
        <v>RR861</v>
      </c>
      <c r="D39" t="str">
        <f>IFERROR(IF(0=LEN(ReferenceData!$D$39),"",ReferenceData!$D$39),"")</f>
        <v>GROSS_PROFIT</v>
      </c>
      <c r="E39" t="str">
        <f>IFERROR(IF(0=LEN(ReferenceData!$E$39),"",ReferenceData!$E$39),"")</f>
        <v>Dynamic</v>
      </c>
      <c r="F39">
        <f ca="1">IFERROR(IF(0=LEN(ReferenceData!$Q$39),"",ReferenceData!$Q$39),"")</f>
        <v>607.09314400000005</v>
      </c>
      <c r="G39">
        <f ca="1">IFERROR(IF(0=LEN(ReferenceData!$P$39),"",ReferenceData!$P$39),"")</f>
        <v>615.08982509999998</v>
      </c>
      <c r="H39">
        <f ca="1">IFERROR(IF(0=LEN(ReferenceData!$O$39),"",ReferenceData!$O$39),"")</f>
        <v>628.94716749999998</v>
      </c>
      <c r="I39">
        <f ca="1">IFERROR(IF(0=LEN(ReferenceData!$N$39),"",ReferenceData!$N$39),"")</f>
        <v>619.69161340000005</v>
      </c>
      <c r="J39">
        <f ca="1">IFERROR(IF(0=LEN(ReferenceData!$M$39),"",ReferenceData!$M$39),"")</f>
        <v>588.01467419999994</v>
      </c>
      <c r="K39">
        <f ca="1">IFERROR(IF(0=LEN(ReferenceData!$L$39),"",ReferenceData!$L$39),"")</f>
        <v>622.87316109999995</v>
      </c>
      <c r="L39">
        <f ca="1">IFERROR(IF(0=LEN(ReferenceData!$K$39),"",ReferenceData!$K$39),"")</f>
        <v>647.0636958</v>
      </c>
      <c r="M39">
        <f ca="1">IFERROR(IF(0=LEN(ReferenceData!$J$39),"",ReferenceData!$J$39),"")</f>
        <v>612.06032889999994</v>
      </c>
      <c r="N39">
        <f ca="1">IFERROR(IF(0=LEN(ReferenceData!$I$39),"",ReferenceData!$I$39),"")</f>
        <v>616.74525979999999</v>
      </c>
      <c r="O39">
        <f ca="1">IFERROR(IF(0=LEN(ReferenceData!$H$39),"",ReferenceData!$H$39),"")</f>
        <v>614.62401350000005</v>
      </c>
      <c r="P39">
        <f ca="1">IFERROR(IF(0=LEN(ReferenceData!$G$39),"",ReferenceData!$G$39),"")</f>
        <v>632.31781049999995</v>
      </c>
      <c r="Q39">
        <f ca="1">IFERROR(IF(0=LEN(ReferenceData!$F$39),"",ReferenceData!$F$39),"")</f>
        <v>593.27925459999994</v>
      </c>
    </row>
    <row r="40" spans="1:17" x14ac:dyDescent="0.25">
      <c r="A40" t="str">
        <f>IFERROR(IF(0=LEN(ReferenceData!$A$40),"",ReferenceData!$A$40),"")</f>
        <v>EBITDA</v>
      </c>
      <c r="B40" t="str">
        <f>IFERROR(IF(0=LEN(ReferenceData!$B$40),"",ReferenceData!$B$40),"")</f>
        <v>BRITBPOV Index</v>
      </c>
      <c r="C40" t="str">
        <f>IFERROR(IF(0=LEN(ReferenceData!$C$40),"",ReferenceData!$C$40),"")</f>
        <v/>
      </c>
      <c r="D40" t="str">
        <f>IFERROR(IF(0=LEN(ReferenceData!$D$40),"",ReferenceData!$D$40),"")</f>
        <v/>
      </c>
      <c r="E40" t="str">
        <f>IFERROR(IF(0=LEN(ReferenceData!$E$40),"",ReferenceData!$E$40),"")</f>
        <v>Sum</v>
      </c>
      <c r="F40">
        <f ca="1">IFERROR(IF(0=LEN(ReferenceData!$Q$40),"",ReferenceData!$Q$40),"")</f>
        <v>9597.4742789199991</v>
      </c>
      <c r="G40">
        <f ca="1">IFERROR(IF(0=LEN(ReferenceData!$P$40),"",ReferenceData!$P$40),"")</f>
        <v>11411.211835909999</v>
      </c>
      <c r="H40">
        <f ca="1">IFERROR(IF(0=LEN(ReferenceData!$O$40),"",ReferenceData!$O$40),"")</f>
        <v>13131.268641700002</v>
      </c>
      <c r="I40">
        <f ca="1">IFERROR(IF(0=LEN(ReferenceData!$N$40),"",ReferenceData!$N$40),"")</f>
        <v>10170.122234679999</v>
      </c>
      <c r="J40">
        <f ca="1">IFERROR(IF(0=LEN(ReferenceData!$M$40),"",ReferenceData!$M$40),"")</f>
        <v>12886.307394560001</v>
      </c>
      <c r="K40">
        <f ca="1">IFERROR(IF(0=LEN(ReferenceData!$L$40),"",ReferenceData!$L$40),"")</f>
        <v>11725.54473962</v>
      </c>
      <c r="L40">
        <f ca="1">IFERROR(IF(0=LEN(ReferenceData!$K$40),"",ReferenceData!$K$40),"")</f>
        <v>13591.663855300001</v>
      </c>
      <c r="M40">
        <f ca="1">IFERROR(IF(0=LEN(ReferenceData!$J$40),"",ReferenceData!$J$40),"")</f>
        <v>11004.72682942</v>
      </c>
      <c r="N40">
        <f ca="1">IFERROR(IF(0=LEN(ReferenceData!$I$40),"",ReferenceData!$I$40),"")</f>
        <v>10648.18945722</v>
      </c>
      <c r="O40">
        <f ca="1">IFERROR(IF(0=LEN(ReferenceData!$H$40),"",ReferenceData!$H$40),"")</f>
        <v>9660.0515013599997</v>
      </c>
      <c r="P40">
        <f ca="1">IFERROR(IF(0=LEN(ReferenceData!$G$40),"",ReferenceData!$G$40),"")</f>
        <v>14161.452780900001</v>
      </c>
      <c r="Q40">
        <f ca="1">IFERROR(IF(0=LEN(ReferenceData!$F$40),"",ReferenceData!$F$40),"")</f>
        <v>6213.1338099400009</v>
      </c>
    </row>
    <row r="41" spans="1:17" x14ac:dyDescent="0.25">
      <c r="A41" t="str">
        <f>IFERROR(IF(0=LEN(ReferenceData!$A$41),"",ReferenceData!$A$41),"")</f>
        <v xml:space="preserve">    Accenture PLC</v>
      </c>
      <c r="B41" t="str">
        <f>IFERROR(IF(0=LEN(ReferenceData!$B$41),"",ReferenceData!$B$41),"")</f>
        <v>ACN US Equity</v>
      </c>
      <c r="C41" t="str">
        <f>IFERROR(IF(0=LEN(ReferenceData!$C$41),"",ReferenceData!$C$41),"")</f>
        <v>RR009</v>
      </c>
      <c r="D41" t="str">
        <f>IFERROR(IF(0=LEN(ReferenceData!$D$41),"",ReferenceData!$D$41),"")</f>
        <v>EBITDA</v>
      </c>
      <c r="E41" t="str">
        <f>IFERROR(IF(0=LEN(ReferenceData!$E$41),"",ReferenceData!$E$41),"")</f>
        <v>Dynamic</v>
      </c>
      <c r="F41">
        <f ca="1">IFERROR(IF(0=LEN(ReferenceData!$Q$41),"",ReferenceData!$Q$41),"")</f>
        <v>1059.915</v>
      </c>
      <c r="G41">
        <f ca="1">IFERROR(IF(0=LEN(ReferenceData!$P$41),"",ReferenceData!$P$41),"")</f>
        <v>1528.6310000000001</v>
      </c>
      <c r="H41">
        <f ca="1">IFERROR(IF(0=LEN(ReferenceData!$O$41),"",ReferenceData!$O$41),"")</f>
        <v>1730.809</v>
      </c>
      <c r="I41">
        <f ca="1">IFERROR(IF(0=LEN(ReferenceData!$N$41),"",ReferenceData!$N$41),"")</f>
        <v>1516.7080000000001</v>
      </c>
      <c r="J41">
        <f ca="1">IFERROR(IF(0=LEN(ReferenceData!$M$41),"",ReferenceData!$M$41),"")</f>
        <v>1873.2639999999999</v>
      </c>
      <c r="K41">
        <f ca="1">IFERROR(IF(0=LEN(ReferenceData!$L$41),"",ReferenceData!$L$41),"")</f>
        <v>1783.425</v>
      </c>
      <c r="L41">
        <f ca="1">IFERROR(IF(0=LEN(ReferenceData!$K$41),"",ReferenceData!$K$41),"")</f>
        <v>1840.6969999999999</v>
      </c>
      <c r="M41">
        <f ca="1">IFERROR(IF(0=LEN(ReferenceData!$J$41),"",ReferenceData!$J$41),"")</f>
        <v>1606.2239999999999</v>
      </c>
      <c r="N41">
        <f ca="1">IFERROR(IF(0=LEN(ReferenceData!$I$41),"",ReferenceData!$I$41),"")</f>
        <v>1939.252</v>
      </c>
      <c r="O41">
        <f ca="1">IFERROR(IF(0=LEN(ReferenceData!$H$41),"",ReferenceData!$H$41),"")</f>
        <v>1838.8240000000001</v>
      </c>
      <c r="P41">
        <f ca="1">IFERROR(IF(0=LEN(ReferenceData!$G$41),"",ReferenceData!$G$41),"")</f>
        <v>2341.2649999999999</v>
      </c>
      <c r="Q41">
        <f ca="1">IFERROR(IF(0=LEN(ReferenceData!$F$41),"",ReferenceData!$F$41),"")</f>
        <v>2110.0100000000002</v>
      </c>
    </row>
    <row r="42" spans="1:17" x14ac:dyDescent="0.25">
      <c r="A42" t="str">
        <f>IFERROR(IF(0=LEN(ReferenceData!$A$42),"",ReferenceData!$A$42),"")</f>
        <v xml:space="preserve">    Amdocs Ltd</v>
      </c>
      <c r="B42" t="str">
        <f>IFERROR(IF(0=LEN(ReferenceData!$B$42),"",ReferenceData!$B$42),"")</f>
        <v>DOX US Equity</v>
      </c>
      <c r="C42" t="str">
        <f>IFERROR(IF(0=LEN(ReferenceData!$C$42),"",ReferenceData!$C$42),"")</f>
        <v>RR009</v>
      </c>
      <c r="D42" t="str">
        <f>IFERROR(IF(0=LEN(ReferenceData!$D$42),"",ReferenceData!$D$42),"")</f>
        <v>EBITDA</v>
      </c>
      <c r="E42" t="str">
        <f>IFERROR(IF(0=LEN(ReferenceData!$E$42),"",ReferenceData!$E$42),"")</f>
        <v>Dynamic</v>
      </c>
      <c r="F42">
        <f ca="1">IFERROR(IF(0=LEN(ReferenceData!$Q$42),"",ReferenceData!$Q$42),"")</f>
        <v>184.40700000000001</v>
      </c>
      <c r="G42">
        <f ca="1">IFERROR(IF(0=LEN(ReferenceData!$P$42),"",ReferenceData!$P$42),"")</f>
        <v>183.399</v>
      </c>
      <c r="H42">
        <f ca="1">IFERROR(IF(0=LEN(ReferenceData!$O$42),"",ReferenceData!$O$42),"")</f>
        <v>171.38</v>
      </c>
      <c r="I42">
        <f ca="1">IFERROR(IF(0=LEN(ReferenceData!$N$42),"",ReferenceData!$N$42),"")</f>
        <v>185.49</v>
      </c>
      <c r="J42">
        <f ca="1">IFERROR(IF(0=LEN(ReferenceData!$M$42),"",ReferenceData!$M$42),"")</f>
        <v>160.03899999999999</v>
      </c>
      <c r="K42">
        <f ca="1">IFERROR(IF(0=LEN(ReferenceData!$L$42),"",ReferenceData!$L$42),"")</f>
        <v>122.622</v>
      </c>
      <c r="L42">
        <f ca="1">IFERROR(IF(0=LEN(ReferenceData!$K$42),"",ReferenceData!$K$42),"")</f>
        <v>184.57400000000001</v>
      </c>
      <c r="M42">
        <f ca="1">IFERROR(IF(0=LEN(ReferenceData!$J$42),"",ReferenceData!$J$42),"")</f>
        <v>200.55099999999999</v>
      </c>
      <c r="N42">
        <f ca="1">IFERROR(IF(0=LEN(ReferenceData!$I$42),"",ReferenceData!$I$42),"")</f>
        <v>195.72499999999999</v>
      </c>
      <c r="O42">
        <f ca="1">IFERROR(IF(0=LEN(ReferenceData!$H$42),"",ReferenceData!$H$42),"")</f>
        <v>194.66800000000001</v>
      </c>
      <c r="P42">
        <f ca="1">IFERROR(IF(0=LEN(ReferenceData!$G$42),"",ReferenceData!$G$42),"")</f>
        <v>192.57599999999999</v>
      </c>
      <c r="Q42">
        <f ca="1">IFERROR(IF(0=LEN(ReferenceData!$F$42),"",ReferenceData!$F$42),"")</f>
        <v>205.82</v>
      </c>
    </row>
    <row r="43" spans="1:17" x14ac:dyDescent="0.25">
      <c r="A43" t="str">
        <f>IFERROR(IF(0=LEN(ReferenceData!$A$43),"",ReferenceData!$A$43),"")</f>
        <v xml:space="preserve">    Atos SE</v>
      </c>
      <c r="B43" t="str">
        <f>IFERROR(IF(0=LEN(ReferenceData!$B$43),"",ReferenceData!$B$43),"")</f>
        <v>ATO FP Equity</v>
      </c>
      <c r="C43" t="str">
        <f>IFERROR(IF(0=LEN(ReferenceData!$C$43),"",ReferenceData!$C$43),"")</f>
        <v>RR009</v>
      </c>
      <c r="D43" t="str">
        <f>IFERROR(IF(0=LEN(ReferenceData!$D$43),"",ReferenceData!$D$43),"")</f>
        <v>EBITDA</v>
      </c>
      <c r="E43" t="str">
        <f>IFERROR(IF(0=LEN(ReferenceData!$E$43),"",ReferenceData!$E$43),"")</f>
        <v>Dynamic</v>
      </c>
      <c r="F43" t="str">
        <f ca="1">IFERROR(IF(0=LEN(ReferenceData!$Q$43),"",ReferenceData!$Q$43),"")</f>
        <v/>
      </c>
      <c r="G43" t="str">
        <f ca="1">IFERROR(IF(0=LEN(ReferenceData!$P$43),"",ReferenceData!$P$43),"")</f>
        <v/>
      </c>
      <c r="H43" t="str">
        <f ca="1">IFERROR(IF(0=LEN(ReferenceData!$O$43),"",ReferenceData!$O$43),"")</f>
        <v/>
      </c>
      <c r="I43" t="str">
        <f ca="1">IFERROR(IF(0=LEN(ReferenceData!$N$43),"",ReferenceData!$N$43),"")</f>
        <v/>
      </c>
      <c r="J43" t="str">
        <f ca="1">IFERROR(IF(0=LEN(ReferenceData!$M$43),"",ReferenceData!$M$43),"")</f>
        <v/>
      </c>
      <c r="K43" t="str">
        <f ca="1">IFERROR(IF(0=LEN(ReferenceData!$L$43),"",ReferenceData!$L$43),"")</f>
        <v/>
      </c>
      <c r="L43" t="str">
        <f ca="1">IFERROR(IF(0=LEN(ReferenceData!$K$43),"",ReferenceData!$K$43),"")</f>
        <v/>
      </c>
      <c r="M43" t="str">
        <f ca="1">IFERROR(IF(0=LEN(ReferenceData!$J$43),"",ReferenceData!$J$43),"")</f>
        <v/>
      </c>
      <c r="N43" t="str">
        <f ca="1">IFERROR(IF(0=LEN(ReferenceData!$I$43),"",ReferenceData!$I$43),"")</f>
        <v/>
      </c>
      <c r="O43" t="str">
        <f ca="1">IFERROR(IF(0=LEN(ReferenceData!$H$43),"",ReferenceData!$H$43),"")</f>
        <v/>
      </c>
      <c r="P43" t="str">
        <f ca="1">IFERROR(IF(0=LEN(ReferenceData!$G$43),"",ReferenceData!$G$43),"")</f>
        <v/>
      </c>
      <c r="Q43" t="str">
        <f ca="1">IFERROR(IF(0=LEN(ReferenceData!$F$43),"",ReferenceData!$F$43),"")</f>
        <v/>
      </c>
    </row>
    <row r="44" spans="1:17" x14ac:dyDescent="0.25">
      <c r="A44" t="str">
        <f>IFERROR(IF(0=LEN(ReferenceData!$A$44),"",ReferenceData!$A$44),"")</f>
        <v xml:space="preserve">    Capgemini SE</v>
      </c>
      <c r="B44" t="str">
        <f>IFERROR(IF(0=LEN(ReferenceData!$B$44),"",ReferenceData!$B$44),"")</f>
        <v>CAP FP Equity</v>
      </c>
      <c r="C44" t="str">
        <f>IFERROR(IF(0=LEN(ReferenceData!$C$44),"",ReferenceData!$C$44),"")</f>
        <v>RR009</v>
      </c>
      <c r="D44" t="str">
        <f>IFERROR(IF(0=LEN(ReferenceData!$D$44),"",ReferenceData!$D$44),"")</f>
        <v>EBITDA</v>
      </c>
      <c r="E44" t="str">
        <f>IFERROR(IF(0=LEN(ReferenceData!$E$44),"",ReferenceData!$E$44),"")</f>
        <v>Dynamic</v>
      </c>
      <c r="F44" t="str">
        <f ca="1">IFERROR(IF(0=LEN(ReferenceData!$Q$44),"",ReferenceData!$Q$44),"")</f>
        <v/>
      </c>
      <c r="G44" t="str">
        <f ca="1">IFERROR(IF(0=LEN(ReferenceData!$P$44),"",ReferenceData!$P$44),"")</f>
        <v/>
      </c>
      <c r="H44" t="str">
        <f ca="1">IFERROR(IF(0=LEN(ReferenceData!$O$44),"",ReferenceData!$O$44),"")</f>
        <v/>
      </c>
      <c r="I44" t="str">
        <f ca="1">IFERROR(IF(0=LEN(ReferenceData!$N$44),"",ReferenceData!$N$44),"")</f>
        <v/>
      </c>
      <c r="J44" t="str">
        <f ca="1">IFERROR(IF(0=LEN(ReferenceData!$M$44),"",ReferenceData!$M$44),"")</f>
        <v/>
      </c>
      <c r="K44" t="str">
        <f ca="1">IFERROR(IF(0=LEN(ReferenceData!$L$44),"",ReferenceData!$L$44),"")</f>
        <v/>
      </c>
      <c r="L44" t="str">
        <f ca="1">IFERROR(IF(0=LEN(ReferenceData!$K$44),"",ReferenceData!$K$44),"")</f>
        <v/>
      </c>
      <c r="M44" t="str">
        <f ca="1">IFERROR(IF(0=LEN(ReferenceData!$J$44),"",ReferenceData!$J$44),"")</f>
        <v/>
      </c>
      <c r="N44" t="str">
        <f ca="1">IFERROR(IF(0=LEN(ReferenceData!$I$44),"",ReferenceData!$I$44),"")</f>
        <v/>
      </c>
      <c r="O44" t="str">
        <f ca="1">IFERROR(IF(0=LEN(ReferenceData!$H$44),"",ReferenceData!$H$44),"")</f>
        <v/>
      </c>
      <c r="P44" t="str">
        <f ca="1">IFERROR(IF(0=LEN(ReferenceData!$G$44),"",ReferenceData!$G$44),"")</f>
        <v/>
      </c>
      <c r="Q44" t="str">
        <f ca="1">IFERROR(IF(0=LEN(ReferenceData!$F$44),"",ReferenceData!$F$44),"")</f>
        <v/>
      </c>
    </row>
    <row r="45" spans="1:17" x14ac:dyDescent="0.25">
      <c r="A45" t="str">
        <f>IFERROR(IF(0=LEN(ReferenceData!$A$45),"",ReferenceData!$A$45),"")</f>
        <v xml:space="preserve">    CGI Inc</v>
      </c>
      <c r="B45" t="str">
        <f>IFERROR(IF(0=LEN(ReferenceData!$B$45),"",ReferenceData!$B$45),"")</f>
        <v>GIB US Equity</v>
      </c>
      <c r="C45" t="str">
        <f>IFERROR(IF(0=LEN(ReferenceData!$C$45),"",ReferenceData!$C$45),"")</f>
        <v>RR009</v>
      </c>
      <c r="D45" t="str">
        <f>IFERROR(IF(0=LEN(ReferenceData!$D$45),"",ReferenceData!$D$45),"")</f>
        <v>EBITDA</v>
      </c>
      <c r="E45" t="str">
        <f>IFERROR(IF(0=LEN(ReferenceData!$E$45),"",ReferenceData!$E$45),"")</f>
        <v>Dynamic</v>
      </c>
      <c r="F45">
        <f ca="1">IFERROR(IF(0=LEN(ReferenceData!$Q$45),"",ReferenceData!$Q$45),"")</f>
        <v>365.63411819999999</v>
      </c>
      <c r="G45">
        <f ca="1">IFERROR(IF(0=LEN(ReferenceData!$P$45),"",ReferenceData!$P$45),"")</f>
        <v>320.4168785</v>
      </c>
      <c r="H45">
        <f ca="1">IFERROR(IF(0=LEN(ReferenceData!$O$45),"",ReferenceData!$O$45),"")</f>
        <v>354.85445650000003</v>
      </c>
      <c r="I45">
        <f ca="1">IFERROR(IF(0=LEN(ReferenceData!$N$45),"",ReferenceData!$N$45),"")</f>
        <v>381.80112759999997</v>
      </c>
      <c r="J45">
        <f ca="1">IFERROR(IF(0=LEN(ReferenceData!$M$45),"",ReferenceData!$M$45),"")</f>
        <v>394.62824560000001</v>
      </c>
      <c r="K45">
        <f ca="1">IFERROR(IF(0=LEN(ReferenceData!$L$45),"",ReferenceData!$L$45),"")</f>
        <v>395.26823630000001</v>
      </c>
      <c r="L45">
        <f ca="1">IFERROR(IF(0=LEN(ReferenceData!$K$45),"",ReferenceData!$K$45),"")</f>
        <v>399.99252289999998</v>
      </c>
      <c r="M45">
        <f ca="1">IFERROR(IF(0=LEN(ReferenceData!$J$45),"",ReferenceData!$J$45),"")</f>
        <v>411.19489340000001</v>
      </c>
      <c r="N45">
        <f ca="1">IFERROR(IF(0=LEN(ReferenceData!$I$45),"",ReferenceData!$I$45),"")</f>
        <v>403.46808859999999</v>
      </c>
      <c r="O45">
        <f ca="1">IFERROR(IF(0=LEN(ReferenceData!$H$45),"",ReferenceData!$H$45),"")</f>
        <v>399.22996619999998</v>
      </c>
      <c r="P45">
        <f ca="1">IFERROR(IF(0=LEN(ReferenceData!$G$45),"",ReferenceData!$G$45),"")</f>
        <v>421.27071760000001</v>
      </c>
      <c r="Q45">
        <f ca="1">IFERROR(IF(0=LEN(ReferenceData!$F$45),"",ReferenceData!$F$45),"")</f>
        <v>435.50314279999998</v>
      </c>
    </row>
    <row r="46" spans="1:17" x14ac:dyDescent="0.25">
      <c r="A46" t="str">
        <f>IFERROR(IF(0=LEN(ReferenceData!$A$46),"",ReferenceData!$A$46),"")</f>
        <v xml:space="preserve">    Cognizant Technology Solutions Corp</v>
      </c>
      <c r="B46" t="str">
        <f>IFERROR(IF(0=LEN(ReferenceData!$B$46),"",ReferenceData!$B$46),"")</f>
        <v>CTSH US Equity</v>
      </c>
      <c r="C46" t="str">
        <f>IFERROR(IF(0=LEN(ReferenceData!$C$46),"",ReferenceData!$C$46),"")</f>
        <v>RR009</v>
      </c>
      <c r="D46" t="str">
        <f>IFERROR(IF(0=LEN(ReferenceData!$D$46),"",ReferenceData!$D$46),"")</f>
        <v>EBITDA</v>
      </c>
      <c r="E46" t="str">
        <f>IFERROR(IF(0=LEN(ReferenceData!$E$46),"",ReferenceData!$E$46),"")</f>
        <v>Dynamic</v>
      </c>
      <c r="F46">
        <f ca="1">IFERROR(IF(0=LEN(ReferenceData!$Q$46),"",ReferenceData!$Q$46),"")</f>
        <v>813</v>
      </c>
      <c r="G46">
        <f ca="1">IFERROR(IF(0=LEN(ReferenceData!$P$46),"",ReferenceData!$P$46),"")</f>
        <v>762</v>
      </c>
      <c r="H46">
        <f ca="1">IFERROR(IF(0=LEN(ReferenceData!$O$46),"",ReferenceData!$O$46),"")</f>
        <v>779</v>
      </c>
      <c r="I46">
        <f ca="1">IFERROR(IF(0=LEN(ReferenceData!$N$46),"",ReferenceData!$N$46),"")</f>
        <v>810</v>
      </c>
      <c r="J46">
        <f ca="1">IFERROR(IF(0=LEN(ReferenceData!$M$46),"",ReferenceData!$M$46),"")</f>
        <v>793</v>
      </c>
      <c r="K46">
        <f ca="1">IFERROR(IF(0=LEN(ReferenceData!$L$46),"",ReferenceData!$L$46),"")</f>
        <v>872</v>
      </c>
      <c r="L46">
        <f ca="1">IFERROR(IF(0=LEN(ReferenceData!$K$46),"",ReferenceData!$K$46),"")</f>
        <v>824</v>
      </c>
      <c r="M46">
        <f ca="1">IFERROR(IF(0=LEN(ReferenceData!$J$46),"",ReferenceData!$J$46),"")</f>
        <v>672</v>
      </c>
      <c r="N46">
        <f ca="1">IFERROR(IF(0=LEN(ReferenceData!$I$46),"",ReferenceData!$I$46),"")</f>
        <v>816</v>
      </c>
      <c r="O46">
        <f ca="1">IFERROR(IF(0=LEN(ReferenceData!$H$46),"",ReferenceData!$H$46),"")</f>
        <v>859</v>
      </c>
      <c r="P46">
        <f ca="1">IFERROR(IF(0=LEN(ReferenceData!$G$46),"",ReferenceData!$G$46),"")</f>
        <v>818</v>
      </c>
      <c r="Q46">
        <f ca="1">IFERROR(IF(0=LEN(ReferenceData!$F$46),"",ReferenceData!$F$46),"")</f>
        <v>715</v>
      </c>
    </row>
    <row r="47" spans="1:17" x14ac:dyDescent="0.25">
      <c r="A47" t="str">
        <f>IFERROR(IF(0=LEN(ReferenceData!$A$47),"",ReferenceData!$A$47),"")</f>
        <v xml:space="preserve">    Conduent Inc</v>
      </c>
      <c r="B47" t="str">
        <f>IFERROR(IF(0=LEN(ReferenceData!$B$47),"",ReferenceData!$B$47),"")</f>
        <v>CNDT US Equity</v>
      </c>
      <c r="C47" t="str">
        <f>IFERROR(IF(0=LEN(ReferenceData!$C$47),"",ReferenceData!$C$47),"")</f>
        <v>RR009</v>
      </c>
      <c r="D47" t="str">
        <f>IFERROR(IF(0=LEN(ReferenceData!$D$47),"",ReferenceData!$D$47),"")</f>
        <v>EBITDA</v>
      </c>
      <c r="E47" t="str">
        <f>IFERROR(IF(0=LEN(ReferenceData!$E$47),"",ReferenceData!$E$47),"")</f>
        <v>Dynamic</v>
      </c>
      <c r="F47">
        <f ca="1">IFERROR(IF(0=LEN(ReferenceData!$Q$47),"",ReferenceData!$Q$47),"")</f>
        <v>143</v>
      </c>
      <c r="G47">
        <f ca="1">IFERROR(IF(0=LEN(ReferenceData!$P$47),"",ReferenceData!$P$47),"")</f>
        <v>171</v>
      </c>
      <c r="H47">
        <f ca="1">IFERROR(IF(0=LEN(ReferenceData!$O$47),"",ReferenceData!$O$47),"")</f>
        <v>156</v>
      </c>
      <c r="I47">
        <f ca="1">IFERROR(IF(0=LEN(ReferenceData!$N$47),"",ReferenceData!$N$47),"")</f>
        <v>95</v>
      </c>
      <c r="J47">
        <f ca="1">IFERROR(IF(0=LEN(ReferenceData!$M$47),"",ReferenceData!$M$47),"")</f>
        <v>204</v>
      </c>
      <c r="K47">
        <f ca="1">IFERROR(IF(0=LEN(ReferenceData!$L$47),"",ReferenceData!$L$47),"")</f>
        <v>-117</v>
      </c>
      <c r="L47">
        <f ca="1">IFERROR(IF(0=LEN(ReferenceData!$K$47),"",ReferenceData!$K$47),"")</f>
        <v>-4</v>
      </c>
      <c r="M47">
        <f ca="1">IFERROR(IF(0=LEN(ReferenceData!$J$47),"",ReferenceData!$J$47),"")</f>
        <v>-205</v>
      </c>
      <c r="N47">
        <f ca="1">IFERROR(IF(0=LEN(ReferenceData!$I$47),"",ReferenceData!$I$47),"")</f>
        <v>-987</v>
      </c>
      <c r="O47">
        <f ca="1">IFERROR(IF(0=LEN(ReferenceData!$H$47),"",ReferenceData!$H$47),"")</f>
        <v>119</v>
      </c>
      <c r="P47">
        <f ca="1">IFERROR(IF(0=LEN(ReferenceData!$G$47),"",ReferenceData!$G$47),"")</f>
        <v>-503</v>
      </c>
      <c r="Q47">
        <f ca="1">IFERROR(IF(0=LEN(ReferenceData!$F$47),"",ReferenceData!$F$47),"")</f>
        <v>83</v>
      </c>
    </row>
    <row r="48" spans="1:17" x14ac:dyDescent="0.25">
      <c r="A48" t="str">
        <f>IFERROR(IF(0=LEN(ReferenceData!$A$48),"",ReferenceData!$A$48),"")</f>
        <v xml:space="preserve">    DXC Technology Co</v>
      </c>
      <c r="B48" t="str">
        <f>IFERROR(IF(0=LEN(ReferenceData!$B$48),"",ReferenceData!$B$48),"")</f>
        <v>DXC US Equity</v>
      </c>
      <c r="C48" t="str">
        <f>IFERROR(IF(0=LEN(ReferenceData!$C$48),"",ReferenceData!$C$48),"")</f>
        <v>RR009</v>
      </c>
      <c r="D48" t="str">
        <f>IFERROR(IF(0=LEN(ReferenceData!$D$48),"",ReferenceData!$D$48),"")</f>
        <v>EBITDA</v>
      </c>
      <c r="E48" t="str">
        <f>IFERROR(IF(0=LEN(ReferenceData!$E$48),"",ReferenceData!$E$48),"")</f>
        <v>Dynamic</v>
      </c>
      <c r="F48">
        <f ca="1">IFERROR(IF(0=LEN(ReferenceData!$Q$48),"",ReferenceData!$Q$48),"")</f>
        <v>368</v>
      </c>
      <c r="G48">
        <f ca="1">IFERROR(IF(0=LEN(ReferenceData!$P$48),"",ReferenceData!$P$48),"")</f>
        <v>1173</v>
      </c>
      <c r="H48">
        <f ca="1">IFERROR(IF(0=LEN(ReferenceData!$O$48),"",ReferenceData!$O$48),"")</f>
        <v>795</v>
      </c>
      <c r="I48">
        <f ca="1">IFERROR(IF(0=LEN(ReferenceData!$N$48),"",ReferenceData!$N$48),"")</f>
        <v>1285</v>
      </c>
      <c r="J48">
        <f ca="1">IFERROR(IF(0=LEN(ReferenceData!$M$48),"",ReferenceData!$M$48),"")</f>
        <v>828</v>
      </c>
      <c r="K48">
        <f ca="1">IFERROR(IF(0=LEN(ReferenceData!$L$48),"",ReferenceData!$L$48),"")</f>
        <v>778</v>
      </c>
      <c r="L48">
        <f ca="1">IFERROR(IF(0=LEN(ReferenceData!$K$48),"",ReferenceData!$K$48),"")</f>
        <v>890</v>
      </c>
      <c r="M48">
        <f ca="1">IFERROR(IF(0=LEN(ReferenceData!$J$48),"",ReferenceData!$J$48),"")</f>
        <v>912</v>
      </c>
      <c r="N48">
        <f ca="1">IFERROR(IF(0=LEN(ReferenceData!$I$48),"",ReferenceData!$I$48),"")</f>
        <v>790</v>
      </c>
      <c r="O48">
        <f ca="1">IFERROR(IF(0=LEN(ReferenceData!$H$48),"",ReferenceData!$H$48),"")</f>
        <v>-1445</v>
      </c>
      <c r="P48">
        <f ca="1">IFERROR(IF(0=LEN(ReferenceData!$G$48),"",ReferenceData!$G$48),"")</f>
        <v>710</v>
      </c>
      <c r="Q48">
        <f ca="1">IFERROR(IF(0=LEN(ReferenceData!$F$48),"",ReferenceData!$F$48),"")</f>
        <v>-3172</v>
      </c>
    </row>
    <row r="49" spans="1:17" x14ac:dyDescent="0.25">
      <c r="A49" t="str">
        <f>IFERROR(IF(0=LEN(ReferenceData!$A$49),"",ReferenceData!$A$49),"")</f>
        <v xml:space="preserve">    EPAM Systems Inc</v>
      </c>
      <c r="B49" t="str">
        <f>IFERROR(IF(0=LEN(ReferenceData!$B$49),"",ReferenceData!$B$49),"")</f>
        <v>EPAM US Equity</v>
      </c>
      <c r="C49" t="str">
        <f>IFERROR(IF(0=LEN(ReferenceData!$C$49),"",ReferenceData!$C$49),"")</f>
        <v>RR009</v>
      </c>
      <c r="D49" t="str">
        <f>IFERROR(IF(0=LEN(ReferenceData!$D$49),"",ReferenceData!$D$49),"")</f>
        <v>EBITDA</v>
      </c>
      <c r="E49" t="str">
        <f>IFERROR(IF(0=LEN(ReferenceData!$E$49),"",ReferenceData!$E$49),"")</f>
        <v>Dynamic</v>
      </c>
      <c r="F49">
        <f ca="1">IFERROR(IF(0=LEN(ReferenceData!$Q$49),"",ReferenceData!$Q$49),"")</f>
        <v>47.701999999999998</v>
      </c>
      <c r="G49">
        <f ca="1">IFERROR(IF(0=LEN(ReferenceData!$P$49),"",ReferenceData!$P$49),"")</f>
        <v>56.421999999999997</v>
      </c>
      <c r="H49">
        <f ca="1">IFERROR(IF(0=LEN(ReferenceData!$O$49),"",ReferenceData!$O$49),"")</f>
        <v>59.746000000000002</v>
      </c>
      <c r="I49">
        <f ca="1">IFERROR(IF(0=LEN(ReferenceData!$N$49),"",ReferenceData!$N$49),"")</f>
        <v>56.872999999999998</v>
      </c>
      <c r="J49">
        <f ca="1">IFERROR(IF(0=LEN(ReferenceData!$M$49),"",ReferenceData!$M$49),"")</f>
        <v>63.198999999999998</v>
      </c>
      <c r="K49">
        <f ca="1">IFERROR(IF(0=LEN(ReferenceData!$L$49),"",ReferenceData!$L$49),"")</f>
        <v>73.879000000000005</v>
      </c>
      <c r="L49">
        <f ca="1">IFERROR(IF(0=LEN(ReferenceData!$K$49),"",ReferenceData!$K$49),"")</f>
        <v>88.453000000000003</v>
      </c>
      <c r="M49">
        <f ca="1">IFERROR(IF(0=LEN(ReferenceData!$J$49),"",ReferenceData!$J$49),"")</f>
        <v>88.122</v>
      </c>
      <c r="N49">
        <f ca="1">IFERROR(IF(0=LEN(ReferenceData!$I$49),"",ReferenceData!$I$49),"")</f>
        <v>98.629000000000005</v>
      </c>
      <c r="O49">
        <f ca="1">IFERROR(IF(0=LEN(ReferenceData!$H$49),"",ReferenceData!$H$49),"")</f>
        <v>107.238</v>
      </c>
      <c r="P49">
        <f ca="1">IFERROR(IF(0=LEN(ReferenceData!$G$49),"",ReferenceData!$G$49),"")</f>
        <v>115.322</v>
      </c>
      <c r="Q49">
        <f ca="1">IFERROR(IF(0=LEN(ReferenceData!$F$49),"",ReferenceData!$F$49),"")</f>
        <v>121.312</v>
      </c>
    </row>
    <row r="50" spans="1:17" x14ac:dyDescent="0.25">
      <c r="A50" t="str">
        <f>IFERROR(IF(0=LEN(ReferenceData!$A$50),"",ReferenceData!$A$50),"")</f>
        <v xml:space="preserve">    Genpact Ltd</v>
      </c>
      <c r="B50" t="str">
        <f>IFERROR(IF(0=LEN(ReferenceData!$B$50),"",ReferenceData!$B$50),"")</f>
        <v>G US Equity</v>
      </c>
      <c r="C50" t="str">
        <f>IFERROR(IF(0=LEN(ReferenceData!$C$50),"",ReferenceData!$C$50),"")</f>
        <v>RR009</v>
      </c>
      <c r="D50" t="str">
        <f>IFERROR(IF(0=LEN(ReferenceData!$D$50),"",ReferenceData!$D$50),"")</f>
        <v>EBITDA</v>
      </c>
      <c r="E50" t="str">
        <f>IFERROR(IF(0=LEN(ReferenceData!$E$50),"",ReferenceData!$E$50),"")</f>
        <v>Dynamic</v>
      </c>
      <c r="F50">
        <f ca="1">IFERROR(IF(0=LEN(ReferenceData!$Q$50),"",ReferenceData!$Q$50),"")</f>
        <v>102.51900000000001</v>
      </c>
      <c r="G50">
        <f ca="1">IFERROR(IF(0=LEN(ReferenceData!$P$50),"",ReferenceData!$P$50),"")</f>
        <v>123.029</v>
      </c>
      <c r="H50">
        <f ca="1">IFERROR(IF(0=LEN(ReferenceData!$O$50),"",ReferenceData!$O$50),"")</f>
        <v>100.169</v>
      </c>
      <c r="I50">
        <f ca="1">IFERROR(IF(0=LEN(ReferenceData!$N$50),"",ReferenceData!$N$50),"")</f>
        <v>89.533000000000001</v>
      </c>
      <c r="J50">
        <f ca="1">IFERROR(IF(0=LEN(ReferenceData!$M$50),"",ReferenceData!$M$50),"")</f>
        <v>105.125</v>
      </c>
      <c r="K50">
        <f ca="1">IFERROR(IF(0=LEN(ReferenceData!$L$50),"",ReferenceData!$L$50),"")</f>
        <v>119.399</v>
      </c>
      <c r="L50">
        <f ca="1">IFERROR(IF(0=LEN(ReferenceData!$K$50),"",ReferenceData!$K$50),"")</f>
        <v>137.81299999999999</v>
      </c>
      <c r="M50">
        <f ca="1">IFERROR(IF(0=LEN(ReferenceData!$J$50),"",ReferenceData!$J$50),"")</f>
        <v>134.60900000000001</v>
      </c>
      <c r="N50">
        <f ca="1">IFERROR(IF(0=LEN(ReferenceData!$I$50),"",ReferenceData!$I$50),"")</f>
        <v>156.006</v>
      </c>
      <c r="O50">
        <f ca="1">IFERROR(IF(0=LEN(ReferenceData!$H$50),"",ReferenceData!$H$50),"")</f>
        <v>163.58000000000001</v>
      </c>
      <c r="P50">
        <f ca="1">IFERROR(IF(0=LEN(ReferenceData!$G$50),"",ReferenceData!$G$50),"")</f>
        <v>178.33</v>
      </c>
      <c r="Q50">
        <f ca="1">IFERROR(IF(0=LEN(ReferenceData!$F$50),"",ReferenceData!$F$50),"")</f>
        <v>149.893</v>
      </c>
    </row>
    <row r="51" spans="1:17" x14ac:dyDescent="0.25">
      <c r="A51" t="str">
        <f>IFERROR(IF(0=LEN(ReferenceData!$A$51),"",ReferenceData!$A$51),"")</f>
        <v xml:space="preserve">    HCL Technologies Ltd</v>
      </c>
      <c r="B51" t="str">
        <f>IFERROR(IF(0=LEN(ReferenceData!$B$51),"",ReferenceData!$B$51),"")</f>
        <v>HCLT IN Equity</v>
      </c>
      <c r="C51" t="str">
        <f>IFERROR(IF(0=LEN(ReferenceData!$C$51),"",ReferenceData!$C$51),"")</f>
        <v>RR009</v>
      </c>
      <c r="D51" t="str">
        <f>IFERROR(IF(0=LEN(ReferenceData!$D$51),"",ReferenceData!$D$51),"")</f>
        <v>EBITDA</v>
      </c>
      <c r="E51" t="str">
        <f>IFERROR(IF(0=LEN(ReferenceData!$E$51),"",ReferenceData!$E$51),"")</f>
        <v>Dynamic</v>
      </c>
      <c r="F51">
        <f ca="1">IFERROR(IF(0=LEN(ReferenceData!$Q$51),"",ReferenceData!$Q$51),"")</f>
        <v>415.7</v>
      </c>
      <c r="G51">
        <f ca="1">IFERROR(IF(0=LEN(ReferenceData!$P$51),"",ReferenceData!$P$51),"")</f>
        <v>427.8</v>
      </c>
      <c r="H51">
        <f ca="1">IFERROR(IF(0=LEN(ReferenceData!$O$51),"",ReferenceData!$O$51),"")</f>
        <v>459.9</v>
      </c>
      <c r="I51">
        <f ca="1">IFERROR(IF(0=LEN(ReferenceData!$N$51),"",ReferenceData!$N$51),"")</f>
        <v>469.44451409999999</v>
      </c>
      <c r="J51">
        <f ca="1">IFERROR(IF(0=LEN(ReferenceData!$M$51),"",ReferenceData!$M$51),"")</f>
        <v>477.6</v>
      </c>
      <c r="K51">
        <f ca="1">IFERROR(IF(0=LEN(ReferenceData!$L$51),"",ReferenceData!$L$51),"")</f>
        <v>492.5</v>
      </c>
      <c r="L51">
        <f ca="1">IFERROR(IF(0=LEN(ReferenceData!$K$51),"",ReferenceData!$K$51),"")</f>
        <v>509.3</v>
      </c>
      <c r="M51">
        <f ca="1">IFERROR(IF(0=LEN(ReferenceData!$J$51),"",ReferenceData!$J$51),"")</f>
        <v>510.6</v>
      </c>
      <c r="N51">
        <f ca="1">IFERROR(IF(0=LEN(ReferenceData!$I$51),"",ReferenceData!$I$51),"")</f>
        <v>489.4</v>
      </c>
      <c r="O51">
        <f ca="1">IFERROR(IF(0=LEN(ReferenceData!$H$51),"",ReferenceData!$H$51),"")</f>
        <v>582</v>
      </c>
      <c r="P51">
        <f ca="1">IFERROR(IF(0=LEN(ReferenceData!$G$51),"",ReferenceData!$G$51),"")</f>
        <v>627.1</v>
      </c>
      <c r="Q51">
        <f ca="1">IFERROR(IF(0=LEN(ReferenceData!$F$51),"",ReferenceData!$F$51),"")</f>
        <v>646.20000000000005</v>
      </c>
    </row>
    <row r="52" spans="1:17" x14ac:dyDescent="0.25">
      <c r="A52" t="str">
        <f>IFERROR(IF(0=LEN(ReferenceData!$A$52),"",ReferenceData!$A$52),"")</f>
        <v xml:space="preserve">    Indra Sistemas SA</v>
      </c>
      <c r="B52" t="str">
        <f>IFERROR(IF(0=LEN(ReferenceData!$B$52),"",ReferenceData!$B$52),"")</f>
        <v>IDR SM Equity</v>
      </c>
      <c r="C52" t="str">
        <f>IFERROR(IF(0=LEN(ReferenceData!$C$52),"",ReferenceData!$C$52),"")</f>
        <v>RR009</v>
      </c>
      <c r="D52" t="str">
        <f>IFERROR(IF(0=LEN(ReferenceData!$D$52),"",ReferenceData!$D$52),"")</f>
        <v>EBITDA</v>
      </c>
      <c r="E52" t="str">
        <f>IFERROR(IF(0=LEN(ReferenceData!$E$52),"",ReferenceData!$E$52),"")</f>
        <v>Dynamic</v>
      </c>
      <c r="F52">
        <f ca="1">IFERROR(IF(0=LEN(ReferenceData!$Q$52),"",ReferenceData!$Q$52),"")</f>
        <v>66.103023019999995</v>
      </c>
      <c r="G52">
        <f ca="1">IFERROR(IF(0=LEN(ReferenceData!$P$52),"",ReferenceData!$P$52),"")</f>
        <v>73.779405710000006</v>
      </c>
      <c r="H52">
        <f ca="1">IFERROR(IF(0=LEN(ReferenceData!$O$52),"",ReferenceData!$O$52),"")</f>
        <v>112.6553212</v>
      </c>
      <c r="I52">
        <f ca="1">IFERROR(IF(0=LEN(ReferenceData!$N$52),"",ReferenceData!$N$52),"")</f>
        <v>58.86742718</v>
      </c>
      <c r="J52">
        <f ca="1">IFERROR(IF(0=LEN(ReferenceData!$M$52),"",ReferenceData!$M$52),"")</f>
        <v>81.786623660000004</v>
      </c>
      <c r="K52">
        <f ca="1">IFERROR(IF(0=LEN(ReferenceData!$L$52),"",ReferenceData!$L$52),"")</f>
        <v>77.447167620000002</v>
      </c>
      <c r="L52">
        <f ca="1">IFERROR(IF(0=LEN(ReferenceData!$K$52),"",ReferenceData!$K$52),"")</f>
        <v>125.45003199999999</v>
      </c>
      <c r="M52">
        <f ca="1">IFERROR(IF(0=LEN(ReferenceData!$J$52),"",ReferenceData!$J$52),"")</f>
        <v>79.723677519999995</v>
      </c>
      <c r="N52">
        <f ca="1">IFERROR(IF(0=LEN(ReferenceData!$I$52),"",ReferenceData!$I$52),"")</f>
        <v>80.713244220000007</v>
      </c>
      <c r="O52">
        <f ca="1">IFERROR(IF(0=LEN(ReferenceData!$H$52),"",ReferenceData!$H$52),"")</f>
        <v>89.851648159999996</v>
      </c>
      <c r="P52">
        <f ca="1">IFERROR(IF(0=LEN(ReferenceData!$G$52),"",ReferenceData!$G$52),"")</f>
        <v>136.6839282</v>
      </c>
      <c r="Q52">
        <f ca="1">IFERROR(IF(0=LEN(ReferenceData!$F$52),"",ReferenceData!$F$52),"")</f>
        <v>56.007129740000003</v>
      </c>
    </row>
    <row r="53" spans="1:17" x14ac:dyDescent="0.25">
      <c r="A53" t="str">
        <f>IFERROR(IF(0=LEN(ReferenceData!$A$53),"",ReferenceData!$A$53),"")</f>
        <v xml:space="preserve">    Infosys Ltd</v>
      </c>
      <c r="B53" t="str">
        <f>IFERROR(IF(0=LEN(ReferenceData!$B$53),"",ReferenceData!$B$53),"")</f>
        <v>INFY US Equity</v>
      </c>
      <c r="C53" t="str">
        <f>IFERROR(IF(0=LEN(ReferenceData!$C$53),"",ReferenceData!$C$53),"")</f>
        <v>RR009</v>
      </c>
      <c r="D53" t="str">
        <f>IFERROR(IF(0=LEN(ReferenceData!$D$53),"",ReferenceData!$D$53),"")</f>
        <v>EBITDA</v>
      </c>
      <c r="E53" t="str">
        <f>IFERROR(IF(0=LEN(ReferenceData!$E$53),"",ReferenceData!$E$53),"")</f>
        <v>Dynamic</v>
      </c>
      <c r="F53">
        <f ca="1">IFERROR(IF(0=LEN(ReferenceData!$Q$53),"",ReferenceData!$Q$53),"")</f>
        <v>707.26738950000004</v>
      </c>
      <c r="G53">
        <f ca="1">IFERROR(IF(0=LEN(ReferenceData!$P$53),"",ReferenceData!$P$53),"")</f>
        <v>731.44976159999999</v>
      </c>
      <c r="H53">
        <f ca="1">IFERROR(IF(0=LEN(ReferenceData!$O$53),"",ReferenceData!$O$53),"")</f>
        <v>744.12696019999998</v>
      </c>
      <c r="I53">
        <f ca="1">IFERROR(IF(0=LEN(ReferenceData!$N$53),"",ReferenceData!$N$53),"")</f>
        <v>765.99301760000003</v>
      </c>
      <c r="J53">
        <f ca="1">IFERROR(IF(0=LEN(ReferenceData!$M$53),"",ReferenceData!$M$53),"")</f>
        <v>741.67371969999999</v>
      </c>
      <c r="K53">
        <f ca="1">IFERROR(IF(0=LEN(ReferenceData!$L$53),"",ReferenceData!$L$53),"")</f>
        <v>764.74665379999999</v>
      </c>
      <c r="L53">
        <f ca="1">IFERROR(IF(0=LEN(ReferenceData!$K$53),"",ReferenceData!$K$53),"")</f>
        <v>750.8181611</v>
      </c>
      <c r="M53">
        <f ca="1">IFERROR(IF(0=LEN(ReferenceData!$J$53),"",ReferenceData!$J$53),"")</f>
        <v>730.8500808</v>
      </c>
      <c r="N53">
        <f ca="1">IFERROR(IF(0=LEN(ReferenceData!$I$53),"",ReferenceData!$I$53),"")</f>
        <v>740.8766038</v>
      </c>
      <c r="O53">
        <f ca="1">IFERROR(IF(0=LEN(ReferenceData!$H$53),"",ReferenceData!$H$53),"")</f>
        <v>801.35602589999996</v>
      </c>
      <c r="P53">
        <f ca="1">IFERROR(IF(0=LEN(ReferenceData!$G$53),"",ReferenceData!$G$53),"")</f>
        <v>814.40826549999997</v>
      </c>
      <c r="Q53">
        <f ca="1">IFERROR(IF(0=LEN(ReferenceData!$F$53),"",ReferenceData!$F$53),"")</f>
        <v>783.54772300000002</v>
      </c>
    </row>
    <row r="54" spans="1:17" x14ac:dyDescent="0.25">
      <c r="A54" t="str">
        <f>IFERROR(IF(0=LEN(ReferenceData!$A$54),"",ReferenceData!$A$54),"")</f>
        <v xml:space="preserve">    International Business Machines Corp</v>
      </c>
      <c r="B54" t="str">
        <f>IFERROR(IF(0=LEN(ReferenceData!$B$54),"",ReferenceData!$B$54),"")</f>
        <v>IBM US Equity</v>
      </c>
      <c r="C54" t="str">
        <f>IFERROR(IF(0=LEN(ReferenceData!$C$54),"",ReferenceData!$C$54),"")</f>
        <v>RR009</v>
      </c>
      <c r="D54" t="str">
        <f>IFERROR(IF(0=LEN(ReferenceData!$D$54),"",ReferenceData!$D$54),"")</f>
        <v>EBITDA</v>
      </c>
      <c r="E54" t="str">
        <f>IFERROR(IF(0=LEN(ReferenceData!$E$54),"",ReferenceData!$E$54),"")</f>
        <v>Dynamic</v>
      </c>
      <c r="F54">
        <f ca="1">IFERROR(IF(0=LEN(ReferenceData!$Q$54),"",ReferenceData!$Q$54),"")</f>
        <v>3616</v>
      </c>
      <c r="G54">
        <f ca="1">IFERROR(IF(0=LEN(ReferenceData!$P$54),"",ReferenceData!$P$54),"")</f>
        <v>3986</v>
      </c>
      <c r="H54">
        <f ca="1">IFERROR(IF(0=LEN(ReferenceData!$O$54),"",ReferenceData!$O$54),"")</f>
        <v>5807</v>
      </c>
      <c r="I54">
        <f ca="1">IFERROR(IF(0=LEN(ReferenceData!$N$54),"",ReferenceData!$N$54),"")</f>
        <v>2511</v>
      </c>
      <c r="J54">
        <f ca="1">IFERROR(IF(0=LEN(ReferenceData!$M$54),"",ReferenceData!$M$54),"")</f>
        <v>5208</v>
      </c>
      <c r="K54">
        <f ca="1">IFERROR(IF(0=LEN(ReferenceData!$L$54),"",ReferenceData!$L$54),"")</f>
        <v>4326</v>
      </c>
      <c r="L54">
        <f ca="1">IFERROR(IF(0=LEN(ReferenceData!$K$54),"",ReferenceData!$K$54),"")</f>
        <v>5739</v>
      </c>
      <c r="M54">
        <f ca="1">IFERROR(IF(0=LEN(ReferenceData!$J$54),"",ReferenceData!$J$54),"")</f>
        <v>3749</v>
      </c>
      <c r="N54">
        <f ca="1">IFERROR(IF(0=LEN(ReferenceData!$I$54),"",ReferenceData!$I$54),"")</f>
        <v>3869</v>
      </c>
      <c r="O54">
        <f ca="1">IFERROR(IF(0=LEN(ReferenceData!$H$54),"",ReferenceData!$H$54),"")</f>
        <v>3844</v>
      </c>
      <c r="P54">
        <f ca="1">IFERROR(IF(0=LEN(ReferenceData!$G$54),"",ReferenceData!$G$54),"")</f>
        <v>6117</v>
      </c>
      <c r="Q54">
        <f ca="1">IFERROR(IF(0=LEN(ReferenceData!$F$54),"",ReferenceData!$F$54),"")</f>
        <v>1977</v>
      </c>
    </row>
    <row r="55" spans="1:17" x14ac:dyDescent="0.25">
      <c r="A55" t="str">
        <f>IFERROR(IF(0=LEN(ReferenceData!$A$55),"",ReferenceData!$A$55),"")</f>
        <v xml:space="preserve">    Tata Consultancy Services Ltd</v>
      </c>
      <c r="B55" t="str">
        <f>IFERROR(IF(0=LEN(ReferenceData!$B$55),"",ReferenceData!$B$55),"")</f>
        <v>TCS IN Equity</v>
      </c>
      <c r="C55" t="str">
        <f>IFERROR(IF(0=LEN(ReferenceData!$C$55),"",ReferenceData!$C$55),"")</f>
        <v>RR009</v>
      </c>
      <c r="D55" t="str">
        <f>IFERROR(IF(0=LEN(ReferenceData!$D$55),"",ReferenceData!$D$55),"")</f>
        <v>EBITDA</v>
      </c>
      <c r="E55" t="str">
        <f>IFERROR(IF(0=LEN(ReferenceData!$E$55),"",ReferenceData!$E$55),"")</f>
        <v>Dynamic</v>
      </c>
      <c r="F55">
        <f ca="1">IFERROR(IF(0=LEN(ReferenceData!$Q$55),"",ReferenceData!$Q$55),"")</f>
        <v>1149.522727</v>
      </c>
      <c r="G55">
        <f ca="1">IFERROR(IF(0=LEN(ReferenceData!$P$55),"",ReferenceData!$P$55),"")</f>
        <v>1270.0033719999999</v>
      </c>
      <c r="H55">
        <f ca="1">IFERROR(IF(0=LEN(ReferenceData!$O$55),"",ReferenceData!$O$55),"")</f>
        <v>1280.170255</v>
      </c>
      <c r="I55">
        <f ca="1">IFERROR(IF(0=LEN(ReferenceData!$N$55),"",ReferenceData!$N$55),"")</f>
        <v>1344.0218190000001</v>
      </c>
      <c r="J55">
        <f ca="1">IFERROR(IF(0=LEN(ReferenceData!$M$55),"",ReferenceData!$M$55),"")</f>
        <v>1352.8498509999999</v>
      </c>
      <c r="K55">
        <f ca="1">IFERROR(IF(0=LEN(ReferenceData!$L$55),"",ReferenceData!$L$55),"")</f>
        <v>1466.9776240000001</v>
      </c>
      <c r="L55">
        <f ca="1">IFERROR(IF(0=LEN(ReferenceData!$K$55),"",ReferenceData!$K$55),"")</f>
        <v>1399.3529610000001</v>
      </c>
      <c r="M55">
        <f ca="1">IFERROR(IF(0=LEN(ReferenceData!$J$55),"",ReferenceData!$J$55),"")</f>
        <v>1429.905557</v>
      </c>
      <c r="N55">
        <f ca="1">IFERROR(IF(0=LEN(ReferenceData!$I$55),"",ReferenceData!$I$55),"")</f>
        <v>1443.3576230000001</v>
      </c>
      <c r="O55">
        <f ca="1">IFERROR(IF(0=LEN(ReferenceData!$H$55),"",ReferenceData!$H$55),"")</f>
        <v>1453.070645</v>
      </c>
      <c r="P55">
        <f ca="1">IFERROR(IF(0=LEN(ReferenceData!$G$55),"",ReferenceData!$G$55),"")</f>
        <v>1526.453837</v>
      </c>
      <c r="Q55">
        <f ca="1">IFERROR(IF(0=LEN(ReferenceData!$F$55),"",ReferenceData!$F$55),"")</f>
        <v>1515.190241</v>
      </c>
    </row>
    <row r="56" spans="1:17" x14ac:dyDescent="0.25">
      <c r="A56" t="str">
        <f>IFERROR(IF(0=LEN(ReferenceData!$A$56),"",ReferenceData!$A$56),"")</f>
        <v xml:space="preserve">    Tech Mahindra Ltd</v>
      </c>
      <c r="B56" t="str">
        <f>IFERROR(IF(0=LEN(ReferenceData!$B$56),"",ReferenceData!$B$56),"")</f>
        <v>TECHM IN Equity</v>
      </c>
      <c r="C56" t="str">
        <f>IFERROR(IF(0=LEN(ReferenceData!$C$56),"",ReferenceData!$C$56),"")</f>
        <v>RR009</v>
      </c>
      <c r="D56" t="str">
        <f>IFERROR(IF(0=LEN(ReferenceData!$D$56),"",ReferenceData!$D$56),"")</f>
        <v>EBITDA</v>
      </c>
      <c r="E56" t="str">
        <f>IFERROR(IF(0=LEN(ReferenceData!$E$56),"",ReferenceData!$E$56),"")</f>
        <v>Dynamic</v>
      </c>
      <c r="F56">
        <f ca="1">IFERROR(IF(0=LEN(ReferenceData!$Q$56),"",ReferenceData!$Q$56),"")</f>
        <v>144.9347655</v>
      </c>
      <c r="G56">
        <f ca="1">IFERROR(IF(0=LEN(ReferenceData!$P$56),"",ReferenceData!$P$56),"")</f>
        <v>172.00736499999999</v>
      </c>
      <c r="H56">
        <f ca="1">IFERROR(IF(0=LEN(ReferenceData!$O$56),"",ReferenceData!$O$56),"")</f>
        <v>195.35611280000001</v>
      </c>
      <c r="I56">
        <f ca="1">IFERROR(IF(0=LEN(ReferenceData!$N$56),"",ReferenceData!$N$56),"")</f>
        <v>219.3355995</v>
      </c>
      <c r="J56">
        <f ca="1">IFERROR(IF(0=LEN(ReferenceData!$M$56),"",ReferenceData!$M$56),"")</f>
        <v>202.37267660000001</v>
      </c>
      <c r="K56">
        <f ca="1">IFERROR(IF(0=LEN(ReferenceData!$L$56),"",ReferenceData!$L$56),"")</f>
        <v>231.0396983</v>
      </c>
      <c r="L56">
        <f ca="1">IFERROR(IF(0=LEN(ReferenceData!$K$56),"",ReferenceData!$K$56),"")</f>
        <v>239.06827440000001</v>
      </c>
      <c r="M56">
        <f ca="1">IFERROR(IF(0=LEN(ReferenceData!$J$56),"",ReferenceData!$J$56),"")</f>
        <v>232.59740289999999</v>
      </c>
      <c r="N56">
        <f ca="1">IFERROR(IF(0=LEN(ReferenceData!$I$56),"",ReferenceData!$I$56),"")</f>
        <v>188.9724272</v>
      </c>
      <c r="O56">
        <f ca="1">IFERROR(IF(0=LEN(ReferenceData!$H$56),"",ReferenceData!$H$56),"")</f>
        <v>213.2903211</v>
      </c>
      <c r="P56">
        <f ca="1">IFERROR(IF(0=LEN(ReferenceData!$G$56),"",ReferenceData!$G$56),"")</f>
        <v>219.5085972</v>
      </c>
      <c r="Q56">
        <f ca="1">IFERROR(IF(0=LEN(ReferenceData!$F$56),"",ReferenceData!$F$56),"")</f>
        <v>156.03063560000001</v>
      </c>
    </row>
    <row r="57" spans="1:17" x14ac:dyDescent="0.25">
      <c r="A57" t="str">
        <f>IFERROR(IF(0=LEN(ReferenceData!$A$57),"",ReferenceData!$A$57),"")</f>
        <v xml:space="preserve">    Wipro Ltd</v>
      </c>
      <c r="B57" t="str">
        <f>IFERROR(IF(0=LEN(ReferenceData!$B$57),"",ReferenceData!$B$57),"")</f>
        <v>WIT US Equity</v>
      </c>
      <c r="C57" t="str">
        <f>IFERROR(IF(0=LEN(ReferenceData!$C$57),"",ReferenceData!$C$57),"")</f>
        <v>RR009</v>
      </c>
      <c r="D57" t="str">
        <f>IFERROR(IF(0=LEN(ReferenceData!$D$57),"",ReferenceData!$D$57),"")</f>
        <v>EBITDA</v>
      </c>
      <c r="E57" t="str">
        <f>IFERROR(IF(0=LEN(ReferenceData!$E$57),"",ReferenceData!$E$57),"")</f>
        <v>Dynamic</v>
      </c>
      <c r="F57">
        <f ca="1">IFERROR(IF(0=LEN(ReferenceData!$Q$57),"",ReferenceData!$Q$57),"")</f>
        <v>413.76925569999997</v>
      </c>
      <c r="G57">
        <f ca="1">IFERROR(IF(0=LEN(ReferenceData!$P$57),"",ReferenceData!$P$57),"")</f>
        <v>432.2740531</v>
      </c>
      <c r="H57">
        <f ca="1">IFERROR(IF(0=LEN(ReferenceData!$O$57),"",ReferenceData!$O$57),"")</f>
        <v>385.10153600000001</v>
      </c>
      <c r="I57">
        <f ca="1">IFERROR(IF(0=LEN(ReferenceData!$N$57),"",ReferenceData!$N$57),"")</f>
        <v>381.0547297</v>
      </c>
      <c r="J57">
        <f ca="1">IFERROR(IF(0=LEN(ReferenceData!$M$57),"",ReferenceData!$M$57),"")</f>
        <v>400.76927799999999</v>
      </c>
      <c r="K57">
        <f ca="1">IFERROR(IF(0=LEN(ReferenceData!$L$57),"",ReferenceData!$L$57),"")</f>
        <v>339.24035959999998</v>
      </c>
      <c r="L57">
        <f ca="1">IFERROR(IF(0=LEN(ReferenceData!$K$57),"",ReferenceData!$K$57),"")</f>
        <v>467.14490389999997</v>
      </c>
      <c r="M57">
        <f ca="1">IFERROR(IF(0=LEN(ReferenceData!$J$57),"",ReferenceData!$J$57),"")</f>
        <v>452.34921780000002</v>
      </c>
      <c r="N57">
        <f ca="1">IFERROR(IF(0=LEN(ReferenceData!$I$57),"",ReferenceData!$I$57),"")</f>
        <v>423.78947040000003</v>
      </c>
      <c r="O57">
        <f ca="1">IFERROR(IF(0=LEN(ReferenceData!$H$57),"",ReferenceData!$H$57),"")</f>
        <v>439.94289500000002</v>
      </c>
      <c r="P57">
        <f ca="1">IFERROR(IF(0=LEN(ReferenceData!$G$57),"",ReferenceData!$G$57),"")</f>
        <v>446.53443540000001</v>
      </c>
      <c r="Q57">
        <f ca="1">IFERROR(IF(0=LEN(ReferenceData!$F$57),"",ReferenceData!$F$57),"")</f>
        <v>430.6199378</v>
      </c>
    </row>
    <row r="58" spans="1:17" x14ac:dyDescent="0.25">
      <c r="A58" t="str">
        <f>IFERROR(IF(0=LEN(ReferenceData!$A$58),"",ReferenceData!$A$58),"")</f>
        <v>Operating Income</v>
      </c>
      <c r="B58" t="str">
        <f>IFERROR(IF(0=LEN(ReferenceData!$B$58),"",ReferenceData!$B$58),"")</f>
        <v>BRITBPOV Index</v>
      </c>
      <c r="C58" t="str">
        <f>IFERROR(IF(0=LEN(ReferenceData!$C$58),"",ReferenceData!$C$58),"")</f>
        <v/>
      </c>
      <c r="D58" t="str">
        <f>IFERROR(IF(0=LEN(ReferenceData!$D$58),"",ReferenceData!$D$58),"")</f>
        <v/>
      </c>
      <c r="E58" t="str">
        <f>IFERROR(IF(0=LEN(ReferenceData!$E$58),"",ReferenceData!$E$58),"")</f>
        <v>Sum</v>
      </c>
      <c r="F58">
        <f ca="1">IFERROR(IF(0=LEN(ReferenceData!$Q$58),"",ReferenceData!$Q$58),"")</f>
        <v>7116.1068203999994</v>
      </c>
      <c r="G58">
        <f ca="1">IFERROR(IF(0=LEN(ReferenceData!$P$58),"",ReferenceData!$P$58),"")</f>
        <v>8359.7430498899994</v>
      </c>
      <c r="H58">
        <f ca="1">IFERROR(IF(0=LEN(ReferenceData!$O$58),"",ReferenceData!$O$58),"")</f>
        <v>10492.89506407</v>
      </c>
      <c r="I58">
        <f ca="1">IFERROR(IF(0=LEN(ReferenceData!$N$58),"",ReferenceData!$N$58),"")</f>
        <v>7431.6539485900003</v>
      </c>
      <c r="J58">
        <f ca="1">IFERROR(IF(0=LEN(ReferenceData!$M$58),"",ReferenceData!$M$58),"")</f>
        <v>9159.0759985199984</v>
      </c>
      <c r="K58">
        <f ca="1">IFERROR(IF(0=LEN(ReferenceData!$L$58),"",ReferenceData!$L$58),"")</f>
        <v>9028.5764770099995</v>
      </c>
      <c r="L58">
        <f ca="1">IFERROR(IF(0=LEN(ReferenceData!$K$58),"",ReferenceData!$K$58),"")</f>
        <v>10968.075127709999</v>
      </c>
      <c r="M58">
        <f ca="1">IFERROR(IF(0=LEN(ReferenceData!$J$58),"",ReferenceData!$J$58),"")</f>
        <v>7632.6669479799993</v>
      </c>
      <c r="N58">
        <f ca="1">IFERROR(IF(0=LEN(ReferenceData!$I$58),"",ReferenceData!$I$58),"")</f>
        <v>7097.0684351499995</v>
      </c>
      <c r="O58">
        <f ca="1">IFERROR(IF(0=LEN(ReferenceData!$H$58),"",ReferenceData!$H$58),"")</f>
        <v>5712.5410696300005</v>
      </c>
      <c r="P58">
        <f ca="1">IFERROR(IF(0=LEN(ReferenceData!$G$58),"",ReferenceData!$G$58),"")</f>
        <v>9854.4121608999994</v>
      </c>
      <c r="Q58">
        <f ca="1">IFERROR(IF(0=LEN(ReferenceData!$F$58),"",ReferenceData!$F$58),"")</f>
        <v>2259.6513117300001</v>
      </c>
    </row>
    <row r="59" spans="1:17" x14ac:dyDescent="0.25">
      <c r="A59" t="str">
        <f>IFERROR(IF(0=LEN(ReferenceData!$A$59),"",ReferenceData!$A$59),"")</f>
        <v xml:space="preserve">    Accenture PLC</v>
      </c>
      <c r="B59" t="str">
        <f>IFERROR(IF(0=LEN(ReferenceData!$B$59),"",ReferenceData!$B$59),"")</f>
        <v>ACN US Equity</v>
      </c>
      <c r="C59" t="str">
        <f>IFERROR(IF(0=LEN(ReferenceData!$C$59),"",ReferenceData!$C$59),"")</f>
        <v>IS033</v>
      </c>
      <c r="D59" t="str">
        <f>IFERROR(IF(0=LEN(ReferenceData!$D$59),"",ReferenceData!$D$59),"")</f>
        <v>IS_OPER_INC</v>
      </c>
      <c r="E59" t="str">
        <f>IFERROR(IF(0=LEN(ReferenceData!$E$59),"",ReferenceData!$E$59),"")</f>
        <v>Dynamic</v>
      </c>
      <c r="F59">
        <f ca="1">IFERROR(IF(0=LEN(ReferenceData!$Q$59),"",ReferenceData!$Q$59),"")</f>
        <v>865.43499999999995</v>
      </c>
      <c r="G59">
        <f ca="1">IFERROR(IF(0=LEN(ReferenceData!$P$59),"",ReferenceData!$P$59),"")</f>
        <v>1296.5619999999999</v>
      </c>
      <c r="H59">
        <f ca="1">IFERROR(IF(0=LEN(ReferenceData!$O$59),"",ReferenceData!$O$59),"")</f>
        <v>1498.1759999999999</v>
      </c>
      <c r="I59">
        <f ca="1">IFERROR(IF(0=LEN(ReferenceData!$N$59),"",ReferenceData!$N$59),"")</f>
        <v>1296.0440000000001</v>
      </c>
      <c r="J59">
        <f ca="1">IFERROR(IF(0=LEN(ReferenceData!$M$59),"",ReferenceData!$M$59),"")</f>
        <v>1634.875</v>
      </c>
      <c r="K59">
        <f ca="1">IFERROR(IF(0=LEN(ReferenceData!$L$59),"",ReferenceData!$L$59),"")</f>
        <v>1469.684</v>
      </c>
      <c r="L59">
        <f ca="1">IFERROR(IF(0=LEN(ReferenceData!$K$59),"",ReferenceData!$K$59),"")</f>
        <v>1629.0119999999999</v>
      </c>
      <c r="M59">
        <f ca="1">IFERROR(IF(0=LEN(ReferenceData!$J$59),"",ReferenceData!$J$59),"")</f>
        <v>1386.626</v>
      </c>
      <c r="N59">
        <f ca="1">IFERROR(IF(0=LEN(ReferenceData!$I$59),"",ReferenceData!$I$59),"")</f>
        <v>1717.943</v>
      </c>
      <c r="O59">
        <f ca="1">IFERROR(IF(0=LEN(ReferenceData!$H$59),"",ReferenceData!$H$59),"")</f>
        <v>1571.4929999999999</v>
      </c>
      <c r="P59">
        <f ca="1">IFERROR(IF(0=LEN(ReferenceData!$G$59),"",ReferenceData!$G$59),"")</f>
        <v>1767.2629999999999</v>
      </c>
      <c r="Q59">
        <f ca="1">IFERROR(IF(0=LEN(ReferenceData!$F$59),"",ReferenceData!$F$59),"")</f>
        <v>1488.9449999999999</v>
      </c>
    </row>
    <row r="60" spans="1:17" x14ac:dyDescent="0.25">
      <c r="A60" t="str">
        <f>IFERROR(IF(0=LEN(ReferenceData!$A$60),"",ReferenceData!$A$60),"")</f>
        <v xml:space="preserve">    Amdocs Ltd</v>
      </c>
      <c r="B60" t="str">
        <f>IFERROR(IF(0=LEN(ReferenceData!$B$60),"",ReferenceData!$B$60),"")</f>
        <v>DOX US Equity</v>
      </c>
      <c r="C60" t="str">
        <f>IFERROR(IF(0=LEN(ReferenceData!$C$60),"",ReferenceData!$C$60),"")</f>
        <v>IS033</v>
      </c>
      <c r="D60" t="str">
        <f>IFERROR(IF(0=LEN(ReferenceData!$D$60),"",ReferenceData!$D$60),"")</f>
        <v>IS_OPER_INC</v>
      </c>
      <c r="E60" t="str">
        <f>IFERROR(IF(0=LEN(ReferenceData!$E$60),"",ReferenceData!$E$60),"")</f>
        <v>Dynamic</v>
      </c>
      <c r="F60">
        <f ca="1">IFERROR(IF(0=LEN(ReferenceData!$Q$60),"",ReferenceData!$Q$60),"")</f>
        <v>129.91200000000001</v>
      </c>
      <c r="G60">
        <f ca="1">IFERROR(IF(0=LEN(ReferenceData!$P$60),"",ReferenceData!$P$60),"")</f>
        <v>132.047</v>
      </c>
      <c r="H60">
        <f ca="1">IFERROR(IF(0=LEN(ReferenceData!$O$60),"",ReferenceData!$O$60),"")</f>
        <v>122.143</v>
      </c>
      <c r="I60">
        <f ca="1">IFERROR(IF(0=LEN(ReferenceData!$N$60),"",ReferenceData!$N$60),"")</f>
        <v>131.827</v>
      </c>
      <c r="J60">
        <f ca="1">IFERROR(IF(0=LEN(ReferenceData!$M$60),"",ReferenceData!$M$60),"")</f>
        <v>105.518</v>
      </c>
      <c r="K60">
        <f ca="1">IFERROR(IF(0=LEN(ReferenceData!$L$60),"",ReferenceData!$L$60),"")</f>
        <v>68.819000000000003</v>
      </c>
      <c r="L60">
        <f ca="1">IFERROR(IF(0=LEN(ReferenceData!$K$60),"",ReferenceData!$K$60),"")</f>
        <v>133.09700000000001</v>
      </c>
      <c r="M60">
        <f ca="1">IFERROR(IF(0=LEN(ReferenceData!$J$60),"",ReferenceData!$J$60),"")</f>
        <v>150.17500000000001</v>
      </c>
      <c r="N60">
        <f ca="1">IFERROR(IF(0=LEN(ReferenceData!$I$60),"",ReferenceData!$I$60),"")</f>
        <v>142.32</v>
      </c>
      <c r="O60">
        <f ca="1">IFERROR(IF(0=LEN(ReferenceData!$H$60),"",ReferenceData!$H$60),"")</f>
        <v>144.154</v>
      </c>
      <c r="P60">
        <f ca="1">IFERROR(IF(0=LEN(ReferenceData!$G$60),"",ReferenceData!$G$60),"")</f>
        <v>143.577</v>
      </c>
      <c r="Q60">
        <f ca="1">IFERROR(IF(0=LEN(ReferenceData!$F$60),"",ReferenceData!$F$60),"")</f>
        <v>156.71199999999999</v>
      </c>
    </row>
    <row r="61" spans="1:17" x14ac:dyDescent="0.25">
      <c r="A61" t="str">
        <f>IFERROR(IF(0=LEN(ReferenceData!$A$61),"",ReferenceData!$A$61),"")</f>
        <v xml:space="preserve">    Atos SE</v>
      </c>
      <c r="B61" t="str">
        <f>IFERROR(IF(0=LEN(ReferenceData!$B$61),"",ReferenceData!$B$61),"")</f>
        <v>ATO FP Equity</v>
      </c>
      <c r="C61" t="str">
        <f>IFERROR(IF(0=LEN(ReferenceData!$C$61),"",ReferenceData!$C$61),"")</f>
        <v>IS033</v>
      </c>
      <c r="D61" t="str">
        <f>IFERROR(IF(0=LEN(ReferenceData!$D$61),"",ReferenceData!$D$61),"")</f>
        <v>IS_OPER_INC</v>
      </c>
      <c r="E61" t="str">
        <f>IFERROR(IF(0=LEN(ReferenceData!$E$61),"",ReferenceData!$E$61),"")</f>
        <v>Dynamic</v>
      </c>
      <c r="F61" t="str">
        <f ca="1">IFERROR(IF(0=LEN(ReferenceData!$Q$61),"",ReferenceData!$Q$61),"")</f>
        <v/>
      </c>
      <c r="G61" t="str">
        <f ca="1">IFERROR(IF(0=LEN(ReferenceData!$P$61),"",ReferenceData!$P$61),"")</f>
        <v/>
      </c>
      <c r="H61" t="str">
        <f ca="1">IFERROR(IF(0=LEN(ReferenceData!$O$61),"",ReferenceData!$O$61),"")</f>
        <v/>
      </c>
      <c r="I61" t="str">
        <f ca="1">IFERROR(IF(0=LEN(ReferenceData!$N$61),"",ReferenceData!$N$61),"")</f>
        <v/>
      </c>
      <c r="J61" t="str">
        <f ca="1">IFERROR(IF(0=LEN(ReferenceData!$M$61),"",ReferenceData!$M$61),"")</f>
        <v/>
      </c>
      <c r="K61" t="str">
        <f ca="1">IFERROR(IF(0=LEN(ReferenceData!$L$61),"",ReferenceData!$L$61),"")</f>
        <v/>
      </c>
      <c r="L61" t="str">
        <f ca="1">IFERROR(IF(0=LEN(ReferenceData!$K$61),"",ReferenceData!$K$61),"")</f>
        <v/>
      </c>
      <c r="M61" t="str">
        <f ca="1">IFERROR(IF(0=LEN(ReferenceData!$J$61),"",ReferenceData!$J$61),"")</f>
        <v/>
      </c>
      <c r="N61" t="str">
        <f ca="1">IFERROR(IF(0=LEN(ReferenceData!$I$61),"",ReferenceData!$I$61),"")</f>
        <v/>
      </c>
      <c r="O61" t="str">
        <f ca="1">IFERROR(IF(0=LEN(ReferenceData!$H$61),"",ReferenceData!$H$61),"")</f>
        <v/>
      </c>
      <c r="P61" t="str">
        <f ca="1">IFERROR(IF(0=LEN(ReferenceData!$G$61),"",ReferenceData!$G$61),"")</f>
        <v/>
      </c>
      <c r="Q61" t="str">
        <f ca="1">IFERROR(IF(0=LEN(ReferenceData!$F$61),"",ReferenceData!$F$61),"")</f>
        <v/>
      </c>
    </row>
    <row r="62" spans="1:17" x14ac:dyDescent="0.25">
      <c r="A62" t="str">
        <f>IFERROR(IF(0=LEN(ReferenceData!$A$62),"",ReferenceData!$A$62),"")</f>
        <v xml:space="preserve">    Capgemini SE</v>
      </c>
      <c r="B62" t="str">
        <f>IFERROR(IF(0=LEN(ReferenceData!$B$62),"",ReferenceData!$B$62),"")</f>
        <v>CAP FP Equity</v>
      </c>
      <c r="C62" t="str">
        <f>IFERROR(IF(0=LEN(ReferenceData!$C$62),"",ReferenceData!$C$62),"")</f>
        <v>IS033</v>
      </c>
      <c r="D62" t="str">
        <f>IFERROR(IF(0=LEN(ReferenceData!$D$62),"",ReferenceData!$D$62),"")</f>
        <v>IS_OPER_INC</v>
      </c>
      <c r="E62" t="str">
        <f>IFERROR(IF(0=LEN(ReferenceData!$E$62),"",ReferenceData!$E$62),"")</f>
        <v>Dynamic</v>
      </c>
      <c r="F62" t="str">
        <f ca="1">IFERROR(IF(0=LEN(ReferenceData!$Q$62),"",ReferenceData!$Q$62),"")</f>
        <v/>
      </c>
      <c r="G62" t="str">
        <f ca="1">IFERROR(IF(0=LEN(ReferenceData!$P$62),"",ReferenceData!$P$62),"")</f>
        <v/>
      </c>
      <c r="H62" t="str">
        <f ca="1">IFERROR(IF(0=LEN(ReferenceData!$O$62),"",ReferenceData!$O$62),"")</f>
        <v/>
      </c>
      <c r="I62" t="str">
        <f ca="1">IFERROR(IF(0=LEN(ReferenceData!$N$62),"",ReferenceData!$N$62),"")</f>
        <v/>
      </c>
      <c r="J62" t="str">
        <f ca="1">IFERROR(IF(0=LEN(ReferenceData!$M$62),"",ReferenceData!$M$62),"")</f>
        <v/>
      </c>
      <c r="K62" t="str">
        <f ca="1">IFERROR(IF(0=LEN(ReferenceData!$L$62),"",ReferenceData!$L$62),"")</f>
        <v/>
      </c>
      <c r="L62" t="str">
        <f ca="1">IFERROR(IF(0=LEN(ReferenceData!$K$62),"",ReferenceData!$K$62),"")</f>
        <v/>
      </c>
      <c r="M62" t="str">
        <f ca="1">IFERROR(IF(0=LEN(ReferenceData!$J$62),"",ReferenceData!$J$62),"")</f>
        <v/>
      </c>
      <c r="N62" t="str">
        <f ca="1">IFERROR(IF(0=LEN(ReferenceData!$I$62),"",ReferenceData!$I$62),"")</f>
        <v/>
      </c>
      <c r="O62" t="str">
        <f ca="1">IFERROR(IF(0=LEN(ReferenceData!$H$62),"",ReferenceData!$H$62),"")</f>
        <v/>
      </c>
      <c r="P62" t="str">
        <f ca="1">IFERROR(IF(0=LEN(ReferenceData!$G$62),"",ReferenceData!$G$62),"")</f>
        <v/>
      </c>
      <c r="Q62" t="str">
        <f ca="1">IFERROR(IF(0=LEN(ReferenceData!$F$62),"",ReferenceData!$F$62),"")</f>
        <v/>
      </c>
    </row>
    <row r="63" spans="1:17" x14ac:dyDescent="0.25">
      <c r="A63" t="str">
        <f>IFERROR(IF(0=LEN(ReferenceData!$A$63),"",ReferenceData!$A$63),"")</f>
        <v xml:space="preserve">    CGI Inc</v>
      </c>
      <c r="B63" t="str">
        <f>IFERROR(IF(0=LEN(ReferenceData!$B$63),"",ReferenceData!$B$63),"")</f>
        <v>GIB US Equity</v>
      </c>
      <c r="C63" t="str">
        <f>IFERROR(IF(0=LEN(ReferenceData!$C$63),"",ReferenceData!$C$63),"")</f>
        <v>IS033</v>
      </c>
      <c r="D63" t="str">
        <f>IFERROR(IF(0=LEN(ReferenceData!$D$63),"",ReferenceData!$D$63),"")</f>
        <v>IS_OPER_INC</v>
      </c>
      <c r="E63" t="str">
        <f>IFERROR(IF(0=LEN(ReferenceData!$E$63),"",ReferenceData!$E$63),"")</f>
        <v>Dynamic</v>
      </c>
      <c r="F63">
        <f ca="1">IFERROR(IF(0=LEN(ReferenceData!$Q$63),"",ReferenceData!$Q$63),"")</f>
        <v>295.22503130000001</v>
      </c>
      <c r="G63">
        <f ca="1">IFERROR(IF(0=LEN(ReferenceData!$P$63),"",ReferenceData!$P$63),"")</f>
        <v>240.45230359999999</v>
      </c>
      <c r="H63">
        <f ca="1">IFERROR(IF(0=LEN(ReferenceData!$O$63),"",ReferenceData!$O$63),"")</f>
        <v>281.45783399999999</v>
      </c>
      <c r="I63">
        <f ca="1">IFERROR(IF(0=LEN(ReferenceData!$N$63),"",ReferenceData!$N$63),"")</f>
        <v>305.01388450000002</v>
      </c>
      <c r="J63">
        <f ca="1">IFERROR(IF(0=LEN(ReferenceData!$M$63),"",ReferenceData!$M$63),"")</f>
        <v>316.5138824</v>
      </c>
      <c r="K63">
        <f ca="1">IFERROR(IF(0=LEN(ReferenceData!$L$63),"",ReferenceData!$L$63),"")</f>
        <v>317.644498</v>
      </c>
      <c r="L63">
        <f ca="1">IFERROR(IF(0=LEN(ReferenceData!$K$63),"",ReferenceData!$K$63),"")</f>
        <v>327.55136449999998</v>
      </c>
      <c r="M63">
        <f ca="1">IFERROR(IF(0=LEN(ReferenceData!$J$63),"",ReferenceData!$J$63),"")</f>
        <v>337.5236908</v>
      </c>
      <c r="N63">
        <f ca="1">IFERROR(IF(0=LEN(ReferenceData!$I$63),"",ReferenceData!$I$63),"")</f>
        <v>327.61521190000002</v>
      </c>
      <c r="O63">
        <f ca="1">IFERROR(IF(0=LEN(ReferenceData!$H$63),"",ReferenceData!$H$63),"")</f>
        <v>325.64632660000001</v>
      </c>
      <c r="P63">
        <f ca="1">IFERROR(IF(0=LEN(ReferenceData!$G$63),"",ReferenceData!$G$63),"")</f>
        <v>320.9576654</v>
      </c>
      <c r="Q63">
        <f ca="1">IFERROR(IF(0=LEN(ReferenceData!$F$63),"",ReferenceData!$F$63),"")</f>
        <v>338.15726549999999</v>
      </c>
    </row>
    <row r="64" spans="1:17" x14ac:dyDescent="0.25">
      <c r="A64" t="str">
        <f>IFERROR(IF(0=LEN(ReferenceData!$A$64),"",ReferenceData!$A$64),"")</f>
        <v xml:space="preserve">    Cognizant Technology Solutions Corp</v>
      </c>
      <c r="B64" t="str">
        <f>IFERROR(IF(0=LEN(ReferenceData!$B$64),"",ReferenceData!$B$64),"")</f>
        <v>CTSH US Equity</v>
      </c>
      <c r="C64" t="str">
        <f>IFERROR(IF(0=LEN(ReferenceData!$C$64),"",ReferenceData!$C$64),"")</f>
        <v>IS033</v>
      </c>
      <c r="D64" t="str">
        <f>IFERROR(IF(0=LEN(ReferenceData!$D$64),"",ReferenceData!$D$64),"")</f>
        <v>IS_OPER_INC</v>
      </c>
      <c r="E64" t="str">
        <f>IFERROR(IF(0=LEN(ReferenceData!$E$64),"",ReferenceData!$E$64),"")</f>
        <v>Dynamic</v>
      </c>
      <c r="F64">
        <f ca="1">IFERROR(IF(0=LEN(ReferenceData!$Q$64),"",ReferenceData!$Q$64),"")</f>
        <v>606</v>
      </c>
      <c r="G64">
        <f ca="1">IFERROR(IF(0=LEN(ReferenceData!$P$64),"",ReferenceData!$P$64),"")</f>
        <v>648</v>
      </c>
      <c r="H64">
        <f ca="1">IFERROR(IF(0=LEN(ReferenceData!$O$64),"",ReferenceData!$O$64),"")</f>
        <v>657</v>
      </c>
      <c r="I64">
        <f ca="1">IFERROR(IF(0=LEN(ReferenceData!$N$64),"",ReferenceData!$N$64),"")</f>
        <v>693</v>
      </c>
      <c r="J64">
        <f ca="1">IFERROR(IF(0=LEN(ReferenceData!$M$64),"",ReferenceData!$M$64),"")</f>
        <v>670</v>
      </c>
      <c r="K64">
        <f ca="1">IFERROR(IF(0=LEN(ReferenceData!$L$64),"",ReferenceData!$L$64),"")</f>
        <v>745</v>
      </c>
      <c r="L64">
        <f ca="1">IFERROR(IF(0=LEN(ReferenceData!$K$64),"",ReferenceData!$K$64),"")</f>
        <v>693</v>
      </c>
      <c r="M64">
        <f ca="1">IFERROR(IF(0=LEN(ReferenceData!$J$64),"",ReferenceData!$J$64),"")</f>
        <v>539</v>
      </c>
      <c r="N64">
        <f ca="1">IFERROR(IF(0=LEN(ReferenceData!$I$64),"",ReferenceData!$I$64),"")</f>
        <v>619</v>
      </c>
      <c r="O64">
        <f ca="1">IFERROR(IF(0=LEN(ReferenceData!$H$64),"",ReferenceData!$H$64),"")</f>
        <v>669</v>
      </c>
      <c r="P64">
        <f ca="1">IFERROR(IF(0=LEN(ReferenceData!$G$64),"",ReferenceData!$G$64),"")</f>
        <v>626</v>
      </c>
      <c r="Q64">
        <f ca="1">IFERROR(IF(0=LEN(ReferenceData!$F$64),"",ReferenceData!$F$64),"")</f>
        <v>579</v>
      </c>
    </row>
    <row r="65" spans="1:17" x14ac:dyDescent="0.25">
      <c r="A65" t="str">
        <f>IFERROR(IF(0=LEN(ReferenceData!$A$65),"",ReferenceData!$A$65),"")</f>
        <v xml:space="preserve">    Conduent Inc</v>
      </c>
      <c r="B65" t="str">
        <f>IFERROR(IF(0=LEN(ReferenceData!$B$65),"",ReferenceData!$B$65),"")</f>
        <v>CNDT US Equity</v>
      </c>
      <c r="C65" t="str">
        <f>IFERROR(IF(0=LEN(ReferenceData!$C$65),"",ReferenceData!$C$65),"")</f>
        <v>IS033</v>
      </c>
      <c r="D65" t="str">
        <f>IFERROR(IF(0=LEN(ReferenceData!$D$65),"",ReferenceData!$D$65),"")</f>
        <v>IS_OPER_INC</v>
      </c>
      <c r="E65" t="str">
        <f>IFERROR(IF(0=LEN(ReferenceData!$E$65),"",ReferenceData!$E$65),"")</f>
        <v>Dynamic</v>
      </c>
      <c r="F65">
        <f ca="1">IFERROR(IF(0=LEN(ReferenceData!$Q$65),"",ReferenceData!$Q$65),"")</f>
        <v>13</v>
      </c>
      <c r="G65">
        <f ca="1">IFERROR(IF(0=LEN(ReferenceData!$P$65),"",ReferenceData!$P$65),"")</f>
        <v>48</v>
      </c>
      <c r="H65">
        <f ca="1">IFERROR(IF(0=LEN(ReferenceData!$O$65),"",ReferenceData!$O$65),"")</f>
        <v>39</v>
      </c>
      <c r="I65">
        <f ca="1">IFERROR(IF(0=LEN(ReferenceData!$N$65),"",ReferenceData!$N$65),"")</f>
        <v>-22</v>
      </c>
      <c r="J65">
        <f ca="1">IFERROR(IF(0=LEN(ReferenceData!$M$65),"",ReferenceData!$M$65),"")</f>
        <v>89</v>
      </c>
      <c r="K65">
        <f ca="1">IFERROR(IF(0=LEN(ReferenceData!$L$65),"",ReferenceData!$L$65),"")</f>
        <v>-230</v>
      </c>
      <c r="L65">
        <f ca="1">IFERROR(IF(0=LEN(ReferenceData!$K$65),"",ReferenceData!$K$65),"")</f>
        <v>-119</v>
      </c>
      <c r="M65">
        <f ca="1">IFERROR(IF(0=LEN(ReferenceData!$J$65),"",ReferenceData!$J$65),"")</f>
        <v>-319</v>
      </c>
      <c r="N65">
        <f ca="1">IFERROR(IF(0=LEN(ReferenceData!$I$65),"",ReferenceData!$I$65),"")</f>
        <v>-1098</v>
      </c>
      <c r="O65">
        <f ca="1">IFERROR(IF(0=LEN(ReferenceData!$H$65),"",ReferenceData!$H$65),"")</f>
        <v>6</v>
      </c>
      <c r="P65">
        <f ca="1">IFERROR(IF(0=LEN(ReferenceData!$G$65),"",ReferenceData!$G$65),"")</f>
        <v>-617</v>
      </c>
      <c r="Q65">
        <f ca="1">IFERROR(IF(0=LEN(ReferenceData!$F$65),"",ReferenceData!$F$65),"")</f>
        <v>-34</v>
      </c>
    </row>
    <row r="66" spans="1:17" x14ac:dyDescent="0.25">
      <c r="A66" t="str">
        <f>IFERROR(IF(0=LEN(ReferenceData!$A$66),"",ReferenceData!$A$66),"")</f>
        <v xml:space="preserve">    DXC Technology Co</v>
      </c>
      <c r="B66" t="str">
        <f>IFERROR(IF(0=LEN(ReferenceData!$B$66),"",ReferenceData!$B$66),"")</f>
        <v>DXC US Equity</v>
      </c>
      <c r="C66" t="str">
        <f>IFERROR(IF(0=LEN(ReferenceData!$C$66),"",ReferenceData!$C$66),"")</f>
        <v>IS033</v>
      </c>
      <c r="D66" t="str">
        <f>IFERROR(IF(0=LEN(ReferenceData!$D$66),"",ReferenceData!$D$66),"")</f>
        <v>IS_OPER_INC</v>
      </c>
      <c r="E66" t="str">
        <f>IFERROR(IF(0=LEN(ReferenceData!$E$66),"",ReferenceData!$E$66),"")</f>
        <v>Dynamic</v>
      </c>
      <c r="F66">
        <f ca="1">IFERROR(IF(0=LEN(ReferenceData!$Q$66),"",ReferenceData!$Q$66),"")</f>
        <v>5</v>
      </c>
      <c r="G66">
        <f ca="1">IFERROR(IF(0=LEN(ReferenceData!$P$66),"",ReferenceData!$P$66),"")</f>
        <v>269</v>
      </c>
      <c r="H66">
        <f ca="1">IFERROR(IF(0=LEN(ReferenceData!$O$66),"",ReferenceData!$O$66),"")</f>
        <v>312</v>
      </c>
      <c r="I66">
        <f ca="1">IFERROR(IF(0=LEN(ReferenceData!$N$66),"",ReferenceData!$N$66),"")</f>
        <v>658</v>
      </c>
      <c r="J66">
        <f ca="1">IFERROR(IF(0=LEN(ReferenceData!$M$66),"",ReferenceData!$M$66),"")</f>
        <v>319</v>
      </c>
      <c r="K66">
        <f ca="1">IFERROR(IF(0=LEN(ReferenceData!$L$66),"",ReferenceData!$L$66),"")</f>
        <v>285</v>
      </c>
      <c r="L66">
        <f ca="1">IFERROR(IF(0=LEN(ReferenceData!$K$66),"",ReferenceData!$K$66),"")</f>
        <v>378</v>
      </c>
      <c r="M66">
        <f ca="1">IFERROR(IF(0=LEN(ReferenceData!$J$66),"",ReferenceData!$J$66),"")</f>
        <v>403</v>
      </c>
      <c r="N66">
        <f ca="1">IFERROR(IF(0=LEN(ReferenceData!$I$66),"",ReferenceData!$I$66),"")</f>
        <v>149</v>
      </c>
      <c r="O66">
        <f ca="1">IFERROR(IF(0=LEN(ReferenceData!$H$66),"",ReferenceData!$H$66),"")</f>
        <v>-2071</v>
      </c>
      <c r="P66">
        <f ca="1">IFERROR(IF(0=LEN(ReferenceData!$G$66),"",ReferenceData!$G$66),"")</f>
        <v>70</v>
      </c>
      <c r="Q66">
        <f ca="1">IFERROR(IF(0=LEN(ReferenceData!$F$66),"",ReferenceData!$F$66),"")</f>
        <v>-3878</v>
      </c>
    </row>
    <row r="67" spans="1:17" x14ac:dyDescent="0.25">
      <c r="A67" t="str">
        <f>IFERROR(IF(0=LEN(ReferenceData!$A$67),"",ReferenceData!$A$67),"")</f>
        <v xml:space="preserve">    EPAM Systems Inc</v>
      </c>
      <c r="B67" t="str">
        <f>IFERROR(IF(0=LEN(ReferenceData!$B$67),"",ReferenceData!$B$67),"")</f>
        <v>EPAM US Equity</v>
      </c>
      <c r="C67" t="str">
        <f>IFERROR(IF(0=LEN(ReferenceData!$C$67),"",ReferenceData!$C$67),"")</f>
        <v>IS033</v>
      </c>
      <c r="D67" t="str">
        <f>IFERROR(IF(0=LEN(ReferenceData!$D$67),"",ReferenceData!$D$67),"")</f>
        <v>IS_OPER_INC</v>
      </c>
      <c r="E67" t="str">
        <f>IFERROR(IF(0=LEN(ReferenceData!$E$67),"",ReferenceData!$E$67),"")</f>
        <v>Dynamic</v>
      </c>
      <c r="F67">
        <f ca="1">IFERROR(IF(0=LEN(ReferenceData!$Q$67),"",ReferenceData!$Q$67),"")</f>
        <v>40.682000000000002</v>
      </c>
      <c r="G67">
        <f ca="1">IFERROR(IF(0=LEN(ReferenceData!$P$67),"",ReferenceData!$P$67),"")</f>
        <v>49.247999999999998</v>
      </c>
      <c r="H67">
        <f ca="1">IFERROR(IF(0=LEN(ReferenceData!$O$67),"",ReferenceData!$O$67),"")</f>
        <v>52.05</v>
      </c>
      <c r="I67">
        <f ca="1">IFERROR(IF(0=LEN(ReferenceData!$N$67),"",ReferenceData!$N$67),"")</f>
        <v>48.697000000000003</v>
      </c>
      <c r="J67">
        <f ca="1">IFERROR(IF(0=LEN(ReferenceData!$M$67),"",ReferenceData!$M$67),"")</f>
        <v>54.237000000000002</v>
      </c>
      <c r="K67">
        <f ca="1">IFERROR(IF(0=LEN(ReferenceData!$L$67),"",ReferenceData!$L$67),"")</f>
        <v>64.56</v>
      </c>
      <c r="L67">
        <f ca="1">IFERROR(IF(0=LEN(ReferenceData!$K$67),"",ReferenceData!$K$67),"")</f>
        <v>78.27</v>
      </c>
      <c r="M67">
        <f ca="1">IFERROR(IF(0=LEN(ReferenceData!$J$67),"",ReferenceData!$J$67),"")</f>
        <v>64.658000000000001</v>
      </c>
      <c r="N67">
        <f ca="1">IFERROR(IF(0=LEN(ReferenceData!$I$67),"",ReferenceData!$I$67),"")</f>
        <v>72.882000000000005</v>
      </c>
      <c r="O67">
        <f ca="1">IFERROR(IF(0=LEN(ReferenceData!$H$67),"",ReferenceData!$H$67),"")</f>
        <v>80.564999999999998</v>
      </c>
      <c r="P67">
        <f ca="1">IFERROR(IF(0=LEN(ReferenceData!$G$67),"",ReferenceData!$G$67),"")</f>
        <v>84.745000000000005</v>
      </c>
      <c r="Q67">
        <f ca="1">IFERROR(IF(0=LEN(ReferenceData!$F$67),"",ReferenceData!$F$67),"")</f>
        <v>87.509</v>
      </c>
    </row>
    <row r="68" spans="1:17" x14ac:dyDescent="0.25">
      <c r="A68" t="str">
        <f>IFERROR(IF(0=LEN(ReferenceData!$A$68),"",ReferenceData!$A$68),"")</f>
        <v xml:space="preserve">    Genpact Ltd</v>
      </c>
      <c r="B68" t="str">
        <f>IFERROR(IF(0=LEN(ReferenceData!$B$68),"",ReferenceData!$B$68),"")</f>
        <v>G US Equity</v>
      </c>
      <c r="C68" t="str">
        <f>IFERROR(IF(0=LEN(ReferenceData!$C$68),"",ReferenceData!$C$68),"")</f>
        <v>IS033</v>
      </c>
      <c r="D68" t="str">
        <f>IFERROR(IF(0=LEN(ReferenceData!$D$68),"",ReferenceData!$D$68),"")</f>
        <v>IS_OPER_INC</v>
      </c>
      <c r="E68" t="str">
        <f>IFERROR(IF(0=LEN(ReferenceData!$E$68),"",ReferenceData!$E$68),"")</f>
        <v>Dynamic</v>
      </c>
      <c r="F68">
        <f ca="1">IFERROR(IF(0=LEN(ReferenceData!$Q$68),"",ReferenceData!$Q$68),"")</f>
        <v>80.959000000000003</v>
      </c>
      <c r="G68">
        <f ca="1">IFERROR(IF(0=LEN(ReferenceData!$P$68),"",ReferenceData!$P$68),"")</f>
        <v>97.918999999999997</v>
      </c>
      <c r="H68">
        <f ca="1">IFERROR(IF(0=LEN(ReferenceData!$O$68),"",ReferenceData!$O$68),"")</f>
        <v>73.305000000000007</v>
      </c>
      <c r="I68">
        <f ca="1">IFERROR(IF(0=LEN(ReferenceData!$N$68),"",ReferenceData!$N$68),"")</f>
        <v>63.761000000000003</v>
      </c>
      <c r="J68">
        <f ca="1">IFERROR(IF(0=LEN(ReferenceData!$M$68),"",ReferenceData!$M$68),"")</f>
        <v>79.522000000000006</v>
      </c>
      <c r="K68">
        <f ca="1">IFERROR(IF(0=LEN(ReferenceData!$L$68),"",ReferenceData!$L$68),"")</f>
        <v>94.028000000000006</v>
      </c>
      <c r="L68">
        <f ca="1">IFERROR(IF(0=LEN(ReferenceData!$K$68),"",ReferenceData!$K$68),"")</f>
        <v>110.84099999999999</v>
      </c>
      <c r="M68">
        <f ca="1">IFERROR(IF(0=LEN(ReferenceData!$J$68),"",ReferenceData!$J$68),"")</f>
        <v>90.072000000000003</v>
      </c>
      <c r="N68">
        <f ca="1">IFERROR(IF(0=LEN(ReferenceData!$I$68),"",ReferenceData!$I$68),"")</f>
        <v>106.202</v>
      </c>
      <c r="O68">
        <f ca="1">IFERROR(IF(0=LEN(ReferenceData!$H$68),"",ReferenceData!$H$68),"")</f>
        <v>113.584</v>
      </c>
      <c r="P68">
        <f ca="1">IFERROR(IF(0=LEN(ReferenceData!$G$68),"",ReferenceData!$G$68),"")</f>
        <v>119.518</v>
      </c>
      <c r="Q68">
        <f ca="1">IFERROR(IF(0=LEN(ReferenceData!$F$68),"",ReferenceData!$F$68),"")</f>
        <v>110.658</v>
      </c>
    </row>
    <row r="69" spans="1:17" x14ac:dyDescent="0.25">
      <c r="A69" t="str">
        <f>IFERROR(IF(0=LEN(ReferenceData!$A$69),"",ReferenceData!$A$69),"")</f>
        <v xml:space="preserve">    HCL Technologies Ltd</v>
      </c>
      <c r="B69" t="str">
        <f>IFERROR(IF(0=LEN(ReferenceData!$B$69),"",ReferenceData!$B$69),"")</f>
        <v>HCLT IN Equity</v>
      </c>
      <c r="C69" t="str">
        <f>IFERROR(IF(0=LEN(ReferenceData!$C$69),"",ReferenceData!$C$69),"")</f>
        <v>IS033</v>
      </c>
      <c r="D69" t="str">
        <f>IFERROR(IF(0=LEN(ReferenceData!$D$69),"",ReferenceData!$D$69),"")</f>
        <v>IS_OPER_INC</v>
      </c>
      <c r="E69" t="str">
        <f>IFERROR(IF(0=LEN(ReferenceData!$E$69),"",ReferenceData!$E$69),"")</f>
        <v>Dynamic</v>
      </c>
      <c r="F69">
        <f ca="1">IFERROR(IF(0=LEN(ReferenceData!$Q$69),"",ReferenceData!$Q$69),"")</f>
        <v>379</v>
      </c>
      <c r="G69">
        <f ca="1">IFERROR(IF(0=LEN(ReferenceData!$P$69),"",ReferenceData!$P$69),"")</f>
        <v>380</v>
      </c>
      <c r="H69">
        <f ca="1">IFERROR(IF(0=LEN(ReferenceData!$O$69),"",ReferenceData!$O$69),"")</f>
        <v>389.3</v>
      </c>
      <c r="I69">
        <f ca="1">IFERROR(IF(0=LEN(ReferenceData!$N$69),"",ReferenceData!$N$69),"")</f>
        <v>402.80265559999998</v>
      </c>
      <c r="J69">
        <f ca="1">IFERROR(IF(0=LEN(ReferenceData!$M$69),"",ReferenceData!$M$69),"")</f>
        <v>404.1</v>
      </c>
      <c r="K69">
        <f ca="1">IFERROR(IF(0=LEN(ReferenceData!$L$69),"",ReferenceData!$L$69),"")</f>
        <v>417.5</v>
      </c>
      <c r="L69">
        <f ca="1">IFERROR(IF(0=LEN(ReferenceData!$K$69),"",ReferenceData!$K$69),"")</f>
        <v>430.6</v>
      </c>
      <c r="M69">
        <f ca="1">IFERROR(IF(0=LEN(ReferenceData!$J$69),"",ReferenceData!$J$69),"")</f>
        <v>431.1</v>
      </c>
      <c r="N69">
        <f ca="1">IFERROR(IF(0=LEN(ReferenceData!$I$69),"",ReferenceData!$I$69),"")</f>
        <v>403.8</v>
      </c>
      <c r="O69">
        <f ca="1">IFERROR(IF(0=LEN(ReferenceData!$H$69),"",ReferenceData!$H$69),"")</f>
        <v>496.1</v>
      </c>
      <c r="P69">
        <f ca="1">IFERROR(IF(0=LEN(ReferenceData!$G$69),"",ReferenceData!$G$69),"")</f>
        <v>514.79999999999995</v>
      </c>
      <c r="Q69">
        <f ca="1">IFERROR(IF(0=LEN(ReferenceData!$F$69),"",ReferenceData!$F$69),"")</f>
        <v>530.79999999999995</v>
      </c>
    </row>
    <row r="70" spans="1:17" x14ac:dyDescent="0.25">
      <c r="A70" t="str">
        <f>IFERROR(IF(0=LEN(ReferenceData!$A$70),"",ReferenceData!$A$70),"")</f>
        <v xml:space="preserve">    Indra Sistemas SA</v>
      </c>
      <c r="B70" t="str">
        <f>IFERROR(IF(0=LEN(ReferenceData!$B$70),"",ReferenceData!$B$70),"")</f>
        <v>IDR SM Equity</v>
      </c>
      <c r="C70" t="str">
        <f>IFERROR(IF(0=LEN(ReferenceData!$C$70),"",ReferenceData!$C$70),"")</f>
        <v>IS033</v>
      </c>
      <c r="D70" t="str">
        <f>IFERROR(IF(0=LEN(ReferenceData!$D$70),"",ReferenceData!$D$70),"")</f>
        <v>IS_OPER_INC</v>
      </c>
      <c r="E70" t="str">
        <f>IFERROR(IF(0=LEN(ReferenceData!$E$70),"",ReferenceData!$E$70),"")</f>
        <v>Dynamic</v>
      </c>
      <c r="F70">
        <f ca="1">IFERROR(IF(0=LEN(ReferenceData!$Q$70),"",ReferenceData!$Q$70),"")</f>
        <v>48.480908599999999</v>
      </c>
      <c r="G70">
        <f ca="1">IFERROR(IF(0=LEN(ReferenceData!$P$70),"",ReferenceData!$P$70),"")</f>
        <v>54.28152789</v>
      </c>
      <c r="H70">
        <f ca="1">IFERROR(IF(0=LEN(ReferenceData!$O$70),"",ReferenceData!$O$70),"")</f>
        <v>84.713494470000001</v>
      </c>
      <c r="I70">
        <f ca="1">IFERROR(IF(0=LEN(ReferenceData!$N$70),"",ReferenceData!$N$70),"")</f>
        <v>31.830195490000001</v>
      </c>
      <c r="J70">
        <f ca="1">IFERROR(IF(0=LEN(ReferenceData!$M$70),"",ReferenceData!$M$70),"")</f>
        <v>55.756345520000004</v>
      </c>
      <c r="K70">
        <f ca="1">IFERROR(IF(0=LEN(ReferenceData!$L$70),"",ReferenceData!$L$70),"")</f>
        <v>49.305704310000003</v>
      </c>
      <c r="L70">
        <f ca="1">IFERROR(IF(0=LEN(ReferenceData!$K$70),"",ReferenceData!$K$70),"")</f>
        <v>96.125221210000007</v>
      </c>
      <c r="M70">
        <f ca="1">IFERROR(IF(0=LEN(ReferenceData!$J$70),"",ReferenceData!$J$70),"")</f>
        <v>43.836665979999999</v>
      </c>
      <c r="N70">
        <f ca="1">IFERROR(IF(0=LEN(ReferenceData!$I$70),"",ReferenceData!$I$70),"")</f>
        <v>45.18687765</v>
      </c>
      <c r="O70">
        <f ca="1">IFERROR(IF(0=LEN(ReferenceData!$H$70),"",ReferenceData!$H$70),"")</f>
        <v>53.377216730000001</v>
      </c>
      <c r="P70">
        <f ca="1">IFERROR(IF(0=LEN(ReferenceData!$G$70),"",ReferenceData!$G$70),"")</f>
        <v>104.3260461</v>
      </c>
      <c r="Q70">
        <f ca="1">IFERROR(IF(0=LEN(ReferenceData!$F$70),"",ReferenceData!$F$70),"")</f>
        <v>21.168049029999999</v>
      </c>
    </row>
    <row r="71" spans="1:17" x14ac:dyDescent="0.25">
      <c r="A71" t="str">
        <f>IFERROR(IF(0=LEN(ReferenceData!$A$71),"",ReferenceData!$A$71),"")</f>
        <v xml:space="preserve">    Infosys Ltd</v>
      </c>
      <c r="B71" t="str">
        <f>IFERROR(IF(0=LEN(ReferenceData!$B$71),"",ReferenceData!$B$71),"")</f>
        <v>INFY US Equity</v>
      </c>
      <c r="C71" t="str">
        <f>IFERROR(IF(0=LEN(ReferenceData!$C$71),"",ReferenceData!$C$71),"")</f>
        <v>IS033</v>
      </c>
      <c r="D71" t="str">
        <f>IFERROR(IF(0=LEN(ReferenceData!$D$71),"",ReferenceData!$D$71),"")</f>
        <v>IS_OPER_INC</v>
      </c>
      <c r="E71" t="str">
        <f>IFERROR(IF(0=LEN(ReferenceData!$E$71),"",ReferenceData!$E$71),"")</f>
        <v>Dynamic</v>
      </c>
      <c r="F71">
        <f ca="1">IFERROR(IF(0=LEN(ReferenceData!$Q$71),"",ReferenceData!$Q$71),"")</f>
        <v>637.48656830000004</v>
      </c>
      <c r="G71">
        <f ca="1">IFERROR(IF(0=LEN(ReferenceData!$P$71),"",ReferenceData!$P$71),"")</f>
        <v>660.5137575</v>
      </c>
      <c r="H71">
        <f ca="1">IFERROR(IF(0=LEN(ReferenceData!$O$71),"",ReferenceData!$O$71),"")</f>
        <v>667.19625099999996</v>
      </c>
      <c r="I71">
        <f ca="1">IFERROR(IF(0=LEN(ReferenceData!$N$71),"",ReferenceData!$N$71),"")</f>
        <v>694.69088920000002</v>
      </c>
      <c r="J71">
        <f ca="1">IFERROR(IF(0=LEN(ReferenceData!$M$71),"",ReferenceData!$M$71),"")</f>
        <v>676.64863590000004</v>
      </c>
      <c r="K71">
        <f ca="1">IFERROR(IF(0=LEN(ReferenceData!$L$71),"",ReferenceData!$L$71),"")</f>
        <v>698.51999320000004</v>
      </c>
      <c r="L71">
        <f ca="1">IFERROR(IF(0=LEN(ReferenceData!$K$71),"",ReferenceData!$K$71),"")</f>
        <v>670.32379260000005</v>
      </c>
      <c r="M71">
        <f ca="1">IFERROR(IF(0=LEN(ReferenceData!$J$71),"",ReferenceData!$J$71),"")</f>
        <v>655.47983550000004</v>
      </c>
      <c r="N71">
        <f ca="1">IFERROR(IF(0=LEN(ReferenceData!$I$71),"",ReferenceData!$I$71),"")</f>
        <v>642.94629180000004</v>
      </c>
      <c r="O71">
        <f ca="1">IFERROR(IF(0=LEN(ReferenceData!$H$71),"",ReferenceData!$H$71),"")</f>
        <v>698.04234780000002</v>
      </c>
      <c r="P71">
        <f ca="1">IFERROR(IF(0=LEN(ReferenceData!$G$71),"",ReferenceData!$G$71),"")</f>
        <v>711.06266489999996</v>
      </c>
      <c r="Q71">
        <f ca="1">IFERROR(IF(0=LEN(ReferenceData!$F$71),"",ReferenceData!$F$71),"")</f>
        <v>680.1514502</v>
      </c>
    </row>
    <row r="72" spans="1:17" x14ac:dyDescent="0.25">
      <c r="A72" t="str">
        <f>IFERROR(IF(0=LEN(ReferenceData!$A$72),"",ReferenceData!$A$72),"")</f>
        <v xml:space="preserve">    International Business Machines Corp</v>
      </c>
      <c r="B72" t="str">
        <f>IFERROR(IF(0=LEN(ReferenceData!$B$72),"",ReferenceData!$B$72),"")</f>
        <v>IBM US Equity</v>
      </c>
      <c r="C72" t="str">
        <f>IFERROR(IF(0=LEN(ReferenceData!$C$72),"",ReferenceData!$C$72),"")</f>
        <v>IS033</v>
      </c>
      <c r="D72" t="str">
        <f>IFERROR(IF(0=LEN(ReferenceData!$D$72),"",ReferenceData!$D$72),"")</f>
        <v>IS_OPER_INC</v>
      </c>
      <c r="E72" t="str">
        <f>IFERROR(IF(0=LEN(ReferenceData!$E$72),"",ReferenceData!$E$72),"")</f>
        <v>Dynamic</v>
      </c>
      <c r="F72">
        <f ca="1">IFERROR(IF(0=LEN(ReferenceData!$Q$72),"",ReferenceData!$Q$72),"")</f>
        <v>2499</v>
      </c>
      <c r="G72">
        <f ca="1">IFERROR(IF(0=LEN(ReferenceData!$P$72),"",ReferenceData!$P$72),"")</f>
        <v>2810</v>
      </c>
      <c r="H72">
        <f ca="1">IFERROR(IF(0=LEN(ReferenceData!$O$72),"",ReferenceData!$O$72),"")</f>
        <v>4658</v>
      </c>
      <c r="I72">
        <f ca="1">IFERROR(IF(0=LEN(ReferenceData!$N$72),"",ReferenceData!$N$72),"")</f>
        <v>1397</v>
      </c>
      <c r="J72">
        <f ca="1">IFERROR(IF(0=LEN(ReferenceData!$M$72),"",ReferenceData!$M$72),"")</f>
        <v>2978</v>
      </c>
      <c r="K72">
        <f ca="1">IFERROR(IF(0=LEN(ReferenceData!$L$72),"",ReferenceData!$L$72),"")</f>
        <v>3188</v>
      </c>
      <c r="L72">
        <f ca="1">IFERROR(IF(0=LEN(ReferenceData!$K$72),"",ReferenceData!$K$72),"")</f>
        <v>4628</v>
      </c>
      <c r="M72">
        <f ca="1">IFERROR(IF(0=LEN(ReferenceData!$J$72),"",ReferenceData!$J$72),"")</f>
        <v>1919</v>
      </c>
      <c r="N72">
        <f ca="1">IFERROR(IF(0=LEN(ReferenceData!$I$72),"",ReferenceData!$I$72),"")</f>
        <v>2147</v>
      </c>
      <c r="O72">
        <f ca="1">IFERROR(IF(0=LEN(ReferenceData!$H$72),"",ReferenceData!$H$72),"")</f>
        <v>1759</v>
      </c>
      <c r="P72">
        <f ca="1">IFERROR(IF(0=LEN(ReferenceData!$G$72),"",ReferenceData!$G$72),"")</f>
        <v>4071</v>
      </c>
      <c r="Q72">
        <f ca="1">IFERROR(IF(0=LEN(ReferenceData!$F$72),"",ReferenceData!$F$72),"")</f>
        <v>343</v>
      </c>
    </row>
    <row r="73" spans="1:17" x14ac:dyDescent="0.25">
      <c r="A73" t="str">
        <f>IFERROR(IF(0=LEN(ReferenceData!$A$73),"",ReferenceData!$A$73),"")</f>
        <v xml:space="preserve">    Tata Consultancy Services Ltd</v>
      </c>
      <c r="B73" t="str">
        <f>IFERROR(IF(0=LEN(ReferenceData!$B$73),"",ReferenceData!$B$73),"")</f>
        <v>TCS IN Equity</v>
      </c>
      <c r="C73" t="str">
        <f>IFERROR(IF(0=LEN(ReferenceData!$C$73),"",ReferenceData!$C$73),"")</f>
        <v>IS033</v>
      </c>
      <c r="D73" t="str">
        <f>IFERROR(IF(0=LEN(ReferenceData!$D$73),"",ReferenceData!$D$73),"")</f>
        <v>IS_OPER_INC</v>
      </c>
      <c r="E73" t="str">
        <f>IFERROR(IF(0=LEN(ReferenceData!$E$73),"",ReferenceData!$E$73),"")</f>
        <v>Dynamic</v>
      </c>
      <c r="F73">
        <f ca="1">IFERROR(IF(0=LEN(ReferenceData!$Q$73),"",ReferenceData!$Q$73),"")</f>
        <v>1072.14355</v>
      </c>
      <c r="G73">
        <f ca="1">IFERROR(IF(0=LEN(ReferenceData!$P$73),"",ReferenceData!$P$73),"")</f>
        <v>1191.60042</v>
      </c>
      <c r="H73">
        <f ca="1">IFERROR(IF(0=LEN(ReferenceData!$O$73),"",ReferenceData!$O$73),"")</f>
        <v>1202.0037110000001</v>
      </c>
      <c r="I73">
        <f ca="1">IFERROR(IF(0=LEN(ReferenceData!$N$73),"",ReferenceData!$N$73),"")</f>
        <v>1265.5739430000001</v>
      </c>
      <c r="J73">
        <f ca="1">IFERROR(IF(0=LEN(ReferenceData!$M$73),"",ReferenceData!$M$73),"")</f>
        <v>1279.3237819999999</v>
      </c>
      <c r="K73">
        <f ca="1">IFERROR(IF(0=LEN(ReferenceData!$L$73),"",ReferenceData!$L$73),"")</f>
        <v>1394.6135790000001</v>
      </c>
      <c r="L73">
        <f ca="1">IFERROR(IF(0=LEN(ReferenceData!$K$73),"",ReferenceData!$K$73),"")</f>
        <v>1327.3243789999999</v>
      </c>
      <c r="M73">
        <f ca="1">IFERROR(IF(0=LEN(ReferenceData!$J$73),"",ReferenceData!$J$73),"")</f>
        <v>1353.683671</v>
      </c>
      <c r="N73">
        <f ca="1">IFERROR(IF(0=LEN(ReferenceData!$I$73),"",ReferenceData!$I$73),"")</f>
        <v>1325.870009</v>
      </c>
      <c r="O73">
        <f ca="1">IFERROR(IF(0=LEN(ReferenceData!$H$73),"",ReferenceData!$H$73),"")</f>
        <v>1330.287951</v>
      </c>
      <c r="P73">
        <f ca="1">IFERROR(IF(0=LEN(ReferenceData!$G$73),"",ReferenceData!$G$73),"")</f>
        <v>1400.5013859999999</v>
      </c>
      <c r="Q73">
        <f ca="1">IFERROR(IF(0=LEN(ReferenceData!$F$73),"",ReferenceData!$F$73),"")</f>
        <v>1383.908725</v>
      </c>
    </row>
    <row r="74" spans="1:17" x14ac:dyDescent="0.25">
      <c r="A74" t="str">
        <f>IFERROR(IF(0=LEN(ReferenceData!$A$74),"",ReferenceData!$A$74),"")</f>
        <v xml:space="preserve">    Tech Mahindra Ltd</v>
      </c>
      <c r="B74" t="str">
        <f>IFERROR(IF(0=LEN(ReferenceData!$B$74),"",ReferenceData!$B$74),"")</f>
        <v>TECHM IN Equity</v>
      </c>
      <c r="C74" t="str">
        <f>IFERROR(IF(0=LEN(ReferenceData!$C$74),"",ReferenceData!$C$74),"")</f>
        <v>IS033</v>
      </c>
      <c r="D74" t="str">
        <f>IFERROR(IF(0=LEN(ReferenceData!$D$74),"",ReferenceData!$D$74),"")</f>
        <v>IS_OPER_INC</v>
      </c>
      <c r="E74" t="str">
        <f>IFERROR(IF(0=LEN(ReferenceData!$E$74),"",ReferenceData!$E$74),"")</f>
        <v>Dynamic</v>
      </c>
      <c r="F74">
        <f ca="1">IFERROR(IF(0=LEN(ReferenceData!$Q$74),"",ReferenceData!$Q$74),"")</f>
        <v>106.66386180000001</v>
      </c>
      <c r="G74">
        <f ca="1">IFERROR(IF(0=LEN(ReferenceData!$P$74),"",ReferenceData!$P$74),"")</f>
        <v>130.7369223</v>
      </c>
      <c r="H74">
        <f ca="1">IFERROR(IF(0=LEN(ReferenceData!$O$74),"",ReferenceData!$O$74),"")</f>
        <v>152.99787889999999</v>
      </c>
      <c r="I74">
        <f ca="1">IFERROR(IF(0=LEN(ReferenceData!$N$74),"",ReferenceData!$N$74),"")</f>
        <v>172.9348463</v>
      </c>
      <c r="J74">
        <f ca="1">IFERROR(IF(0=LEN(ReferenceData!$M$74),"",ReferenceData!$M$74),"")</f>
        <v>160.49413630000001</v>
      </c>
      <c r="K74">
        <f ca="1">IFERROR(IF(0=LEN(ReferenceData!$L$74),"",ReferenceData!$L$74),"")</f>
        <v>189.02002400000001</v>
      </c>
      <c r="L74">
        <f ca="1">IFERROR(IF(0=LEN(ReferenceData!$K$74),"",ReferenceData!$K$74),"")</f>
        <v>199.70930390000001</v>
      </c>
      <c r="M74">
        <f ca="1">IFERROR(IF(0=LEN(ReferenceData!$J$74),"",ReferenceData!$J$74),"")</f>
        <v>194.2167733</v>
      </c>
      <c r="N74">
        <f ca="1">IFERROR(IF(0=LEN(ReferenceData!$I$74),"",ReferenceData!$I$74),"")</f>
        <v>142.7683021</v>
      </c>
      <c r="O74">
        <f ca="1">IFERROR(IF(0=LEN(ReferenceData!$H$74),"",ReferenceData!$H$74),"")</f>
        <v>164.75989319999999</v>
      </c>
      <c r="P74">
        <f ca="1">IFERROR(IF(0=LEN(ReferenceData!$G$74),"",ReferenceData!$G$74),"")</f>
        <v>165.47682119999999</v>
      </c>
      <c r="Q74">
        <f ca="1">IFERROR(IF(0=LEN(ReferenceData!$F$74),"",ReferenceData!$F$74),"")</f>
        <v>101.06081469999999</v>
      </c>
    </row>
    <row r="75" spans="1:17" x14ac:dyDescent="0.25">
      <c r="A75" t="str">
        <f>IFERROR(IF(0=LEN(ReferenceData!$A$75),"",ReferenceData!$A$75),"")</f>
        <v xml:space="preserve">    Wipro Ltd</v>
      </c>
      <c r="B75" t="str">
        <f>IFERROR(IF(0=LEN(ReferenceData!$B$75),"",ReferenceData!$B$75),"")</f>
        <v>WIT US Equity</v>
      </c>
      <c r="C75" t="str">
        <f>IFERROR(IF(0=LEN(ReferenceData!$C$75),"",ReferenceData!$C$75),"")</f>
        <v>IS033</v>
      </c>
      <c r="D75" t="str">
        <f>IFERROR(IF(0=LEN(ReferenceData!$D$75),"",ReferenceData!$D$75),"")</f>
        <v>IS_OPER_INC</v>
      </c>
      <c r="E75" t="str">
        <f>IFERROR(IF(0=LEN(ReferenceData!$E$75),"",ReferenceData!$E$75),"")</f>
        <v>Dynamic</v>
      </c>
      <c r="F75">
        <f ca="1">IFERROR(IF(0=LEN(ReferenceData!$Q$75),"",ReferenceData!$Q$75),"")</f>
        <v>337.11890039999997</v>
      </c>
      <c r="G75">
        <f ca="1">IFERROR(IF(0=LEN(ReferenceData!$P$75),"",ReferenceData!$P$75),"")</f>
        <v>351.38211860000001</v>
      </c>
      <c r="H75">
        <f ca="1">IFERROR(IF(0=LEN(ReferenceData!$O$75),"",ReferenceData!$O$75),"")</f>
        <v>303.55189469999999</v>
      </c>
      <c r="I75">
        <f ca="1">IFERROR(IF(0=LEN(ReferenceData!$N$75),"",ReferenceData!$N$75),"")</f>
        <v>292.47853450000002</v>
      </c>
      <c r="J75">
        <f ca="1">IFERROR(IF(0=LEN(ReferenceData!$M$75),"",ReferenceData!$M$75),"")</f>
        <v>336.08721639999999</v>
      </c>
      <c r="K75">
        <f ca="1">IFERROR(IF(0=LEN(ReferenceData!$L$75),"",ReferenceData!$L$75),"")</f>
        <v>276.88167850000002</v>
      </c>
      <c r="L75">
        <f ca="1">IFERROR(IF(0=LEN(ReferenceData!$K$75),"",ReferenceData!$K$75),"")</f>
        <v>385.22106650000001</v>
      </c>
      <c r="M75">
        <f ca="1">IFERROR(IF(0=LEN(ReferenceData!$J$75),"",ReferenceData!$J$75),"")</f>
        <v>383.2953114</v>
      </c>
      <c r="N75">
        <f ca="1">IFERROR(IF(0=LEN(ReferenceData!$I$75),"",ReferenceData!$I$75),"")</f>
        <v>352.53474269999998</v>
      </c>
      <c r="O75">
        <f ca="1">IFERROR(IF(0=LEN(ReferenceData!$H$75),"",ReferenceData!$H$75),"")</f>
        <v>371.53133430000003</v>
      </c>
      <c r="P75">
        <f ca="1">IFERROR(IF(0=LEN(ReferenceData!$G$75),"",ReferenceData!$G$75),"")</f>
        <v>372.1845773</v>
      </c>
      <c r="Q75">
        <f ca="1">IFERROR(IF(0=LEN(ReferenceData!$F$75),"",ReferenceData!$F$75),"")</f>
        <v>350.58100730000001</v>
      </c>
    </row>
    <row r="76" spans="1:17" x14ac:dyDescent="0.25">
      <c r="A76" t="str">
        <f>IFERROR(IF(0=LEN(ReferenceData!$A$76),"",ReferenceData!$A$76),"")</f>
        <v>EPS Before XO</v>
      </c>
      <c r="B76" t="str">
        <f>IFERROR(IF(0=LEN(ReferenceData!$B$76),"",ReferenceData!$B$76),"")</f>
        <v>BRITBPOV Index</v>
      </c>
      <c r="C76" t="str">
        <f>IFERROR(IF(0=LEN(ReferenceData!$C$76),"",ReferenceData!$C$76),"")</f>
        <v/>
      </c>
      <c r="D76" t="str">
        <f>IFERROR(IF(0=LEN(ReferenceData!$D$76),"",ReferenceData!$D$76),"")</f>
        <v/>
      </c>
      <c r="E76" t="str">
        <f>IFERROR(IF(0=LEN(ReferenceData!$E$76),"",ReferenceData!$E$76),"")</f>
        <v>Average</v>
      </c>
      <c r="F76">
        <f ca="1">IFERROR(IF(0=LEN(ReferenceData!$Q$76),"",ReferenceData!$Q$76),"")</f>
        <v>0.58881806375000001</v>
      </c>
      <c r="G76">
        <f ca="1">IFERROR(IF(0=LEN(ReferenceData!$P$76),"",ReferenceData!$P$76),"")</f>
        <v>0.70852248808333318</v>
      </c>
      <c r="H76">
        <f ca="1">IFERROR(IF(0=LEN(ReferenceData!$O$76),"",ReferenceData!$O$76),"")</f>
        <v>0.44866136841666671</v>
      </c>
      <c r="I76">
        <f ca="1">IFERROR(IF(0=LEN(ReferenceData!$N$76),"",ReferenceData!$N$76),"")</f>
        <v>0.70604922033333339</v>
      </c>
      <c r="J76">
        <f ca="1">IFERROR(IF(0=LEN(ReferenceData!$M$76),"",ReferenceData!$M$76),"")</f>
        <v>0.69882596091666682</v>
      </c>
      <c r="K76">
        <f ca="1">IFERROR(IF(0=LEN(ReferenceData!$L$76),"",ReferenceData!$L$76),"")</f>
        <v>0.63617632516666667</v>
      </c>
      <c r="L76">
        <f ca="1">IFERROR(IF(0=LEN(ReferenceData!$K$76),"",ReferenceData!$K$76),"")</f>
        <v>0.78509090099999979</v>
      </c>
      <c r="M76">
        <f ca="1">IFERROR(IF(0=LEN(ReferenceData!$J$76),"",ReferenceData!$J$76),"")</f>
        <v>0.56680862016666667</v>
      </c>
      <c r="N76">
        <f ca="1">IFERROR(IF(0=LEN(ReferenceData!$I$76),"",ReferenceData!$I$76),"")</f>
        <v>0.36223608633333321</v>
      </c>
      <c r="O76">
        <f ca="1">IFERROR(IF(0=LEN(ReferenceData!$H$76),"",ReferenceData!$H$76),"")</f>
        <v>-3.9630285583333251E-2</v>
      </c>
      <c r="P76">
        <f ca="1">IFERROR(IF(0=LEN(ReferenceData!$G$76),"",ReferenceData!$G$76),"")</f>
        <v>0.66701974416666676</v>
      </c>
      <c r="Q76">
        <f ca="1">IFERROR(IF(0=LEN(ReferenceData!$F$76),"",ReferenceData!$F$76),"")</f>
        <v>-0.55575531524999988</v>
      </c>
    </row>
    <row r="77" spans="1:17" x14ac:dyDescent="0.25">
      <c r="A77" t="str">
        <f>IFERROR(IF(0=LEN(ReferenceData!$A$77),"",ReferenceData!$A$77),"")</f>
        <v xml:space="preserve">    Accenture PLC</v>
      </c>
      <c r="B77" t="str">
        <f>IFERROR(IF(0=LEN(ReferenceData!$B$77),"",ReferenceData!$B$77),"")</f>
        <v>ACN US Equity</v>
      </c>
      <c r="C77" t="str">
        <f>IFERROR(IF(0=LEN(ReferenceData!$C$77),"",ReferenceData!$C$77),"")</f>
        <v>IS148</v>
      </c>
      <c r="D77" t="str">
        <f>IFERROR(IF(0=LEN(ReferenceData!$D$77),"",ReferenceData!$D$77),"")</f>
        <v>IS_DIL_EPS_BEF_XO</v>
      </c>
      <c r="E77" t="str">
        <f>IFERROR(IF(0=LEN(ReferenceData!$E$77),"",ReferenceData!$E$77),"")</f>
        <v>Dynamic</v>
      </c>
      <c r="F77">
        <f ca="1">IFERROR(IF(0=LEN(ReferenceData!$Q$77),"",ReferenceData!$Q$77),"")</f>
        <v>1.05</v>
      </c>
      <c r="G77">
        <f ca="1">IFERROR(IF(0=LEN(ReferenceData!$P$77),"",ReferenceData!$P$77),"")</f>
        <v>1.48</v>
      </c>
      <c r="H77">
        <f ca="1">IFERROR(IF(0=LEN(ReferenceData!$O$77),"",ReferenceData!$O$77),"")</f>
        <v>1.79</v>
      </c>
      <c r="I77">
        <f ca="1">IFERROR(IF(0=LEN(ReferenceData!$N$77),"",ReferenceData!$N$77),"")</f>
        <v>1.37</v>
      </c>
      <c r="J77">
        <f ca="1">IFERROR(IF(0=LEN(ReferenceData!$M$77),"",ReferenceData!$M$77),"")</f>
        <v>1.6</v>
      </c>
      <c r="K77">
        <f ca="1">IFERROR(IF(0=LEN(ReferenceData!$L$77),"",ReferenceData!$L$77),"")</f>
        <v>1.58</v>
      </c>
      <c r="L77">
        <f ca="1">IFERROR(IF(0=LEN(ReferenceData!$K$77),"",ReferenceData!$K$77),"")</f>
        <v>1.96</v>
      </c>
      <c r="M77">
        <f ca="1">IFERROR(IF(0=LEN(ReferenceData!$J$77),"",ReferenceData!$J$77),"")</f>
        <v>1.73</v>
      </c>
      <c r="N77">
        <f ca="1">IFERROR(IF(0=LEN(ReferenceData!$I$77),"",ReferenceData!$I$77),"")</f>
        <v>1.93</v>
      </c>
      <c r="O77">
        <f ca="1">IFERROR(IF(0=LEN(ReferenceData!$H$77),"",ReferenceData!$H$77),"")</f>
        <v>1.74</v>
      </c>
      <c r="P77">
        <f ca="1">IFERROR(IF(0=LEN(ReferenceData!$G$77),"",ReferenceData!$G$77),"")</f>
        <v>2.09</v>
      </c>
      <c r="Q77">
        <f ca="1">IFERROR(IF(0=LEN(ReferenceData!$F$77),"",ReferenceData!$F$77),"")</f>
        <v>1.91</v>
      </c>
    </row>
    <row r="78" spans="1:17" x14ac:dyDescent="0.25">
      <c r="A78" t="str">
        <f>IFERROR(IF(0=LEN(ReferenceData!$A$78),"",ReferenceData!$A$78),"")</f>
        <v xml:space="preserve">    Amdocs Ltd</v>
      </c>
      <c r="B78" t="str">
        <f>IFERROR(IF(0=LEN(ReferenceData!$B$78),"",ReferenceData!$B$78),"")</f>
        <v>DOX US Equity</v>
      </c>
      <c r="C78" t="str">
        <f>IFERROR(IF(0=LEN(ReferenceData!$C$78),"",ReferenceData!$C$78),"")</f>
        <v>IS148</v>
      </c>
      <c r="D78" t="str">
        <f>IFERROR(IF(0=LEN(ReferenceData!$D$78),"",ReferenceData!$D$78),"")</f>
        <v>IS_DIL_EPS_BEF_XO</v>
      </c>
      <c r="E78" t="str">
        <f>IFERROR(IF(0=LEN(ReferenceData!$E$78),"",ReferenceData!$E$78),"")</f>
        <v>Dynamic</v>
      </c>
      <c r="F78">
        <f ca="1">IFERROR(IF(0=LEN(ReferenceData!$Q$78),"",ReferenceData!$Q$78),"")</f>
        <v>0.81</v>
      </c>
      <c r="G78">
        <f ca="1">IFERROR(IF(0=LEN(ReferenceData!$P$78),"",ReferenceData!$P$78),"")</f>
        <v>0.73</v>
      </c>
      <c r="H78">
        <f ca="1">IFERROR(IF(0=LEN(ReferenceData!$O$78),"",ReferenceData!$O$78),"")</f>
        <v>0.8</v>
      </c>
      <c r="I78">
        <f ca="1">IFERROR(IF(0=LEN(ReferenceData!$N$78),"",ReferenceData!$N$78),"")</f>
        <v>0.7</v>
      </c>
      <c r="J78">
        <f ca="1">IFERROR(IF(0=LEN(ReferenceData!$M$78),"",ReferenceData!$M$78),"")</f>
        <v>0.64</v>
      </c>
      <c r="K78">
        <f ca="1">IFERROR(IF(0=LEN(ReferenceData!$L$78),"",ReferenceData!$L$78),"")</f>
        <v>0.31</v>
      </c>
      <c r="L78">
        <f ca="1">IFERROR(IF(0=LEN(ReferenceData!$K$78),"",ReferenceData!$K$78),"")</f>
        <v>0.72</v>
      </c>
      <c r="M78">
        <f ca="1">IFERROR(IF(0=LEN(ReferenceData!$J$78),"",ReferenceData!$J$78),"")</f>
        <v>0.9</v>
      </c>
      <c r="N78">
        <f ca="1">IFERROR(IF(0=LEN(ReferenceData!$I$78),"",ReferenceData!$I$78),"")</f>
        <v>0.96</v>
      </c>
      <c r="O78">
        <f ca="1">IFERROR(IF(0=LEN(ReferenceData!$H$78),"",ReferenceData!$H$78),"")</f>
        <v>0.9</v>
      </c>
      <c r="P78">
        <f ca="1">IFERROR(IF(0=LEN(ReferenceData!$G$78),"",ReferenceData!$G$78),"")</f>
        <v>0.85</v>
      </c>
      <c r="Q78">
        <f ca="1">IFERROR(IF(0=LEN(ReferenceData!$F$78),"",ReferenceData!$F$78),"")</f>
        <v>0.94</v>
      </c>
    </row>
    <row r="79" spans="1:17" x14ac:dyDescent="0.25">
      <c r="A79" t="str">
        <f>IFERROR(IF(0=LEN(ReferenceData!$A$79),"",ReferenceData!$A$79),"")</f>
        <v xml:space="preserve">    Atos SE</v>
      </c>
      <c r="B79" t="str">
        <f>IFERROR(IF(0=LEN(ReferenceData!$B$79),"",ReferenceData!$B$79),"")</f>
        <v>ATO FP Equity</v>
      </c>
      <c r="C79" t="str">
        <f>IFERROR(IF(0=LEN(ReferenceData!$C$79),"",ReferenceData!$C$79),"")</f>
        <v>IS148</v>
      </c>
      <c r="D79" t="str">
        <f>IFERROR(IF(0=LEN(ReferenceData!$D$79),"",ReferenceData!$D$79),"")</f>
        <v>IS_DIL_EPS_BEF_XO</v>
      </c>
      <c r="E79" t="str">
        <f>IFERROR(IF(0=LEN(ReferenceData!$E$79),"",ReferenceData!$E$79),"")</f>
        <v>Dynamic</v>
      </c>
      <c r="F79" t="str">
        <f ca="1">IFERROR(IF(0=LEN(ReferenceData!$Q$79),"",ReferenceData!$Q$79),"")</f>
        <v/>
      </c>
      <c r="G79" t="str">
        <f ca="1">IFERROR(IF(0=LEN(ReferenceData!$P$79),"",ReferenceData!$P$79),"")</f>
        <v/>
      </c>
      <c r="H79" t="str">
        <f ca="1">IFERROR(IF(0=LEN(ReferenceData!$O$79),"",ReferenceData!$O$79),"")</f>
        <v/>
      </c>
      <c r="I79" t="str">
        <f ca="1">IFERROR(IF(0=LEN(ReferenceData!$N$79),"",ReferenceData!$N$79),"")</f>
        <v/>
      </c>
      <c r="J79" t="str">
        <f ca="1">IFERROR(IF(0=LEN(ReferenceData!$M$79),"",ReferenceData!$M$79),"")</f>
        <v/>
      </c>
      <c r="K79" t="str">
        <f ca="1">IFERROR(IF(0=LEN(ReferenceData!$L$79),"",ReferenceData!$L$79),"")</f>
        <v/>
      </c>
      <c r="L79" t="str">
        <f ca="1">IFERROR(IF(0=LEN(ReferenceData!$K$79),"",ReferenceData!$K$79),"")</f>
        <v/>
      </c>
      <c r="M79" t="str">
        <f ca="1">IFERROR(IF(0=LEN(ReferenceData!$J$79),"",ReferenceData!$J$79),"")</f>
        <v/>
      </c>
      <c r="N79" t="str">
        <f ca="1">IFERROR(IF(0=LEN(ReferenceData!$I$79),"",ReferenceData!$I$79),"")</f>
        <v/>
      </c>
      <c r="O79" t="str">
        <f ca="1">IFERROR(IF(0=LEN(ReferenceData!$H$79),"",ReferenceData!$H$79),"")</f>
        <v/>
      </c>
      <c r="P79" t="str">
        <f ca="1">IFERROR(IF(0=LEN(ReferenceData!$G$79),"",ReferenceData!$G$79),"")</f>
        <v/>
      </c>
      <c r="Q79" t="str">
        <f ca="1">IFERROR(IF(0=LEN(ReferenceData!$F$79),"",ReferenceData!$F$79),"")</f>
        <v/>
      </c>
    </row>
    <row r="80" spans="1:17" x14ac:dyDescent="0.25">
      <c r="A80" t="str">
        <f>IFERROR(IF(0=LEN(ReferenceData!$A$80),"",ReferenceData!$A$80),"")</f>
        <v xml:space="preserve">    Capgemini SE</v>
      </c>
      <c r="B80" t="str">
        <f>IFERROR(IF(0=LEN(ReferenceData!$B$80),"",ReferenceData!$B$80),"")</f>
        <v>CAP FP Equity</v>
      </c>
      <c r="C80" t="str">
        <f>IFERROR(IF(0=LEN(ReferenceData!$C$80),"",ReferenceData!$C$80),"")</f>
        <v>IS148</v>
      </c>
      <c r="D80" t="str">
        <f>IFERROR(IF(0=LEN(ReferenceData!$D$80),"",ReferenceData!$D$80),"")</f>
        <v>IS_DIL_EPS_BEF_XO</v>
      </c>
      <c r="E80" t="str">
        <f>IFERROR(IF(0=LEN(ReferenceData!$E$80),"",ReferenceData!$E$80),"")</f>
        <v>Dynamic</v>
      </c>
      <c r="F80" t="str">
        <f ca="1">IFERROR(IF(0=LEN(ReferenceData!$Q$80),"",ReferenceData!$Q$80),"")</f>
        <v/>
      </c>
      <c r="G80" t="str">
        <f ca="1">IFERROR(IF(0=LEN(ReferenceData!$P$80),"",ReferenceData!$P$80),"")</f>
        <v/>
      </c>
      <c r="H80" t="str">
        <f ca="1">IFERROR(IF(0=LEN(ReferenceData!$O$80),"",ReferenceData!$O$80),"")</f>
        <v/>
      </c>
      <c r="I80" t="str">
        <f ca="1">IFERROR(IF(0=LEN(ReferenceData!$N$80),"",ReferenceData!$N$80),"")</f>
        <v/>
      </c>
      <c r="J80" t="str">
        <f ca="1">IFERROR(IF(0=LEN(ReferenceData!$M$80),"",ReferenceData!$M$80),"")</f>
        <v/>
      </c>
      <c r="K80" t="str">
        <f ca="1">IFERROR(IF(0=LEN(ReferenceData!$L$80),"",ReferenceData!$L$80),"")</f>
        <v/>
      </c>
      <c r="L80" t="str">
        <f ca="1">IFERROR(IF(0=LEN(ReferenceData!$K$80),"",ReferenceData!$K$80),"")</f>
        <v/>
      </c>
      <c r="M80" t="str">
        <f ca="1">IFERROR(IF(0=LEN(ReferenceData!$J$80),"",ReferenceData!$J$80),"")</f>
        <v/>
      </c>
      <c r="N80" t="str">
        <f ca="1">IFERROR(IF(0=LEN(ReferenceData!$I$80),"",ReferenceData!$I$80),"")</f>
        <v/>
      </c>
      <c r="O80" t="str">
        <f ca="1">IFERROR(IF(0=LEN(ReferenceData!$H$80),"",ReferenceData!$H$80),"")</f>
        <v/>
      </c>
      <c r="P80" t="str">
        <f ca="1">IFERROR(IF(0=LEN(ReferenceData!$G$80),"",ReferenceData!$G$80),"")</f>
        <v/>
      </c>
      <c r="Q80" t="str">
        <f ca="1">IFERROR(IF(0=LEN(ReferenceData!$F$80),"",ReferenceData!$F$80),"")</f>
        <v/>
      </c>
    </row>
    <row r="81" spans="1:17" x14ac:dyDescent="0.25">
      <c r="A81" t="str">
        <f>IFERROR(IF(0=LEN(ReferenceData!$A$81),"",ReferenceData!$A$81),"")</f>
        <v xml:space="preserve">    CGI Inc</v>
      </c>
      <c r="B81" t="str">
        <f>IFERROR(IF(0=LEN(ReferenceData!$B$81),"",ReferenceData!$B$81),"")</f>
        <v>GIB US Equity</v>
      </c>
      <c r="C81" t="str">
        <f>IFERROR(IF(0=LEN(ReferenceData!$C$81),"",ReferenceData!$C$81),"")</f>
        <v>IS148</v>
      </c>
      <c r="D81" t="str">
        <f>IFERROR(IF(0=LEN(ReferenceData!$D$81),"",ReferenceData!$D$81),"")</f>
        <v>IS_DIL_EPS_BEF_XO</v>
      </c>
      <c r="E81" t="str">
        <f>IFERROR(IF(0=LEN(ReferenceData!$E$81),"",ReferenceData!$E$81),"")</f>
        <v>Dynamic</v>
      </c>
      <c r="F81" t="str">
        <f ca="1">IFERROR(IF(0=LEN(ReferenceData!$Q$81),"",ReferenceData!$Q$81),"")</f>
        <v/>
      </c>
      <c r="G81" t="str">
        <f ca="1">IFERROR(IF(0=LEN(ReferenceData!$P$81),"",ReferenceData!$P$81),"")</f>
        <v/>
      </c>
      <c r="H81" t="str">
        <f ca="1">IFERROR(IF(0=LEN(ReferenceData!$O$81),"",ReferenceData!$O$81),"")</f>
        <v/>
      </c>
      <c r="I81" t="str">
        <f ca="1">IFERROR(IF(0=LEN(ReferenceData!$N$81),"",ReferenceData!$N$81),"")</f>
        <v/>
      </c>
      <c r="J81" t="str">
        <f ca="1">IFERROR(IF(0=LEN(ReferenceData!$M$81),"",ReferenceData!$M$81),"")</f>
        <v/>
      </c>
      <c r="K81" t="str">
        <f ca="1">IFERROR(IF(0=LEN(ReferenceData!$L$81),"",ReferenceData!$L$81),"")</f>
        <v/>
      </c>
      <c r="L81" t="str">
        <f ca="1">IFERROR(IF(0=LEN(ReferenceData!$K$81),"",ReferenceData!$K$81),"")</f>
        <v/>
      </c>
      <c r="M81" t="str">
        <f ca="1">IFERROR(IF(0=LEN(ReferenceData!$J$81),"",ReferenceData!$J$81),"")</f>
        <v/>
      </c>
      <c r="N81" t="str">
        <f ca="1">IFERROR(IF(0=LEN(ReferenceData!$I$81),"",ReferenceData!$I$81),"")</f>
        <v/>
      </c>
      <c r="O81" t="str">
        <f ca="1">IFERROR(IF(0=LEN(ReferenceData!$H$81),"",ReferenceData!$H$81),"")</f>
        <v/>
      </c>
      <c r="P81" t="str">
        <f ca="1">IFERROR(IF(0=LEN(ReferenceData!$G$81),"",ReferenceData!$G$81),"")</f>
        <v/>
      </c>
      <c r="Q81" t="str">
        <f ca="1">IFERROR(IF(0=LEN(ReferenceData!$F$81),"",ReferenceData!$F$81),"")</f>
        <v/>
      </c>
    </row>
    <row r="82" spans="1:17" x14ac:dyDescent="0.25">
      <c r="A82" t="str">
        <f>IFERROR(IF(0=LEN(ReferenceData!$A$82),"",ReferenceData!$A$82),"")</f>
        <v xml:space="preserve">    Cognizant Technology Solutions Corp</v>
      </c>
      <c r="B82" t="str">
        <f>IFERROR(IF(0=LEN(ReferenceData!$B$82),"",ReferenceData!$B$82),"")</f>
        <v>CTSH US Equity</v>
      </c>
      <c r="C82" t="str">
        <f>IFERROR(IF(0=LEN(ReferenceData!$C$82),"",ReferenceData!$C$82),"")</f>
        <v>IS148</v>
      </c>
      <c r="D82" t="str">
        <f>IFERROR(IF(0=LEN(ReferenceData!$D$82),"",ReferenceData!$D$82),"")</f>
        <v>IS_DIL_EPS_BEF_XO</v>
      </c>
      <c r="E82" t="str">
        <f>IFERROR(IF(0=LEN(ReferenceData!$E$82),"",ReferenceData!$E$82),"")</f>
        <v>Dynamic</v>
      </c>
      <c r="F82">
        <f ca="1">IFERROR(IF(0=LEN(ReferenceData!$Q$82),"",ReferenceData!$Q$82),"")</f>
        <v>0.8</v>
      </c>
      <c r="G82">
        <f ca="1">IFERROR(IF(0=LEN(ReferenceData!$P$82),"",ReferenceData!$P$82),"")</f>
        <v>0.84</v>
      </c>
      <c r="H82">
        <f ca="1">IFERROR(IF(0=LEN(ReferenceData!$O$82),"",ReferenceData!$O$82),"")</f>
        <v>-0.03</v>
      </c>
      <c r="I82">
        <f ca="1">IFERROR(IF(0=LEN(ReferenceData!$N$82),"",ReferenceData!$N$82),"")</f>
        <v>0.88</v>
      </c>
      <c r="J82">
        <f ca="1">IFERROR(IF(0=LEN(ReferenceData!$M$82),"",ReferenceData!$M$82),"")</f>
        <v>0.78</v>
      </c>
      <c r="K82">
        <f ca="1">IFERROR(IF(0=LEN(ReferenceData!$L$82),"",ReferenceData!$L$82),"")</f>
        <v>0.82</v>
      </c>
      <c r="L82">
        <f ca="1">IFERROR(IF(0=LEN(ReferenceData!$K$82),"",ReferenceData!$K$82),"")</f>
        <v>1.1200000000000001</v>
      </c>
      <c r="M82">
        <f ca="1">IFERROR(IF(0=LEN(ReferenceData!$J$82),"",ReferenceData!$J$82),"")</f>
        <v>0.77</v>
      </c>
      <c r="N82">
        <f ca="1">IFERROR(IF(0=LEN(ReferenceData!$I$82),"",ReferenceData!$I$82),"")</f>
        <v>0.9</v>
      </c>
      <c r="O82">
        <f ca="1">IFERROR(IF(0=LEN(ReferenceData!$H$82),"",ReferenceData!$H$82),"")</f>
        <v>0.9</v>
      </c>
      <c r="P82">
        <f ca="1">IFERROR(IF(0=LEN(ReferenceData!$G$82),"",ReferenceData!$G$82),"")</f>
        <v>0.72</v>
      </c>
      <c r="Q82">
        <f ca="1">IFERROR(IF(0=LEN(ReferenceData!$F$82),"",ReferenceData!$F$82),"")</f>
        <v>0.67</v>
      </c>
    </row>
    <row r="83" spans="1:17" x14ac:dyDescent="0.25">
      <c r="A83" t="str">
        <f>IFERROR(IF(0=LEN(ReferenceData!$A$83),"",ReferenceData!$A$83),"")</f>
        <v xml:space="preserve">    Conduent Inc</v>
      </c>
      <c r="B83" t="str">
        <f>IFERROR(IF(0=LEN(ReferenceData!$B$83),"",ReferenceData!$B$83),"")</f>
        <v>CNDT US Equity</v>
      </c>
      <c r="C83" t="str">
        <f>IFERROR(IF(0=LEN(ReferenceData!$C$83),"",ReferenceData!$C$83),"")</f>
        <v>IS148</v>
      </c>
      <c r="D83" t="str">
        <f>IFERROR(IF(0=LEN(ReferenceData!$D$83),"",ReferenceData!$D$83),"")</f>
        <v>IS_DIL_EPS_BEF_XO</v>
      </c>
      <c r="E83" t="str">
        <f>IFERROR(IF(0=LEN(ReferenceData!$E$83),"",ReferenceData!$E$83),"")</f>
        <v>Dynamic</v>
      </c>
      <c r="F83">
        <f ca="1">IFERROR(IF(0=LEN(ReferenceData!$Q$83),"",ReferenceData!$Q$83),"")</f>
        <v>-0.03</v>
      </c>
      <c r="G83">
        <f ca="1">IFERROR(IF(0=LEN(ReferenceData!$P$83),"",ReferenceData!$P$83),"")</f>
        <v>-0.09</v>
      </c>
      <c r="H83">
        <f ca="1">IFERROR(IF(0=LEN(ReferenceData!$O$83),"",ReferenceData!$O$83),"")</f>
        <v>0.98</v>
      </c>
      <c r="I83">
        <f ca="1">IFERROR(IF(0=LEN(ReferenceData!$N$83),"",ReferenceData!$N$83),"")</f>
        <v>-0.26</v>
      </c>
      <c r="J83">
        <f ca="1">IFERROR(IF(0=LEN(ReferenceData!$M$83),"",ReferenceData!$M$83),"")</f>
        <v>0.04</v>
      </c>
      <c r="K83">
        <f ca="1">IFERROR(IF(0=LEN(ReferenceData!$L$83),"",ReferenceData!$L$83),"")</f>
        <v>-1.1599999999999999</v>
      </c>
      <c r="L83">
        <f ca="1">IFERROR(IF(0=LEN(ReferenceData!$K$83),"",ReferenceData!$K$83),"")</f>
        <v>-0.69</v>
      </c>
      <c r="M83">
        <f ca="1">IFERROR(IF(0=LEN(ReferenceData!$J$83),"",ReferenceData!$J$83),"")</f>
        <v>-1.49</v>
      </c>
      <c r="N83">
        <f ca="1">IFERROR(IF(0=LEN(ReferenceData!$I$83),"",ReferenceData!$I$83),"")</f>
        <v>-4.9400000000000004</v>
      </c>
      <c r="O83">
        <f ca="1">IFERROR(IF(0=LEN(ReferenceData!$H$83),"",ReferenceData!$H$83),"")</f>
        <v>-0.09</v>
      </c>
      <c r="P83">
        <f ca="1">IFERROR(IF(0=LEN(ReferenceData!$G$83),"",ReferenceData!$G$83),"")</f>
        <v>-2.76</v>
      </c>
      <c r="Q83">
        <f ca="1">IFERROR(IF(0=LEN(ReferenceData!$F$83),"",ReferenceData!$F$83),"")</f>
        <v>-0.24</v>
      </c>
    </row>
    <row r="84" spans="1:17" x14ac:dyDescent="0.25">
      <c r="A84" t="str">
        <f>IFERROR(IF(0=LEN(ReferenceData!$A$84),"",ReferenceData!$A$84),"")</f>
        <v xml:space="preserve">    DXC Technology Co</v>
      </c>
      <c r="B84" t="str">
        <f>IFERROR(IF(0=LEN(ReferenceData!$B$84),"",ReferenceData!$B$84),"")</f>
        <v>DXC US Equity</v>
      </c>
      <c r="C84" t="str">
        <f>IFERROR(IF(0=LEN(ReferenceData!$C$84),"",ReferenceData!$C$84),"")</f>
        <v>IS148</v>
      </c>
      <c r="D84" t="str">
        <f>IFERROR(IF(0=LEN(ReferenceData!$D$84),"",ReferenceData!$D$84),"")</f>
        <v>IS_DIL_EPS_BEF_XO</v>
      </c>
      <c r="E84" t="str">
        <f>IFERROR(IF(0=LEN(ReferenceData!$E$84),"",ReferenceData!$E$84),"")</f>
        <v>Dynamic</v>
      </c>
      <c r="F84">
        <f ca="1">IFERROR(IF(0=LEN(ReferenceData!$Q$84),"",ReferenceData!$Q$84),"")</f>
        <v>0.33</v>
      </c>
      <c r="G84">
        <f ca="1">IFERROR(IF(0=LEN(ReferenceData!$P$84),"",ReferenceData!$P$84),"")</f>
        <v>0.67</v>
      </c>
      <c r="H84">
        <f ca="1">IFERROR(IF(0=LEN(ReferenceData!$O$84),"",ReferenceData!$O$84),"")</f>
        <v>2.4300000000000002</v>
      </c>
      <c r="I84">
        <f ca="1">IFERROR(IF(0=LEN(ReferenceData!$N$84),"",ReferenceData!$N$84),"")</f>
        <v>1.8</v>
      </c>
      <c r="J84">
        <f ca="1">IFERROR(IF(0=LEN(ReferenceData!$M$84),"",ReferenceData!$M$84),"")</f>
        <v>0.78</v>
      </c>
      <c r="K84">
        <f ca="1">IFERROR(IF(0=LEN(ReferenceData!$L$84),"",ReferenceData!$L$84),"")</f>
        <v>0.92</v>
      </c>
      <c r="L84">
        <f ca="1">IFERROR(IF(0=LEN(ReferenceData!$K$84),"",ReferenceData!$K$84),"")</f>
        <v>1.66</v>
      </c>
      <c r="M84">
        <f ca="1">IFERROR(IF(0=LEN(ReferenceData!$J$84),"",ReferenceData!$J$84),"")</f>
        <v>1.01</v>
      </c>
      <c r="N84">
        <f ca="1">IFERROR(IF(0=LEN(ReferenceData!$I$84),"",ReferenceData!$I$84),"")</f>
        <v>0.61</v>
      </c>
      <c r="O84">
        <f ca="1">IFERROR(IF(0=LEN(ReferenceData!$H$84),"",ReferenceData!$H$84),"")</f>
        <v>-8.19</v>
      </c>
      <c r="P84">
        <f ca="1">IFERROR(IF(0=LEN(ReferenceData!$G$84),"",ReferenceData!$G$84),"")</f>
        <v>0.32</v>
      </c>
      <c r="Q84">
        <f ca="1">IFERROR(IF(0=LEN(ReferenceData!$F$84),"",ReferenceData!$F$84),"")</f>
        <v>-13.79</v>
      </c>
    </row>
    <row r="85" spans="1:17" x14ac:dyDescent="0.25">
      <c r="A85" t="str">
        <f>IFERROR(IF(0=LEN(ReferenceData!$A$85),"",ReferenceData!$A$85),"")</f>
        <v xml:space="preserve">    EPAM Systems Inc</v>
      </c>
      <c r="B85" t="str">
        <f>IFERROR(IF(0=LEN(ReferenceData!$B$85),"",ReferenceData!$B$85),"")</f>
        <v>EPAM US Equity</v>
      </c>
      <c r="C85" t="str">
        <f>IFERROR(IF(0=LEN(ReferenceData!$C$85),"",ReferenceData!$C$85),"")</f>
        <v>IS148</v>
      </c>
      <c r="D85" t="str">
        <f>IFERROR(IF(0=LEN(ReferenceData!$D$85),"",ReferenceData!$D$85),"")</f>
        <v>IS_DIL_EPS_BEF_XO</v>
      </c>
      <c r="E85" t="str">
        <f>IFERROR(IF(0=LEN(ReferenceData!$E$85),"",ReferenceData!$E$85),"")</f>
        <v>Dynamic</v>
      </c>
      <c r="F85">
        <f ca="1">IFERROR(IF(0=LEN(ReferenceData!$Q$85),"",ReferenceData!$Q$85),"")</f>
        <v>0.68</v>
      </c>
      <c r="G85">
        <f ca="1">IFERROR(IF(0=LEN(ReferenceData!$P$85),"",ReferenceData!$P$85),"")</f>
        <v>0.77</v>
      </c>
      <c r="H85">
        <f ca="1">IFERROR(IF(0=LEN(ReferenceData!$O$85),"",ReferenceData!$O$85),"")</f>
        <v>-0.57999999999999996</v>
      </c>
      <c r="I85">
        <f ca="1">IFERROR(IF(0=LEN(ReferenceData!$N$85),"",ReferenceData!$N$85),"")</f>
        <v>1.1499999999999999</v>
      </c>
      <c r="J85">
        <f ca="1">IFERROR(IF(0=LEN(ReferenceData!$M$85),"",ReferenceData!$M$85),"")</f>
        <v>0.89</v>
      </c>
      <c r="K85">
        <f ca="1">IFERROR(IF(0=LEN(ReferenceData!$L$85),"",ReferenceData!$L$85),"")</f>
        <v>1.1499999999999999</v>
      </c>
      <c r="L85">
        <f ca="1">IFERROR(IF(0=LEN(ReferenceData!$K$85),"",ReferenceData!$K$85),"")</f>
        <v>1.05</v>
      </c>
      <c r="M85">
        <f ca="1">IFERROR(IF(0=LEN(ReferenceData!$J$85),"",ReferenceData!$J$85),"")</f>
        <v>1.06</v>
      </c>
      <c r="N85">
        <f ca="1">IFERROR(IF(0=LEN(ReferenceData!$I$85),"",ReferenceData!$I$85),"")</f>
        <v>1.02</v>
      </c>
      <c r="O85">
        <f ca="1">IFERROR(IF(0=LEN(ReferenceData!$H$85),"",ReferenceData!$H$85),"")</f>
        <v>1.1599999999999999</v>
      </c>
      <c r="P85">
        <f ca="1">IFERROR(IF(0=LEN(ReferenceData!$G$85),"",ReferenceData!$G$85),"")</f>
        <v>1.29</v>
      </c>
      <c r="Q85">
        <f ca="1">IFERROR(IF(0=LEN(ReferenceData!$F$85),"",ReferenceData!$F$85),"")</f>
        <v>1.47</v>
      </c>
    </row>
    <row r="86" spans="1:17" x14ac:dyDescent="0.25">
      <c r="A86" t="str">
        <f>IFERROR(IF(0=LEN(ReferenceData!$A$86),"",ReferenceData!$A$86),"")</f>
        <v xml:space="preserve">    Genpact Ltd</v>
      </c>
      <c r="B86" t="str">
        <f>IFERROR(IF(0=LEN(ReferenceData!$B$86),"",ReferenceData!$B$86),"")</f>
        <v>G US Equity</v>
      </c>
      <c r="C86" t="str">
        <f>IFERROR(IF(0=LEN(ReferenceData!$C$86),"",ReferenceData!$C$86),"")</f>
        <v>IS148</v>
      </c>
      <c r="D86" t="str">
        <f>IFERROR(IF(0=LEN(ReferenceData!$D$86),"",ReferenceData!$D$86),"")</f>
        <v>IS_DIL_EPS_BEF_XO</v>
      </c>
      <c r="E86" t="str">
        <f>IFERROR(IF(0=LEN(ReferenceData!$E$86),"",ReferenceData!$E$86),"")</f>
        <v>Dynamic</v>
      </c>
      <c r="F86">
        <f ca="1">IFERROR(IF(0=LEN(ReferenceData!$Q$86),"",ReferenceData!$Q$86),"")</f>
        <v>0.36</v>
      </c>
      <c r="G86">
        <f ca="1">IFERROR(IF(0=LEN(ReferenceData!$P$86),"",ReferenceData!$P$86),"")</f>
        <v>0.38</v>
      </c>
      <c r="H86">
        <f ca="1">IFERROR(IF(0=LEN(ReferenceData!$O$86),"",ReferenceData!$O$86),"")</f>
        <v>0.34</v>
      </c>
      <c r="I86">
        <f ca="1">IFERROR(IF(0=LEN(ReferenceData!$N$86),"",ReferenceData!$N$86),"")</f>
        <v>0.33</v>
      </c>
      <c r="J86">
        <f ca="1">IFERROR(IF(0=LEN(ReferenceData!$M$86),"",ReferenceData!$M$86),"")</f>
        <v>0.33</v>
      </c>
      <c r="K86">
        <f ca="1">IFERROR(IF(0=LEN(ReferenceData!$L$86),"",ReferenceData!$L$86),"")</f>
        <v>0.38</v>
      </c>
      <c r="L86">
        <f ca="1">IFERROR(IF(0=LEN(ReferenceData!$K$86),"",ReferenceData!$K$86),"")</f>
        <v>0.41</v>
      </c>
      <c r="M86">
        <f ca="1">IFERROR(IF(0=LEN(ReferenceData!$J$86),"",ReferenceData!$J$86),"")</f>
        <v>0.31</v>
      </c>
      <c r="N86">
        <f ca="1">IFERROR(IF(0=LEN(ReferenceData!$I$86),"",ReferenceData!$I$86),"")</f>
        <v>0.38</v>
      </c>
      <c r="O86">
        <f ca="1">IFERROR(IF(0=LEN(ReferenceData!$H$86),"",ReferenceData!$H$86),"")</f>
        <v>0.45</v>
      </c>
      <c r="P86">
        <f ca="1">IFERROR(IF(0=LEN(ReferenceData!$G$86),"",ReferenceData!$G$86),"")</f>
        <v>0.42</v>
      </c>
      <c r="Q86">
        <f ca="1">IFERROR(IF(0=LEN(ReferenceData!$F$86),"",ReferenceData!$F$86),"")</f>
        <v>0.44</v>
      </c>
    </row>
    <row r="87" spans="1:17" x14ac:dyDescent="0.25">
      <c r="A87" t="str">
        <f>IFERROR(IF(0=LEN(ReferenceData!$A$87),"",ReferenceData!$A$87),"")</f>
        <v xml:space="preserve">    HCL Technologies Ltd</v>
      </c>
      <c r="B87" t="str">
        <f>IFERROR(IF(0=LEN(ReferenceData!$B$87),"",ReferenceData!$B$87),"")</f>
        <v>HCLT IN Equity</v>
      </c>
      <c r="C87" t="str">
        <f>IFERROR(IF(0=LEN(ReferenceData!$C$87),"",ReferenceData!$C$87),"")</f>
        <v>IS148</v>
      </c>
      <c r="D87" t="str">
        <f>IFERROR(IF(0=LEN(ReferenceData!$D$87),"",ReferenceData!$D$87),"")</f>
        <v>IS_DIL_EPS_BEF_XO</v>
      </c>
      <c r="E87" t="str">
        <f>IFERROR(IF(0=LEN(ReferenceData!$E$87),"",ReferenceData!$E$87),"")</f>
        <v>Dynamic</v>
      </c>
      <c r="F87">
        <f ca="1">IFERROR(IF(0=LEN(ReferenceData!$Q$87),"",ReferenceData!$Q$87),"")</f>
        <v>0.11736099999999999</v>
      </c>
      <c r="G87">
        <f ca="1">IFERROR(IF(0=LEN(ReferenceData!$P$87),"",ReferenceData!$P$87),"")</f>
        <v>0.1188555</v>
      </c>
      <c r="H87">
        <f ca="1">IFERROR(IF(0=LEN(ReferenceData!$O$87),"",ReferenceData!$O$87),"")</f>
        <v>0.121949</v>
      </c>
      <c r="I87">
        <f ca="1">IFERROR(IF(0=LEN(ReferenceData!$N$87),"",ReferenceData!$N$87),"")</f>
        <v>0.124351533</v>
      </c>
      <c r="J87">
        <f ca="1">IFERROR(IF(0=LEN(ReferenceData!$M$87),"",ReferenceData!$M$87),"")</f>
        <v>0.12770599999999999</v>
      </c>
      <c r="K87">
        <f ca="1">IFERROR(IF(0=LEN(ReferenceData!$L$87),"",ReferenceData!$L$87),"")</f>
        <v>0.12774650000000001</v>
      </c>
      <c r="L87">
        <f ca="1">IFERROR(IF(0=LEN(ReferenceData!$K$87),"",ReferenceData!$K$87),"")</f>
        <v>0.13375799999999999</v>
      </c>
      <c r="M87">
        <f ca="1">IFERROR(IF(0=LEN(ReferenceData!$J$87),"",ReferenceData!$J$87),"")</f>
        <v>0.13450000000000001</v>
      </c>
      <c r="N87">
        <f ca="1">IFERROR(IF(0=LEN(ReferenceData!$I$87),"",ReferenceData!$I$87),"")</f>
        <v>0.1178165</v>
      </c>
      <c r="O87">
        <f ca="1">IFERROR(IF(0=LEN(ReferenceData!$H$87),"",ReferenceData!$H$87),"")</f>
        <v>0.1386415</v>
      </c>
      <c r="P87">
        <f ca="1">IFERROR(IF(0=LEN(ReferenceData!$G$87),"",ReferenceData!$G$87),"")</f>
        <v>0.157168</v>
      </c>
      <c r="Q87">
        <f ca="1">IFERROR(IF(0=LEN(ReferenceData!$F$87),"",ReferenceData!$F$87),"")</f>
        <v>0.158973</v>
      </c>
    </row>
    <row r="88" spans="1:17" x14ac:dyDescent="0.25">
      <c r="A88" t="str">
        <f>IFERROR(IF(0=LEN(ReferenceData!$A$88),"",ReferenceData!$A$88),"")</f>
        <v xml:space="preserve">    Indra Sistemas SA</v>
      </c>
      <c r="B88" t="str">
        <f>IFERROR(IF(0=LEN(ReferenceData!$B$88),"",ReferenceData!$B$88),"")</f>
        <v>IDR SM Equity</v>
      </c>
      <c r="C88" t="str">
        <f>IFERROR(IF(0=LEN(ReferenceData!$C$88),"",ReferenceData!$C$88),"")</f>
        <v>IS148</v>
      </c>
      <c r="D88" t="str">
        <f>IFERROR(IF(0=LEN(ReferenceData!$D$88),"",ReferenceData!$D$88),"")</f>
        <v>IS_DIL_EPS_BEF_XO</v>
      </c>
      <c r="E88" t="str">
        <f>IFERROR(IF(0=LEN(ReferenceData!$E$88),"",ReferenceData!$E$88),"")</f>
        <v>Dynamic</v>
      </c>
      <c r="F88">
        <f ca="1">IFERROR(IF(0=LEN(ReferenceData!$Q$88),"",ReferenceData!$Q$88),"")</f>
        <v>9.3500153000000003E-2</v>
      </c>
      <c r="G88">
        <f ca="1">IFERROR(IF(0=LEN(ReferenceData!$P$88),"",ReferenceData!$P$88),"")</f>
        <v>0.27529899099999999</v>
      </c>
      <c r="H88">
        <f ca="1">IFERROR(IF(0=LEN(ReferenceData!$O$88),"",ReferenceData!$O$88),"")</f>
        <v>0.24454309900000001</v>
      </c>
      <c r="I88">
        <f ca="1">IFERROR(IF(0=LEN(ReferenceData!$N$88),"",ReferenceData!$N$88),"")</f>
        <v>7.4966870000000005E-2</v>
      </c>
      <c r="J88">
        <f ca="1">IFERROR(IF(0=LEN(ReferenceData!$M$88),"",ReferenceData!$M$88),"")</f>
        <v>0.15211987699999999</v>
      </c>
      <c r="K88">
        <f ca="1">IFERROR(IF(0=LEN(ReferenceData!$L$88),"",ReferenceData!$L$88),"")</f>
        <v>0.10121275</v>
      </c>
      <c r="L88">
        <f ca="1">IFERROR(IF(0=LEN(ReferenceData!$K$88),"",ReferenceData!$K$88),"")</f>
        <v>0.42089701600000001</v>
      </c>
      <c r="M88">
        <f ca="1">IFERROR(IF(0=LEN(ReferenceData!$J$88),"",ReferenceData!$J$88),"")</f>
        <v>0.111295162</v>
      </c>
      <c r="N88">
        <f ca="1">IFERROR(IF(0=LEN(ReferenceData!$I$88),"",ReferenceData!$I$88),"")</f>
        <v>9.0791726000000003E-2</v>
      </c>
      <c r="O88">
        <f ca="1">IFERROR(IF(0=LEN(ReferenceData!$H$88),"",ReferenceData!$H$88),"")</f>
        <v>0.177093373</v>
      </c>
      <c r="P88">
        <f ca="1">IFERROR(IF(0=LEN(ReferenceData!$G$88),"",ReferenceData!$G$88),"")</f>
        <v>0.32433838599999998</v>
      </c>
      <c r="Q88">
        <f ca="1">IFERROR(IF(0=LEN(ReferenceData!$F$88),"",ReferenceData!$F$88),"")</f>
        <v>3.9690092000000003E-2</v>
      </c>
    </row>
    <row r="89" spans="1:17" x14ac:dyDescent="0.25">
      <c r="A89" t="str">
        <f>IFERROR(IF(0=LEN(ReferenceData!$A$89),"",ReferenceData!$A$89),"")</f>
        <v xml:space="preserve">    Infosys Ltd</v>
      </c>
      <c r="B89" t="str">
        <f>IFERROR(IF(0=LEN(ReferenceData!$B$89),"",ReferenceData!$B$89),"")</f>
        <v>INFY US Equity</v>
      </c>
      <c r="C89" t="str">
        <f>IFERROR(IF(0=LEN(ReferenceData!$C$89),"",ReferenceData!$C$89),"")</f>
        <v>IS148</v>
      </c>
      <c r="D89" t="str">
        <f>IFERROR(IF(0=LEN(ReferenceData!$D$89),"",ReferenceData!$D$89),"")</f>
        <v>IS_DIL_EPS_BEF_XO</v>
      </c>
      <c r="E89" t="str">
        <f>IFERROR(IF(0=LEN(ReferenceData!$E$89),"",ReferenceData!$E$89),"")</f>
        <v>Dynamic</v>
      </c>
      <c r="F89" t="str">
        <f ca="1">IFERROR(IF(0=LEN(ReferenceData!$Q$89),"",ReferenceData!$Q$89),"")</f>
        <v/>
      </c>
      <c r="G89" t="str">
        <f ca="1">IFERROR(IF(0=LEN(ReferenceData!$P$89),"",ReferenceData!$P$89),"")</f>
        <v/>
      </c>
      <c r="H89" t="str">
        <f ca="1">IFERROR(IF(0=LEN(ReferenceData!$O$89),"",ReferenceData!$O$89),"")</f>
        <v/>
      </c>
      <c r="I89" t="str">
        <f ca="1">IFERROR(IF(0=LEN(ReferenceData!$N$89),"",ReferenceData!$N$89),"")</f>
        <v/>
      </c>
      <c r="J89" t="str">
        <f ca="1">IFERROR(IF(0=LEN(ReferenceData!$M$89),"",ReferenceData!$M$89),"")</f>
        <v/>
      </c>
      <c r="K89" t="str">
        <f ca="1">IFERROR(IF(0=LEN(ReferenceData!$L$89),"",ReferenceData!$L$89),"")</f>
        <v/>
      </c>
      <c r="L89" t="str">
        <f ca="1">IFERROR(IF(0=LEN(ReferenceData!$K$89),"",ReferenceData!$K$89),"")</f>
        <v/>
      </c>
      <c r="M89" t="str">
        <f ca="1">IFERROR(IF(0=LEN(ReferenceData!$J$89),"",ReferenceData!$J$89),"")</f>
        <v/>
      </c>
      <c r="N89" t="str">
        <f ca="1">IFERROR(IF(0=LEN(ReferenceData!$I$89),"",ReferenceData!$I$89),"")</f>
        <v/>
      </c>
      <c r="O89" t="str">
        <f ca="1">IFERROR(IF(0=LEN(ReferenceData!$H$89),"",ReferenceData!$H$89),"")</f>
        <v/>
      </c>
      <c r="P89" t="str">
        <f ca="1">IFERROR(IF(0=LEN(ReferenceData!$G$89),"",ReferenceData!$G$89),"")</f>
        <v/>
      </c>
      <c r="Q89" t="str">
        <f ca="1">IFERROR(IF(0=LEN(ReferenceData!$F$89),"",ReferenceData!$F$89),"")</f>
        <v/>
      </c>
    </row>
    <row r="90" spans="1:17" x14ac:dyDescent="0.25">
      <c r="A90" t="str">
        <f>IFERROR(IF(0=LEN(ReferenceData!$A$90),"",ReferenceData!$A$90),"")</f>
        <v xml:space="preserve">    International Business Machines Corp</v>
      </c>
      <c r="B90" t="str">
        <f>IFERROR(IF(0=LEN(ReferenceData!$B$90),"",ReferenceData!$B$90),"")</f>
        <v>IBM US Equity</v>
      </c>
      <c r="C90" t="str">
        <f>IFERROR(IF(0=LEN(ReferenceData!$C$90),"",ReferenceData!$C$90),"")</f>
        <v>IS148</v>
      </c>
      <c r="D90" t="str">
        <f>IFERROR(IF(0=LEN(ReferenceData!$D$90),"",ReferenceData!$D$90),"")</f>
        <v>IS_DIL_EPS_BEF_XO</v>
      </c>
      <c r="E90" t="str">
        <f>IFERROR(IF(0=LEN(ReferenceData!$E$90),"",ReferenceData!$E$90),"")</f>
        <v>Dynamic</v>
      </c>
      <c r="F90">
        <f ca="1">IFERROR(IF(0=LEN(ReferenceData!$Q$90),"",ReferenceData!$Q$90),"")</f>
        <v>2.48</v>
      </c>
      <c r="G90">
        <f ca="1">IFERROR(IF(0=LEN(ReferenceData!$P$90),"",ReferenceData!$P$90),"")</f>
        <v>2.92</v>
      </c>
      <c r="H90">
        <f ca="1">IFERROR(IF(0=LEN(ReferenceData!$O$90),"",ReferenceData!$O$90),"")</f>
        <v>-1.1399999999999999</v>
      </c>
      <c r="I90">
        <f ca="1">IFERROR(IF(0=LEN(ReferenceData!$N$90),"",ReferenceData!$N$90),"")</f>
        <v>1.81</v>
      </c>
      <c r="J90">
        <f ca="1">IFERROR(IF(0=LEN(ReferenceData!$M$90),"",ReferenceData!$M$90),"")</f>
        <v>2.61</v>
      </c>
      <c r="K90">
        <f ca="1">IFERROR(IF(0=LEN(ReferenceData!$L$90),"",ReferenceData!$L$90),"")</f>
        <v>2.94</v>
      </c>
      <c r="L90">
        <f ca="1">IFERROR(IF(0=LEN(ReferenceData!$K$90),"",ReferenceData!$K$90),"")</f>
        <v>2.15</v>
      </c>
      <c r="M90">
        <f ca="1">IFERROR(IF(0=LEN(ReferenceData!$J$90),"",ReferenceData!$J$90),"")</f>
        <v>1.78</v>
      </c>
      <c r="N90">
        <f ca="1">IFERROR(IF(0=LEN(ReferenceData!$I$90),"",ReferenceData!$I$90),"")</f>
        <v>2.81</v>
      </c>
      <c r="O90">
        <f ca="1">IFERROR(IF(0=LEN(ReferenceData!$H$90),"",ReferenceData!$H$90),"")</f>
        <v>1.87</v>
      </c>
      <c r="P90">
        <f ca="1">IFERROR(IF(0=LEN(ReferenceData!$G$90),"",ReferenceData!$G$90),"")</f>
        <v>4.1100000000000003</v>
      </c>
      <c r="Q90">
        <f ca="1">IFERROR(IF(0=LEN(ReferenceData!$F$90),"",ReferenceData!$F$90),"")</f>
        <v>1.31</v>
      </c>
    </row>
    <row r="91" spans="1:17" x14ac:dyDescent="0.25">
      <c r="A91" t="str">
        <f>IFERROR(IF(0=LEN(ReferenceData!$A$91),"",ReferenceData!$A$91),"")</f>
        <v xml:space="preserve">    Tata Consultancy Services Ltd</v>
      </c>
      <c r="B91" t="str">
        <f>IFERROR(IF(0=LEN(ReferenceData!$B$91),"",ReferenceData!$B$91),"")</f>
        <v>TCS IN Equity</v>
      </c>
      <c r="C91" t="str">
        <f>IFERROR(IF(0=LEN(ReferenceData!$C$91),"",ReferenceData!$C$91),"")</f>
        <v>IS148</v>
      </c>
      <c r="D91" t="str">
        <f>IFERROR(IF(0=LEN(ReferenceData!$D$91),"",ReferenceData!$D$91),"")</f>
        <v>IS_DIL_EPS_BEF_XO</v>
      </c>
      <c r="E91" t="str">
        <f>IFERROR(IF(0=LEN(ReferenceData!$E$91),"",ReferenceData!$E$91),"")</f>
        <v>Dynamic</v>
      </c>
      <c r="F91">
        <f ca="1">IFERROR(IF(0=LEN(ReferenceData!$Q$91),"",ReferenceData!$Q$91),"")</f>
        <v>0.235704107</v>
      </c>
      <c r="G91">
        <f ca="1">IFERROR(IF(0=LEN(ReferenceData!$P$91),"",ReferenceData!$P$91),"")</f>
        <v>0.26188763799999998</v>
      </c>
      <c r="H91">
        <f ca="1">IFERROR(IF(0=LEN(ReferenceData!$O$91),"",ReferenceData!$O$91),"")</f>
        <v>0.26354174699999999</v>
      </c>
      <c r="I91">
        <f ca="1">IFERROR(IF(0=LEN(ReferenceData!$N$91),"",ReferenceData!$N$91),"")</f>
        <v>0.28014256700000001</v>
      </c>
      <c r="J91">
        <f ca="1">IFERROR(IF(0=LEN(ReferenceData!$M$91),"",ReferenceData!$M$91),"")</f>
        <v>0.28590157300000002</v>
      </c>
      <c r="K91">
        <f ca="1">IFERROR(IF(0=LEN(ReferenceData!$L$91),"",ReferenceData!$L$91),"")</f>
        <v>0.29487991499999999</v>
      </c>
      <c r="L91">
        <f ca="1">IFERROR(IF(0=LEN(ReferenceData!$K$91),"",ReferenceData!$K$91),"")</f>
        <v>0.299772131</v>
      </c>
      <c r="M91">
        <f ca="1">IFERROR(IF(0=LEN(ReferenceData!$J$91),"",ReferenceData!$J$91),"")</f>
        <v>0.30734751100000002</v>
      </c>
      <c r="N91">
        <f ca="1">IFERROR(IF(0=LEN(ReferenceData!$I$91),"",ReferenceData!$I$91),"")</f>
        <v>0.311622593</v>
      </c>
      <c r="O91">
        <f ca="1">IFERROR(IF(0=LEN(ReferenceData!$H$91),"",ReferenceData!$H$91),"")</f>
        <v>0.30454087000000002</v>
      </c>
      <c r="P91">
        <f ca="1">IFERROR(IF(0=LEN(ReferenceData!$G$91),"",ReferenceData!$G$91),"")</f>
        <v>0.30371811700000001</v>
      </c>
      <c r="Q91">
        <f ca="1">IFERROR(IF(0=LEN(ReferenceData!$F$91),"",ReferenceData!$F$91),"")</f>
        <v>0.29611310699999999</v>
      </c>
    </row>
    <row r="92" spans="1:17" x14ac:dyDescent="0.25">
      <c r="A92" t="str">
        <f>IFERROR(IF(0=LEN(ReferenceData!$A$92),"",ReferenceData!$A$92),"")</f>
        <v xml:space="preserve">    Tech Mahindra Ltd</v>
      </c>
      <c r="B92" t="str">
        <f>IFERROR(IF(0=LEN(ReferenceData!$B$92),"",ReferenceData!$B$92),"")</f>
        <v>TECHM IN Equity</v>
      </c>
      <c r="C92" t="str">
        <f>IFERROR(IF(0=LEN(ReferenceData!$C$92),"",ReferenceData!$C$92),"")</f>
        <v>IS148</v>
      </c>
      <c r="D92" t="str">
        <f>IFERROR(IF(0=LEN(ReferenceData!$D$92),"",ReferenceData!$D$92),"")</f>
        <v>IS_DIL_EPS_BEF_XO</v>
      </c>
      <c r="E92" t="str">
        <f>IFERROR(IF(0=LEN(ReferenceData!$E$92),"",ReferenceData!$E$92),"")</f>
        <v>Dynamic</v>
      </c>
      <c r="F92">
        <f ca="1">IFERROR(IF(0=LEN(ReferenceData!$Q$92),"",ReferenceData!$Q$92),"")</f>
        <v>0.139251505</v>
      </c>
      <c r="G92">
        <f ca="1">IFERROR(IF(0=LEN(ReferenceData!$P$92),"",ReferenceData!$P$92),"")</f>
        <v>0.146227728</v>
      </c>
      <c r="H92">
        <f ca="1">IFERROR(IF(0=LEN(ReferenceData!$O$92),"",ReferenceData!$O$92),"")</f>
        <v>0.16390257499999999</v>
      </c>
      <c r="I92">
        <f ca="1">IFERROR(IF(0=LEN(ReferenceData!$N$92),"",ReferenceData!$N$92),"")</f>
        <v>0.21312967399999999</v>
      </c>
      <c r="J92">
        <f ca="1">IFERROR(IF(0=LEN(ReferenceData!$M$92),"",ReferenceData!$M$92),"")</f>
        <v>0.150184081</v>
      </c>
      <c r="K92">
        <f ca="1">IFERROR(IF(0=LEN(ReferenceData!$L$92),"",ReferenceData!$L$92),"")</f>
        <v>0.17027673700000001</v>
      </c>
      <c r="L92">
        <f ca="1">IFERROR(IF(0=LEN(ReferenceData!$K$92),"",ReferenceData!$K$92),"")</f>
        <v>0.18666366500000001</v>
      </c>
      <c r="M92">
        <f ca="1">IFERROR(IF(0=LEN(ReferenceData!$J$92),"",ReferenceData!$J$92),"")</f>
        <v>0.17856076900000001</v>
      </c>
      <c r="N92">
        <f ca="1">IFERROR(IF(0=LEN(ReferenceData!$I$92),"",ReferenceData!$I$92),"")</f>
        <v>0.15660221699999999</v>
      </c>
      <c r="O92">
        <f ca="1">IFERROR(IF(0=LEN(ReferenceData!$H$92),"",ReferenceData!$H$92),"")</f>
        <v>0.16416083000000001</v>
      </c>
      <c r="P92">
        <f ca="1">IFERROR(IF(0=LEN(ReferenceData!$G$92),"",ReferenceData!$G$92),"")</f>
        <v>0.179012427</v>
      </c>
      <c r="Q92">
        <f ca="1">IFERROR(IF(0=LEN(ReferenceData!$F$92),"",ReferenceData!$F$92),"")</f>
        <v>0.12616001800000001</v>
      </c>
    </row>
    <row r="93" spans="1:17" x14ac:dyDescent="0.25">
      <c r="A93" t="str">
        <f>IFERROR(IF(0=LEN(ReferenceData!$A$93),"",ReferenceData!$A$93),"")</f>
        <v xml:space="preserve">    Wipro Ltd</v>
      </c>
      <c r="B93" t="str">
        <f>IFERROR(IF(0=LEN(ReferenceData!$B$93),"",ReferenceData!$B$93),"")</f>
        <v>WIT US Equity</v>
      </c>
      <c r="C93" t="str">
        <f>IFERROR(IF(0=LEN(ReferenceData!$C$93),"",ReferenceData!$C$93),"")</f>
        <v>IS148</v>
      </c>
      <c r="D93" t="str">
        <f>IFERROR(IF(0=LEN(ReferenceData!$D$93),"",ReferenceData!$D$93),"")</f>
        <v>IS_DIL_EPS_BEF_XO</v>
      </c>
      <c r="E93" t="str">
        <f>IFERROR(IF(0=LEN(ReferenceData!$E$93),"",ReferenceData!$E$93),"")</f>
        <v>Dynamic</v>
      </c>
      <c r="F93" t="str">
        <f ca="1">IFERROR(IF(0=LEN(ReferenceData!$Q$93),"",ReferenceData!$Q$93),"")</f>
        <v/>
      </c>
      <c r="G93" t="str">
        <f ca="1">IFERROR(IF(0=LEN(ReferenceData!$P$93),"",ReferenceData!$P$93),"")</f>
        <v/>
      </c>
      <c r="H93" t="str">
        <f ca="1">IFERROR(IF(0=LEN(ReferenceData!$O$93),"",ReferenceData!$O$93),"")</f>
        <v/>
      </c>
      <c r="I93" t="str">
        <f ca="1">IFERROR(IF(0=LEN(ReferenceData!$N$93),"",ReferenceData!$N$93),"")</f>
        <v/>
      </c>
      <c r="J93" t="str">
        <f ca="1">IFERROR(IF(0=LEN(ReferenceData!$M$93),"",ReferenceData!$M$93),"")</f>
        <v/>
      </c>
      <c r="K93" t="str">
        <f ca="1">IFERROR(IF(0=LEN(ReferenceData!$L$93),"",ReferenceData!$L$93),"")</f>
        <v/>
      </c>
      <c r="L93" t="str">
        <f ca="1">IFERROR(IF(0=LEN(ReferenceData!$K$93),"",ReferenceData!$K$93),"")</f>
        <v/>
      </c>
      <c r="M93" t="str">
        <f ca="1">IFERROR(IF(0=LEN(ReferenceData!$J$93),"",ReferenceData!$J$93),"")</f>
        <v/>
      </c>
      <c r="N93" t="str">
        <f ca="1">IFERROR(IF(0=LEN(ReferenceData!$I$93),"",ReferenceData!$I$93),"")</f>
        <v/>
      </c>
      <c r="O93" t="str">
        <f ca="1">IFERROR(IF(0=LEN(ReferenceData!$H$93),"",ReferenceData!$H$93),"")</f>
        <v/>
      </c>
      <c r="P93" t="str">
        <f ca="1">IFERROR(IF(0=LEN(ReferenceData!$G$93),"",ReferenceData!$G$93),"")</f>
        <v/>
      </c>
      <c r="Q93" t="str">
        <f ca="1">IFERROR(IF(0=LEN(ReferenceData!$F$93),"",ReferenceData!$F$93),"")</f>
        <v/>
      </c>
    </row>
    <row r="94" spans="1:17" x14ac:dyDescent="0.25">
      <c r="A94" t="str">
        <f>IFERROR(IF(0=LEN(ReferenceData!$A$94),"",ReferenceData!$A$94),"")</f>
        <v>Source: Company Filings</v>
      </c>
      <c r="B94" t="str">
        <f>IFERROR(IF(0=LEN(ReferenceData!$B$94),"",ReferenceData!$B$94),"")</f>
        <v/>
      </c>
      <c r="C94" t="str">
        <f>IFERROR(IF(0=LEN(ReferenceData!$C$94),"",ReferenceData!$C$94),"")</f>
        <v/>
      </c>
      <c r="D94" t="str">
        <f>IFERROR(IF(0=LEN(ReferenceData!$D$94),"",ReferenceData!$D$94),"")</f>
        <v/>
      </c>
      <c r="E94" t="str">
        <f>IFERROR(IF(0=LEN(ReferenceData!$E$94),"",ReferenceData!$E$94),"")</f>
        <v>Heading</v>
      </c>
      <c r="F94" t="str">
        <f>IFERROR(IF(0=LEN(ReferenceData!$Q$94),"",ReferenceData!$Q$94),"")</f>
        <v/>
      </c>
      <c r="G94" t="str">
        <f>IFERROR(IF(0=LEN(ReferenceData!$P$94),"",ReferenceData!$P$94),"")</f>
        <v/>
      </c>
      <c r="H94" t="str">
        <f>IFERROR(IF(0=LEN(ReferenceData!$O$94),"",ReferenceData!$O$94),"")</f>
        <v/>
      </c>
      <c r="I94" t="str">
        <f>IFERROR(IF(0=LEN(ReferenceData!$N$94),"",ReferenceData!$N$94),"")</f>
        <v/>
      </c>
      <c r="J94" t="str">
        <f>IFERROR(IF(0=LEN(ReferenceData!$M$94),"",ReferenceData!$M$94),"")</f>
        <v/>
      </c>
      <c r="K94" t="str">
        <f>IFERROR(IF(0=LEN(ReferenceData!$L$94),"",ReferenceData!$L$94),"")</f>
        <v/>
      </c>
      <c r="L94" t="str">
        <f>IFERROR(IF(0=LEN(ReferenceData!$K$94),"",ReferenceData!$K$94),"")</f>
        <v/>
      </c>
      <c r="M94" t="str">
        <f>IFERROR(IF(0=LEN(ReferenceData!$J$94),"",ReferenceData!$J$94),"")</f>
        <v/>
      </c>
      <c r="N94" t="str">
        <f>IFERROR(IF(0=LEN(ReferenceData!$I$94),"",ReferenceData!$I$94),"")</f>
        <v/>
      </c>
      <c r="O94" t="str">
        <f>IFERROR(IF(0=LEN(ReferenceData!$H$94),"",ReferenceData!$H$94),"")</f>
        <v/>
      </c>
      <c r="P94" t="str">
        <f>IFERROR(IF(0=LEN(ReferenceData!$G$94),"",ReferenceData!$G$94),"")</f>
        <v/>
      </c>
      <c r="Q94" t="str">
        <f>IFERROR(IF(0=LEN(ReferenceData!$F$94),"",ReferenceData!$F$94),"")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AFE9-479D-42A7-A8DF-D50C6CBA07AA}">
  <dimension ref="A2:Q94"/>
  <sheetViews>
    <sheetView workbookViewId="0">
      <selection sqref="A1:XFD1048576"/>
    </sheetView>
  </sheetViews>
  <sheetFormatPr defaultRowHeight="15" x14ac:dyDescent="0.25"/>
  <sheetData>
    <row r="2" spans="1:17" x14ac:dyDescent="0.25">
      <c r="A2" t="s">
        <v>29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</row>
    <row r="3" spans="1:17" x14ac:dyDescent="0.25">
      <c r="A3" t="s">
        <v>46</v>
      </c>
      <c r="B3" t="s">
        <v>47</v>
      </c>
      <c r="C3" t="s">
        <v>47</v>
      </c>
      <c r="D3" t="s">
        <v>47</v>
      </c>
      <c r="E3" t="s">
        <v>48</v>
      </c>
      <c r="F3" t="s">
        <v>47</v>
      </c>
      <c r="G3" t="s">
        <v>47</v>
      </c>
      <c r="H3" t="s">
        <v>47</v>
      </c>
      <c r="I3" t="s">
        <v>47</v>
      </c>
      <c r="J3" t="s">
        <v>47</v>
      </c>
      <c r="K3" t="s">
        <v>47</v>
      </c>
      <c r="L3" t="s">
        <v>47</v>
      </c>
      <c r="M3" t="s">
        <v>47</v>
      </c>
      <c r="N3" t="s">
        <v>47</v>
      </c>
      <c r="O3" t="s">
        <v>47</v>
      </c>
      <c r="P3" t="s">
        <v>47</v>
      </c>
      <c r="Q3" t="s">
        <v>47</v>
      </c>
    </row>
    <row r="4" spans="1:17" x14ac:dyDescent="0.25">
      <c r="A4" t="s">
        <v>49</v>
      </c>
      <c r="B4" t="s">
        <v>50</v>
      </c>
      <c r="C4" t="s">
        <v>47</v>
      </c>
      <c r="D4" t="s">
        <v>47</v>
      </c>
      <c r="E4" t="s">
        <v>51</v>
      </c>
      <c r="F4">
        <v>63086.614398199999</v>
      </c>
      <c r="G4">
        <v>64152.679203200001</v>
      </c>
      <c r="H4">
        <v>69218.333553999997</v>
      </c>
      <c r="I4">
        <v>65935.777257399997</v>
      </c>
      <c r="J4">
        <v>66745.474788100008</v>
      </c>
      <c r="K4">
        <v>65556.1584783</v>
      </c>
      <c r="L4">
        <v>70135.590173999997</v>
      </c>
      <c r="M4">
        <v>65907.573663499992</v>
      </c>
      <c r="N4">
        <v>67747.602970399996</v>
      </c>
      <c r="O4">
        <v>66469.051619799997</v>
      </c>
      <c r="P4">
        <v>71839.888519000015</v>
      </c>
      <c r="Q4">
        <v>66352.303479299997</v>
      </c>
    </row>
    <row r="5" spans="1:17" x14ac:dyDescent="0.25">
      <c r="A5" t="s">
        <v>52</v>
      </c>
      <c r="B5" t="s">
        <v>53</v>
      </c>
      <c r="C5" t="s">
        <v>54</v>
      </c>
      <c r="D5" t="s">
        <v>55</v>
      </c>
      <c r="E5" t="s">
        <v>56</v>
      </c>
      <c r="F5">
        <v>9356.7870000000003</v>
      </c>
      <c r="G5">
        <v>9640.9060000000009</v>
      </c>
      <c r="H5">
        <v>9884.3130000000001</v>
      </c>
      <c r="I5">
        <v>9909.2379999999994</v>
      </c>
      <c r="J5">
        <v>10694.995999999999</v>
      </c>
      <c r="K5">
        <v>10503.986999999999</v>
      </c>
      <c r="L5">
        <v>10605.546</v>
      </c>
      <c r="M5">
        <v>10454.129000000001</v>
      </c>
      <c r="N5">
        <v>11099.688</v>
      </c>
      <c r="O5">
        <v>11055.65</v>
      </c>
      <c r="P5">
        <v>11358.958000000001</v>
      </c>
      <c r="Q5">
        <v>11141.504999999999</v>
      </c>
    </row>
    <row r="6" spans="1:17" x14ac:dyDescent="0.25">
      <c r="A6" t="s">
        <v>57</v>
      </c>
      <c r="B6" t="s">
        <v>58</v>
      </c>
      <c r="C6" t="s">
        <v>54</v>
      </c>
      <c r="D6" t="s">
        <v>55</v>
      </c>
      <c r="E6" t="s">
        <v>56</v>
      </c>
      <c r="F6">
        <v>966.69500000000005</v>
      </c>
      <c r="G6">
        <v>979.72400000000005</v>
      </c>
      <c r="H6">
        <v>977.71100000000001</v>
      </c>
      <c r="I6">
        <v>992.34</v>
      </c>
      <c r="J6">
        <v>1002.198</v>
      </c>
      <c r="K6">
        <v>1002.588</v>
      </c>
      <c r="L6">
        <v>1012.0549999999999</v>
      </c>
      <c r="M6">
        <v>1019.657</v>
      </c>
      <c r="N6">
        <v>1024.704</v>
      </c>
      <c r="O6">
        <v>1030.2529999999999</v>
      </c>
      <c r="P6">
        <v>1041.9570000000001</v>
      </c>
      <c r="Q6">
        <v>1047.933</v>
      </c>
    </row>
    <row r="7" spans="1:17" x14ac:dyDescent="0.25">
      <c r="A7" t="s">
        <v>59</v>
      </c>
      <c r="B7" t="s">
        <v>60</v>
      </c>
      <c r="C7" t="s">
        <v>54</v>
      </c>
      <c r="D7" t="s">
        <v>55</v>
      </c>
      <c r="E7" t="s">
        <v>56</v>
      </c>
      <c r="F7">
        <v>3188.6062710000001</v>
      </c>
      <c r="G7">
        <v>3384.958482</v>
      </c>
      <c r="H7">
        <v>3978.3979250000002</v>
      </c>
      <c r="I7">
        <v>3619.3021520000002</v>
      </c>
      <c r="J7">
        <v>2737.2684170000002</v>
      </c>
      <c r="K7">
        <v>3353.7181890000002</v>
      </c>
      <c r="L7">
        <v>3843.1831080000002</v>
      </c>
      <c r="M7">
        <v>3200.30375</v>
      </c>
      <c r="N7">
        <v>3287.5849520000002</v>
      </c>
      <c r="O7">
        <v>3080.310215</v>
      </c>
      <c r="P7">
        <v>3403.6452800000002</v>
      </c>
      <c r="Q7">
        <v>3124.4922379999998</v>
      </c>
    </row>
    <row r="8" spans="1:17" x14ac:dyDescent="0.25">
      <c r="A8" t="s">
        <v>61</v>
      </c>
      <c r="B8" t="s">
        <v>62</v>
      </c>
      <c r="C8" t="s">
        <v>54</v>
      </c>
      <c r="D8" t="s">
        <v>55</v>
      </c>
      <c r="E8" t="s">
        <v>56</v>
      </c>
      <c r="F8">
        <v>3568.4644069999999</v>
      </c>
      <c r="G8">
        <v>3578.821081</v>
      </c>
      <c r="H8">
        <v>3826.4697620000002</v>
      </c>
      <c r="I8">
        <v>3874.926888</v>
      </c>
      <c r="J8">
        <v>3950.917915</v>
      </c>
      <c r="K8">
        <v>3753.745602</v>
      </c>
      <c r="L8">
        <v>3996.0888490000002</v>
      </c>
      <c r="M8">
        <v>3907.8229959999999</v>
      </c>
      <c r="N8">
        <v>4006.6739360000001</v>
      </c>
      <c r="O8">
        <v>3856.503909</v>
      </c>
      <c r="P8">
        <v>4041.4135569999999</v>
      </c>
      <c r="Q8">
        <v>3910.5765580000002</v>
      </c>
    </row>
    <row r="9" spans="1:17" x14ac:dyDescent="0.25">
      <c r="A9" t="s">
        <v>63</v>
      </c>
      <c r="B9" t="s">
        <v>64</v>
      </c>
      <c r="C9" t="s">
        <v>54</v>
      </c>
      <c r="D9" t="s">
        <v>55</v>
      </c>
      <c r="E9" t="s">
        <v>56</v>
      </c>
      <c r="F9">
        <v>2109.3630290000001</v>
      </c>
      <c r="G9">
        <v>2081.1847899999998</v>
      </c>
      <c r="H9">
        <v>2216.2137320000002</v>
      </c>
      <c r="I9">
        <v>2332.9850280000001</v>
      </c>
      <c r="J9">
        <v>2278.661294</v>
      </c>
      <c r="K9">
        <v>2141.1609079999998</v>
      </c>
      <c r="L9">
        <v>2243.591238</v>
      </c>
      <c r="M9">
        <v>2307.3579129999998</v>
      </c>
      <c r="N9">
        <v>2331.9430149999998</v>
      </c>
      <c r="O9">
        <v>2241.2733659999999</v>
      </c>
      <c r="P9">
        <v>2314.7656790000001</v>
      </c>
      <c r="Q9">
        <v>2332.1932740000002</v>
      </c>
    </row>
    <row r="10" spans="1:17" x14ac:dyDescent="0.25">
      <c r="A10" t="s">
        <v>65</v>
      </c>
      <c r="B10" t="s">
        <v>66</v>
      </c>
      <c r="C10" t="s">
        <v>54</v>
      </c>
      <c r="D10" t="s">
        <v>55</v>
      </c>
      <c r="E10" t="s">
        <v>56</v>
      </c>
      <c r="F10">
        <v>3670</v>
      </c>
      <c r="G10">
        <v>3766</v>
      </c>
      <c r="H10">
        <v>3828</v>
      </c>
      <c r="I10">
        <v>3912</v>
      </c>
      <c r="J10">
        <v>4006</v>
      </c>
      <c r="K10">
        <v>4078</v>
      </c>
      <c r="L10">
        <v>4129</v>
      </c>
      <c r="M10">
        <v>4110</v>
      </c>
      <c r="N10">
        <v>4141</v>
      </c>
      <c r="O10">
        <v>4248</v>
      </c>
      <c r="P10">
        <v>4284</v>
      </c>
      <c r="Q10">
        <v>4225</v>
      </c>
    </row>
    <row r="11" spans="1:17" x14ac:dyDescent="0.25">
      <c r="A11" t="s">
        <v>67</v>
      </c>
      <c r="B11" t="s">
        <v>68</v>
      </c>
      <c r="C11" t="s">
        <v>54</v>
      </c>
      <c r="D11" t="s">
        <v>55</v>
      </c>
      <c r="E11" t="s">
        <v>56</v>
      </c>
      <c r="F11">
        <v>1496</v>
      </c>
      <c r="G11">
        <v>1480</v>
      </c>
      <c r="H11">
        <v>1493</v>
      </c>
      <c r="I11">
        <v>1420</v>
      </c>
      <c r="J11">
        <v>1387</v>
      </c>
      <c r="K11">
        <v>1304</v>
      </c>
      <c r="L11">
        <v>1282</v>
      </c>
      <c r="M11">
        <v>1158</v>
      </c>
      <c r="N11">
        <v>1112</v>
      </c>
      <c r="O11">
        <v>1098</v>
      </c>
      <c r="P11">
        <v>1099</v>
      </c>
      <c r="Q11">
        <v>1051</v>
      </c>
    </row>
    <row r="12" spans="1:17" x14ac:dyDescent="0.25">
      <c r="A12" t="s">
        <v>69</v>
      </c>
      <c r="B12" t="s">
        <v>70</v>
      </c>
      <c r="C12" t="s">
        <v>54</v>
      </c>
      <c r="D12" t="s">
        <v>55</v>
      </c>
      <c r="E12" t="s">
        <v>56</v>
      </c>
      <c r="F12">
        <v>5236</v>
      </c>
      <c r="G12">
        <v>5453</v>
      </c>
      <c r="H12">
        <v>5460</v>
      </c>
      <c r="I12">
        <v>5584</v>
      </c>
      <c r="J12">
        <v>5282</v>
      </c>
      <c r="K12">
        <v>5013</v>
      </c>
      <c r="L12">
        <v>5178</v>
      </c>
      <c r="M12">
        <v>5280</v>
      </c>
      <c r="N12">
        <v>4890</v>
      </c>
      <c r="O12">
        <v>4851</v>
      </c>
      <c r="P12">
        <v>5021</v>
      </c>
      <c r="Q12">
        <v>4815</v>
      </c>
    </row>
    <row r="13" spans="1:17" x14ac:dyDescent="0.25">
      <c r="A13" t="s">
        <v>71</v>
      </c>
      <c r="B13" t="s">
        <v>72</v>
      </c>
      <c r="C13" t="s">
        <v>54</v>
      </c>
      <c r="D13" t="s">
        <v>55</v>
      </c>
      <c r="E13" t="s">
        <v>56</v>
      </c>
      <c r="F13">
        <v>348.97699999999998</v>
      </c>
      <c r="G13">
        <v>377.52300000000002</v>
      </c>
      <c r="H13">
        <v>399.29700000000003</v>
      </c>
      <c r="I13">
        <v>424.14800000000002</v>
      </c>
      <c r="J13">
        <v>445.64699999999999</v>
      </c>
      <c r="K13">
        <v>468.18599999999998</v>
      </c>
      <c r="L13">
        <v>504.93099999999998</v>
      </c>
      <c r="M13">
        <v>521.33299999999997</v>
      </c>
      <c r="N13">
        <v>551.58699999999999</v>
      </c>
      <c r="O13">
        <v>588.10299999999995</v>
      </c>
      <c r="P13">
        <v>632.77499999999998</v>
      </c>
      <c r="Q13">
        <v>651.35900000000004</v>
      </c>
    </row>
    <row r="14" spans="1:17" x14ac:dyDescent="0.25">
      <c r="A14" t="s">
        <v>73</v>
      </c>
      <c r="B14" t="s">
        <v>74</v>
      </c>
      <c r="C14" t="s">
        <v>54</v>
      </c>
      <c r="D14" t="s">
        <v>55</v>
      </c>
      <c r="E14" t="s">
        <v>56</v>
      </c>
      <c r="F14">
        <v>670.697</v>
      </c>
      <c r="G14">
        <v>708.82399999999996</v>
      </c>
      <c r="H14">
        <v>734.41300000000001</v>
      </c>
      <c r="I14">
        <v>688.91200000000003</v>
      </c>
      <c r="J14">
        <v>728.56100000000004</v>
      </c>
      <c r="K14">
        <v>747.97799999999995</v>
      </c>
      <c r="L14">
        <v>835.33900000000006</v>
      </c>
      <c r="M14">
        <v>809.20600000000002</v>
      </c>
      <c r="N14">
        <v>881.79899999999998</v>
      </c>
      <c r="O14">
        <v>888.79899999999998</v>
      </c>
      <c r="P14">
        <v>940.73900000000003</v>
      </c>
      <c r="Q14">
        <v>923.19200000000001</v>
      </c>
    </row>
    <row r="15" spans="1:17" x14ac:dyDescent="0.25">
      <c r="A15" t="s">
        <v>75</v>
      </c>
      <c r="B15" t="s">
        <v>76</v>
      </c>
      <c r="C15" t="s">
        <v>54</v>
      </c>
      <c r="D15" t="s">
        <v>55</v>
      </c>
      <c r="E15" t="s">
        <v>56</v>
      </c>
      <c r="F15">
        <v>1884.2</v>
      </c>
      <c r="G15">
        <v>1928</v>
      </c>
      <c r="H15">
        <v>1987.5</v>
      </c>
      <c r="I15">
        <v>2047.1011940000001</v>
      </c>
      <c r="J15">
        <v>2054.5</v>
      </c>
      <c r="K15">
        <v>2098.6</v>
      </c>
      <c r="L15">
        <v>2201.5</v>
      </c>
      <c r="M15">
        <v>2277.8000000000002</v>
      </c>
      <c r="N15">
        <v>2363.6</v>
      </c>
      <c r="O15">
        <v>2485.6</v>
      </c>
      <c r="P15">
        <v>2543.4</v>
      </c>
      <c r="Q15">
        <v>2543.4</v>
      </c>
    </row>
    <row r="16" spans="1:17" x14ac:dyDescent="0.25">
      <c r="A16" t="s">
        <v>77</v>
      </c>
      <c r="B16" t="s">
        <v>78</v>
      </c>
      <c r="C16" t="s">
        <v>54</v>
      </c>
      <c r="D16" t="s">
        <v>55</v>
      </c>
      <c r="E16" t="s">
        <v>56</v>
      </c>
      <c r="F16">
        <v>815.44201220000002</v>
      </c>
      <c r="G16">
        <v>865.56713420000005</v>
      </c>
      <c r="H16">
        <v>1054.380269</v>
      </c>
      <c r="I16">
        <v>877.11237540000002</v>
      </c>
      <c r="J16">
        <v>893.32352309999999</v>
      </c>
      <c r="K16">
        <v>826.3356953</v>
      </c>
      <c r="L16">
        <v>1061.251426</v>
      </c>
      <c r="M16">
        <v>835.39511649999997</v>
      </c>
      <c r="N16">
        <v>910.83406239999999</v>
      </c>
      <c r="O16">
        <v>824.34439080000004</v>
      </c>
      <c r="P16">
        <v>1014.714794</v>
      </c>
      <c r="Q16">
        <v>810.44962729999997</v>
      </c>
    </row>
    <row r="17" spans="1:17" x14ac:dyDescent="0.25">
      <c r="A17" t="s">
        <v>79</v>
      </c>
      <c r="B17" t="s">
        <v>80</v>
      </c>
      <c r="C17" t="s">
        <v>54</v>
      </c>
      <c r="D17" t="s">
        <v>55</v>
      </c>
      <c r="E17" t="s">
        <v>56</v>
      </c>
      <c r="F17">
        <v>2648.259697</v>
      </c>
      <c r="G17">
        <v>2732.7473340000001</v>
      </c>
      <c r="H17">
        <v>2748.8053</v>
      </c>
      <c r="I17">
        <v>2809.0553110000001</v>
      </c>
      <c r="J17">
        <v>2852.7518420000001</v>
      </c>
      <c r="K17">
        <v>2941.5199309999998</v>
      </c>
      <c r="L17">
        <v>2969.9646299999999</v>
      </c>
      <c r="M17">
        <v>3057.2499299999999</v>
      </c>
      <c r="N17">
        <v>3135.351823</v>
      </c>
      <c r="O17">
        <v>3215.798104</v>
      </c>
      <c r="P17">
        <v>3242.468218</v>
      </c>
      <c r="Q17">
        <v>3211.9106539999998</v>
      </c>
    </row>
    <row r="18" spans="1:17" x14ac:dyDescent="0.25">
      <c r="A18" t="s">
        <v>81</v>
      </c>
      <c r="B18" t="s">
        <v>82</v>
      </c>
      <c r="C18" t="s">
        <v>54</v>
      </c>
      <c r="D18" t="s">
        <v>55</v>
      </c>
      <c r="E18" t="s">
        <v>56</v>
      </c>
      <c r="F18">
        <v>19289</v>
      </c>
      <c r="G18">
        <v>19153</v>
      </c>
      <c r="H18">
        <v>22543</v>
      </c>
      <c r="I18">
        <v>19072</v>
      </c>
      <c r="J18">
        <v>20003</v>
      </c>
      <c r="K18">
        <v>18756</v>
      </c>
      <c r="L18">
        <v>21760</v>
      </c>
      <c r="M18">
        <v>18182</v>
      </c>
      <c r="N18">
        <v>19161</v>
      </c>
      <c r="O18">
        <v>18028</v>
      </c>
      <c r="P18">
        <v>21777</v>
      </c>
      <c r="Q18">
        <v>17571</v>
      </c>
    </row>
    <row r="19" spans="1:17" x14ac:dyDescent="0.25">
      <c r="A19" t="s">
        <v>83</v>
      </c>
      <c r="B19" t="s">
        <v>84</v>
      </c>
      <c r="C19" t="s">
        <v>54</v>
      </c>
      <c r="D19" t="s">
        <v>55</v>
      </c>
      <c r="E19" t="s">
        <v>56</v>
      </c>
      <c r="F19">
        <v>4587.5462509999998</v>
      </c>
      <c r="G19">
        <v>4751.0011000000004</v>
      </c>
      <c r="H19">
        <v>4774.029391</v>
      </c>
      <c r="I19">
        <v>4982.6051589999997</v>
      </c>
      <c r="J19">
        <v>5109.688983</v>
      </c>
      <c r="K19">
        <v>5260.1666999999998</v>
      </c>
      <c r="L19">
        <v>5181.894362</v>
      </c>
      <c r="M19">
        <v>5395.1469360000001</v>
      </c>
      <c r="N19">
        <v>5489.274402</v>
      </c>
      <c r="O19">
        <v>5539.0058200000003</v>
      </c>
      <c r="P19">
        <v>5596.1081059999997</v>
      </c>
      <c r="Q19">
        <v>5514.3758529999996</v>
      </c>
    </row>
    <row r="20" spans="1:17" x14ac:dyDescent="0.25">
      <c r="A20" t="s">
        <v>85</v>
      </c>
      <c r="B20" t="s">
        <v>86</v>
      </c>
      <c r="C20" t="s">
        <v>54</v>
      </c>
      <c r="D20" t="s">
        <v>55</v>
      </c>
      <c r="E20" t="s">
        <v>56</v>
      </c>
      <c r="F20">
        <v>1137.5979600000001</v>
      </c>
      <c r="G20">
        <v>1183.259217</v>
      </c>
      <c r="H20">
        <v>1201.2251349999999</v>
      </c>
      <c r="I20">
        <v>1251.204778</v>
      </c>
      <c r="J20">
        <v>1234.325231</v>
      </c>
      <c r="K20">
        <v>1231.7373849999999</v>
      </c>
      <c r="L20">
        <v>1241.23704</v>
      </c>
      <c r="M20">
        <v>1262.1748250000001</v>
      </c>
      <c r="N20">
        <v>1244.333318</v>
      </c>
      <c r="O20">
        <v>1288.917872</v>
      </c>
      <c r="P20">
        <v>1355.6502519999999</v>
      </c>
      <c r="Q20">
        <v>1310.079369</v>
      </c>
    </row>
    <row r="21" spans="1:17" x14ac:dyDescent="0.25">
      <c r="A21" t="s">
        <v>87</v>
      </c>
      <c r="B21" t="s">
        <v>88</v>
      </c>
      <c r="C21" t="s">
        <v>54</v>
      </c>
      <c r="D21" t="s">
        <v>55</v>
      </c>
      <c r="E21" t="s">
        <v>56</v>
      </c>
      <c r="F21">
        <v>2112.9787710000001</v>
      </c>
      <c r="G21">
        <v>2088.1630650000002</v>
      </c>
      <c r="H21">
        <v>2111.5780399999999</v>
      </c>
      <c r="I21">
        <v>2138.846372</v>
      </c>
      <c r="J21">
        <v>2084.6355830000002</v>
      </c>
      <c r="K21">
        <v>2075.4350679999998</v>
      </c>
      <c r="L21">
        <v>2090.0085210000002</v>
      </c>
      <c r="M21">
        <v>2129.9971970000001</v>
      </c>
      <c r="N21">
        <v>2116.2294619999998</v>
      </c>
      <c r="O21">
        <v>2149.4929430000002</v>
      </c>
      <c r="P21">
        <v>2172.2936330000002</v>
      </c>
      <c r="Q21">
        <v>2168.836906</v>
      </c>
    </row>
    <row r="22" spans="1:17" x14ac:dyDescent="0.25">
      <c r="A22" t="s">
        <v>0</v>
      </c>
      <c r="B22" t="s">
        <v>50</v>
      </c>
      <c r="C22" t="s">
        <v>47</v>
      </c>
      <c r="D22" t="s">
        <v>47</v>
      </c>
      <c r="E22" t="s">
        <v>51</v>
      </c>
      <c r="F22">
        <v>19583.0913927</v>
      </c>
      <c r="G22">
        <v>20302.8509849</v>
      </c>
      <c r="H22">
        <v>22713.867099499996</v>
      </c>
      <c r="I22">
        <v>19230.937822</v>
      </c>
      <c r="J22">
        <v>21390.540375199998</v>
      </c>
      <c r="K22">
        <v>21227.188045599996</v>
      </c>
      <c r="L22">
        <v>23101.705328799999</v>
      </c>
      <c r="M22">
        <v>20186.531719999999</v>
      </c>
      <c r="N22">
        <v>21413.771786099998</v>
      </c>
      <c r="O22">
        <v>20849.957725</v>
      </c>
      <c r="P22">
        <v>23981.744383999998</v>
      </c>
      <c r="Q22">
        <v>20293.297756399999</v>
      </c>
    </row>
    <row r="23" spans="1:17" x14ac:dyDescent="0.25">
      <c r="A23" t="s">
        <v>52</v>
      </c>
      <c r="B23" t="s">
        <v>53</v>
      </c>
      <c r="C23" t="s">
        <v>89</v>
      </c>
      <c r="D23" t="s">
        <v>90</v>
      </c>
      <c r="E23" t="s">
        <v>56</v>
      </c>
      <c r="F23">
        <v>2909.6309999999999</v>
      </c>
      <c r="G23">
        <v>2886.6729999999998</v>
      </c>
      <c r="H23">
        <v>3064.1529999999998</v>
      </c>
      <c r="I23">
        <v>2859.54</v>
      </c>
      <c r="J23">
        <v>3332.0149999999999</v>
      </c>
      <c r="K23">
        <v>3237.6559999999999</v>
      </c>
      <c r="L23">
        <v>3297.4250000000002</v>
      </c>
      <c r="M23">
        <v>3054.3490000000002</v>
      </c>
      <c r="N23">
        <v>3528.2979999999998</v>
      </c>
      <c r="O23">
        <v>3434.616</v>
      </c>
      <c r="P23">
        <v>3647.759</v>
      </c>
      <c r="Q23">
        <v>3359.1709999999998</v>
      </c>
    </row>
    <row r="24" spans="1:17" x14ac:dyDescent="0.25">
      <c r="A24" t="s">
        <v>57</v>
      </c>
      <c r="B24" t="s">
        <v>58</v>
      </c>
      <c r="C24" t="s">
        <v>89</v>
      </c>
      <c r="D24" t="s">
        <v>90</v>
      </c>
      <c r="E24" t="s">
        <v>56</v>
      </c>
      <c r="F24">
        <v>338.05500000000001</v>
      </c>
      <c r="G24">
        <v>343.279</v>
      </c>
      <c r="H24">
        <v>334.51400000000001</v>
      </c>
      <c r="I24">
        <v>345.75299999999999</v>
      </c>
      <c r="J24">
        <v>351.62900000000002</v>
      </c>
      <c r="K24">
        <v>347.66500000000002</v>
      </c>
      <c r="L24">
        <v>349.48700000000002</v>
      </c>
      <c r="M24">
        <v>361.04399999999998</v>
      </c>
      <c r="N24">
        <v>359.84199999999998</v>
      </c>
      <c r="O24">
        <v>363.12400000000002</v>
      </c>
      <c r="P24">
        <v>355.64499999999998</v>
      </c>
      <c r="Q24">
        <v>363.96300000000002</v>
      </c>
    </row>
    <row r="25" spans="1:17" x14ac:dyDescent="0.25">
      <c r="A25" t="s">
        <v>59</v>
      </c>
      <c r="B25" t="s">
        <v>60</v>
      </c>
      <c r="C25" t="s">
        <v>89</v>
      </c>
      <c r="D25" t="s">
        <v>90</v>
      </c>
      <c r="E25" t="s">
        <v>56</v>
      </c>
      <c r="F25" t="s">
        <v>47</v>
      </c>
      <c r="G25" t="s">
        <v>47</v>
      </c>
      <c r="H25" t="s">
        <v>47</v>
      </c>
      <c r="I25" t="s">
        <v>47</v>
      </c>
      <c r="J25" t="s">
        <v>47</v>
      </c>
      <c r="K25" t="s">
        <v>47</v>
      </c>
      <c r="L25" t="s">
        <v>47</v>
      </c>
      <c r="M25" t="s">
        <v>47</v>
      </c>
      <c r="N25" t="s">
        <v>47</v>
      </c>
      <c r="O25" t="s">
        <v>47</v>
      </c>
      <c r="P25" t="s">
        <v>47</v>
      </c>
      <c r="Q25" t="s">
        <v>47</v>
      </c>
    </row>
    <row r="26" spans="1:17" x14ac:dyDescent="0.25">
      <c r="A26" t="s">
        <v>61</v>
      </c>
      <c r="B26" t="s">
        <v>62</v>
      </c>
      <c r="C26" t="s">
        <v>89</v>
      </c>
      <c r="D26" t="s">
        <v>90</v>
      </c>
      <c r="E26" t="s">
        <v>56</v>
      </c>
      <c r="F26" t="s">
        <v>47</v>
      </c>
      <c r="G26" t="s">
        <v>47</v>
      </c>
      <c r="H26" t="s">
        <v>47</v>
      </c>
      <c r="I26" t="s">
        <v>47</v>
      </c>
      <c r="J26" t="s">
        <v>47</v>
      </c>
      <c r="K26" t="s">
        <v>47</v>
      </c>
      <c r="L26" t="s">
        <v>47</v>
      </c>
      <c r="M26" t="s">
        <v>47</v>
      </c>
      <c r="N26" t="s">
        <v>47</v>
      </c>
      <c r="O26" t="s">
        <v>47</v>
      </c>
      <c r="P26" t="s">
        <v>47</v>
      </c>
      <c r="Q26" t="s">
        <v>47</v>
      </c>
    </row>
    <row r="27" spans="1:17" x14ac:dyDescent="0.25">
      <c r="A27" t="s">
        <v>63</v>
      </c>
      <c r="B27" t="s">
        <v>64</v>
      </c>
      <c r="C27" t="s">
        <v>89</v>
      </c>
      <c r="D27" t="s">
        <v>90</v>
      </c>
      <c r="E27" t="s">
        <v>56</v>
      </c>
      <c r="F27">
        <v>297.40814360000002</v>
      </c>
      <c r="G27">
        <v>313.55274050000003</v>
      </c>
      <c r="H27">
        <v>319.63052909999999</v>
      </c>
      <c r="I27">
        <v>335.57726960000002</v>
      </c>
      <c r="J27">
        <v>338.620069</v>
      </c>
      <c r="K27">
        <v>334.60496849999998</v>
      </c>
      <c r="L27">
        <v>330.91075699999999</v>
      </c>
      <c r="M27">
        <v>343.95636610000003</v>
      </c>
      <c r="N27">
        <v>355.37162430000001</v>
      </c>
      <c r="O27">
        <v>346.31609250000002</v>
      </c>
      <c r="P27">
        <v>359.91563250000002</v>
      </c>
      <c r="Q27">
        <v>361.64946079999999</v>
      </c>
    </row>
    <row r="28" spans="1:17" x14ac:dyDescent="0.25">
      <c r="A28" t="s">
        <v>65</v>
      </c>
      <c r="B28" t="s">
        <v>66</v>
      </c>
      <c r="C28" t="s">
        <v>89</v>
      </c>
      <c r="D28" t="s">
        <v>90</v>
      </c>
      <c r="E28" t="s">
        <v>56</v>
      </c>
      <c r="F28">
        <v>1409</v>
      </c>
      <c r="G28">
        <v>1429</v>
      </c>
      <c r="H28">
        <v>1468</v>
      </c>
      <c r="I28">
        <v>1511</v>
      </c>
      <c r="J28">
        <v>1589</v>
      </c>
      <c r="K28">
        <v>1598</v>
      </c>
      <c r="L28">
        <v>1589</v>
      </c>
      <c r="M28">
        <v>1535</v>
      </c>
      <c r="N28">
        <v>1512</v>
      </c>
      <c r="O28">
        <v>1567</v>
      </c>
      <c r="P28">
        <v>1535</v>
      </c>
      <c r="Q28">
        <v>1478</v>
      </c>
    </row>
    <row r="29" spans="1:17" x14ac:dyDescent="0.25">
      <c r="A29" t="s">
        <v>67</v>
      </c>
      <c r="B29" t="s">
        <v>68</v>
      </c>
      <c r="C29" t="s">
        <v>89</v>
      </c>
      <c r="D29" t="s">
        <v>90</v>
      </c>
      <c r="E29" t="s">
        <v>56</v>
      </c>
      <c r="F29">
        <v>243</v>
      </c>
      <c r="G29">
        <v>261</v>
      </c>
      <c r="H29">
        <v>339</v>
      </c>
      <c r="I29">
        <v>305</v>
      </c>
      <c r="J29">
        <v>314</v>
      </c>
      <c r="K29">
        <v>299</v>
      </c>
      <c r="L29">
        <v>293</v>
      </c>
      <c r="M29">
        <v>252</v>
      </c>
      <c r="N29">
        <v>233</v>
      </c>
      <c r="O29">
        <v>239</v>
      </c>
      <c r="P29">
        <v>249</v>
      </c>
      <c r="Q29">
        <v>219</v>
      </c>
    </row>
    <row r="30" spans="1:17" x14ac:dyDescent="0.25">
      <c r="A30" t="s">
        <v>69</v>
      </c>
      <c r="B30" t="s">
        <v>70</v>
      </c>
      <c r="C30" t="s">
        <v>89</v>
      </c>
      <c r="D30" t="s">
        <v>90</v>
      </c>
      <c r="E30" t="s">
        <v>56</v>
      </c>
      <c r="F30">
        <v>927</v>
      </c>
      <c r="G30">
        <v>1583</v>
      </c>
      <c r="H30">
        <v>1409</v>
      </c>
      <c r="I30">
        <v>1497</v>
      </c>
      <c r="J30">
        <v>1415</v>
      </c>
      <c r="K30">
        <v>1495</v>
      </c>
      <c r="L30">
        <v>1453</v>
      </c>
      <c r="M30">
        <v>1444</v>
      </c>
      <c r="N30">
        <v>1268</v>
      </c>
      <c r="O30">
        <v>1172</v>
      </c>
      <c r="P30">
        <v>1194</v>
      </c>
      <c r="Q30">
        <v>1042</v>
      </c>
    </row>
    <row r="31" spans="1:17" x14ac:dyDescent="0.25">
      <c r="A31" t="s">
        <v>71</v>
      </c>
      <c r="B31" t="s">
        <v>72</v>
      </c>
      <c r="C31" t="s">
        <v>89</v>
      </c>
      <c r="D31" t="s">
        <v>90</v>
      </c>
      <c r="E31" t="s">
        <v>56</v>
      </c>
      <c r="F31">
        <v>128.845</v>
      </c>
      <c r="G31">
        <v>138.154</v>
      </c>
      <c r="H31">
        <v>145.17599999999999</v>
      </c>
      <c r="I31">
        <v>146.51400000000001</v>
      </c>
      <c r="J31">
        <v>156.47200000000001</v>
      </c>
      <c r="K31">
        <v>167.10499999999999</v>
      </c>
      <c r="L31">
        <v>185.9</v>
      </c>
      <c r="M31">
        <v>176.64400000000001</v>
      </c>
      <c r="N31">
        <v>195.672</v>
      </c>
      <c r="O31">
        <v>210.578</v>
      </c>
      <c r="P31">
        <v>222.70599999999999</v>
      </c>
      <c r="Q31">
        <v>227.55699999999999</v>
      </c>
    </row>
    <row r="32" spans="1:17" x14ac:dyDescent="0.25">
      <c r="A32" t="s">
        <v>73</v>
      </c>
      <c r="B32" t="s">
        <v>74</v>
      </c>
      <c r="C32" t="s">
        <v>89</v>
      </c>
      <c r="D32" t="s">
        <v>90</v>
      </c>
      <c r="E32" t="s">
        <v>56</v>
      </c>
      <c r="F32">
        <v>256.18900000000002</v>
      </c>
      <c r="G32">
        <v>280.03399999999999</v>
      </c>
      <c r="H32">
        <v>279.61</v>
      </c>
      <c r="I32">
        <v>244.58799999999999</v>
      </c>
      <c r="J32">
        <v>265.66300000000001</v>
      </c>
      <c r="K32">
        <v>266.56599999999997</v>
      </c>
      <c r="L32">
        <v>302.20499999999998</v>
      </c>
      <c r="M32">
        <v>290.06900000000002</v>
      </c>
      <c r="N32">
        <v>310.55500000000001</v>
      </c>
      <c r="O32">
        <v>315.14</v>
      </c>
      <c r="P32">
        <v>310.09100000000001</v>
      </c>
      <c r="Q32">
        <v>318.42099999999999</v>
      </c>
    </row>
    <row r="33" spans="1:17" x14ac:dyDescent="0.25">
      <c r="A33" t="s">
        <v>75</v>
      </c>
      <c r="B33" t="s">
        <v>76</v>
      </c>
      <c r="C33" t="s">
        <v>89</v>
      </c>
      <c r="D33" t="s">
        <v>90</v>
      </c>
      <c r="E33" t="s">
        <v>56</v>
      </c>
      <c r="F33">
        <v>634.6</v>
      </c>
      <c r="G33">
        <v>655.4</v>
      </c>
      <c r="H33">
        <v>682.1</v>
      </c>
      <c r="I33" t="s">
        <v>47</v>
      </c>
      <c r="J33">
        <v>706.5</v>
      </c>
      <c r="K33">
        <v>775.5</v>
      </c>
      <c r="L33">
        <v>776.5</v>
      </c>
      <c r="M33">
        <v>791.9</v>
      </c>
      <c r="N33">
        <v>792.3</v>
      </c>
      <c r="O33">
        <v>917.1</v>
      </c>
      <c r="P33">
        <v>976.7</v>
      </c>
      <c r="Q33">
        <v>1020.2</v>
      </c>
    </row>
    <row r="34" spans="1:17" x14ac:dyDescent="0.25">
      <c r="A34" t="s">
        <v>77</v>
      </c>
      <c r="B34" t="s">
        <v>78</v>
      </c>
      <c r="C34" t="s">
        <v>89</v>
      </c>
      <c r="D34" t="s">
        <v>90</v>
      </c>
      <c r="E34" t="s">
        <v>56</v>
      </c>
      <c r="F34" t="s">
        <v>47</v>
      </c>
      <c r="G34" t="s">
        <v>47</v>
      </c>
      <c r="H34" t="s">
        <v>47</v>
      </c>
      <c r="I34" t="s">
        <v>47</v>
      </c>
      <c r="J34" t="s">
        <v>47</v>
      </c>
      <c r="K34" t="s">
        <v>47</v>
      </c>
      <c r="L34" t="s">
        <v>47</v>
      </c>
      <c r="M34" t="s">
        <v>47</v>
      </c>
      <c r="N34" t="s">
        <v>47</v>
      </c>
      <c r="O34" t="s">
        <v>47</v>
      </c>
      <c r="P34" t="s">
        <v>47</v>
      </c>
      <c r="Q34" t="s">
        <v>47</v>
      </c>
    </row>
    <row r="35" spans="1:17" x14ac:dyDescent="0.25">
      <c r="A35" t="s">
        <v>79</v>
      </c>
      <c r="B35" t="s">
        <v>80</v>
      </c>
      <c r="C35" t="s">
        <v>89</v>
      </c>
      <c r="D35" t="s">
        <v>90</v>
      </c>
      <c r="E35" t="s">
        <v>56</v>
      </c>
      <c r="F35">
        <v>958.01314009999999</v>
      </c>
      <c r="G35">
        <v>986.25935530000004</v>
      </c>
      <c r="H35">
        <v>980.01690589999998</v>
      </c>
      <c r="I35">
        <v>1014.230057</v>
      </c>
      <c r="J35">
        <v>1020.118287</v>
      </c>
      <c r="K35">
        <v>1045.924501</v>
      </c>
      <c r="L35">
        <v>1024.7765810000001</v>
      </c>
      <c r="M35">
        <v>1029.918079</v>
      </c>
      <c r="N35">
        <v>1010.077109</v>
      </c>
      <c r="O35">
        <v>1072.927469</v>
      </c>
      <c r="P35">
        <v>1083.8650689999999</v>
      </c>
      <c r="Q35">
        <v>1072.063357</v>
      </c>
    </row>
    <row r="36" spans="1:17" x14ac:dyDescent="0.25">
      <c r="A36" t="s">
        <v>81</v>
      </c>
      <c r="B36" t="s">
        <v>82</v>
      </c>
      <c r="C36" t="s">
        <v>89</v>
      </c>
      <c r="D36" t="s">
        <v>90</v>
      </c>
      <c r="E36" t="s">
        <v>56</v>
      </c>
      <c r="F36">
        <v>8968</v>
      </c>
      <c r="G36">
        <v>8800</v>
      </c>
      <c r="H36">
        <v>11049</v>
      </c>
      <c r="I36">
        <v>8247</v>
      </c>
      <c r="J36">
        <v>9199</v>
      </c>
      <c r="K36">
        <v>8803</v>
      </c>
      <c r="L36">
        <v>10687</v>
      </c>
      <c r="M36">
        <v>8043</v>
      </c>
      <c r="N36">
        <v>9010</v>
      </c>
      <c r="O36">
        <v>8336</v>
      </c>
      <c r="P36">
        <v>11100</v>
      </c>
      <c r="Q36">
        <v>7922</v>
      </c>
    </row>
    <row r="37" spans="1:17" x14ac:dyDescent="0.25">
      <c r="A37" t="s">
        <v>83</v>
      </c>
      <c r="B37" t="s">
        <v>84</v>
      </c>
      <c r="C37" t="s">
        <v>89</v>
      </c>
      <c r="D37" t="s">
        <v>90</v>
      </c>
      <c r="E37" t="s">
        <v>56</v>
      </c>
      <c r="F37">
        <v>1906.256965</v>
      </c>
      <c r="G37">
        <v>2011.4090639999999</v>
      </c>
      <c r="H37">
        <v>2014.719497</v>
      </c>
      <c r="I37">
        <v>2105.0438819999999</v>
      </c>
      <c r="J37">
        <v>2114.5083450000002</v>
      </c>
      <c r="K37">
        <v>2234.2934150000001</v>
      </c>
      <c r="L37">
        <v>2165.4372950000002</v>
      </c>
      <c r="M37">
        <v>2252.5909459999998</v>
      </c>
      <c r="N37">
        <v>2221.910793</v>
      </c>
      <c r="O37">
        <v>2261.53215</v>
      </c>
      <c r="P37">
        <v>2314.7448720000002</v>
      </c>
      <c r="Q37">
        <v>2315.993684</v>
      </c>
    </row>
    <row r="38" spans="1:17" x14ac:dyDescent="0.25">
      <c r="A38" t="s">
        <v>85</v>
      </c>
      <c r="B38" t="s">
        <v>86</v>
      </c>
      <c r="C38" t="s">
        <v>89</v>
      </c>
      <c r="D38" t="s">
        <v>90</v>
      </c>
      <c r="E38" t="s">
        <v>56</v>
      </c>
      <c r="F38" t="s">
        <v>47</v>
      </c>
      <c r="G38" t="s">
        <v>47</v>
      </c>
      <c r="H38" t="s">
        <v>47</v>
      </c>
      <c r="I38" t="s">
        <v>47</v>
      </c>
      <c r="J38" t="s">
        <v>47</v>
      </c>
      <c r="K38" t="s">
        <v>47</v>
      </c>
      <c r="L38" t="s">
        <v>47</v>
      </c>
      <c r="M38" t="s">
        <v>47</v>
      </c>
      <c r="N38" t="s">
        <v>47</v>
      </c>
      <c r="O38" t="s">
        <v>47</v>
      </c>
      <c r="P38" t="s">
        <v>47</v>
      </c>
      <c r="Q38" t="s">
        <v>47</v>
      </c>
    </row>
    <row r="39" spans="1:17" x14ac:dyDescent="0.25">
      <c r="A39" t="s">
        <v>87</v>
      </c>
      <c r="B39" t="s">
        <v>88</v>
      </c>
      <c r="C39" t="s">
        <v>89</v>
      </c>
      <c r="D39" t="s">
        <v>90</v>
      </c>
      <c r="E39" t="s">
        <v>56</v>
      </c>
      <c r="F39">
        <v>607.09314400000005</v>
      </c>
      <c r="G39">
        <v>615.08982509999998</v>
      </c>
      <c r="H39">
        <v>628.94716749999998</v>
      </c>
      <c r="I39">
        <v>619.69161340000005</v>
      </c>
      <c r="J39">
        <v>588.01467419999994</v>
      </c>
      <c r="K39">
        <v>622.87316109999995</v>
      </c>
      <c r="L39">
        <v>647.0636958</v>
      </c>
      <c r="M39">
        <v>612.06032889999994</v>
      </c>
      <c r="N39">
        <v>616.74525979999999</v>
      </c>
      <c r="O39">
        <v>614.62401350000005</v>
      </c>
      <c r="P39">
        <v>632.31781049999995</v>
      </c>
      <c r="Q39">
        <v>593.27925459999994</v>
      </c>
    </row>
    <row r="40" spans="1:17" x14ac:dyDescent="0.25">
      <c r="A40" t="s">
        <v>91</v>
      </c>
      <c r="B40" t="s">
        <v>50</v>
      </c>
      <c r="C40" t="s">
        <v>47</v>
      </c>
      <c r="D40" t="s">
        <v>47</v>
      </c>
      <c r="E40" t="s">
        <v>51</v>
      </c>
      <c r="F40">
        <v>9597.4742789199991</v>
      </c>
      <c r="G40">
        <v>11411.211835909999</v>
      </c>
      <c r="H40">
        <v>13131.268641700002</v>
      </c>
      <c r="I40">
        <v>10170.122234679999</v>
      </c>
      <c r="J40">
        <v>12886.307394560001</v>
      </c>
      <c r="K40">
        <v>11725.54473962</v>
      </c>
      <c r="L40">
        <v>13591.663855300001</v>
      </c>
      <c r="M40">
        <v>11004.72682942</v>
      </c>
      <c r="N40">
        <v>10648.18945722</v>
      </c>
      <c r="O40">
        <v>9660.0515013599997</v>
      </c>
      <c r="P40">
        <v>14161.452780900001</v>
      </c>
      <c r="Q40">
        <v>6213.1338099400009</v>
      </c>
    </row>
    <row r="41" spans="1:17" x14ac:dyDescent="0.25">
      <c r="A41" t="s">
        <v>52</v>
      </c>
      <c r="B41" t="s">
        <v>53</v>
      </c>
      <c r="C41" t="s">
        <v>92</v>
      </c>
      <c r="D41" t="s">
        <v>91</v>
      </c>
      <c r="E41" t="s">
        <v>56</v>
      </c>
      <c r="F41">
        <v>1059.915</v>
      </c>
      <c r="G41">
        <v>1528.6310000000001</v>
      </c>
      <c r="H41">
        <v>1730.809</v>
      </c>
      <c r="I41">
        <v>1516.7080000000001</v>
      </c>
      <c r="J41">
        <v>1873.2639999999999</v>
      </c>
      <c r="K41">
        <v>1783.425</v>
      </c>
      <c r="L41">
        <v>1840.6969999999999</v>
      </c>
      <c r="M41">
        <v>1606.2239999999999</v>
      </c>
      <c r="N41">
        <v>1939.252</v>
      </c>
      <c r="O41">
        <v>1838.8240000000001</v>
      </c>
      <c r="P41">
        <v>2341.2649999999999</v>
      </c>
      <c r="Q41">
        <v>2110.0100000000002</v>
      </c>
    </row>
    <row r="42" spans="1:17" x14ac:dyDescent="0.25">
      <c r="A42" t="s">
        <v>57</v>
      </c>
      <c r="B42" t="s">
        <v>58</v>
      </c>
      <c r="C42" t="s">
        <v>92</v>
      </c>
      <c r="D42" t="s">
        <v>91</v>
      </c>
      <c r="E42" t="s">
        <v>56</v>
      </c>
      <c r="F42">
        <v>184.40700000000001</v>
      </c>
      <c r="G42">
        <v>183.399</v>
      </c>
      <c r="H42">
        <v>171.38</v>
      </c>
      <c r="I42">
        <v>185.49</v>
      </c>
      <c r="J42">
        <v>160.03899999999999</v>
      </c>
      <c r="K42">
        <v>122.622</v>
      </c>
      <c r="L42">
        <v>184.57400000000001</v>
      </c>
      <c r="M42">
        <v>200.55099999999999</v>
      </c>
      <c r="N42">
        <v>195.72499999999999</v>
      </c>
      <c r="O42">
        <v>194.66800000000001</v>
      </c>
      <c r="P42">
        <v>192.57599999999999</v>
      </c>
      <c r="Q42">
        <v>205.82</v>
      </c>
    </row>
    <row r="43" spans="1:17" x14ac:dyDescent="0.25">
      <c r="A43" t="s">
        <v>59</v>
      </c>
      <c r="B43" t="s">
        <v>60</v>
      </c>
      <c r="C43" t="s">
        <v>92</v>
      </c>
      <c r="D43" t="s">
        <v>91</v>
      </c>
      <c r="E43" t="s">
        <v>56</v>
      </c>
      <c r="F43" t="s">
        <v>47</v>
      </c>
      <c r="G43" t="s">
        <v>47</v>
      </c>
      <c r="H43" t="s">
        <v>47</v>
      </c>
      <c r="I43" t="s">
        <v>47</v>
      </c>
      <c r="J43" t="s">
        <v>47</v>
      </c>
      <c r="K43" t="s">
        <v>47</v>
      </c>
      <c r="L43" t="s">
        <v>47</v>
      </c>
      <c r="M43" t="s">
        <v>47</v>
      </c>
      <c r="N43" t="s">
        <v>47</v>
      </c>
      <c r="O43" t="s">
        <v>47</v>
      </c>
      <c r="P43" t="s">
        <v>47</v>
      </c>
      <c r="Q43" t="s">
        <v>47</v>
      </c>
    </row>
    <row r="44" spans="1:17" x14ac:dyDescent="0.25">
      <c r="A44" t="s">
        <v>61</v>
      </c>
      <c r="B44" t="s">
        <v>62</v>
      </c>
      <c r="C44" t="s">
        <v>92</v>
      </c>
      <c r="D44" t="s">
        <v>91</v>
      </c>
      <c r="E44" t="s">
        <v>56</v>
      </c>
      <c r="F44" t="s">
        <v>47</v>
      </c>
      <c r="G44" t="s">
        <v>47</v>
      </c>
      <c r="H44" t="s">
        <v>47</v>
      </c>
      <c r="I44" t="s">
        <v>47</v>
      </c>
      <c r="J44" t="s">
        <v>47</v>
      </c>
      <c r="K44" t="s">
        <v>47</v>
      </c>
      <c r="L44" t="s">
        <v>47</v>
      </c>
      <c r="M44" t="s">
        <v>47</v>
      </c>
      <c r="N44" t="s">
        <v>47</v>
      </c>
      <c r="O44" t="s">
        <v>47</v>
      </c>
      <c r="P44" t="s">
        <v>47</v>
      </c>
      <c r="Q44" t="s">
        <v>47</v>
      </c>
    </row>
    <row r="45" spans="1:17" x14ac:dyDescent="0.25">
      <c r="A45" t="s">
        <v>63</v>
      </c>
      <c r="B45" t="s">
        <v>64</v>
      </c>
      <c r="C45" t="s">
        <v>92</v>
      </c>
      <c r="D45" t="s">
        <v>91</v>
      </c>
      <c r="E45" t="s">
        <v>56</v>
      </c>
      <c r="F45">
        <v>365.63411819999999</v>
      </c>
      <c r="G45">
        <v>320.4168785</v>
      </c>
      <c r="H45">
        <v>354.85445650000003</v>
      </c>
      <c r="I45">
        <v>381.80112759999997</v>
      </c>
      <c r="J45">
        <v>394.62824560000001</v>
      </c>
      <c r="K45">
        <v>395.26823630000001</v>
      </c>
      <c r="L45">
        <v>399.99252289999998</v>
      </c>
      <c r="M45">
        <v>411.19489340000001</v>
      </c>
      <c r="N45">
        <v>403.46808859999999</v>
      </c>
      <c r="O45">
        <v>399.22996619999998</v>
      </c>
      <c r="P45">
        <v>421.27071760000001</v>
      </c>
      <c r="Q45">
        <v>435.50314279999998</v>
      </c>
    </row>
    <row r="46" spans="1:17" x14ac:dyDescent="0.25">
      <c r="A46" t="s">
        <v>65</v>
      </c>
      <c r="B46" t="s">
        <v>66</v>
      </c>
      <c r="C46" t="s">
        <v>92</v>
      </c>
      <c r="D46" t="s">
        <v>91</v>
      </c>
      <c r="E46" t="s">
        <v>56</v>
      </c>
      <c r="F46">
        <v>813</v>
      </c>
      <c r="G46">
        <v>762</v>
      </c>
      <c r="H46">
        <v>779</v>
      </c>
      <c r="I46">
        <v>810</v>
      </c>
      <c r="J46">
        <v>793</v>
      </c>
      <c r="K46">
        <v>872</v>
      </c>
      <c r="L46">
        <v>824</v>
      </c>
      <c r="M46">
        <v>672</v>
      </c>
      <c r="N46">
        <v>816</v>
      </c>
      <c r="O46">
        <v>859</v>
      </c>
      <c r="P46">
        <v>818</v>
      </c>
      <c r="Q46">
        <v>715</v>
      </c>
    </row>
    <row r="47" spans="1:17" x14ac:dyDescent="0.25">
      <c r="A47" t="s">
        <v>67</v>
      </c>
      <c r="B47" t="s">
        <v>68</v>
      </c>
      <c r="C47" t="s">
        <v>92</v>
      </c>
      <c r="D47" t="s">
        <v>91</v>
      </c>
      <c r="E47" t="s">
        <v>56</v>
      </c>
      <c r="F47">
        <v>143</v>
      </c>
      <c r="G47">
        <v>171</v>
      </c>
      <c r="H47">
        <v>156</v>
      </c>
      <c r="I47">
        <v>95</v>
      </c>
      <c r="J47">
        <v>204</v>
      </c>
      <c r="K47">
        <v>-117</v>
      </c>
      <c r="L47">
        <v>-4</v>
      </c>
      <c r="M47">
        <v>-205</v>
      </c>
      <c r="N47">
        <v>-987</v>
      </c>
      <c r="O47">
        <v>119</v>
      </c>
      <c r="P47">
        <v>-503</v>
      </c>
      <c r="Q47">
        <v>83</v>
      </c>
    </row>
    <row r="48" spans="1:17" x14ac:dyDescent="0.25">
      <c r="A48" t="s">
        <v>69</v>
      </c>
      <c r="B48" t="s">
        <v>70</v>
      </c>
      <c r="C48" t="s">
        <v>92</v>
      </c>
      <c r="D48" t="s">
        <v>91</v>
      </c>
      <c r="E48" t="s">
        <v>56</v>
      </c>
      <c r="F48">
        <v>368</v>
      </c>
      <c r="G48">
        <v>1173</v>
      </c>
      <c r="H48">
        <v>795</v>
      </c>
      <c r="I48">
        <v>1285</v>
      </c>
      <c r="J48">
        <v>828</v>
      </c>
      <c r="K48">
        <v>778</v>
      </c>
      <c r="L48">
        <v>890</v>
      </c>
      <c r="M48">
        <v>912</v>
      </c>
      <c r="N48">
        <v>790</v>
      </c>
      <c r="O48">
        <v>-1445</v>
      </c>
      <c r="P48">
        <v>710</v>
      </c>
      <c r="Q48">
        <v>-3172</v>
      </c>
    </row>
    <row r="49" spans="1:17" x14ac:dyDescent="0.25">
      <c r="A49" t="s">
        <v>71</v>
      </c>
      <c r="B49" t="s">
        <v>72</v>
      </c>
      <c r="C49" t="s">
        <v>92</v>
      </c>
      <c r="D49" t="s">
        <v>91</v>
      </c>
      <c r="E49" t="s">
        <v>56</v>
      </c>
      <c r="F49">
        <v>47.701999999999998</v>
      </c>
      <c r="G49">
        <v>56.421999999999997</v>
      </c>
      <c r="H49">
        <v>59.746000000000002</v>
      </c>
      <c r="I49">
        <v>56.872999999999998</v>
      </c>
      <c r="J49">
        <v>63.198999999999998</v>
      </c>
      <c r="K49">
        <v>73.879000000000005</v>
      </c>
      <c r="L49">
        <v>88.453000000000003</v>
      </c>
      <c r="M49">
        <v>88.122</v>
      </c>
      <c r="N49">
        <v>98.629000000000005</v>
      </c>
      <c r="O49">
        <v>107.238</v>
      </c>
      <c r="P49">
        <v>115.322</v>
      </c>
      <c r="Q49">
        <v>121.312</v>
      </c>
    </row>
    <row r="50" spans="1:17" x14ac:dyDescent="0.25">
      <c r="A50" t="s">
        <v>73</v>
      </c>
      <c r="B50" t="s">
        <v>74</v>
      </c>
      <c r="C50" t="s">
        <v>92</v>
      </c>
      <c r="D50" t="s">
        <v>91</v>
      </c>
      <c r="E50" t="s">
        <v>56</v>
      </c>
      <c r="F50">
        <v>102.51900000000001</v>
      </c>
      <c r="G50">
        <v>123.029</v>
      </c>
      <c r="H50">
        <v>100.169</v>
      </c>
      <c r="I50">
        <v>89.533000000000001</v>
      </c>
      <c r="J50">
        <v>105.125</v>
      </c>
      <c r="K50">
        <v>119.399</v>
      </c>
      <c r="L50">
        <v>137.81299999999999</v>
      </c>
      <c r="M50">
        <v>134.60900000000001</v>
      </c>
      <c r="N50">
        <v>156.006</v>
      </c>
      <c r="O50">
        <v>163.58000000000001</v>
      </c>
      <c r="P50">
        <v>178.33</v>
      </c>
      <c r="Q50">
        <v>149.893</v>
      </c>
    </row>
    <row r="51" spans="1:17" x14ac:dyDescent="0.25">
      <c r="A51" t="s">
        <v>75</v>
      </c>
      <c r="B51" t="s">
        <v>76</v>
      </c>
      <c r="C51" t="s">
        <v>92</v>
      </c>
      <c r="D51" t="s">
        <v>91</v>
      </c>
      <c r="E51" t="s">
        <v>56</v>
      </c>
      <c r="F51">
        <v>415.7</v>
      </c>
      <c r="G51">
        <v>427.8</v>
      </c>
      <c r="H51">
        <v>459.9</v>
      </c>
      <c r="I51">
        <v>469.44451409999999</v>
      </c>
      <c r="J51">
        <v>477.6</v>
      </c>
      <c r="K51">
        <v>492.5</v>
      </c>
      <c r="L51">
        <v>509.3</v>
      </c>
      <c r="M51">
        <v>510.6</v>
      </c>
      <c r="N51">
        <v>489.4</v>
      </c>
      <c r="O51">
        <v>582</v>
      </c>
      <c r="P51">
        <v>627.1</v>
      </c>
      <c r="Q51">
        <v>646.20000000000005</v>
      </c>
    </row>
    <row r="52" spans="1:17" x14ac:dyDescent="0.25">
      <c r="A52" t="s">
        <v>77</v>
      </c>
      <c r="B52" t="s">
        <v>78</v>
      </c>
      <c r="C52" t="s">
        <v>92</v>
      </c>
      <c r="D52" t="s">
        <v>91</v>
      </c>
      <c r="E52" t="s">
        <v>56</v>
      </c>
      <c r="F52">
        <v>66.103023019999995</v>
      </c>
      <c r="G52">
        <v>73.779405710000006</v>
      </c>
      <c r="H52">
        <v>112.6553212</v>
      </c>
      <c r="I52">
        <v>58.86742718</v>
      </c>
      <c r="J52">
        <v>81.786623660000004</v>
      </c>
      <c r="K52">
        <v>77.447167620000002</v>
      </c>
      <c r="L52">
        <v>125.45003199999999</v>
      </c>
      <c r="M52">
        <v>79.723677519999995</v>
      </c>
      <c r="N52">
        <v>80.713244220000007</v>
      </c>
      <c r="O52">
        <v>89.851648159999996</v>
      </c>
      <c r="P52">
        <v>136.6839282</v>
      </c>
      <c r="Q52">
        <v>56.007129740000003</v>
      </c>
    </row>
    <row r="53" spans="1:17" x14ac:dyDescent="0.25">
      <c r="A53" t="s">
        <v>79</v>
      </c>
      <c r="B53" t="s">
        <v>80</v>
      </c>
      <c r="C53" t="s">
        <v>92</v>
      </c>
      <c r="D53" t="s">
        <v>91</v>
      </c>
      <c r="E53" t="s">
        <v>56</v>
      </c>
      <c r="F53">
        <v>707.26738950000004</v>
      </c>
      <c r="G53">
        <v>731.44976159999999</v>
      </c>
      <c r="H53">
        <v>744.12696019999998</v>
      </c>
      <c r="I53">
        <v>765.99301760000003</v>
      </c>
      <c r="J53">
        <v>741.67371969999999</v>
      </c>
      <c r="K53">
        <v>764.74665379999999</v>
      </c>
      <c r="L53">
        <v>750.8181611</v>
      </c>
      <c r="M53">
        <v>730.8500808</v>
      </c>
      <c r="N53">
        <v>740.8766038</v>
      </c>
      <c r="O53">
        <v>801.35602589999996</v>
      </c>
      <c r="P53">
        <v>814.40826549999997</v>
      </c>
      <c r="Q53">
        <v>783.54772300000002</v>
      </c>
    </row>
    <row r="54" spans="1:17" x14ac:dyDescent="0.25">
      <c r="A54" t="s">
        <v>81</v>
      </c>
      <c r="B54" t="s">
        <v>82</v>
      </c>
      <c r="C54" t="s">
        <v>92</v>
      </c>
      <c r="D54" t="s">
        <v>91</v>
      </c>
      <c r="E54" t="s">
        <v>56</v>
      </c>
      <c r="F54">
        <v>3616</v>
      </c>
      <c r="G54">
        <v>3986</v>
      </c>
      <c r="H54">
        <v>5807</v>
      </c>
      <c r="I54">
        <v>2511</v>
      </c>
      <c r="J54">
        <v>5208</v>
      </c>
      <c r="K54">
        <v>4326</v>
      </c>
      <c r="L54">
        <v>5739</v>
      </c>
      <c r="M54">
        <v>3749</v>
      </c>
      <c r="N54">
        <v>3869</v>
      </c>
      <c r="O54">
        <v>3844</v>
      </c>
      <c r="P54">
        <v>6117</v>
      </c>
      <c r="Q54">
        <v>1977</v>
      </c>
    </row>
    <row r="55" spans="1:17" x14ac:dyDescent="0.25">
      <c r="A55" t="s">
        <v>83</v>
      </c>
      <c r="B55" t="s">
        <v>84</v>
      </c>
      <c r="C55" t="s">
        <v>92</v>
      </c>
      <c r="D55" t="s">
        <v>91</v>
      </c>
      <c r="E55" t="s">
        <v>56</v>
      </c>
      <c r="F55">
        <v>1149.522727</v>
      </c>
      <c r="G55">
        <v>1270.0033719999999</v>
      </c>
      <c r="H55">
        <v>1280.170255</v>
      </c>
      <c r="I55">
        <v>1344.0218190000001</v>
      </c>
      <c r="J55">
        <v>1352.8498509999999</v>
      </c>
      <c r="K55">
        <v>1466.9776240000001</v>
      </c>
      <c r="L55">
        <v>1399.3529610000001</v>
      </c>
      <c r="M55">
        <v>1429.905557</v>
      </c>
      <c r="N55">
        <v>1443.3576230000001</v>
      </c>
      <c r="O55">
        <v>1453.070645</v>
      </c>
      <c r="P55">
        <v>1526.453837</v>
      </c>
      <c r="Q55">
        <v>1515.190241</v>
      </c>
    </row>
    <row r="56" spans="1:17" x14ac:dyDescent="0.25">
      <c r="A56" t="s">
        <v>85</v>
      </c>
      <c r="B56" t="s">
        <v>86</v>
      </c>
      <c r="C56" t="s">
        <v>92</v>
      </c>
      <c r="D56" t="s">
        <v>91</v>
      </c>
      <c r="E56" t="s">
        <v>56</v>
      </c>
      <c r="F56">
        <v>144.9347655</v>
      </c>
      <c r="G56">
        <v>172.00736499999999</v>
      </c>
      <c r="H56">
        <v>195.35611280000001</v>
      </c>
      <c r="I56">
        <v>219.3355995</v>
      </c>
      <c r="J56">
        <v>202.37267660000001</v>
      </c>
      <c r="K56">
        <v>231.0396983</v>
      </c>
      <c r="L56">
        <v>239.06827440000001</v>
      </c>
      <c r="M56">
        <v>232.59740289999999</v>
      </c>
      <c r="N56">
        <v>188.9724272</v>
      </c>
      <c r="O56">
        <v>213.2903211</v>
      </c>
      <c r="P56">
        <v>219.5085972</v>
      </c>
      <c r="Q56">
        <v>156.03063560000001</v>
      </c>
    </row>
    <row r="57" spans="1:17" x14ac:dyDescent="0.25">
      <c r="A57" t="s">
        <v>87</v>
      </c>
      <c r="B57" t="s">
        <v>88</v>
      </c>
      <c r="C57" t="s">
        <v>92</v>
      </c>
      <c r="D57" t="s">
        <v>91</v>
      </c>
      <c r="E57" t="s">
        <v>56</v>
      </c>
      <c r="F57">
        <v>413.76925569999997</v>
      </c>
      <c r="G57">
        <v>432.2740531</v>
      </c>
      <c r="H57">
        <v>385.10153600000001</v>
      </c>
      <c r="I57">
        <v>381.0547297</v>
      </c>
      <c r="J57">
        <v>400.76927799999999</v>
      </c>
      <c r="K57">
        <v>339.24035959999998</v>
      </c>
      <c r="L57">
        <v>467.14490389999997</v>
      </c>
      <c r="M57">
        <v>452.34921780000002</v>
      </c>
      <c r="N57">
        <v>423.78947040000003</v>
      </c>
      <c r="O57">
        <v>439.94289500000002</v>
      </c>
      <c r="P57">
        <v>446.53443540000001</v>
      </c>
      <c r="Q57">
        <v>430.6199378</v>
      </c>
    </row>
    <row r="58" spans="1:17" x14ac:dyDescent="0.25">
      <c r="A58" t="s">
        <v>93</v>
      </c>
      <c r="B58" t="s">
        <v>50</v>
      </c>
      <c r="C58" t="s">
        <v>47</v>
      </c>
      <c r="D58" t="s">
        <v>47</v>
      </c>
      <c r="E58" t="s">
        <v>51</v>
      </c>
      <c r="F58">
        <v>7116.1068203999994</v>
      </c>
      <c r="G58">
        <v>8359.7430498899994</v>
      </c>
      <c r="H58">
        <v>10492.89506407</v>
      </c>
      <c r="I58">
        <v>7431.6539485900003</v>
      </c>
      <c r="J58">
        <v>9159.0759985199984</v>
      </c>
      <c r="K58">
        <v>9028.5764770099995</v>
      </c>
      <c r="L58">
        <v>10968.075127709999</v>
      </c>
      <c r="M58">
        <v>7632.6669479799993</v>
      </c>
      <c r="N58">
        <v>7097.0684351499995</v>
      </c>
      <c r="O58">
        <v>5712.5410696300005</v>
      </c>
      <c r="P58">
        <v>9854.4121608999994</v>
      </c>
      <c r="Q58">
        <v>2259.6513117300001</v>
      </c>
    </row>
    <row r="59" spans="1:17" x14ac:dyDescent="0.25">
      <c r="A59" t="s">
        <v>52</v>
      </c>
      <c r="B59" t="s">
        <v>53</v>
      </c>
      <c r="C59" t="s">
        <v>94</v>
      </c>
      <c r="D59" t="s">
        <v>95</v>
      </c>
      <c r="E59" t="s">
        <v>56</v>
      </c>
      <c r="F59">
        <v>865.43499999999995</v>
      </c>
      <c r="G59">
        <v>1296.5619999999999</v>
      </c>
      <c r="H59">
        <v>1498.1759999999999</v>
      </c>
      <c r="I59">
        <v>1296.0440000000001</v>
      </c>
      <c r="J59">
        <v>1634.875</v>
      </c>
      <c r="K59">
        <v>1469.684</v>
      </c>
      <c r="L59">
        <v>1629.0119999999999</v>
      </c>
      <c r="M59">
        <v>1386.626</v>
      </c>
      <c r="N59">
        <v>1717.943</v>
      </c>
      <c r="O59">
        <v>1571.4929999999999</v>
      </c>
      <c r="P59">
        <v>1767.2629999999999</v>
      </c>
      <c r="Q59">
        <v>1488.9449999999999</v>
      </c>
    </row>
    <row r="60" spans="1:17" x14ac:dyDescent="0.25">
      <c r="A60" t="s">
        <v>57</v>
      </c>
      <c r="B60" t="s">
        <v>58</v>
      </c>
      <c r="C60" t="s">
        <v>94</v>
      </c>
      <c r="D60" t="s">
        <v>95</v>
      </c>
      <c r="E60" t="s">
        <v>56</v>
      </c>
      <c r="F60">
        <v>129.91200000000001</v>
      </c>
      <c r="G60">
        <v>132.047</v>
      </c>
      <c r="H60">
        <v>122.143</v>
      </c>
      <c r="I60">
        <v>131.827</v>
      </c>
      <c r="J60">
        <v>105.518</v>
      </c>
      <c r="K60">
        <v>68.819000000000003</v>
      </c>
      <c r="L60">
        <v>133.09700000000001</v>
      </c>
      <c r="M60">
        <v>150.17500000000001</v>
      </c>
      <c r="N60">
        <v>142.32</v>
      </c>
      <c r="O60">
        <v>144.154</v>
      </c>
      <c r="P60">
        <v>143.577</v>
      </c>
      <c r="Q60">
        <v>156.71199999999999</v>
      </c>
    </row>
    <row r="61" spans="1:17" x14ac:dyDescent="0.25">
      <c r="A61" t="s">
        <v>59</v>
      </c>
      <c r="B61" t="s">
        <v>60</v>
      </c>
      <c r="C61" t="s">
        <v>94</v>
      </c>
      <c r="D61" t="s">
        <v>95</v>
      </c>
      <c r="E61" t="s">
        <v>56</v>
      </c>
      <c r="F61" t="s">
        <v>47</v>
      </c>
      <c r="G61" t="s">
        <v>47</v>
      </c>
      <c r="H61" t="s">
        <v>47</v>
      </c>
      <c r="I61" t="s">
        <v>47</v>
      </c>
      <c r="J61" t="s">
        <v>47</v>
      </c>
      <c r="K61" t="s">
        <v>47</v>
      </c>
      <c r="L61" t="s">
        <v>47</v>
      </c>
      <c r="M61" t="s">
        <v>47</v>
      </c>
      <c r="N61" t="s">
        <v>47</v>
      </c>
      <c r="O61" t="s">
        <v>47</v>
      </c>
      <c r="P61" t="s">
        <v>47</v>
      </c>
      <c r="Q61" t="s">
        <v>47</v>
      </c>
    </row>
    <row r="62" spans="1:17" x14ac:dyDescent="0.25">
      <c r="A62" t="s">
        <v>61</v>
      </c>
      <c r="B62" t="s">
        <v>62</v>
      </c>
      <c r="C62" t="s">
        <v>94</v>
      </c>
      <c r="D62" t="s">
        <v>95</v>
      </c>
      <c r="E62" t="s">
        <v>56</v>
      </c>
      <c r="F62" t="s">
        <v>47</v>
      </c>
      <c r="G62" t="s">
        <v>47</v>
      </c>
      <c r="H62" t="s">
        <v>47</v>
      </c>
      <c r="I62" t="s">
        <v>47</v>
      </c>
      <c r="J62" t="s">
        <v>47</v>
      </c>
      <c r="K62" t="s">
        <v>47</v>
      </c>
      <c r="L62" t="s">
        <v>47</v>
      </c>
      <c r="M62" t="s">
        <v>47</v>
      </c>
      <c r="N62" t="s">
        <v>47</v>
      </c>
      <c r="O62" t="s">
        <v>47</v>
      </c>
      <c r="P62" t="s">
        <v>47</v>
      </c>
      <c r="Q62" t="s">
        <v>47</v>
      </c>
    </row>
    <row r="63" spans="1:17" x14ac:dyDescent="0.25">
      <c r="A63" t="s">
        <v>63</v>
      </c>
      <c r="B63" t="s">
        <v>64</v>
      </c>
      <c r="C63" t="s">
        <v>94</v>
      </c>
      <c r="D63" t="s">
        <v>95</v>
      </c>
      <c r="E63" t="s">
        <v>56</v>
      </c>
      <c r="F63">
        <v>295.22503130000001</v>
      </c>
      <c r="G63">
        <v>240.45230359999999</v>
      </c>
      <c r="H63">
        <v>281.45783399999999</v>
      </c>
      <c r="I63">
        <v>305.01388450000002</v>
      </c>
      <c r="J63">
        <v>316.5138824</v>
      </c>
      <c r="K63">
        <v>317.644498</v>
      </c>
      <c r="L63">
        <v>327.55136449999998</v>
      </c>
      <c r="M63">
        <v>337.5236908</v>
      </c>
      <c r="N63">
        <v>327.61521190000002</v>
      </c>
      <c r="O63">
        <v>325.64632660000001</v>
      </c>
      <c r="P63">
        <v>320.9576654</v>
      </c>
      <c r="Q63">
        <v>338.15726549999999</v>
      </c>
    </row>
    <row r="64" spans="1:17" x14ac:dyDescent="0.25">
      <c r="A64" t="s">
        <v>65</v>
      </c>
      <c r="B64" t="s">
        <v>66</v>
      </c>
      <c r="C64" t="s">
        <v>94</v>
      </c>
      <c r="D64" t="s">
        <v>95</v>
      </c>
      <c r="E64" t="s">
        <v>56</v>
      </c>
      <c r="F64">
        <v>606</v>
      </c>
      <c r="G64">
        <v>648</v>
      </c>
      <c r="H64">
        <v>657</v>
      </c>
      <c r="I64">
        <v>693</v>
      </c>
      <c r="J64">
        <v>670</v>
      </c>
      <c r="K64">
        <v>745</v>
      </c>
      <c r="L64">
        <v>693</v>
      </c>
      <c r="M64">
        <v>539</v>
      </c>
      <c r="N64">
        <v>619</v>
      </c>
      <c r="O64">
        <v>669</v>
      </c>
      <c r="P64">
        <v>626</v>
      </c>
      <c r="Q64">
        <v>579</v>
      </c>
    </row>
    <row r="65" spans="1:17" x14ac:dyDescent="0.25">
      <c r="A65" t="s">
        <v>67</v>
      </c>
      <c r="B65" t="s">
        <v>68</v>
      </c>
      <c r="C65" t="s">
        <v>94</v>
      </c>
      <c r="D65" t="s">
        <v>95</v>
      </c>
      <c r="E65" t="s">
        <v>56</v>
      </c>
      <c r="F65">
        <v>13</v>
      </c>
      <c r="G65">
        <v>48</v>
      </c>
      <c r="H65">
        <v>39</v>
      </c>
      <c r="I65">
        <v>-22</v>
      </c>
      <c r="J65">
        <v>89</v>
      </c>
      <c r="K65">
        <v>-230</v>
      </c>
      <c r="L65">
        <v>-119</v>
      </c>
      <c r="M65">
        <v>-319</v>
      </c>
      <c r="N65">
        <v>-1098</v>
      </c>
      <c r="O65">
        <v>6</v>
      </c>
      <c r="P65">
        <v>-617</v>
      </c>
      <c r="Q65">
        <v>-34</v>
      </c>
    </row>
    <row r="66" spans="1:17" x14ac:dyDescent="0.25">
      <c r="A66" t="s">
        <v>69</v>
      </c>
      <c r="B66" t="s">
        <v>70</v>
      </c>
      <c r="C66" t="s">
        <v>94</v>
      </c>
      <c r="D66" t="s">
        <v>95</v>
      </c>
      <c r="E66" t="s">
        <v>56</v>
      </c>
      <c r="F66">
        <v>5</v>
      </c>
      <c r="G66">
        <v>269</v>
      </c>
      <c r="H66">
        <v>312</v>
      </c>
      <c r="I66">
        <v>658</v>
      </c>
      <c r="J66">
        <v>319</v>
      </c>
      <c r="K66">
        <v>285</v>
      </c>
      <c r="L66">
        <v>378</v>
      </c>
      <c r="M66">
        <v>403</v>
      </c>
      <c r="N66">
        <v>149</v>
      </c>
      <c r="O66">
        <v>-2071</v>
      </c>
      <c r="P66">
        <v>70</v>
      </c>
      <c r="Q66">
        <v>-3878</v>
      </c>
    </row>
    <row r="67" spans="1:17" x14ac:dyDescent="0.25">
      <c r="A67" t="s">
        <v>71</v>
      </c>
      <c r="B67" t="s">
        <v>72</v>
      </c>
      <c r="C67" t="s">
        <v>94</v>
      </c>
      <c r="D67" t="s">
        <v>95</v>
      </c>
      <c r="E67" t="s">
        <v>56</v>
      </c>
      <c r="F67">
        <v>40.682000000000002</v>
      </c>
      <c r="G67">
        <v>49.247999999999998</v>
      </c>
      <c r="H67">
        <v>52.05</v>
      </c>
      <c r="I67">
        <v>48.697000000000003</v>
      </c>
      <c r="J67">
        <v>54.237000000000002</v>
      </c>
      <c r="K67">
        <v>64.56</v>
      </c>
      <c r="L67">
        <v>78.27</v>
      </c>
      <c r="M67">
        <v>64.658000000000001</v>
      </c>
      <c r="N67">
        <v>72.882000000000005</v>
      </c>
      <c r="O67">
        <v>80.564999999999998</v>
      </c>
      <c r="P67">
        <v>84.745000000000005</v>
      </c>
      <c r="Q67">
        <v>87.509</v>
      </c>
    </row>
    <row r="68" spans="1:17" x14ac:dyDescent="0.25">
      <c r="A68" t="s">
        <v>73</v>
      </c>
      <c r="B68" t="s">
        <v>74</v>
      </c>
      <c r="C68" t="s">
        <v>94</v>
      </c>
      <c r="D68" t="s">
        <v>95</v>
      </c>
      <c r="E68" t="s">
        <v>56</v>
      </c>
      <c r="F68">
        <v>80.959000000000003</v>
      </c>
      <c r="G68">
        <v>97.918999999999997</v>
      </c>
      <c r="H68">
        <v>73.305000000000007</v>
      </c>
      <c r="I68">
        <v>63.761000000000003</v>
      </c>
      <c r="J68">
        <v>79.522000000000006</v>
      </c>
      <c r="K68">
        <v>94.028000000000006</v>
      </c>
      <c r="L68">
        <v>110.84099999999999</v>
      </c>
      <c r="M68">
        <v>90.072000000000003</v>
      </c>
      <c r="N68">
        <v>106.202</v>
      </c>
      <c r="O68">
        <v>113.584</v>
      </c>
      <c r="P68">
        <v>119.518</v>
      </c>
      <c r="Q68">
        <v>110.658</v>
      </c>
    </row>
    <row r="69" spans="1:17" x14ac:dyDescent="0.25">
      <c r="A69" t="s">
        <v>75</v>
      </c>
      <c r="B69" t="s">
        <v>76</v>
      </c>
      <c r="C69" t="s">
        <v>94</v>
      </c>
      <c r="D69" t="s">
        <v>95</v>
      </c>
      <c r="E69" t="s">
        <v>56</v>
      </c>
      <c r="F69">
        <v>379</v>
      </c>
      <c r="G69">
        <v>380</v>
      </c>
      <c r="H69">
        <v>389.3</v>
      </c>
      <c r="I69">
        <v>402.80265559999998</v>
      </c>
      <c r="J69">
        <v>404.1</v>
      </c>
      <c r="K69">
        <v>417.5</v>
      </c>
      <c r="L69">
        <v>430.6</v>
      </c>
      <c r="M69">
        <v>431.1</v>
      </c>
      <c r="N69">
        <v>403.8</v>
      </c>
      <c r="O69">
        <v>496.1</v>
      </c>
      <c r="P69">
        <v>514.79999999999995</v>
      </c>
      <c r="Q69">
        <v>530.79999999999995</v>
      </c>
    </row>
    <row r="70" spans="1:17" x14ac:dyDescent="0.25">
      <c r="A70" t="s">
        <v>77</v>
      </c>
      <c r="B70" t="s">
        <v>78</v>
      </c>
      <c r="C70" t="s">
        <v>94</v>
      </c>
      <c r="D70" t="s">
        <v>95</v>
      </c>
      <c r="E70" t="s">
        <v>56</v>
      </c>
      <c r="F70">
        <v>48.480908599999999</v>
      </c>
      <c r="G70">
        <v>54.28152789</v>
      </c>
      <c r="H70">
        <v>84.713494470000001</v>
      </c>
      <c r="I70">
        <v>31.830195490000001</v>
      </c>
      <c r="J70">
        <v>55.756345520000004</v>
      </c>
      <c r="K70">
        <v>49.305704310000003</v>
      </c>
      <c r="L70">
        <v>96.125221210000007</v>
      </c>
      <c r="M70">
        <v>43.836665979999999</v>
      </c>
      <c r="N70">
        <v>45.18687765</v>
      </c>
      <c r="O70">
        <v>53.377216730000001</v>
      </c>
      <c r="P70">
        <v>104.3260461</v>
      </c>
      <c r="Q70">
        <v>21.168049029999999</v>
      </c>
    </row>
    <row r="71" spans="1:17" x14ac:dyDescent="0.25">
      <c r="A71" t="s">
        <v>79</v>
      </c>
      <c r="B71" t="s">
        <v>80</v>
      </c>
      <c r="C71" t="s">
        <v>94</v>
      </c>
      <c r="D71" t="s">
        <v>95</v>
      </c>
      <c r="E71" t="s">
        <v>56</v>
      </c>
      <c r="F71">
        <v>637.48656830000004</v>
      </c>
      <c r="G71">
        <v>660.5137575</v>
      </c>
      <c r="H71">
        <v>667.19625099999996</v>
      </c>
      <c r="I71">
        <v>694.69088920000002</v>
      </c>
      <c r="J71">
        <v>676.64863590000004</v>
      </c>
      <c r="K71">
        <v>698.51999320000004</v>
      </c>
      <c r="L71">
        <v>670.32379260000005</v>
      </c>
      <c r="M71">
        <v>655.47983550000004</v>
      </c>
      <c r="N71">
        <v>642.94629180000004</v>
      </c>
      <c r="O71">
        <v>698.04234780000002</v>
      </c>
      <c r="P71">
        <v>711.06266489999996</v>
      </c>
      <c r="Q71">
        <v>680.1514502</v>
      </c>
    </row>
    <row r="72" spans="1:17" x14ac:dyDescent="0.25">
      <c r="A72" t="s">
        <v>81</v>
      </c>
      <c r="B72" t="s">
        <v>82</v>
      </c>
      <c r="C72" t="s">
        <v>94</v>
      </c>
      <c r="D72" t="s">
        <v>95</v>
      </c>
      <c r="E72" t="s">
        <v>56</v>
      </c>
      <c r="F72">
        <v>2499</v>
      </c>
      <c r="G72">
        <v>2810</v>
      </c>
      <c r="H72">
        <v>4658</v>
      </c>
      <c r="I72">
        <v>1397</v>
      </c>
      <c r="J72">
        <v>2978</v>
      </c>
      <c r="K72">
        <v>3188</v>
      </c>
      <c r="L72">
        <v>4628</v>
      </c>
      <c r="M72">
        <v>1919</v>
      </c>
      <c r="N72">
        <v>2147</v>
      </c>
      <c r="O72">
        <v>1759</v>
      </c>
      <c r="P72">
        <v>4071</v>
      </c>
      <c r="Q72">
        <v>343</v>
      </c>
    </row>
    <row r="73" spans="1:17" x14ac:dyDescent="0.25">
      <c r="A73" t="s">
        <v>83</v>
      </c>
      <c r="B73" t="s">
        <v>84</v>
      </c>
      <c r="C73" t="s">
        <v>94</v>
      </c>
      <c r="D73" t="s">
        <v>95</v>
      </c>
      <c r="E73" t="s">
        <v>56</v>
      </c>
      <c r="F73">
        <v>1072.14355</v>
      </c>
      <c r="G73">
        <v>1191.60042</v>
      </c>
      <c r="H73">
        <v>1202.0037110000001</v>
      </c>
      <c r="I73">
        <v>1265.5739430000001</v>
      </c>
      <c r="J73">
        <v>1279.3237819999999</v>
      </c>
      <c r="K73">
        <v>1394.6135790000001</v>
      </c>
      <c r="L73">
        <v>1327.3243789999999</v>
      </c>
      <c r="M73">
        <v>1353.683671</v>
      </c>
      <c r="N73">
        <v>1325.870009</v>
      </c>
      <c r="O73">
        <v>1330.287951</v>
      </c>
      <c r="P73">
        <v>1400.5013859999999</v>
      </c>
      <c r="Q73">
        <v>1383.908725</v>
      </c>
    </row>
    <row r="74" spans="1:17" x14ac:dyDescent="0.25">
      <c r="A74" t="s">
        <v>85</v>
      </c>
      <c r="B74" t="s">
        <v>86</v>
      </c>
      <c r="C74" t="s">
        <v>94</v>
      </c>
      <c r="D74" t="s">
        <v>95</v>
      </c>
      <c r="E74" t="s">
        <v>56</v>
      </c>
      <c r="F74">
        <v>106.66386180000001</v>
      </c>
      <c r="G74">
        <v>130.7369223</v>
      </c>
      <c r="H74">
        <v>152.99787889999999</v>
      </c>
      <c r="I74">
        <v>172.9348463</v>
      </c>
      <c r="J74">
        <v>160.49413630000001</v>
      </c>
      <c r="K74">
        <v>189.02002400000001</v>
      </c>
      <c r="L74">
        <v>199.70930390000001</v>
      </c>
      <c r="M74">
        <v>194.2167733</v>
      </c>
      <c r="N74">
        <v>142.7683021</v>
      </c>
      <c r="O74">
        <v>164.75989319999999</v>
      </c>
      <c r="P74">
        <v>165.47682119999999</v>
      </c>
      <c r="Q74">
        <v>101.06081469999999</v>
      </c>
    </row>
    <row r="75" spans="1:17" x14ac:dyDescent="0.25">
      <c r="A75" t="s">
        <v>87</v>
      </c>
      <c r="B75" t="s">
        <v>88</v>
      </c>
      <c r="C75" t="s">
        <v>94</v>
      </c>
      <c r="D75" t="s">
        <v>95</v>
      </c>
      <c r="E75" t="s">
        <v>56</v>
      </c>
      <c r="F75">
        <v>337.11890039999997</v>
      </c>
      <c r="G75">
        <v>351.38211860000001</v>
      </c>
      <c r="H75">
        <v>303.55189469999999</v>
      </c>
      <c r="I75">
        <v>292.47853450000002</v>
      </c>
      <c r="J75">
        <v>336.08721639999999</v>
      </c>
      <c r="K75">
        <v>276.88167850000002</v>
      </c>
      <c r="L75">
        <v>385.22106650000001</v>
      </c>
      <c r="M75">
        <v>383.2953114</v>
      </c>
      <c r="N75">
        <v>352.53474269999998</v>
      </c>
      <c r="O75">
        <v>371.53133430000003</v>
      </c>
      <c r="P75">
        <v>372.1845773</v>
      </c>
      <c r="Q75">
        <v>350.58100730000001</v>
      </c>
    </row>
    <row r="76" spans="1:17" x14ac:dyDescent="0.25">
      <c r="A76" t="s">
        <v>96</v>
      </c>
      <c r="B76" t="s">
        <v>50</v>
      </c>
      <c r="C76" t="s">
        <v>47</v>
      </c>
      <c r="D76" t="s">
        <v>47</v>
      </c>
      <c r="E76" t="s">
        <v>97</v>
      </c>
      <c r="F76">
        <v>0.58881806375000001</v>
      </c>
      <c r="G76">
        <v>0.70852248808333318</v>
      </c>
      <c r="H76">
        <v>0.44866136841666671</v>
      </c>
      <c r="I76">
        <v>0.70604922033333339</v>
      </c>
      <c r="J76">
        <v>0.69882596091666682</v>
      </c>
      <c r="K76">
        <v>0.63617632516666667</v>
      </c>
      <c r="L76">
        <v>0.78509090099999979</v>
      </c>
      <c r="M76">
        <v>0.56680862016666667</v>
      </c>
      <c r="N76">
        <v>0.36223608633333321</v>
      </c>
      <c r="O76">
        <v>-3.9630285583333251E-2</v>
      </c>
      <c r="P76">
        <v>0.66701974416666676</v>
      </c>
      <c r="Q76">
        <v>-0.55575531524999988</v>
      </c>
    </row>
    <row r="77" spans="1:17" x14ac:dyDescent="0.25">
      <c r="A77" t="s">
        <v>52</v>
      </c>
      <c r="B77" t="s">
        <v>53</v>
      </c>
      <c r="C77" t="s">
        <v>98</v>
      </c>
      <c r="D77" t="s">
        <v>99</v>
      </c>
      <c r="E77" t="s">
        <v>56</v>
      </c>
      <c r="F77">
        <v>1.05</v>
      </c>
      <c r="G77">
        <v>1.48</v>
      </c>
      <c r="H77">
        <v>1.79</v>
      </c>
      <c r="I77">
        <v>1.37</v>
      </c>
      <c r="J77">
        <v>1.6</v>
      </c>
      <c r="K77">
        <v>1.58</v>
      </c>
      <c r="L77">
        <v>1.96</v>
      </c>
      <c r="M77">
        <v>1.73</v>
      </c>
      <c r="N77">
        <v>1.93</v>
      </c>
      <c r="O77">
        <v>1.74</v>
      </c>
      <c r="P77">
        <v>2.09</v>
      </c>
      <c r="Q77">
        <v>1.91</v>
      </c>
    </row>
    <row r="78" spans="1:17" x14ac:dyDescent="0.25">
      <c r="A78" t="s">
        <v>57</v>
      </c>
      <c r="B78" t="s">
        <v>58</v>
      </c>
      <c r="C78" t="s">
        <v>98</v>
      </c>
      <c r="D78" t="s">
        <v>99</v>
      </c>
      <c r="E78" t="s">
        <v>56</v>
      </c>
      <c r="F78">
        <v>0.81</v>
      </c>
      <c r="G78">
        <v>0.73</v>
      </c>
      <c r="H78">
        <v>0.8</v>
      </c>
      <c r="I78">
        <v>0.7</v>
      </c>
      <c r="J78">
        <v>0.64</v>
      </c>
      <c r="K78">
        <v>0.31</v>
      </c>
      <c r="L78">
        <v>0.72</v>
      </c>
      <c r="M78">
        <v>0.9</v>
      </c>
      <c r="N78">
        <v>0.96</v>
      </c>
      <c r="O78">
        <v>0.9</v>
      </c>
      <c r="P78">
        <v>0.85</v>
      </c>
      <c r="Q78">
        <v>0.94</v>
      </c>
    </row>
    <row r="79" spans="1:17" x14ac:dyDescent="0.25">
      <c r="A79" t="s">
        <v>59</v>
      </c>
      <c r="B79" t="s">
        <v>60</v>
      </c>
      <c r="C79" t="s">
        <v>98</v>
      </c>
      <c r="D79" t="s">
        <v>99</v>
      </c>
      <c r="E79" t="s">
        <v>56</v>
      </c>
      <c r="F79" t="s">
        <v>47</v>
      </c>
      <c r="G79" t="s">
        <v>47</v>
      </c>
      <c r="H79" t="s">
        <v>47</v>
      </c>
      <c r="I79" t="s">
        <v>47</v>
      </c>
      <c r="J79" t="s">
        <v>47</v>
      </c>
      <c r="K79" t="s">
        <v>47</v>
      </c>
      <c r="L79" t="s">
        <v>47</v>
      </c>
      <c r="M79" t="s">
        <v>47</v>
      </c>
      <c r="N79" t="s">
        <v>47</v>
      </c>
      <c r="O79" t="s">
        <v>47</v>
      </c>
      <c r="P79" t="s">
        <v>47</v>
      </c>
      <c r="Q79" t="s">
        <v>47</v>
      </c>
    </row>
    <row r="80" spans="1:17" x14ac:dyDescent="0.25">
      <c r="A80" t="s">
        <v>61</v>
      </c>
      <c r="B80" t="s">
        <v>62</v>
      </c>
      <c r="C80" t="s">
        <v>98</v>
      </c>
      <c r="D80" t="s">
        <v>99</v>
      </c>
      <c r="E80" t="s">
        <v>56</v>
      </c>
      <c r="F80" t="s">
        <v>47</v>
      </c>
      <c r="G80" t="s">
        <v>47</v>
      </c>
      <c r="H80" t="s">
        <v>47</v>
      </c>
      <c r="I80" t="s">
        <v>47</v>
      </c>
      <c r="J80" t="s">
        <v>47</v>
      </c>
      <c r="K80" t="s">
        <v>47</v>
      </c>
      <c r="L80" t="s">
        <v>47</v>
      </c>
      <c r="M80" t="s">
        <v>47</v>
      </c>
      <c r="N80" t="s">
        <v>47</v>
      </c>
      <c r="O80" t="s">
        <v>47</v>
      </c>
      <c r="P80" t="s">
        <v>47</v>
      </c>
      <c r="Q80" t="s">
        <v>47</v>
      </c>
    </row>
    <row r="81" spans="1:17" x14ac:dyDescent="0.25">
      <c r="A81" t="s">
        <v>63</v>
      </c>
      <c r="B81" t="s">
        <v>64</v>
      </c>
      <c r="C81" t="s">
        <v>98</v>
      </c>
      <c r="D81" t="s">
        <v>99</v>
      </c>
      <c r="E81" t="s">
        <v>56</v>
      </c>
      <c r="F81" t="s">
        <v>47</v>
      </c>
      <c r="G81" t="s">
        <v>47</v>
      </c>
      <c r="H81" t="s">
        <v>47</v>
      </c>
      <c r="I81" t="s">
        <v>47</v>
      </c>
      <c r="J81" t="s">
        <v>47</v>
      </c>
      <c r="K81" t="s">
        <v>47</v>
      </c>
      <c r="L81" t="s">
        <v>47</v>
      </c>
      <c r="M81" t="s">
        <v>47</v>
      </c>
      <c r="N81" t="s">
        <v>47</v>
      </c>
      <c r="O81" t="s">
        <v>47</v>
      </c>
      <c r="P81" t="s">
        <v>47</v>
      </c>
      <c r="Q81" t="s">
        <v>47</v>
      </c>
    </row>
    <row r="82" spans="1:17" x14ac:dyDescent="0.25">
      <c r="A82" t="s">
        <v>65</v>
      </c>
      <c r="B82" t="s">
        <v>66</v>
      </c>
      <c r="C82" t="s">
        <v>98</v>
      </c>
      <c r="D82" t="s">
        <v>99</v>
      </c>
      <c r="E82" t="s">
        <v>56</v>
      </c>
      <c r="F82">
        <v>0.8</v>
      </c>
      <c r="G82">
        <v>0.84</v>
      </c>
      <c r="H82">
        <v>-0.03</v>
      </c>
      <c r="I82">
        <v>0.88</v>
      </c>
      <c r="J82">
        <v>0.78</v>
      </c>
      <c r="K82">
        <v>0.82</v>
      </c>
      <c r="L82">
        <v>1.1200000000000001</v>
      </c>
      <c r="M82">
        <v>0.77</v>
      </c>
      <c r="N82">
        <v>0.9</v>
      </c>
      <c r="O82">
        <v>0.9</v>
      </c>
      <c r="P82">
        <v>0.72</v>
      </c>
      <c r="Q82">
        <v>0.67</v>
      </c>
    </row>
    <row r="83" spans="1:17" x14ac:dyDescent="0.25">
      <c r="A83" t="s">
        <v>67</v>
      </c>
      <c r="B83" t="s">
        <v>68</v>
      </c>
      <c r="C83" t="s">
        <v>98</v>
      </c>
      <c r="D83" t="s">
        <v>99</v>
      </c>
      <c r="E83" t="s">
        <v>56</v>
      </c>
      <c r="F83">
        <v>-0.03</v>
      </c>
      <c r="G83">
        <v>-0.09</v>
      </c>
      <c r="H83">
        <v>0.98</v>
      </c>
      <c r="I83">
        <v>-0.26</v>
      </c>
      <c r="J83">
        <v>0.04</v>
      </c>
      <c r="K83">
        <v>-1.1599999999999999</v>
      </c>
      <c r="L83">
        <v>-0.69</v>
      </c>
      <c r="M83">
        <v>-1.49</v>
      </c>
      <c r="N83">
        <v>-4.9400000000000004</v>
      </c>
      <c r="O83">
        <v>-0.09</v>
      </c>
      <c r="P83">
        <v>-2.76</v>
      </c>
      <c r="Q83">
        <v>-0.24</v>
      </c>
    </row>
    <row r="84" spans="1:17" x14ac:dyDescent="0.25">
      <c r="A84" t="s">
        <v>69</v>
      </c>
      <c r="B84" t="s">
        <v>70</v>
      </c>
      <c r="C84" t="s">
        <v>98</v>
      </c>
      <c r="D84" t="s">
        <v>99</v>
      </c>
      <c r="E84" t="s">
        <v>56</v>
      </c>
      <c r="F84">
        <v>0.33</v>
      </c>
      <c r="G84">
        <v>0.67</v>
      </c>
      <c r="H84">
        <v>2.4300000000000002</v>
      </c>
      <c r="I84">
        <v>1.8</v>
      </c>
      <c r="J84">
        <v>0.78</v>
      </c>
      <c r="K84">
        <v>0.92</v>
      </c>
      <c r="L84">
        <v>1.66</v>
      </c>
      <c r="M84">
        <v>1.01</v>
      </c>
      <c r="N84">
        <v>0.61</v>
      </c>
      <c r="O84">
        <v>-8.19</v>
      </c>
      <c r="P84">
        <v>0.32</v>
      </c>
      <c r="Q84">
        <v>-13.79</v>
      </c>
    </row>
    <row r="85" spans="1:17" x14ac:dyDescent="0.25">
      <c r="A85" t="s">
        <v>71</v>
      </c>
      <c r="B85" t="s">
        <v>72</v>
      </c>
      <c r="C85" t="s">
        <v>98</v>
      </c>
      <c r="D85" t="s">
        <v>99</v>
      </c>
      <c r="E85" t="s">
        <v>56</v>
      </c>
      <c r="F85">
        <v>0.68</v>
      </c>
      <c r="G85">
        <v>0.77</v>
      </c>
      <c r="H85">
        <v>-0.57999999999999996</v>
      </c>
      <c r="I85">
        <v>1.1499999999999999</v>
      </c>
      <c r="J85">
        <v>0.89</v>
      </c>
      <c r="K85">
        <v>1.1499999999999999</v>
      </c>
      <c r="L85">
        <v>1.05</v>
      </c>
      <c r="M85">
        <v>1.06</v>
      </c>
      <c r="N85">
        <v>1.02</v>
      </c>
      <c r="O85">
        <v>1.1599999999999999</v>
      </c>
      <c r="P85">
        <v>1.29</v>
      </c>
      <c r="Q85">
        <v>1.47</v>
      </c>
    </row>
    <row r="86" spans="1:17" x14ac:dyDescent="0.25">
      <c r="A86" t="s">
        <v>73</v>
      </c>
      <c r="B86" t="s">
        <v>74</v>
      </c>
      <c r="C86" t="s">
        <v>98</v>
      </c>
      <c r="D86" t="s">
        <v>99</v>
      </c>
      <c r="E86" t="s">
        <v>56</v>
      </c>
      <c r="F86">
        <v>0.36</v>
      </c>
      <c r="G86">
        <v>0.38</v>
      </c>
      <c r="H86">
        <v>0.34</v>
      </c>
      <c r="I86">
        <v>0.33</v>
      </c>
      <c r="J86">
        <v>0.33</v>
      </c>
      <c r="K86">
        <v>0.38</v>
      </c>
      <c r="L86">
        <v>0.41</v>
      </c>
      <c r="M86">
        <v>0.31</v>
      </c>
      <c r="N86">
        <v>0.38</v>
      </c>
      <c r="O86">
        <v>0.45</v>
      </c>
      <c r="P86">
        <v>0.42</v>
      </c>
      <c r="Q86">
        <v>0.44</v>
      </c>
    </row>
    <row r="87" spans="1:17" x14ac:dyDescent="0.25">
      <c r="A87" t="s">
        <v>75</v>
      </c>
      <c r="B87" t="s">
        <v>76</v>
      </c>
      <c r="C87" t="s">
        <v>98</v>
      </c>
      <c r="D87" t="s">
        <v>99</v>
      </c>
      <c r="E87" t="s">
        <v>56</v>
      </c>
      <c r="F87">
        <v>0.11736099999999999</v>
      </c>
      <c r="G87">
        <v>0.1188555</v>
      </c>
      <c r="H87">
        <v>0.121949</v>
      </c>
      <c r="I87">
        <v>0.124351533</v>
      </c>
      <c r="J87">
        <v>0.12770599999999999</v>
      </c>
      <c r="K87">
        <v>0.12774650000000001</v>
      </c>
      <c r="L87">
        <v>0.13375799999999999</v>
      </c>
      <c r="M87">
        <v>0.13450000000000001</v>
      </c>
      <c r="N87">
        <v>0.1178165</v>
      </c>
      <c r="O87">
        <v>0.1386415</v>
      </c>
      <c r="P87">
        <v>0.157168</v>
      </c>
      <c r="Q87">
        <v>0.158973</v>
      </c>
    </row>
    <row r="88" spans="1:17" x14ac:dyDescent="0.25">
      <c r="A88" t="s">
        <v>77</v>
      </c>
      <c r="B88" t="s">
        <v>78</v>
      </c>
      <c r="C88" t="s">
        <v>98</v>
      </c>
      <c r="D88" t="s">
        <v>99</v>
      </c>
      <c r="E88" t="s">
        <v>56</v>
      </c>
      <c r="F88">
        <v>9.3500153000000003E-2</v>
      </c>
      <c r="G88">
        <v>0.27529899099999999</v>
      </c>
      <c r="H88">
        <v>0.24454309900000001</v>
      </c>
      <c r="I88">
        <v>7.4966870000000005E-2</v>
      </c>
      <c r="J88">
        <v>0.15211987699999999</v>
      </c>
      <c r="K88">
        <v>0.10121275</v>
      </c>
      <c r="L88">
        <v>0.42089701600000001</v>
      </c>
      <c r="M88">
        <v>0.111295162</v>
      </c>
      <c r="N88">
        <v>9.0791726000000003E-2</v>
      </c>
      <c r="O88">
        <v>0.177093373</v>
      </c>
      <c r="P88">
        <v>0.32433838599999998</v>
      </c>
      <c r="Q88">
        <v>3.9690092000000003E-2</v>
      </c>
    </row>
    <row r="89" spans="1:17" x14ac:dyDescent="0.25">
      <c r="A89" t="s">
        <v>79</v>
      </c>
      <c r="B89" t="s">
        <v>80</v>
      </c>
      <c r="C89" t="s">
        <v>98</v>
      </c>
      <c r="D89" t="s">
        <v>99</v>
      </c>
      <c r="E89" t="s">
        <v>56</v>
      </c>
      <c r="F89" t="s">
        <v>47</v>
      </c>
      <c r="G89" t="s">
        <v>47</v>
      </c>
      <c r="H89" t="s">
        <v>47</v>
      </c>
      <c r="I89" t="s">
        <v>47</v>
      </c>
      <c r="J89" t="s">
        <v>47</v>
      </c>
      <c r="K89" t="s">
        <v>47</v>
      </c>
      <c r="L89" t="s">
        <v>47</v>
      </c>
      <c r="M89" t="s">
        <v>47</v>
      </c>
      <c r="N89" t="s">
        <v>47</v>
      </c>
      <c r="O89" t="s">
        <v>47</v>
      </c>
      <c r="P89" t="s">
        <v>47</v>
      </c>
      <c r="Q89" t="s">
        <v>47</v>
      </c>
    </row>
    <row r="90" spans="1:17" x14ac:dyDescent="0.25">
      <c r="A90" t="s">
        <v>81</v>
      </c>
      <c r="B90" t="s">
        <v>82</v>
      </c>
      <c r="C90" t="s">
        <v>98</v>
      </c>
      <c r="D90" t="s">
        <v>99</v>
      </c>
      <c r="E90" t="s">
        <v>56</v>
      </c>
      <c r="F90">
        <v>2.48</v>
      </c>
      <c r="G90">
        <v>2.92</v>
      </c>
      <c r="H90">
        <v>-1.1399999999999999</v>
      </c>
      <c r="I90">
        <v>1.81</v>
      </c>
      <c r="J90">
        <v>2.61</v>
      </c>
      <c r="K90">
        <v>2.94</v>
      </c>
      <c r="L90">
        <v>2.15</v>
      </c>
      <c r="M90">
        <v>1.78</v>
      </c>
      <c r="N90">
        <v>2.81</v>
      </c>
      <c r="O90">
        <v>1.87</v>
      </c>
      <c r="P90">
        <v>4.1100000000000003</v>
      </c>
      <c r="Q90">
        <v>1.31</v>
      </c>
    </row>
    <row r="91" spans="1:17" x14ac:dyDescent="0.25">
      <c r="A91" t="s">
        <v>83</v>
      </c>
      <c r="B91" t="s">
        <v>84</v>
      </c>
      <c r="C91" t="s">
        <v>98</v>
      </c>
      <c r="D91" t="s">
        <v>99</v>
      </c>
      <c r="E91" t="s">
        <v>56</v>
      </c>
      <c r="F91">
        <v>0.235704107</v>
      </c>
      <c r="G91">
        <v>0.26188763799999998</v>
      </c>
      <c r="H91">
        <v>0.26354174699999999</v>
      </c>
      <c r="I91">
        <v>0.28014256700000001</v>
      </c>
      <c r="J91">
        <v>0.28590157300000002</v>
      </c>
      <c r="K91">
        <v>0.29487991499999999</v>
      </c>
      <c r="L91">
        <v>0.299772131</v>
      </c>
      <c r="M91">
        <v>0.30734751100000002</v>
      </c>
      <c r="N91">
        <v>0.311622593</v>
      </c>
      <c r="O91">
        <v>0.30454087000000002</v>
      </c>
      <c r="P91">
        <v>0.30371811700000001</v>
      </c>
      <c r="Q91">
        <v>0.29611310699999999</v>
      </c>
    </row>
    <row r="92" spans="1:17" x14ac:dyDescent="0.25">
      <c r="A92" t="s">
        <v>85</v>
      </c>
      <c r="B92" t="s">
        <v>86</v>
      </c>
      <c r="C92" t="s">
        <v>98</v>
      </c>
      <c r="D92" t="s">
        <v>99</v>
      </c>
      <c r="E92" t="s">
        <v>56</v>
      </c>
      <c r="F92">
        <v>0.139251505</v>
      </c>
      <c r="G92">
        <v>0.146227728</v>
      </c>
      <c r="H92">
        <v>0.16390257499999999</v>
      </c>
      <c r="I92">
        <v>0.21312967399999999</v>
      </c>
      <c r="J92">
        <v>0.150184081</v>
      </c>
      <c r="K92">
        <v>0.17027673700000001</v>
      </c>
      <c r="L92">
        <v>0.18666366500000001</v>
      </c>
      <c r="M92">
        <v>0.17856076900000001</v>
      </c>
      <c r="N92">
        <v>0.15660221699999999</v>
      </c>
      <c r="O92">
        <v>0.16416083000000001</v>
      </c>
      <c r="P92">
        <v>0.179012427</v>
      </c>
      <c r="Q92">
        <v>0.12616001800000001</v>
      </c>
    </row>
    <row r="93" spans="1:17" x14ac:dyDescent="0.25">
      <c r="A93" t="s">
        <v>87</v>
      </c>
      <c r="B93" t="s">
        <v>88</v>
      </c>
      <c r="C93" t="s">
        <v>98</v>
      </c>
      <c r="D93" t="s">
        <v>99</v>
      </c>
      <c r="E93" t="s">
        <v>56</v>
      </c>
      <c r="F93" t="s">
        <v>47</v>
      </c>
      <c r="G93" t="s">
        <v>47</v>
      </c>
      <c r="H93" t="s">
        <v>47</v>
      </c>
      <c r="I93" t="s">
        <v>47</v>
      </c>
      <c r="J93" t="s">
        <v>47</v>
      </c>
      <c r="K93" t="s">
        <v>47</v>
      </c>
      <c r="L93" t="s">
        <v>47</v>
      </c>
      <c r="M93" t="s">
        <v>47</v>
      </c>
      <c r="N93" t="s">
        <v>47</v>
      </c>
      <c r="O93" t="s">
        <v>47</v>
      </c>
      <c r="P93" t="s">
        <v>47</v>
      </c>
      <c r="Q93" t="s">
        <v>47</v>
      </c>
    </row>
    <row r="94" spans="1:17" x14ac:dyDescent="0.25">
      <c r="A94" t="s">
        <v>100</v>
      </c>
      <c r="B94" t="s">
        <v>47</v>
      </c>
      <c r="C94" t="s">
        <v>47</v>
      </c>
      <c r="D94" t="s">
        <v>47</v>
      </c>
      <c r="E94" t="s">
        <v>48</v>
      </c>
      <c r="F94" t="s">
        <v>47</v>
      </c>
      <c r="G94" t="s">
        <v>47</v>
      </c>
      <c r="H94" t="s">
        <v>47</v>
      </c>
      <c r="I94" t="s">
        <v>47</v>
      </c>
      <c r="J94" t="s">
        <v>47</v>
      </c>
      <c r="K94" t="s">
        <v>47</v>
      </c>
      <c r="L94" t="s">
        <v>47</v>
      </c>
      <c r="M94" t="s">
        <v>47</v>
      </c>
      <c r="N94" t="s">
        <v>47</v>
      </c>
      <c r="O94" t="s">
        <v>47</v>
      </c>
      <c r="P94" t="s">
        <v>47</v>
      </c>
      <c r="Q94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25"/>
  <sheetViews>
    <sheetView workbookViewId="0">
      <selection sqref="A1:XFD1048576"/>
    </sheetView>
  </sheetViews>
  <sheetFormatPr defaultRowHeight="15" x14ac:dyDescent="0.25"/>
  <cols>
    <col min="1" max="1" width="56.28515625" customWidth="1"/>
    <col min="2" max="2" width="15.85546875" customWidth="1"/>
    <col min="3" max="29" width="9.140625" bestFit="1" customWidth="1"/>
  </cols>
  <sheetData>
    <row r="1" spans="1:2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x14ac:dyDescent="0.25">
      <c r="A2" s="1" t="str">
        <f>"Description"</f>
        <v>Description</v>
      </c>
      <c r="B2" s="1" t="str">
        <f>"Ticker"</f>
        <v>Ticker</v>
      </c>
      <c r="C2" s="1" t="str">
        <f>"Field ID"</f>
        <v>Field ID</v>
      </c>
      <c r="D2" s="1" t="str">
        <f>"Field Mnemonic"</f>
        <v>Field Mnemonic</v>
      </c>
      <c r="E2" s="1" t="str">
        <f>"Data State"</f>
        <v>Data State</v>
      </c>
      <c r="F2" s="1" t="str">
        <f>ReferenceData!$C$216</f>
        <v>2020 Q1</v>
      </c>
      <c r="G2" s="1" t="str">
        <f>ReferenceData!$D$216</f>
        <v>2019 Q4</v>
      </c>
      <c r="H2" s="1" t="str">
        <f>ReferenceData!$E$216</f>
        <v>2019 Q3</v>
      </c>
      <c r="I2" s="1" t="str">
        <f>ReferenceData!$F$216</f>
        <v>2019 Q2</v>
      </c>
      <c r="J2" s="1" t="str">
        <f>ReferenceData!$G$216</f>
        <v>2019 Q1</v>
      </c>
      <c r="K2" s="1" t="str">
        <f>ReferenceData!$H$216</f>
        <v>2018 Q4</v>
      </c>
      <c r="L2" s="1" t="str">
        <f>ReferenceData!$I$216</f>
        <v>2018 Q3</v>
      </c>
      <c r="M2" s="1" t="str">
        <f>ReferenceData!$J$216</f>
        <v>2018 Q2</v>
      </c>
      <c r="N2" s="1" t="str">
        <f>ReferenceData!$K$216</f>
        <v>2018 Q1</v>
      </c>
      <c r="O2" s="1" t="str">
        <f>ReferenceData!$L$216</f>
        <v>2017 Q4</v>
      </c>
      <c r="P2" s="1" t="str">
        <f>ReferenceData!$M$216</f>
        <v>2017 Q3</v>
      </c>
      <c r="Q2" s="1" t="str">
        <f>ReferenceData!$N$216</f>
        <v>2017 Q2</v>
      </c>
      <c r="R2" t="str">
        <f>$C$216</f>
        <v>2020 Q1</v>
      </c>
      <c r="S2" t="str">
        <f>$D$216</f>
        <v>2019 Q4</v>
      </c>
      <c r="T2" t="str">
        <f>$E$216</f>
        <v>2019 Q3</v>
      </c>
      <c r="U2" t="str">
        <f>$F$216</f>
        <v>2019 Q2</v>
      </c>
      <c r="V2" t="str">
        <f>$G$216</f>
        <v>2019 Q1</v>
      </c>
      <c r="W2" t="str">
        <f>$H$216</f>
        <v>2018 Q4</v>
      </c>
      <c r="X2" t="str">
        <f>$I$216</f>
        <v>2018 Q3</v>
      </c>
      <c r="Y2" t="str">
        <f>$J$216</f>
        <v>2018 Q2</v>
      </c>
      <c r="Z2" t="str">
        <f>$K$216</f>
        <v>2018 Q1</v>
      </c>
      <c r="AA2" t="str">
        <f>$L$216</f>
        <v>2017 Q4</v>
      </c>
      <c r="AB2" t="str">
        <f>$M$216</f>
        <v>2017 Q3</v>
      </c>
      <c r="AC2" t="str">
        <f>$N$216</f>
        <v>2017 Q2</v>
      </c>
    </row>
    <row r="3" spans="1:29" x14ac:dyDescent="0.25">
      <c r="A3" t="str">
        <f>"Underlying Data:"</f>
        <v>Underlying Data:</v>
      </c>
      <c r="B3" t="str">
        <f>""</f>
        <v/>
      </c>
      <c r="E3" t="str">
        <f>"Heading"</f>
        <v>Heading</v>
      </c>
      <c r="R3" t="str">
        <f>""</f>
        <v/>
      </c>
      <c r="S3" t="str">
        <f>""</f>
        <v/>
      </c>
      <c r="T3" t="str">
        <f>""</f>
        <v/>
      </c>
      <c r="U3" t="str">
        <f>""</f>
        <v/>
      </c>
      <c r="V3" t="str">
        <f>""</f>
        <v/>
      </c>
      <c r="W3" t="str">
        <f>""</f>
        <v/>
      </c>
      <c r="X3" t="str">
        <f>""</f>
        <v/>
      </c>
      <c r="Y3" t="str">
        <f>""</f>
        <v/>
      </c>
      <c r="Z3" t="str">
        <f>""</f>
        <v/>
      </c>
      <c r="AA3" t="str">
        <f>""</f>
        <v/>
      </c>
      <c r="AB3" t="str">
        <f>""</f>
        <v/>
      </c>
      <c r="AC3" t="str">
        <f>""</f>
        <v/>
      </c>
    </row>
    <row r="4" spans="1:29" x14ac:dyDescent="0.25">
      <c r="A4" t="str">
        <f>"Sales"</f>
        <v>Sales</v>
      </c>
      <c r="B4" t="str">
        <f>"BRITBPOV Index"</f>
        <v>BRITBPOV Index</v>
      </c>
      <c r="E4" t="str">
        <f>"Sum"</f>
        <v>Sum</v>
      </c>
      <c r="F4">
        <f ca="1">IF(ISERROR(IF(SUM($F$5:$F$21) = 0, "", SUM($F$5:$F$21))), "", (IF(SUM($F$5:$F$21) = 0, "", SUM($F$5:$F$21))))</f>
        <v>66352.303479299997</v>
      </c>
      <c r="G4">
        <f ca="1">IF(ISERROR(IF(SUM($G$5:$G$21) = 0, "", SUM($G$5:$G$21))), "", (IF(SUM($G$5:$G$21) = 0, "", SUM($G$5:$G$21))))</f>
        <v>71839.888519000015</v>
      </c>
      <c r="H4">
        <f ca="1">IF(ISERROR(IF(SUM($H$5:$H$21) = 0, "", SUM($H$5:$H$21))), "", (IF(SUM($H$5:$H$21) = 0, "", SUM($H$5:$H$21))))</f>
        <v>66469.051619799997</v>
      </c>
      <c r="I4">
        <f ca="1">IF(ISERROR(IF(SUM($I$5:$I$21) = 0, "", SUM($I$5:$I$21))), "", (IF(SUM($I$5:$I$21) = 0, "", SUM($I$5:$I$21))))</f>
        <v>67747.602970399996</v>
      </c>
      <c r="J4">
        <f ca="1">IF(ISERROR(IF(SUM($J$5:$J$21) = 0, "", SUM($J$5:$J$21))), "", (IF(SUM($J$5:$J$21) = 0, "", SUM($J$5:$J$21))))</f>
        <v>65907.573663499992</v>
      </c>
      <c r="K4">
        <f ca="1">IF(ISERROR(IF(SUM($K$5:$K$21) = 0, "", SUM($K$5:$K$21))), "", (IF(SUM($K$5:$K$21) = 0, "", SUM($K$5:$K$21))))</f>
        <v>70135.590173999997</v>
      </c>
      <c r="L4">
        <f ca="1">IF(ISERROR(IF(SUM($L$5:$L$21) = 0, "", SUM($L$5:$L$21))), "", (IF(SUM($L$5:$L$21) = 0, "", SUM($L$5:$L$21))))</f>
        <v>65556.1584783</v>
      </c>
      <c r="M4">
        <f ca="1">IF(ISERROR(IF(SUM($M$5:$M$21) = 0, "", SUM($M$5:$M$21))), "", (IF(SUM($M$5:$M$21) = 0, "", SUM($M$5:$M$21))))</f>
        <v>66745.474788100008</v>
      </c>
      <c r="N4">
        <f ca="1">IF(ISERROR(IF(SUM($N$5:$N$21) = 0, "", SUM($N$5:$N$21))), "", (IF(SUM($N$5:$N$21) = 0, "", SUM($N$5:$N$21))))</f>
        <v>65935.777257399997</v>
      </c>
      <c r="O4">
        <f ca="1">IF(ISERROR(IF(SUM($O$5:$O$21) = 0, "", SUM($O$5:$O$21))), "", (IF(SUM($O$5:$O$21) = 0, "", SUM($O$5:$O$21))))</f>
        <v>69218.333553999997</v>
      </c>
      <c r="P4">
        <f ca="1">IF(ISERROR(IF(SUM($P$5:$P$21) = 0, "", SUM($P$5:$P$21))), "", (IF(SUM($P$5:$P$21) = 0, "", SUM($P$5:$P$21))))</f>
        <v>64152.679203200001</v>
      </c>
      <c r="Q4">
        <f ca="1">IF(ISERROR(IF(SUM($Q$5:$Q$21) = 0, "", SUM($Q$5:$Q$21))), "", (IF(SUM($Q$5:$Q$21) = 0, "", SUM($Q$5:$Q$21))))</f>
        <v>63086.614398199999</v>
      </c>
      <c r="R4">
        <f>66352.30348</f>
        <v>66352.303480000002</v>
      </c>
      <c r="S4">
        <f>71839.88852</f>
        <v>71839.888519999993</v>
      </c>
      <c r="T4">
        <f>66469.05162</f>
        <v>66469.051619999998</v>
      </c>
      <c r="U4">
        <f>67747.60297</f>
        <v>67747.602970000007</v>
      </c>
      <c r="V4">
        <f>65907.57366</f>
        <v>65907.573659999995</v>
      </c>
      <c r="W4">
        <f>70135.59017</f>
        <v>70135.590169999996</v>
      </c>
      <c r="X4">
        <f>65556.15848</f>
        <v>65556.158479999998</v>
      </c>
      <c r="Y4">
        <f>66745.47479</f>
        <v>66745.474789999993</v>
      </c>
      <c r="Z4">
        <f>65935.77726</f>
        <v>65935.777260000003</v>
      </c>
      <c r="AA4">
        <f>69218.33355</f>
        <v>69218.333549999996</v>
      </c>
      <c r="AB4">
        <f>64152.6792</f>
        <v>64152.679199999999</v>
      </c>
      <c r="AC4">
        <f>63086.6144</f>
        <v>63086.614399999999</v>
      </c>
    </row>
    <row r="5" spans="1:29" x14ac:dyDescent="0.25">
      <c r="A5" t="str">
        <f>"    Accenture PLC"</f>
        <v xml:space="preserve">    Accenture PLC</v>
      </c>
      <c r="B5" t="str">
        <f>"ACN US Equity"</f>
        <v>ACN US Equity</v>
      </c>
      <c r="C5" t="str">
        <f t="shared" ref="C5:C21" si="0">"IS010"</f>
        <v>IS010</v>
      </c>
      <c r="D5" t="str">
        <f t="shared" ref="D5:D21" si="1">"SALES_REV_TURN"</f>
        <v>SALES_REV_TURN</v>
      </c>
      <c r="E5" t="str">
        <f t="shared" ref="E5:E21" si="2">"Dynamic"</f>
        <v>Dynamic</v>
      </c>
      <c r="F5">
        <f ca="1">IF(AND(ISNUMBER($F$112),$B$110=1),$F$112,HLOOKUP(INDIRECT(ADDRESS(2,COLUMN())),OFFSET($R$2,0,0,ROW()-1,12),ROW()-1,FALSE))</f>
        <v>11141.504999999999</v>
      </c>
      <c r="G5">
        <f ca="1">IF(AND(ISNUMBER($G$112),$B$110=1),$G$112,HLOOKUP(INDIRECT(ADDRESS(2,COLUMN())),OFFSET($R$2,0,0,ROW()-1,12),ROW()-1,FALSE))</f>
        <v>11358.958000000001</v>
      </c>
      <c r="H5">
        <f ca="1">IF(AND(ISNUMBER($H$112),$B$110=1),$H$112,HLOOKUP(INDIRECT(ADDRESS(2,COLUMN())),OFFSET($R$2,0,0,ROW()-1,12),ROW()-1,FALSE))</f>
        <v>11055.65</v>
      </c>
      <c r="I5">
        <f ca="1">IF(AND(ISNUMBER($I$112),$B$110=1),$I$112,HLOOKUP(INDIRECT(ADDRESS(2,COLUMN())),OFFSET($R$2,0,0,ROW()-1,12),ROW()-1,FALSE))</f>
        <v>11099.688</v>
      </c>
      <c r="J5">
        <f ca="1">IF(AND(ISNUMBER($J$112),$B$110=1),$J$112,HLOOKUP(INDIRECT(ADDRESS(2,COLUMN())),OFFSET($R$2,0,0,ROW()-1,12),ROW()-1,FALSE))</f>
        <v>10454.129000000001</v>
      </c>
      <c r="K5">
        <f ca="1">IF(AND(ISNUMBER($K$112),$B$110=1),$K$112,HLOOKUP(INDIRECT(ADDRESS(2,COLUMN())),OFFSET($R$2,0,0,ROW()-1,12),ROW()-1,FALSE))</f>
        <v>10605.546</v>
      </c>
      <c r="L5">
        <f ca="1">IF(AND(ISNUMBER($L$112),$B$110=1),$L$112,HLOOKUP(INDIRECT(ADDRESS(2,COLUMN())),OFFSET($R$2,0,0,ROW()-1,12),ROW()-1,FALSE))</f>
        <v>10503.986999999999</v>
      </c>
      <c r="M5">
        <f ca="1">IF(AND(ISNUMBER($M$112),$B$110=1),$M$112,HLOOKUP(INDIRECT(ADDRESS(2,COLUMN())),OFFSET($R$2,0,0,ROW()-1,12),ROW()-1,FALSE))</f>
        <v>10694.995999999999</v>
      </c>
      <c r="N5">
        <f ca="1">IF(AND(ISNUMBER($N$112),$B$110=1),$N$112,HLOOKUP(INDIRECT(ADDRESS(2,COLUMN())),OFFSET($R$2,0,0,ROW()-1,12),ROW()-1,FALSE))</f>
        <v>9909.2379999999994</v>
      </c>
      <c r="O5">
        <f ca="1">IF(AND(ISNUMBER($O$112),$B$110=1),$O$112,HLOOKUP(INDIRECT(ADDRESS(2,COLUMN())),OFFSET($R$2,0,0,ROW()-1,12),ROW()-1,FALSE))</f>
        <v>9884.3130000000001</v>
      </c>
      <c r="P5">
        <f ca="1">IF(AND(ISNUMBER($P$112),$B$110=1),$P$112,HLOOKUP(INDIRECT(ADDRESS(2,COLUMN())),OFFSET($R$2,0,0,ROW()-1,12),ROW()-1,FALSE))</f>
        <v>9640.9060000000009</v>
      </c>
      <c r="Q5">
        <f ca="1">IF(AND(ISNUMBER($Q$112),$B$110=1),$Q$112,HLOOKUP(INDIRECT(ADDRESS(2,COLUMN())),OFFSET($R$2,0,0,ROW()-1,12),ROW()-1,FALSE))</f>
        <v>9356.7870000000003</v>
      </c>
      <c r="R5">
        <f>11141.505</f>
        <v>11141.504999999999</v>
      </c>
      <c r="S5">
        <f>11358.958</f>
        <v>11358.958000000001</v>
      </c>
      <c r="T5">
        <f>11055.65</f>
        <v>11055.65</v>
      </c>
      <c r="U5">
        <f>11099.688</f>
        <v>11099.688</v>
      </c>
      <c r="V5">
        <f>10454.129</f>
        <v>10454.129000000001</v>
      </c>
      <c r="W5">
        <f>10605.546</f>
        <v>10605.546</v>
      </c>
      <c r="X5">
        <f>10503.987</f>
        <v>10503.986999999999</v>
      </c>
      <c r="Y5">
        <f>10694.996</f>
        <v>10694.995999999999</v>
      </c>
      <c r="Z5">
        <f>9909.238</f>
        <v>9909.2379999999994</v>
      </c>
      <c r="AA5">
        <f>9884.313</f>
        <v>9884.3130000000001</v>
      </c>
      <c r="AB5">
        <f>9640.906</f>
        <v>9640.9060000000009</v>
      </c>
      <c r="AC5">
        <f>9356.787</f>
        <v>9356.7870000000003</v>
      </c>
    </row>
    <row r="6" spans="1:29" x14ac:dyDescent="0.25">
      <c r="A6" t="str">
        <f>"    Amdocs Ltd"</f>
        <v xml:space="preserve">    Amdocs Ltd</v>
      </c>
      <c r="B6" t="str">
        <f>"DOX US Equity"</f>
        <v>DOX US Equity</v>
      </c>
      <c r="C6" t="str">
        <f t="shared" si="0"/>
        <v>IS010</v>
      </c>
      <c r="D6" t="str">
        <f t="shared" si="1"/>
        <v>SALES_REV_TURN</v>
      </c>
      <c r="E6" t="str">
        <f t="shared" si="2"/>
        <v>Dynamic</v>
      </c>
      <c r="F6">
        <f ca="1">IF(AND(ISNUMBER($F$113),$B$110=1),$F$113,HLOOKUP(INDIRECT(ADDRESS(2,COLUMN())),OFFSET($R$2,0,0,ROW()-1,12),ROW()-1,FALSE))</f>
        <v>1047.933</v>
      </c>
      <c r="G6">
        <f ca="1">IF(AND(ISNUMBER($G$113),$B$110=1),$G$113,HLOOKUP(INDIRECT(ADDRESS(2,COLUMN())),OFFSET($R$2,0,0,ROW()-1,12),ROW()-1,FALSE))</f>
        <v>1041.9570000000001</v>
      </c>
      <c r="H6">
        <f ca="1">IF(AND(ISNUMBER($H$113),$B$110=1),$H$113,HLOOKUP(INDIRECT(ADDRESS(2,COLUMN())),OFFSET($R$2,0,0,ROW()-1,12),ROW()-1,FALSE))</f>
        <v>1030.2529999999999</v>
      </c>
      <c r="I6">
        <f ca="1">IF(AND(ISNUMBER($I$113),$B$110=1),$I$113,HLOOKUP(INDIRECT(ADDRESS(2,COLUMN())),OFFSET($R$2,0,0,ROW()-1,12),ROW()-1,FALSE))</f>
        <v>1024.704</v>
      </c>
      <c r="J6">
        <f ca="1">IF(AND(ISNUMBER($J$113),$B$110=1),$J$113,HLOOKUP(INDIRECT(ADDRESS(2,COLUMN())),OFFSET($R$2,0,0,ROW()-1,12),ROW()-1,FALSE))</f>
        <v>1019.657</v>
      </c>
      <c r="K6">
        <f ca="1">IF(AND(ISNUMBER($K$113),$B$110=1),$K$113,HLOOKUP(INDIRECT(ADDRESS(2,COLUMN())),OFFSET($R$2,0,0,ROW()-1,12),ROW()-1,FALSE))</f>
        <v>1012.0549999999999</v>
      </c>
      <c r="L6">
        <f ca="1">IF(AND(ISNUMBER($L$113),$B$110=1),$L$113,HLOOKUP(INDIRECT(ADDRESS(2,COLUMN())),OFFSET($R$2,0,0,ROW()-1,12),ROW()-1,FALSE))</f>
        <v>1002.588</v>
      </c>
      <c r="M6">
        <f ca="1">IF(AND(ISNUMBER($M$113),$B$110=1),$M$113,HLOOKUP(INDIRECT(ADDRESS(2,COLUMN())),OFFSET($R$2,0,0,ROW()-1,12),ROW()-1,FALSE))</f>
        <v>1002.198</v>
      </c>
      <c r="N6">
        <f ca="1">IF(AND(ISNUMBER($N$113),$B$110=1),$N$113,HLOOKUP(INDIRECT(ADDRESS(2,COLUMN())),OFFSET($R$2,0,0,ROW()-1,12),ROW()-1,FALSE))</f>
        <v>992.34</v>
      </c>
      <c r="O6">
        <f ca="1">IF(AND(ISNUMBER($O$113),$B$110=1),$O$113,HLOOKUP(INDIRECT(ADDRESS(2,COLUMN())),OFFSET($R$2,0,0,ROW()-1,12),ROW()-1,FALSE))</f>
        <v>977.71100000000001</v>
      </c>
      <c r="P6">
        <f ca="1">IF(AND(ISNUMBER($P$113),$B$110=1),$P$113,HLOOKUP(INDIRECT(ADDRESS(2,COLUMN())),OFFSET($R$2,0,0,ROW()-1,12),ROW()-1,FALSE))</f>
        <v>979.72400000000005</v>
      </c>
      <c r="Q6">
        <f ca="1">IF(AND(ISNUMBER($Q$113),$B$110=1),$Q$113,HLOOKUP(INDIRECT(ADDRESS(2,COLUMN())),OFFSET($R$2,0,0,ROW()-1,12),ROW()-1,FALSE))</f>
        <v>966.69500000000005</v>
      </c>
      <c r="R6">
        <f>1047.933</f>
        <v>1047.933</v>
      </c>
      <c r="S6">
        <f>1041.957</f>
        <v>1041.9570000000001</v>
      </c>
      <c r="T6">
        <f>1030.253</f>
        <v>1030.2529999999999</v>
      </c>
      <c r="U6">
        <f>1024.704</f>
        <v>1024.704</v>
      </c>
      <c r="V6">
        <f>1019.657</f>
        <v>1019.657</v>
      </c>
      <c r="W6">
        <f>1012.055</f>
        <v>1012.0549999999999</v>
      </c>
      <c r="X6">
        <f>1002.588</f>
        <v>1002.588</v>
      </c>
      <c r="Y6">
        <f>1002.198</f>
        <v>1002.198</v>
      </c>
      <c r="Z6">
        <f>992.34</f>
        <v>992.34</v>
      </c>
      <c r="AA6">
        <f>977.711</f>
        <v>977.71100000000001</v>
      </c>
      <c r="AB6">
        <f>979.724</f>
        <v>979.72400000000005</v>
      </c>
      <c r="AC6">
        <f>966.695</f>
        <v>966.69500000000005</v>
      </c>
    </row>
    <row r="7" spans="1:29" x14ac:dyDescent="0.25">
      <c r="A7" t="str">
        <f>"    Atos SE"</f>
        <v xml:space="preserve">    Atos SE</v>
      </c>
      <c r="B7" t="str">
        <f>"ATO FP Equity"</f>
        <v>ATO FP Equity</v>
      </c>
      <c r="C7" t="str">
        <f t="shared" si="0"/>
        <v>IS010</v>
      </c>
      <c r="D7" t="str">
        <f t="shared" si="1"/>
        <v>SALES_REV_TURN</v>
      </c>
      <c r="E7" t="str">
        <f t="shared" si="2"/>
        <v>Dynamic</v>
      </c>
      <c r="F7">
        <f ca="1">IF(AND(ISNUMBER($F$114),$B$110=1),$F$114,HLOOKUP(INDIRECT(ADDRESS(2,COLUMN())),OFFSET($R$2,0,0,ROW()-1,12),ROW()-1,FALSE))</f>
        <v>3124.4922379999998</v>
      </c>
      <c r="G7">
        <f ca="1">IF(AND(ISNUMBER($G$114),$B$110=1),$G$114,HLOOKUP(INDIRECT(ADDRESS(2,COLUMN())),OFFSET($R$2,0,0,ROW()-1,12),ROW()-1,FALSE))</f>
        <v>3403.6452800000002</v>
      </c>
      <c r="H7">
        <f ca="1">IF(AND(ISNUMBER($H$114),$B$110=1),$H$114,HLOOKUP(INDIRECT(ADDRESS(2,COLUMN())),OFFSET($R$2,0,0,ROW()-1,12),ROW()-1,FALSE))</f>
        <v>3080.310215</v>
      </c>
      <c r="I7">
        <f ca="1">IF(AND(ISNUMBER($I$114),$B$110=1),$I$114,HLOOKUP(INDIRECT(ADDRESS(2,COLUMN())),OFFSET($R$2,0,0,ROW()-1,12),ROW()-1,FALSE))</f>
        <v>3287.5849520000002</v>
      </c>
      <c r="J7">
        <f ca="1">IF(AND(ISNUMBER($J$114),$B$110=1),$J$114,HLOOKUP(INDIRECT(ADDRESS(2,COLUMN())),OFFSET($R$2,0,0,ROW()-1,12),ROW()-1,FALSE))</f>
        <v>3200.30375</v>
      </c>
      <c r="K7">
        <f ca="1">IF(AND(ISNUMBER($K$114),$B$110=1),$K$114,HLOOKUP(INDIRECT(ADDRESS(2,COLUMN())),OFFSET($R$2,0,0,ROW()-1,12),ROW()-1,FALSE))</f>
        <v>3843.1831080000002</v>
      </c>
      <c r="L7">
        <f ca="1">IF(AND(ISNUMBER($L$114),$B$110=1),$L$114,HLOOKUP(INDIRECT(ADDRESS(2,COLUMN())),OFFSET($R$2,0,0,ROW()-1,12),ROW()-1,FALSE))</f>
        <v>3353.7181890000002</v>
      </c>
      <c r="M7">
        <f ca="1">IF(AND(ISNUMBER($M$114),$B$110=1),$M$114,HLOOKUP(INDIRECT(ADDRESS(2,COLUMN())),OFFSET($R$2,0,0,ROW()-1,12),ROW()-1,FALSE))</f>
        <v>2737.2684170000002</v>
      </c>
      <c r="N7">
        <f ca="1">IF(AND(ISNUMBER($N$114),$B$110=1),$N$114,HLOOKUP(INDIRECT(ADDRESS(2,COLUMN())),OFFSET($R$2,0,0,ROW()-1,12),ROW()-1,FALSE))</f>
        <v>3619.3021520000002</v>
      </c>
      <c r="O7">
        <f ca="1">IF(AND(ISNUMBER($O$114),$B$110=1),$O$114,HLOOKUP(INDIRECT(ADDRESS(2,COLUMN())),OFFSET($R$2,0,0,ROW()-1,12),ROW()-1,FALSE))</f>
        <v>3978.3979250000002</v>
      </c>
      <c r="P7">
        <f ca="1">IF(AND(ISNUMBER($P$114),$B$110=1),$P$114,HLOOKUP(INDIRECT(ADDRESS(2,COLUMN())),OFFSET($R$2,0,0,ROW()-1,12),ROW()-1,FALSE))</f>
        <v>3384.958482</v>
      </c>
      <c r="Q7">
        <f ca="1">IF(AND(ISNUMBER($Q$114),$B$110=1),$Q$114,HLOOKUP(INDIRECT(ADDRESS(2,COLUMN())),OFFSET($R$2,0,0,ROW()-1,12),ROW()-1,FALSE))</f>
        <v>3188.6062710000001</v>
      </c>
      <c r="R7">
        <f>3124.492238</f>
        <v>3124.4922379999998</v>
      </c>
      <c r="S7">
        <f>3403.64528</f>
        <v>3403.6452800000002</v>
      </c>
      <c r="T7">
        <f>3080.310215</f>
        <v>3080.310215</v>
      </c>
      <c r="U7">
        <f>3287.584952</f>
        <v>3287.5849520000002</v>
      </c>
      <c r="V7">
        <f>3200.30375</f>
        <v>3200.30375</v>
      </c>
      <c r="W7">
        <f>3843.183108</f>
        <v>3843.1831080000002</v>
      </c>
      <c r="X7">
        <f>3353.718189</f>
        <v>3353.7181890000002</v>
      </c>
      <c r="Y7">
        <f>2737.268417</f>
        <v>2737.2684170000002</v>
      </c>
      <c r="Z7">
        <f>3619.302152</f>
        <v>3619.3021520000002</v>
      </c>
      <c r="AA7">
        <f>3978.397925</f>
        <v>3978.3979250000002</v>
      </c>
      <c r="AB7">
        <f>3384.958482</f>
        <v>3384.958482</v>
      </c>
      <c r="AC7">
        <f>3188.606271</f>
        <v>3188.6062710000001</v>
      </c>
    </row>
    <row r="8" spans="1:29" x14ac:dyDescent="0.25">
      <c r="A8" t="str">
        <f>"    Capgemini SE"</f>
        <v xml:space="preserve">    Capgemini SE</v>
      </c>
      <c r="B8" t="str">
        <f>"CAP FP Equity"</f>
        <v>CAP FP Equity</v>
      </c>
      <c r="C8" t="str">
        <f t="shared" si="0"/>
        <v>IS010</v>
      </c>
      <c r="D8" t="str">
        <f t="shared" si="1"/>
        <v>SALES_REV_TURN</v>
      </c>
      <c r="E8" t="str">
        <f t="shared" si="2"/>
        <v>Dynamic</v>
      </c>
      <c r="F8">
        <f ca="1">IF(AND(ISNUMBER($F$115),$B$110=1),$F$115,HLOOKUP(INDIRECT(ADDRESS(2,COLUMN())),OFFSET($R$2,0,0,ROW()-1,12),ROW()-1,FALSE))</f>
        <v>3910.5765580000002</v>
      </c>
      <c r="G8">
        <f ca="1">IF(AND(ISNUMBER($G$115),$B$110=1),$G$115,HLOOKUP(INDIRECT(ADDRESS(2,COLUMN())),OFFSET($R$2,0,0,ROW()-1,12),ROW()-1,FALSE))</f>
        <v>4041.4135569999999</v>
      </c>
      <c r="H8">
        <f ca="1">IF(AND(ISNUMBER($H$115),$B$110=1),$H$115,HLOOKUP(INDIRECT(ADDRESS(2,COLUMN())),OFFSET($R$2,0,0,ROW()-1,12),ROW()-1,FALSE))</f>
        <v>3856.503909</v>
      </c>
      <c r="I8">
        <f ca="1">IF(AND(ISNUMBER($I$115),$B$110=1),$I$115,HLOOKUP(INDIRECT(ADDRESS(2,COLUMN())),OFFSET($R$2,0,0,ROW()-1,12),ROW()-1,FALSE))</f>
        <v>4006.6739360000001</v>
      </c>
      <c r="J8">
        <f ca="1">IF(AND(ISNUMBER($J$115),$B$110=1),$J$115,HLOOKUP(INDIRECT(ADDRESS(2,COLUMN())),OFFSET($R$2,0,0,ROW()-1,12),ROW()-1,FALSE))</f>
        <v>3907.8229959999999</v>
      </c>
      <c r="K8">
        <f ca="1">IF(AND(ISNUMBER($K$115),$B$110=1),$K$115,HLOOKUP(INDIRECT(ADDRESS(2,COLUMN())),OFFSET($R$2,0,0,ROW()-1,12),ROW()-1,FALSE))</f>
        <v>3996.0888490000002</v>
      </c>
      <c r="L8">
        <f ca="1">IF(AND(ISNUMBER($L$115),$B$110=1),$L$115,HLOOKUP(INDIRECT(ADDRESS(2,COLUMN())),OFFSET($R$2,0,0,ROW()-1,12),ROW()-1,FALSE))</f>
        <v>3753.745602</v>
      </c>
      <c r="M8">
        <f ca="1">IF(AND(ISNUMBER($M$115),$B$110=1),$M$115,HLOOKUP(INDIRECT(ADDRESS(2,COLUMN())),OFFSET($R$2,0,0,ROW()-1,12),ROW()-1,FALSE))</f>
        <v>3950.917915</v>
      </c>
      <c r="N8">
        <f ca="1">IF(AND(ISNUMBER($N$115),$B$110=1),$N$115,HLOOKUP(INDIRECT(ADDRESS(2,COLUMN())),OFFSET($R$2,0,0,ROW()-1,12),ROW()-1,FALSE))</f>
        <v>3874.926888</v>
      </c>
      <c r="O8">
        <f ca="1">IF(AND(ISNUMBER($O$115),$B$110=1),$O$115,HLOOKUP(INDIRECT(ADDRESS(2,COLUMN())),OFFSET($R$2,0,0,ROW()-1,12),ROW()-1,FALSE))</f>
        <v>3826.4697620000002</v>
      </c>
      <c r="P8">
        <f ca="1">IF(AND(ISNUMBER($P$115),$B$110=1),$P$115,HLOOKUP(INDIRECT(ADDRESS(2,COLUMN())),OFFSET($R$2,0,0,ROW()-1,12),ROW()-1,FALSE))</f>
        <v>3578.821081</v>
      </c>
      <c r="Q8">
        <f ca="1">IF(AND(ISNUMBER($Q$115),$B$110=1),$Q$115,HLOOKUP(INDIRECT(ADDRESS(2,COLUMN())),OFFSET($R$2,0,0,ROW()-1,12),ROW()-1,FALSE))</f>
        <v>3568.4644069999999</v>
      </c>
      <c r="R8">
        <f>3910.576558</f>
        <v>3910.5765580000002</v>
      </c>
      <c r="S8">
        <f>4041.413557</f>
        <v>4041.4135569999999</v>
      </c>
      <c r="T8">
        <f>3856.503909</f>
        <v>3856.503909</v>
      </c>
      <c r="U8">
        <f>4006.673936</f>
        <v>4006.6739360000001</v>
      </c>
      <c r="V8">
        <f>3907.822996</f>
        <v>3907.8229959999999</v>
      </c>
      <c r="W8">
        <f>3996.088849</f>
        <v>3996.0888490000002</v>
      </c>
      <c r="X8">
        <f>3753.745602</f>
        <v>3753.745602</v>
      </c>
      <c r="Y8">
        <f>3950.917915</f>
        <v>3950.917915</v>
      </c>
      <c r="Z8">
        <f>3874.926888</f>
        <v>3874.926888</v>
      </c>
      <c r="AA8">
        <f>3826.469762</f>
        <v>3826.4697620000002</v>
      </c>
      <c r="AB8">
        <f>3578.821081</f>
        <v>3578.821081</v>
      </c>
      <c r="AC8">
        <f>3568.464407</f>
        <v>3568.4644069999999</v>
      </c>
    </row>
    <row r="9" spans="1:29" x14ac:dyDescent="0.25">
      <c r="A9" t="str">
        <f>"    CGI Inc"</f>
        <v xml:space="preserve">    CGI Inc</v>
      </c>
      <c r="B9" t="str">
        <f>"GIB US Equity"</f>
        <v>GIB US Equity</v>
      </c>
      <c r="C9" t="str">
        <f t="shared" si="0"/>
        <v>IS010</v>
      </c>
      <c r="D9" t="str">
        <f t="shared" si="1"/>
        <v>SALES_REV_TURN</v>
      </c>
      <c r="E9" t="str">
        <f t="shared" si="2"/>
        <v>Dynamic</v>
      </c>
      <c r="F9">
        <f ca="1">IF(AND(ISNUMBER($F$116),$B$110=1),$F$116,HLOOKUP(INDIRECT(ADDRESS(2,COLUMN())),OFFSET($R$2,0,0,ROW()-1,12),ROW()-1,FALSE))</f>
        <v>2332.1932740000002</v>
      </c>
      <c r="G9">
        <f ca="1">IF(AND(ISNUMBER($G$116),$B$110=1),$G$116,HLOOKUP(INDIRECT(ADDRESS(2,COLUMN())),OFFSET($R$2,0,0,ROW()-1,12),ROW()-1,FALSE))</f>
        <v>2314.7656790000001</v>
      </c>
      <c r="H9">
        <f ca="1">IF(AND(ISNUMBER($H$116),$B$110=1),$H$116,HLOOKUP(INDIRECT(ADDRESS(2,COLUMN())),OFFSET($R$2,0,0,ROW()-1,12),ROW()-1,FALSE))</f>
        <v>2241.2733659999999</v>
      </c>
      <c r="I9">
        <f ca="1">IF(AND(ISNUMBER($I$116),$B$110=1),$I$116,HLOOKUP(INDIRECT(ADDRESS(2,COLUMN())),OFFSET($R$2,0,0,ROW()-1,12),ROW()-1,FALSE))</f>
        <v>2331.9430149999998</v>
      </c>
      <c r="J9">
        <f ca="1">IF(AND(ISNUMBER($J$116),$B$110=1),$J$116,HLOOKUP(INDIRECT(ADDRESS(2,COLUMN())),OFFSET($R$2,0,0,ROW()-1,12),ROW()-1,FALSE))</f>
        <v>2307.3579129999998</v>
      </c>
      <c r="K9">
        <f ca="1">IF(AND(ISNUMBER($K$116),$B$110=1),$K$116,HLOOKUP(INDIRECT(ADDRESS(2,COLUMN())),OFFSET($R$2,0,0,ROW()-1,12),ROW()-1,FALSE))</f>
        <v>2243.591238</v>
      </c>
      <c r="L9">
        <f ca="1">IF(AND(ISNUMBER($L$116),$B$110=1),$L$116,HLOOKUP(INDIRECT(ADDRESS(2,COLUMN())),OFFSET($R$2,0,0,ROW()-1,12),ROW()-1,FALSE))</f>
        <v>2141.1609079999998</v>
      </c>
      <c r="M9">
        <f ca="1">IF(AND(ISNUMBER($M$116),$B$110=1),$M$116,HLOOKUP(INDIRECT(ADDRESS(2,COLUMN())),OFFSET($R$2,0,0,ROW()-1,12),ROW()-1,FALSE))</f>
        <v>2278.661294</v>
      </c>
      <c r="N9">
        <f ca="1">IF(AND(ISNUMBER($N$116),$B$110=1),$N$116,HLOOKUP(INDIRECT(ADDRESS(2,COLUMN())),OFFSET($R$2,0,0,ROW()-1,12),ROW()-1,FALSE))</f>
        <v>2332.9850280000001</v>
      </c>
      <c r="O9">
        <f ca="1">IF(AND(ISNUMBER($O$116),$B$110=1),$O$116,HLOOKUP(INDIRECT(ADDRESS(2,COLUMN())),OFFSET($R$2,0,0,ROW()-1,12),ROW()-1,FALSE))</f>
        <v>2216.2137320000002</v>
      </c>
      <c r="P9">
        <f ca="1">IF(AND(ISNUMBER($P$116),$B$110=1),$P$116,HLOOKUP(INDIRECT(ADDRESS(2,COLUMN())),OFFSET($R$2,0,0,ROW()-1,12),ROW()-1,FALSE))</f>
        <v>2081.1847899999998</v>
      </c>
      <c r="Q9">
        <f ca="1">IF(AND(ISNUMBER($Q$116),$B$110=1),$Q$116,HLOOKUP(INDIRECT(ADDRESS(2,COLUMN())),OFFSET($R$2,0,0,ROW()-1,12),ROW()-1,FALSE))</f>
        <v>2109.3630290000001</v>
      </c>
      <c r="R9">
        <f>2332.193274</f>
        <v>2332.1932740000002</v>
      </c>
      <c r="S9">
        <f>2314.765679</f>
        <v>2314.7656790000001</v>
      </c>
      <c r="T9">
        <f>2241.273366</f>
        <v>2241.2733659999999</v>
      </c>
      <c r="U9">
        <f>2331.943015</f>
        <v>2331.9430149999998</v>
      </c>
      <c r="V9">
        <f>2307.357913</f>
        <v>2307.3579129999998</v>
      </c>
      <c r="W9">
        <f>2243.591238</f>
        <v>2243.591238</v>
      </c>
      <c r="X9">
        <f>2141.160908</f>
        <v>2141.1609079999998</v>
      </c>
      <c r="Y9">
        <f>2278.661294</f>
        <v>2278.661294</v>
      </c>
      <c r="Z9">
        <f>2332.985028</f>
        <v>2332.9850280000001</v>
      </c>
      <c r="AA9">
        <f>2216.213732</f>
        <v>2216.2137320000002</v>
      </c>
      <c r="AB9">
        <f>2081.18479</f>
        <v>2081.1847899999998</v>
      </c>
      <c r="AC9">
        <f>2109.363029</f>
        <v>2109.3630290000001</v>
      </c>
    </row>
    <row r="10" spans="1:29" x14ac:dyDescent="0.25">
      <c r="A10" t="str">
        <f>"    Cognizant Technology Solutions Corp"</f>
        <v xml:space="preserve">    Cognizant Technology Solutions Corp</v>
      </c>
      <c r="B10" t="str">
        <f>"CTSH US Equity"</f>
        <v>CTSH US Equity</v>
      </c>
      <c r="C10" t="str">
        <f t="shared" si="0"/>
        <v>IS010</v>
      </c>
      <c r="D10" t="str">
        <f t="shared" si="1"/>
        <v>SALES_REV_TURN</v>
      </c>
      <c r="E10" t="str">
        <f t="shared" si="2"/>
        <v>Dynamic</v>
      </c>
      <c r="F10">
        <f ca="1">IF(AND(ISNUMBER($F$117),$B$110=1),$F$117,HLOOKUP(INDIRECT(ADDRESS(2,COLUMN())),OFFSET($R$2,0,0,ROW()-1,12),ROW()-1,FALSE))</f>
        <v>4225</v>
      </c>
      <c r="G10">
        <f ca="1">IF(AND(ISNUMBER($G$117),$B$110=1),$G$117,HLOOKUP(INDIRECT(ADDRESS(2,COLUMN())),OFFSET($R$2,0,0,ROW()-1,12),ROW()-1,FALSE))</f>
        <v>4284</v>
      </c>
      <c r="H10">
        <f ca="1">IF(AND(ISNUMBER($H$117),$B$110=1),$H$117,HLOOKUP(INDIRECT(ADDRESS(2,COLUMN())),OFFSET($R$2,0,0,ROW()-1,12),ROW()-1,FALSE))</f>
        <v>4248</v>
      </c>
      <c r="I10">
        <f ca="1">IF(AND(ISNUMBER($I$117),$B$110=1),$I$117,HLOOKUP(INDIRECT(ADDRESS(2,COLUMN())),OFFSET($R$2,0,0,ROW()-1,12),ROW()-1,FALSE))</f>
        <v>4141</v>
      </c>
      <c r="J10">
        <f ca="1">IF(AND(ISNUMBER($J$117),$B$110=1),$J$117,HLOOKUP(INDIRECT(ADDRESS(2,COLUMN())),OFFSET($R$2,0,0,ROW()-1,12),ROW()-1,FALSE))</f>
        <v>4110</v>
      </c>
      <c r="K10">
        <f ca="1">IF(AND(ISNUMBER($K$117),$B$110=1),$K$117,HLOOKUP(INDIRECT(ADDRESS(2,COLUMN())),OFFSET($R$2,0,0,ROW()-1,12),ROW()-1,FALSE))</f>
        <v>4129</v>
      </c>
      <c r="L10">
        <f ca="1">IF(AND(ISNUMBER($L$117),$B$110=1),$L$117,HLOOKUP(INDIRECT(ADDRESS(2,COLUMN())),OFFSET($R$2,0,0,ROW()-1,12),ROW()-1,FALSE))</f>
        <v>4078</v>
      </c>
      <c r="M10">
        <f ca="1">IF(AND(ISNUMBER($M$117),$B$110=1),$M$117,HLOOKUP(INDIRECT(ADDRESS(2,COLUMN())),OFFSET($R$2,0,0,ROW()-1,12),ROW()-1,FALSE))</f>
        <v>4006</v>
      </c>
      <c r="N10">
        <f ca="1">IF(AND(ISNUMBER($N$117),$B$110=1),$N$117,HLOOKUP(INDIRECT(ADDRESS(2,COLUMN())),OFFSET($R$2,0,0,ROW()-1,12),ROW()-1,FALSE))</f>
        <v>3912</v>
      </c>
      <c r="O10">
        <f ca="1">IF(AND(ISNUMBER($O$117),$B$110=1),$O$117,HLOOKUP(INDIRECT(ADDRESS(2,COLUMN())),OFFSET($R$2,0,0,ROW()-1,12),ROW()-1,FALSE))</f>
        <v>3828</v>
      </c>
      <c r="P10">
        <f ca="1">IF(AND(ISNUMBER($P$117),$B$110=1),$P$117,HLOOKUP(INDIRECT(ADDRESS(2,COLUMN())),OFFSET($R$2,0,0,ROW()-1,12),ROW()-1,FALSE))</f>
        <v>3766</v>
      </c>
      <c r="Q10">
        <f ca="1">IF(AND(ISNUMBER($Q$117),$B$110=1),$Q$117,HLOOKUP(INDIRECT(ADDRESS(2,COLUMN())),OFFSET($R$2,0,0,ROW()-1,12),ROW()-1,FALSE))</f>
        <v>3670</v>
      </c>
      <c r="R10">
        <f>4225</f>
        <v>4225</v>
      </c>
      <c r="S10">
        <f>4284</f>
        <v>4284</v>
      </c>
      <c r="T10">
        <f>4248</f>
        <v>4248</v>
      </c>
      <c r="U10">
        <f>4141</f>
        <v>4141</v>
      </c>
      <c r="V10">
        <f>4110</f>
        <v>4110</v>
      </c>
      <c r="W10">
        <f>4129</f>
        <v>4129</v>
      </c>
      <c r="X10">
        <f>4078</f>
        <v>4078</v>
      </c>
      <c r="Y10">
        <f>4006</f>
        <v>4006</v>
      </c>
      <c r="Z10">
        <f>3912</f>
        <v>3912</v>
      </c>
      <c r="AA10">
        <f>3828</f>
        <v>3828</v>
      </c>
      <c r="AB10">
        <f>3766</f>
        <v>3766</v>
      </c>
      <c r="AC10">
        <f>3670</f>
        <v>3670</v>
      </c>
    </row>
    <row r="11" spans="1:29" x14ac:dyDescent="0.25">
      <c r="A11" t="str">
        <f>"    Conduent Inc"</f>
        <v xml:space="preserve">    Conduent Inc</v>
      </c>
      <c r="B11" t="str">
        <f>"CNDT US Equity"</f>
        <v>CNDT US Equity</v>
      </c>
      <c r="C11" t="str">
        <f t="shared" si="0"/>
        <v>IS010</v>
      </c>
      <c r="D11" t="str">
        <f t="shared" si="1"/>
        <v>SALES_REV_TURN</v>
      </c>
      <c r="E11" t="str">
        <f t="shared" si="2"/>
        <v>Dynamic</v>
      </c>
      <c r="F11">
        <f ca="1">IF(AND(ISNUMBER($F$118),$B$110=1),$F$118,HLOOKUP(INDIRECT(ADDRESS(2,COLUMN())),OFFSET($R$2,0,0,ROW()-1,12),ROW()-1,FALSE))</f>
        <v>1051</v>
      </c>
      <c r="G11">
        <f ca="1">IF(AND(ISNUMBER($G$118),$B$110=1),$G$118,HLOOKUP(INDIRECT(ADDRESS(2,COLUMN())),OFFSET($R$2,0,0,ROW()-1,12),ROW()-1,FALSE))</f>
        <v>1099</v>
      </c>
      <c r="H11">
        <f ca="1">IF(AND(ISNUMBER($H$118),$B$110=1),$H$118,HLOOKUP(INDIRECT(ADDRESS(2,COLUMN())),OFFSET($R$2,0,0,ROW()-1,12),ROW()-1,FALSE))</f>
        <v>1098</v>
      </c>
      <c r="I11">
        <f ca="1">IF(AND(ISNUMBER($I$118),$B$110=1),$I$118,HLOOKUP(INDIRECT(ADDRESS(2,COLUMN())),OFFSET($R$2,0,0,ROW()-1,12),ROW()-1,FALSE))</f>
        <v>1112</v>
      </c>
      <c r="J11">
        <f ca="1">IF(AND(ISNUMBER($J$118),$B$110=1),$J$118,HLOOKUP(INDIRECT(ADDRESS(2,COLUMN())),OFFSET($R$2,0,0,ROW()-1,12),ROW()-1,FALSE))</f>
        <v>1158</v>
      </c>
      <c r="K11">
        <f ca="1">IF(AND(ISNUMBER($K$118),$B$110=1),$K$118,HLOOKUP(INDIRECT(ADDRESS(2,COLUMN())),OFFSET($R$2,0,0,ROW()-1,12),ROW()-1,FALSE))</f>
        <v>1282</v>
      </c>
      <c r="L11">
        <f ca="1">IF(AND(ISNUMBER($L$118),$B$110=1),$L$118,HLOOKUP(INDIRECT(ADDRESS(2,COLUMN())),OFFSET($R$2,0,0,ROW()-1,12),ROW()-1,FALSE))</f>
        <v>1304</v>
      </c>
      <c r="M11">
        <f ca="1">IF(AND(ISNUMBER($M$118),$B$110=1),$M$118,HLOOKUP(INDIRECT(ADDRESS(2,COLUMN())),OFFSET($R$2,0,0,ROW()-1,12),ROW()-1,FALSE))</f>
        <v>1387</v>
      </c>
      <c r="N11">
        <f ca="1">IF(AND(ISNUMBER($N$118),$B$110=1),$N$118,HLOOKUP(INDIRECT(ADDRESS(2,COLUMN())),OFFSET($R$2,0,0,ROW()-1,12),ROW()-1,FALSE))</f>
        <v>1420</v>
      </c>
      <c r="O11">
        <f ca="1">IF(AND(ISNUMBER($O$118),$B$110=1),$O$118,HLOOKUP(INDIRECT(ADDRESS(2,COLUMN())),OFFSET($R$2,0,0,ROW()-1,12),ROW()-1,FALSE))</f>
        <v>1493</v>
      </c>
      <c r="P11">
        <f ca="1">IF(AND(ISNUMBER($P$118),$B$110=1),$P$118,HLOOKUP(INDIRECT(ADDRESS(2,COLUMN())),OFFSET($R$2,0,0,ROW()-1,12),ROW()-1,FALSE))</f>
        <v>1480</v>
      </c>
      <c r="Q11">
        <f ca="1">IF(AND(ISNUMBER($Q$118),$B$110=1),$Q$118,HLOOKUP(INDIRECT(ADDRESS(2,COLUMN())),OFFSET($R$2,0,0,ROW()-1,12),ROW()-1,FALSE))</f>
        <v>1496</v>
      </c>
      <c r="R11">
        <f>1051</f>
        <v>1051</v>
      </c>
      <c r="S11">
        <f>1099</f>
        <v>1099</v>
      </c>
      <c r="T11">
        <f>1098</f>
        <v>1098</v>
      </c>
      <c r="U11">
        <f>1112</f>
        <v>1112</v>
      </c>
      <c r="V11">
        <f>1158</f>
        <v>1158</v>
      </c>
      <c r="W11">
        <f>1282</f>
        <v>1282</v>
      </c>
      <c r="X11">
        <f>1304</f>
        <v>1304</v>
      </c>
      <c r="Y11">
        <f>1387</f>
        <v>1387</v>
      </c>
      <c r="Z11">
        <f>1420</f>
        <v>1420</v>
      </c>
      <c r="AA11">
        <f>1493</f>
        <v>1493</v>
      </c>
      <c r="AB11">
        <f>1480</f>
        <v>1480</v>
      </c>
      <c r="AC11">
        <f>1496</f>
        <v>1496</v>
      </c>
    </row>
    <row r="12" spans="1:29" x14ac:dyDescent="0.25">
      <c r="A12" t="str">
        <f>"    DXC Technology Co"</f>
        <v xml:space="preserve">    DXC Technology Co</v>
      </c>
      <c r="B12" t="str">
        <f>"DXC US Equity"</f>
        <v>DXC US Equity</v>
      </c>
      <c r="C12" t="str">
        <f t="shared" si="0"/>
        <v>IS010</v>
      </c>
      <c r="D12" t="str">
        <f t="shared" si="1"/>
        <v>SALES_REV_TURN</v>
      </c>
      <c r="E12" t="str">
        <f t="shared" si="2"/>
        <v>Dynamic</v>
      </c>
      <c r="F12">
        <f ca="1">IF(AND(ISNUMBER($F$119),$B$110=1),$F$119,HLOOKUP(INDIRECT(ADDRESS(2,COLUMN())),OFFSET($R$2,0,0,ROW()-1,12),ROW()-1,FALSE))</f>
        <v>4815</v>
      </c>
      <c r="G12">
        <f ca="1">IF(AND(ISNUMBER($G$119),$B$110=1),$G$119,HLOOKUP(INDIRECT(ADDRESS(2,COLUMN())),OFFSET($R$2,0,0,ROW()-1,12),ROW()-1,FALSE))</f>
        <v>5021</v>
      </c>
      <c r="H12">
        <f ca="1">IF(AND(ISNUMBER($H$119),$B$110=1),$H$119,HLOOKUP(INDIRECT(ADDRESS(2,COLUMN())),OFFSET($R$2,0,0,ROW()-1,12),ROW()-1,FALSE))</f>
        <v>4851</v>
      </c>
      <c r="I12">
        <f ca="1">IF(AND(ISNUMBER($I$119),$B$110=1),$I$119,HLOOKUP(INDIRECT(ADDRESS(2,COLUMN())),OFFSET($R$2,0,0,ROW()-1,12),ROW()-1,FALSE))</f>
        <v>4890</v>
      </c>
      <c r="J12">
        <f ca="1">IF(AND(ISNUMBER($J$119),$B$110=1),$J$119,HLOOKUP(INDIRECT(ADDRESS(2,COLUMN())),OFFSET($R$2,0,0,ROW()-1,12),ROW()-1,FALSE))</f>
        <v>5280</v>
      </c>
      <c r="K12">
        <f ca="1">IF(AND(ISNUMBER($K$119),$B$110=1),$K$119,HLOOKUP(INDIRECT(ADDRESS(2,COLUMN())),OFFSET($R$2,0,0,ROW()-1,12),ROW()-1,FALSE))</f>
        <v>5178</v>
      </c>
      <c r="L12">
        <f ca="1">IF(AND(ISNUMBER($L$119),$B$110=1),$L$119,HLOOKUP(INDIRECT(ADDRESS(2,COLUMN())),OFFSET($R$2,0,0,ROW()-1,12),ROW()-1,FALSE))</f>
        <v>5013</v>
      </c>
      <c r="M12">
        <f ca="1">IF(AND(ISNUMBER($M$119),$B$110=1),$M$119,HLOOKUP(INDIRECT(ADDRESS(2,COLUMN())),OFFSET($R$2,0,0,ROW()-1,12),ROW()-1,FALSE))</f>
        <v>5282</v>
      </c>
      <c r="N12">
        <f ca="1">IF(AND(ISNUMBER($N$119),$B$110=1),$N$119,HLOOKUP(INDIRECT(ADDRESS(2,COLUMN())),OFFSET($R$2,0,0,ROW()-1,12),ROW()-1,FALSE))</f>
        <v>5584</v>
      </c>
      <c r="O12">
        <f ca="1">IF(AND(ISNUMBER($O$119),$B$110=1),$O$119,HLOOKUP(INDIRECT(ADDRESS(2,COLUMN())),OFFSET($R$2,0,0,ROW()-1,12),ROW()-1,FALSE))</f>
        <v>5460</v>
      </c>
      <c r="P12">
        <f ca="1">IF(AND(ISNUMBER($P$119),$B$110=1),$P$119,HLOOKUP(INDIRECT(ADDRESS(2,COLUMN())),OFFSET($R$2,0,0,ROW()-1,12),ROW()-1,FALSE))</f>
        <v>5453</v>
      </c>
      <c r="Q12">
        <f ca="1">IF(AND(ISNUMBER($Q$119),$B$110=1),$Q$119,HLOOKUP(INDIRECT(ADDRESS(2,COLUMN())),OFFSET($R$2,0,0,ROW()-1,12),ROW()-1,FALSE))</f>
        <v>5236</v>
      </c>
      <c r="R12">
        <f>4815</f>
        <v>4815</v>
      </c>
      <c r="S12">
        <f>5021</f>
        <v>5021</v>
      </c>
      <c r="T12">
        <f>4851</f>
        <v>4851</v>
      </c>
      <c r="U12">
        <f>4890</f>
        <v>4890</v>
      </c>
      <c r="V12">
        <f>5280</f>
        <v>5280</v>
      </c>
      <c r="W12">
        <f>5178</f>
        <v>5178</v>
      </c>
      <c r="X12">
        <f>5013</f>
        <v>5013</v>
      </c>
      <c r="Y12">
        <f>5282</f>
        <v>5282</v>
      </c>
      <c r="Z12">
        <f>5584</f>
        <v>5584</v>
      </c>
      <c r="AA12">
        <f>5460</f>
        <v>5460</v>
      </c>
      <c r="AB12">
        <f>5453</f>
        <v>5453</v>
      </c>
      <c r="AC12">
        <f>5236</f>
        <v>5236</v>
      </c>
    </row>
    <row r="13" spans="1:29" x14ac:dyDescent="0.25">
      <c r="A13" t="str">
        <f>"    EPAM Systems Inc"</f>
        <v xml:space="preserve">    EPAM Systems Inc</v>
      </c>
      <c r="B13" t="str">
        <f>"EPAM US Equity"</f>
        <v>EPAM US Equity</v>
      </c>
      <c r="C13" t="str">
        <f t="shared" si="0"/>
        <v>IS010</v>
      </c>
      <c r="D13" t="str">
        <f t="shared" si="1"/>
        <v>SALES_REV_TURN</v>
      </c>
      <c r="E13" t="str">
        <f t="shared" si="2"/>
        <v>Dynamic</v>
      </c>
      <c r="F13">
        <f ca="1">IF(AND(ISNUMBER($F$120),$B$110=1),$F$120,HLOOKUP(INDIRECT(ADDRESS(2,COLUMN())),OFFSET($R$2,0,0,ROW()-1,12),ROW()-1,FALSE))</f>
        <v>651.35900000000004</v>
      </c>
      <c r="G13">
        <f ca="1">IF(AND(ISNUMBER($G$120),$B$110=1),$G$120,HLOOKUP(INDIRECT(ADDRESS(2,COLUMN())),OFFSET($R$2,0,0,ROW()-1,12),ROW()-1,FALSE))</f>
        <v>632.77499999999998</v>
      </c>
      <c r="H13">
        <f ca="1">IF(AND(ISNUMBER($H$120),$B$110=1),$H$120,HLOOKUP(INDIRECT(ADDRESS(2,COLUMN())),OFFSET($R$2,0,0,ROW()-1,12),ROW()-1,FALSE))</f>
        <v>588.10299999999995</v>
      </c>
      <c r="I13">
        <f ca="1">IF(AND(ISNUMBER($I$120),$B$110=1),$I$120,HLOOKUP(INDIRECT(ADDRESS(2,COLUMN())),OFFSET($R$2,0,0,ROW()-1,12),ROW()-1,FALSE))</f>
        <v>551.58699999999999</v>
      </c>
      <c r="J13">
        <f ca="1">IF(AND(ISNUMBER($J$120),$B$110=1),$J$120,HLOOKUP(INDIRECT(ADDRESS(2,COLUMN())),OFFSET($R$2,0,0,ROW()-1,12),ROW()-1,FALSE))</f>
        <v>521.33299999999997</v>
      </c>
      <c r="K13">
        <f ca="1">IF(AND(ISNUMBER($K$120),$B$110=1),$K$120,HLOOKUP(INDIRECT(ADDRESS(2,COLUMN())),OFFSET($R$2,0,0,ROW()-1,12),ROW()-1,FALSE))</f>
        <v>504.93099999999998</v>
      </c>
      <c r="L13">
        <f ca="1">IF(AND(ISNUMBER($L$120),$B$110=1),$L$120,HLOOKUP(INDIRECT(ADDRESS(2,COLUMN())),OFFSET($R$2,0,0,ROW()-1,12),ROW()-1,FALSE))</f>
        <v>468.18599999999998</v>
      </c>
      <c r="M13">
        <f ca="1">IF(AND(ISNUMBER($M$120),$B$110=1),$M$120,HLOOKUP(INDIRECT(ADDRESS(2,COLUMN())),OFFSET($R$2,0,0,ROW()-1,12),ROW()-1,FALSE))</f>
        <v>445.64699999999999</v>
      </c>
      <c r="N13">
        <f ca="1">IF(AND(ISNUMBER($N$120),$B$110=1),$N$120,HLOOKUP(INDIRECT(ADDRESS(2,COLUMN())),OFFSET($R$2,0,0,ROW()-1,12),ROW()-1,FALSE))</f>
        <v>424.14800000000002</v>
      </c>
      <c r="O13">
        <f ca="1">IF(AND(ISNUMBER($O$120),$B$110=1),$O$120,HLOOKUP(INDIRECT(ADDRESS(2,COLUMN())),OFFSET($R$2,0,0,ROW()-1,12),ROW()-1,FALSE))</f>
        <v>399.29700000000003</v>
      </c>
      <c r="P13">
        <f ca="1">IF(AND(ISNUMBER($P$120),$B$110=1),$P$120,HLOOKUP(INDIRECT(ADDRESS(2,COLUMN())),OFFSET($R$2,0,0,ROW()-1,12),ROW()-1,FALSE))</f>
        <v>377.52300000000002</v>
      </c>
      <c r="Q13">
        <f ca="1">IF(AND(ISNUMBER($Q$120),$B$110=1),$Q$120,HLOOKUP(INDIRECT(ADDRESS(2,COLUMN())),OFFSET($R$2,0,0,ROW()-1,12),ROW()-1,FALSE))</f>
        <v>348.97699999999998</v>
      </c>
      <c r="R13">
        <f>651.359</f>
        <v>651.35900000000004</v>
      </c>
      <c r="S13">
        <f>632.775</f>
        <v>632.77499999999998</v>
      </c>
      <c r="T13">
        <f>588.103</f>
        <v>588.10299999999995</v>
      </c>
      <c r="U13">
        <f>551.587</f>
        <v>551.58699999999999</v>
      </c>
      <c r="V13">
        <f>521.333</f>
        <v>521.33299999999997</v>
      </c>
      <c r="W13">
        <f>504.931</f>
        <v>504.93099999999998</v>
      </c>
      <c r="X13">
        <f>468.186</f>
        <v>468.18599999999998</v>
      </c>
      <c r="Y13">
        <f>445.647</f>
        <v>445.64699999999999</v>
      </c>
      <c r="Z13">
        <f>424.148</f>
        <v>424.14800000000002</v>
      </c>
      <c r="AA13">
        <f>399.297</f>
        <v>399.29700000000003</v>
      </c>
      <c r="AB13">
        <f>377.523</f>
        <v>377.52300000000002</v>
      </c>
      <c r="AC13">
        <f>348.977</f>
        <v>348.97699999999998</v>
      </c>
    </row>
    <row r="14" spans="1:29" x14ac:dyDescent="0.25">
      <c r="A14" t="str">
        <f>"    Genpact Ltd"</f>
        <v xml:space="preserve">    Genpact Ltd</v>
      </c>
      <c r="B14" t="str">
        <f>"G US Equity"</f>
        <v>G US Equity</v>
      </c>
      <c r="C14" t="str">
        <f t="shared" si="0"/>
        <v>IS010</v>
      </c>
      <c r="D14" t="str">
        <f t="shared" si="1"/>
        <v>SALES_REV_TURN</v>
      </c>
      <c r="E14" t="str">
        <f t="shared" si="2"/>
        <v>Dynamic</v>
      </c>
      <c r="F14">
        <f ca="1">IF(AND(ISNUMBER($F$121),$B$110=1),$F$121,HLOOKUP(INDIRECT(ADDRESS(2,COLUMN())),OFFSET($R$2,0,0,ROW()-1,12),ROW()-1,FALSE))</f>
        <v>923.19200000000001</v>
      </c>
      <c r="G14">
        <f ca="1">IF(AND(ISNUMBER($G$121),$B$110=1),$G$121,HLOOKUP(INDIRECT(ADDRESS(2,COLUMN())),OFFSET($R$2,0,0,ROW()-1,12),ROW()-1,FALSE))</f>
        <v>940.73900000000003</v>
      </c>
      <c r="H14">
        <f ca="1">IF(AND(ISNUMBER($H$121),$B$110=1),$H$121,HLOOKUP(INDIRECT(ADDRESS(2,COLUMN())),OFFSET($R$2,0,0,ROW()-1,12),ROW()-1,FALSE))</f>
        <v>888.79899999999998</v>
      </c>
      <c r="I14">
        <f ca="1">IF(AND(ISNUMBER($I$121),$B$110=1),$I$121,HLOOKUP(INDIRECT(ADDRESS(2,COLUMN())),OFFSET($R$2,0,0,ROW()-1,12),ROW()-1,FALSE))</f>
        <v>881.79899999999998</v>
      </c>
      <c r="J14">
        <f ca="1">IF(AND(ISNUMBER($J$121),$B$110=1),$J$121,HLOOKUP(INDIRECT(ADDRESS(2,COLUMN())),OFFSET($R$2,0,0,ROW()-1,12),ROW()-1,FALSE))</f>
        <v>809.20600000000002</v>
      </c>
      <c r="K14">
        <f ca="1">IF(AND(ISNUMBER($K$121),$B$110=1),$K$121,HLOOKUP(INDIRECT(ADDRESS(2,COLUMN())),OFFSET($R$2,0,0,ROW()-1,12),ROW()-1,FALSE))</f>
        <v>835.33900000000006</v>
      </c>
      <c r="L14">
        <f ca="1">IF(AND(ISNUMBER($L$121),$B$110=1),$L$121,HLOOKUP(INDIRECT(ADDRESS(2,COLUMN())),OFFSET($R$2,0,0,ROW()-1,12),ROW()-1,FALSE))</f>
        <v>747.97799999999995</v>
      </c>
      <c r="M14">
        <f ca="1">IF(AND(ISNUMBER($M$121),$B$110=1),$M$121,HLOOKUP(INDIRECT(ADDRESS(2,COLUMN())),OFFSET($R$2,0,0,ROW()-1,12),ROW()-1,FALSE))</f>
        <v>728.56100000000004</v>
      </c>
      <c r="N14">
        <f ca="1">IF(AND(ISNUMBER($N$121),$B$110=1),$N$121,HLOOKUP(INDIRECT(ADDRESS(2,COLUMN())),OFFSET($R$2,0,0,ROW()-1,12),ROW()-1,FALSE))</f>
        <v>688.91200000000003</v>
      </c>
      <c r="O14">
        <f ca="1">IF(AND(ISNUMBER($O$121),$B$110=1),$O$121,HLOOKUP(INDIRECT(ADDRESS(2,COLUMN())),OFFSET($R$2,0,0,ROW()-1,12),ROW()-1,FALSE))</f>
        <v>734.41300000000001</v>
      </c>
      <c r="P14">
        <f ca="1">IF(AND(ISNUMBER($P$121),$B$110=1),$P$121,HLOOKUP(INDIRECT(ADDRESS(2,COLUMN())),OFFSET($R$2,0,0,ROW()-1,12),ROW()-1,FALSE))</f>
        <v>708.82399999999996</v>
      </c>
      <c r="Q14">
        <f ca="1">IF(AND(ISNUMBER($Q$121),$B$110=1),$Q$121,HLOOKUP(INDIRECT(ADDRESS(2,COLUMN())),OFFSET($R$2,0,0,ROW()-1,12),ROW()-1,FALSE))</f>
        <v>670.697</v>
      </c>
      <c r="R14">
        <f>923.192</f>
        <v>923.19200000000001</v>
      </c>
      <c r="S14">
        <f>940.739</f>
        <v>940.73900000000003</v>
      </c>
      <c r="T14">
        <f>888.799</f>
        <v>888.79899999999998</v>
      </c>
      <c r="U14">
        <f>881.799</f>
        <v>881.79899999999998</v>
      </c>
      <c r="V14">
        <f>809.206</f>
        <v>809.20600000000002</v>
      </c>
      <c r="W14">
        <f>835.339</f>
        <v>835.33900000000006</v>
      </c>
      <c r="X14">
        <f>747.978</f>
        <v>747.97799999999995</v>
      </c>
      <c r="Y14">
        <f>728.561</f>
        <v>728.56100000000004</v>
      </c>
      <c r="Z14">
        <f>688.912</f>
        <v>688.91200000000003</v>
      </c>
      <c r="AA14">
        <f>734.413</f>
        <v>734.41300000000001</v>
      </c>
      <c r="AB14">
        <f>708.824</f>
        <v>708.82399999999996</v>
      </c>
      <c r="AC14">
        <f>670.697</f>
        <v>670.697</v>
      </c>
    </row>
    <row r="15" spans="1:29" x14ac:dyDescent="0.25">
      <c r="A15" t="str">
        <f>"    HCL Technologies Ltd"</f>
        <v xml:space="preserve">    HCL Technologies Ltd</v>
      </c>
      <c r="B15" t="str">
        <f>"HCLT IN Equity"</f>
        <v>HCLT IN Equity</v>
      </c>
      <c r="C15" t="str">
        <f t="shared" si="0"/>
        <v>IS010</v>
      </c>
      <c r="D15" t="str">
        <f t="shared" si="1"/>
        <v>SALES_REV_TURN</v>
      </c>
      <c r="E15" t="str">
        <f t="shared" si="2"/>
        <v>Dynamic</v>
      </c>
      <c r="F15">
        <f ca="1">IF(AND(ISNUMBER($F$122),$B$110=1),$F$122,HLOOKUP(INDIRECT(ADDRESS(2,COLUMN())),OFFSET($R$2,0,0,ROW()-1,12),ROW()-1,FALSE))</f>
        <v>2543.4</v>
      </c>
      <c r="G15">
        <f ca="1">IF(AND(ISNUMBER($G$122),$B$110=1),$G$122,HLOOKUP(INDIRECT(ADDRESS(2,COLUMN())),OFFSET($R$2,0,0,ROW()-1,12),ROW()-1,FALSE))</f>
        <v>2543.4</v>
      </c>
      <c r="H15">
        <f ca="1">IF(AND(ISNUMBER($H$122),$B$110=1),$H$122,HLOOKUP(INDIRECT(ADDRESS(2,COLUMN())),OFFSET($R$2,0,0,ROW()-1,12),ROW()-1,FALSE))</f>
        <v>2485.6</v>
      </c>
      <c r="I15">
        <f ca="1">IF(AND(ISNUMBER($I$122),$B$110=1),$I$122,HLOOKUP(INDIRECT(ADDRESS(2,COLUMN())),OFFSET($R$2,0,0,ROW()-1,12),ROW()-1,FALSE))</f>
        <v>2363.6</v>
      </c>
      <c r="J15">
        <f ca="1">IF(AND(ISNUMBER($J$122),$B$110=1),$J$122,HLOOKUP(INDIRECT(ADDRESS(2,COLUMN())),OFFSET($R$2,0,0,ROW()-1,12),ROW()-1,FALSE))</f>
        <v>2277.8000000000002</v>
      </c>
      <c r="K15">
        <f ca="1">IF(AND(ISNUMBER($K$122),$B$110=1),$K$122,HLOOKUP(INDIRECT(ADDRESS(2,COLUMN())),OFFSET($R$2,0,0,ROW()-1,12),ROW()-1,FALSE))</f>
        <v>2201.5</v>
      </c>
      <c r="L15">
        <f ca="1">IF(AND(ISNUMBER($L$122),$B$110=1),$L$122,HLOOKUP(INDIRECT(ADDRESS(2,COLUMN())),OFFSET($R$2,0,0,ROW()-1,12),ROW()-1,FALSE))</f>
        <v>2098.6</v>
      </c>
      <c r="M15">
        <f ca="1">IF(AND(ISNUMBER($M$122),$B$110=1),$M$122,HLOOKUP(INDIRECT(ADDRESS(2,COLUMN())),OFFSET($R$2,0,0,ROW()-1,12),ROW()-1,FALSE))</f>
        <v>2054.5</v>
      </c>
      <c r="N15">
        <f ca="1">IF(AND(ISNUMBER($N$122),$B$110=1),$N$122,HLOOKUP(INDIRECT(ADDRESS(2,COLUMN())),OFFSET($R$2,0,0,ROW()-1,12),ROW()-1,FALSE))</f>
        <v>2047.1011940000001</v>
      </c>
      <c r="O15">
        <f ca="1">IF(AND(ISNUMBER($O$122),$B$110=1),$O$122,HLOOKUP(INDIRECT(ADDRESS(2,COLUMN())),OFFSET($R$2,0,0,ROW()-1,12),ROW()-1,FALSE))</f>
        <v>1987.5</v>
      </c>
      <c r="P15">
        <f ca="1">IF(AND(ISNUMBER($P$122),$B$110=1),$P$122,HLOOKUP(INDIRECT(ADDRESS(2,COLUMN())),OFFSET($R$2,0,0,ROW()-1,12),ROW()-1,FALSE))</f>
        <v>1928</v>
      </c>
      <c r="Q15">
        <f ca="1">IF(AND(ISNUMBER($Q$122),$B$110=1),$Q$122,HLOOKUP(INDIRECT(ADDRESS(2,COLUMN())),OFFSET($R$2,0,0,ROW()-1,12),ROW()-1,FALSE))</f>
        <v>1884.2</v>
      </c>
      <c r="R15">
        <f>2543.4</f>
        <v>2543.4</v>
      </c>
      <c r="S15">
        <f>2543.4</f>
        <v>2543.4</v>
      </c>
      <c r="T15">
        <f>2485.6</f>
        <v>2485.6</v>
      </c>
      <c r="U15">
        <f>2363.6</f>
        <v>2363.6</v>
      </c>
      <c r="V15">
        <f>2277.8</f>
        <v>2277.8000000000002</v>
      </c>
      <c r="W15">
        <f>2201.5</f>
        <v>2201.5</v>
      </c>
      <c r="X15">
        <f>2098.6</f>
        <v>2098.6</v>
      </c>
      <c r="Y15">
        <f>2054.5</f>
        <v>2054.5</v>
      </c>
      <c r="Z15">
        <f>2047.101194</f>
        <v>2047.1011940000001</v>
      </c>
      <c r="AA15">
        <f>1987.5</f>
        <v>1987.5</v>
      </c>
      <c r="AB15">
        <f>1928</f>
        <v>1928</v>
      </c>
      <c r="AC15">
        <f>1884.2</f>
        <v>1884.2</v>
      </c>
    </row>
    <row r="16" spans="1:29" x14ac:dyDescent="0.25">
      <c r="A16" t="str">
        <f>"    Indra Sistemas SA"</f>
        <v xml:space="preserve">    Indra Sistemas SA</v>
      </c>
      <c r="B16" t="str">
        <f>"IDR SM Equity"</f>
        <v>IDR SM Equity</v>
      </c>
      <c r="C16" t="str">
        <f t="shared" si="0"/>
        <v>IS010</v>
      </c>
      <c r="D16" t="str">
        <f t="shared" si="1"/>
        <v>SALES_REV_TURN</v>
      </c>
      <c r="E16" t="str">
        <f t="shared" si="2"/>
        <v>Dynamic</v>
      </c>
      <c r="F16">
        <f ca="1">IF(AND(ISNUMBER($F$123),$B$110=1),$F$123,HLOOKUP(INDIRECT(ADDRESS(2,COLUMN())),OFFSET($R$2,0,0,ROW()-1,12),ROW()-1,FALSE))</f>
        <v>810.44962729999997</v>
      </c>
      <c r="G16">
        <f ca="1">IF(AND(ISNUMBER($G$123),$B$110=1),$G$123,HLOOKUP(INDIRECT(ADDRESS(2,COLUMN())),OFFSET($R$2,0,0,ROW()-1,12),ROW()-1,FALSE))</f>
        <v>1014.714794</v>
      </c>
      <c r="H16">
        <f ca="1">IF(AND(ISNUMBER($H$123),$B$110=1),$H$123,HLOOKUP(INDIRECT(ADDRESS(2,COLUMN())),OFFSET($R$2,0,0,ROW()-1,12),ROW()-1,FALSE))</f>
        <v>824.34439080000004</v>
      </c>
      <c r="I16">
        <f ca="1">IF(AND(ISNUMBER($I$123),$B$110=1),$I$123,HLOOKUP(INDIRECT(ADDRESS(2,COLUMN())),OFFSET($R$2,0,0,ROW()-1,12),ROW()-1,FALSE))</f>
        <v>910.83406239999999</v>
      </c>
      <c r="J16">
        <f ca="1">IF(AND(ISNUMBER($J$123),$B$110=1),$J$123,HLOOKUP(INDIRECT(ADDRESS(2,COLUMN())),OFFSET($R$2,0,0,ROW()-1,12),ROW()-1,FALSE))</f>
        <v>835.39511649999997</v>
      </c>
      <c r="K16">
        <f ca="1">IF(AND(ISNUMBER($K$123),$B$110=1),$K$123,HLOOKUP(INDIRECT(ADDRESS(2,COLUMN())),OFFSET($R$2,0,0,ROW()-1,12),ROW()-1,FALSE))</f>
        <v>1061.251426</v>
      </c>
      <c r="L16">
        <f ca="1">IF(AND(ISNUMBER($L$123),$B$110=1),$L$123,HLOOKUP(INDIRECT(ADDRESS(2,COLUMN())),OFFSET($R$2,0,0,ROW()-1,12),ROW()-1,FALSE))</f>
        <v>826.3356953</v>
      </c>
      <c r="M16">
        <f ca="1">IF(AND(ISNUMBER($M$123),$B$110=1),$M$123,HLOOKUP(INDIRECT(ADDRESS(2,COLUMN())),OFFSET($R$2,0,0,ROW()-1,12),ROW()-1,FALSE))</f>
        <v>893.32352309999999</v>
      </c>
      <c r="N16">
        <f ca="1">IF(AND(ISNUMBER($N$123),$B$110=1),$N$123,HLOOKUP(INDIRECT(ADDRESS(2,COLUMN())),OFFSET($R$2,0,0,ROW()-1,12),ROW()-1,FALSE))</f>
        <v>877.11237540000002</v>
      </c>
      <c r="O16">
        <f ca="1">IF(AND(ISNUMBER($O$123),$B$110=1),$O$123,HLOOKUP(INDIRECT(ADDRESS(2,COLUMN())),OFFSET($R$2,0,0,ROW()-1,12),ROW()-1,FALSE))</f>
        <v>1054.380269</v>
      </c>
      <c r="P16">
        <f ca="1">IF(AND(ISNUMBER($P$123),$B$110=1),$P$123,HLOOKUP(INDIRECT(ADDRESS(2,COLUMN())),OFFSET($R$2,0,0,ROW()-1,12),ROW()-1,FALSE))</f>
        <v>865.56713420000005</v>
      </c>
      <c r="Q16">
        <f ca="1">IF(AND(ISNUMBER($Q$123),$B$110=1),$Q$123,HLOOKUP(INDIRECT(ADDRESS(2,COLUMN())),OFFSET($R$2,0,0,ROW()-1,12),ROW()-1,FALSE))</f>
        <v>815.44201220000002</v>
      </c>
      <c r="R16">
        <f>810.4496273</f>
        <v>810.44962729999997</v>
      </c>
      <c r="S16">
        <f>1014.714794</f>
        <v>1014.714794</v>
      </c>
      <c r="T16">
        <f>824.3443908</f>
        <v>824.34439080000004</v>
      </c>
      <c r="U16">
        <f>910.8340624</f>
        <v>910.83406239999999</v>
      </c>
      <c r="V16">
        <f>835.3951165</f>
        <v>835.39511649999997</v>
      </c>
      <c r="W16">
        <f>1061.251426</f>
        <v>1061.251426</v>
      </c>
      <c r="X16">
        <f>826.3356953</f>
        <v>826.3356953</v>
      </c>
      <c r="Y16">
        <f>893.3235231</f>
        <v>893.32352309999999</v>
      </c>
      <c r="Z16">
        <f>877.1123754</f>
        <v>877.11237540000002</v>
      </c>
      <c r="AA16">
        <f>1054.380269</f>
        <v>1054.380269</v>
      </c>
      <c r="AB16">
        <f>865.5671342</f>
        <v>865.56713420000005</v>
      </c>
      <c r="AC16">
        <f>815.4420122</f>
        <v>815.44201220000002</v>
      </c>
    </row>
    <row r="17" spans="1:29" x14ac:dyDescent="0.25">
      <c r="A17" t="str">
        <f>"    Infosys Ltd"</f>
        <v xml:space="preserve">    Infosys Ltd</v>
      </c>
      <c r="B17" t="str">
        <f>"INFY US Equity"</f>
        <v>INFY US Equity</v>
      </c>
      <c r="C17" t="str">
        <f t="shared" si="0"/>
        <v>IS010</v>
      </c>
      <c r="D17" t="str">
        <f t="shared" si="1"/>
        <v>SALES_REV_TURN</v>
      </c>
      <c r="E17" t="str">
        <f t="shared" si="2"/>
        <v>Dynamic</v>
      </c>
      <c r="F17">
        <f ca="1">IF(AND(ISNUMBER($F$124),$B$110=1),$F$124,HLOOKUP(INDIRECT(ADDRESS(2,COLUMN())),OFFSET($R$2,0,0,ROW()-1,12),ROW()-1,FALSE))</f>
        <v>3211.9106539999998</v>
      </c>
      <c r="G17">
        <f ca="1">IF(AND(ISNUMBER($G$124),$B$110=1),$G$124,HLOOKUP(INDIRECT(ADDRESS(2,COLUMN())),OFFSET($R$2,0,0,ROW()-1,12),ROW()-1,FALSE))</f>
        <v>3242.468218</v>
      </c>
      <c r="H17">
        <f ca="1">IF(AND(ISNUMBER($H$124),$B$110=1),$H$124,HLOOKUP(INDIRECT(ADDRESS(2,COLUMN())),OFFSET($R$2,0,0,ROW()-1,12),ROW()-1,FALSE))</f>
        <v>3215.798104</v>
      </c>
      <c r="I17">
        <f ca="1">IF(AND(ISNUMBER($I$124),$B$110=1),$I$124,HLOOKUP(INDIRECT(ADDRESS(2,COLUMN())),OFFSET($R$2,0,0,ROW()-1,12),ROW()-1,FALSE))</f>
        <v>3135.351823</v>
      </c>
      <c r="J17">
        <f ca="1">IF(AND(ISNUMBER($J$124),$B$110=1),$J$124,HLOOKUP(INDIRECT(ADDRESS(2,COLUMN())),OFFSET($R$2,0,0,ROW()-1,12),ROW()-1,FALSE))</f>
        <v>3057.2499299999999</v>
      </c>
      <c r="K17">
        <f ca="1">IF(AND(ISNUMBER($K$124),$B$110=1),$K$124,HLOOKUP(INDIRECT(ADDRESS(2,COLUMN())),OFFSET($R$2,0,0,ROW()-1,12),ROW()-1,FALSE))</f>
        <v>2969.9646299999999</v>
      </c>
      <c r="L17">
        <f ca="1">IF(AND(ISNUMBER($L$124),$B$110=1),$L$124,HLOOKUP(INDIRECT(ADDRESS(2,COLUMN())),OFFSET($R$2,0,0,ROW()-1,12),ROW()-1,FALSE))</f>
        <v>2941.5199309999998</v>
      </c>
      <c r="M17">
        <f ca="1">IF(AND(ISNUMBER($M$124),$B$110=1),$M$124,HLOOKUP(INDIRECT(ADDRESS(2,COLUMN())),OFFSET($R$2,0,0,ROW()-1,12),ROW()-1,FALSE))</f>
        <v>2852.7518420000001</v>
      </c>
      <c r="N17">
        <f ca="1">IF(AND(ISNUMBER($N$124),$B$110=1),$N$124,HLOOKUP(INDIRECT(ADDRESS(2,COLUMN())),OFFSET($R$2,0,0,ROW()-1,12),ROW()-1,FALSE))</f>
        <v>2809.0553110000001</v>
      </c>
      <c r="O17">
        <f ca="1">IF(AND(ISNUMBER($O$124),$B$110=1),$O$124,HLOOKUP(INDIRECT(ADDRESS(2,COLUMN())),OFFSET($R$2,0,0,ROW()-1,12),ROW()-1,FALSE))</f>
        <v>2748.8053</v>
      </c>
      <c r="P17">
        <f ca="1">IF(AND(ISNUMBER($P$124),$B$110=1),$P$124,HLOOKUP(INDIRECT(ADDRESS(2,COLUMN())),OFFSET($R$2,0,0,ROW()-1,12),ROW()-1,FALSE))</f>
        <v>2732.7473340000001</v>
      </c>
      <c r="Q17">
        <f ca="1">IF(AND(ISNUMBER($Q$124),$B$110=1),$Q$124,HLOOKUP(INDIRECT(ADDRESS(2,COLUMN())),OFFSET($R$2,0,0,ROW()-1,12),ROW()-1,FALSE))</f>
        <v>2648.259697</v>
      </c>
      <c r="R17">
        <f>3211.910654</f>
        <v>3211.9106539999998</v>
      </c>
      <c r="S17">
        <f>3242.468218</f>
        <v>3242.468218</v>
      </c>
      <c r="T17">
        <f>3215.798104</f>
        <v>3215.798104</v>
      </c>
      <c r="U17">
        <f>3135.351823</f>
        <v>3135.351823</v>
      </c>
      <c r="V17">
        <f>3057.24993</f>
        <v>3057.2499299999999</v>
      </c>
      <c r="W17">
        <f>2969.96463</f>
        <v>2969.9646299999999</v>
      </c>
      <c r="X17">
        <f>2941.519931</f>
        <v>2941.5199309999998</v>
      </c>
      <c r="Y17">
        <f>2852.751842</f>
        <v>2852.7518420000001</v>
      </c>
      <c r="Z17">
        <f>2809.055311</f>
        <v>2809.0553110000001</v>
      </c>
      <c r="AA17">
        <f>2748.8053</f>
        <v>2748.8053</v>
      </c>
      <c r="AB17">
        <f>2732.747334</f>
        <v>2732.7473340000001</v>
      </c>
      <c r="AC17">
        <f>2648.259697</f>
        <v>2648.259697</v>
      </c>
    </row>
    <row r="18" spans="1:29" x14ac:dyDescent="0.25">
      <c r="A18" t="str">
        <f>"    International Business Machines Corp"</f>
        <v xml:space="preserve">    International Business Machines Corp</v>
      </c>
      <c r="B18" t="str">
        <f>"IBM US Equity"</f>
        <v>IBM US Equity</v>
      </c>
      <c r="C18" t="str">
        <f t="shared" si="0"/>
        <v>IS010</v>
      </c>
      <c r="D18" t="str">
        <f t="shared" si="1"/>
        <v>SALES_REV_TURN</v>
      </c>
      <c r="E18" t="str">
        <f t="shared" si="2"/>
        <v>Dynamic</v>
      </c>
      <c r="F18">
        <f ca="1">IF(AND(ISNUMBER($F$125),$B$110=1),$F$125,HLOOKUP(INDIRECT(ADDRESS(2,COLUMN())),OFFSET($R$2,0,0,ROW()-1,12),ROW()-1,FALSE))</f>
        <v>17571</v>
      </c>
      <c r="G18">
        <f ca="1">IF(AND(ISNUMBER($G$125),$B$110=1),$G$125,HLOOKUP(INDIRECT(ADDRESS(2,COLUMN())),OFFSET($R$2,0,0,ROW()-1,12),ROW()-1,FALSE))</f>
        <v>21777</v>
      </c>
      <c r="H18">
        <f ca="1">IF(AND(ISNUMBER($H$125),$B$110=1),$H$125,HLOOKUP(INDIRECT(ADDRESS(2,COLUMN())),OFFSET($R$2,0,0,ROW()-1,12),ROW()-1,FALSE))</f>
        <v>18028</v>
      </c>
      <c r="I18">
        <f ca="1">IF(AND(ISNUMBER($I$125),$B$110=1),$I$125,HLOOKUP(INDIRECT(ADDRESS(2,COLUMN())),OFFSET($R$2,0,0,ROW()-1,12),ROW()-1,FALSE))</f>
        <v>19161</v>
      </c>
      <c r="J18">
        <f ca="1">IF(AND(ISNUMBER($J$125),$B$110=1),$J$125,HLOOKUP(INDIRECT(ADDRESS(2,COLUMN())),OFFSET($R$2,0,0,ROW()-1,12),ROW()-1,FALSE))</f>
        <v>18182</v>
      </c>
      <c r="K18">
        <f ca="1">IF(AND(ISNUMBER($K$125),$B$110=1),$K$125,HLOOKUP(INDIRECT(ADDRESS(2,COLUMN())),OFFSET($R$2,0,0,ROW()-1,12),ROW()-1,FALSE))</f>
        <v>21760</v>
      </c>
      <c r="L18">
        <f ca="1">IF(AND(ISNUMBER($L$125),$B$110=1),$L$125,HLOOKUP(INDIRECT(ADDRESS(2,COLUMN())),OFFSET($R$2,0,0,ROW()-1,12),ROW()-1,FALSE))</f>
        <v>18756</v>
      </c>
      <c r="M18">
        <f ca="1">IF(AND(ISNUMBER($M$125),$B$110=1),$M$125,HLOOKUP(INDIRECT(ADDRESS(2,COLUMN())),OFFSET($R$2,0,0,ROW()-1,12),ROW()-1,FALSE))</f>
        <v>20003</v>
      </c>
      <c r="N18">
        <f ca="1">IF(AND(ISNUMBER($N$125),$B$110=1),$N$125,HLOOKUP(INDIRECT(ADDRESS(2,COLUMN())),OFFSET($R$2,0,0,ROW()-1,12),ROW()-1,FALSE))</f>
        <v>19072</v>
      </c>
      <c r="O18">
        <f ca="1">IF(AND(ISNUMBER($O$125),$B$110=1),$O$125,HLOOKUP(INDIRECT(ADDRESS(2,COLUMN())),OFFSET($R$2,0,0,ROW()-1,12),ROW()-1,FALSE))</f>
        <v>22543</v>
      </c>
      <c r="P18">
        <f ca="1">IF(AND(ISNUMBER($P$125),$B$110=1),$P$125,HLOOKUP(INDIRECT(ADDRESS(2,COLUMN())),OFFSET($R$2,0,0,ROW()-1,12),ROW()-1,FALSE))</f>
        <v>19153</v>
      </c>
      <c r="Q18">
        <f ca="1">IF(AND(ISNUMBER($Q$125),$B$110=1),$Q$125,HLOOKUP(INDIRECT(ADDRESS(2,COLUMN())),OFFSET($R$2,0,0,ROW()-1,12),ROW()-1,FALSE))</f>
        <v>19289</v>
      </c>
      <c r="R18">
        <f>17571</f>
        <v>17571</v>
      </c>
      <c r="S18">
        <f>21777</f>
        <v>21777</v>
      </c>
      <c r="T18">
        <f>18028</f>
        <v>18028</v>
      </c>
      <c r="U18">
        <f>19161</f>
        <v>19161</v>
      </c>
      <c r="V18">
        <f>18182</f>
        <v>18182</v>
      </c>
      <c r="W18">
        <f>21760</f>
        <v>21760</v>
      </c>
      <c r="X18">
        <f>18756</f>
        <v>18756</v>
      </c>
      <c r="Y18">
        <f>20003</f>
        <v>20003</v>
      </c>
      <c r="Z18">
        <f>19072</f>
        <v>19072</v>
      </c>
      <c r="AA18">
        <f>22543</f>
        <v>22543</v>
      </c>
      <c r="AB18">
        <f>19153</f>
        <v>19153</v>
      </c>
      <c r="AC18">
        <f>19289</f>
        <v>19289</v>
      </c>
    </row>
    <row r="19" spans="1:29" x14ac:dyDescent="0.25">
      <c r="A19" t="str">
        <f>"    Tata Consultancy Services Ltd"</f>
        <v xml:space="preserve">    Tata Consultancy Services Ltd</v>
      </c>
      <c r="B19" t="str">
        <f>"TCS IN Equity"</f>
        <v>TCS IN Equity</v>
      </c>
      <c r="C19" t="str">
        <f t="shared" si="0"/>
        <v>IS010</v>
      </c>
      <c r="D19" t="str">
        <f t="shared" si="1"/>
        <v>SALES_REV_TURN</v>
      </c>
      <c r="E19" t="str">
        <f t="shared" si="2"/>
        <v>Dynamic</v>
      </c>
      <c r="F19">
        <f ca="1">IF(AND(ISNUMBER($F$126),$B$110=1),$F$126,HLOOKUP(INDIRECT(ADDRESS(2,COLUMN())),OFFSET($R$2,0,0,ROW()-1,12),ROW()-1,FALSE))</f>
        <v>5514.3758529999996</v>
      </c>
      <c r="G19">
        <f ca="1">IF(AND(ISNUMBER($G$126),$B$110=1),$G$126,HLOOKUP(INDIRECT(ADDRESS(2,COLUMN())),OFFSET($R$2,0,0,ROW()-1,12),ROW()-1,FALSE))</f>
        <v>5596.1081059999997</v>
      </c>
      <c r="H19">
        <f ca="1">IF(AND(ISNUMBER($H$126),$B$110=1),$H$126,HLOOKUP(INDIRECT(ADDRESS(2,COLUMN())),OFFSET($R$2,0,0,ROW()-1,12),ROW()-1,FALSE))</f>
        <v>5539.0058200000003</v>
      </c>
      <c r="I19">
        <f ca="1">IF(AND(ISNUMBER($I$126),$B$110=1),$I$126,HLOOKUP(INDIRECT(ADDRESS(2,COLUMN())),OFFSET($R$2,0,0,ROW()-1,12),ROW()-1,FALSE))</f>
        <v>5489.274402</v>
      </c>
      <c r="J19">
        <f ca="1">IF(AND(ISNUMBER($J$126),$B$110=1),$J$126,HLOOKUP(INDIRECT(ADDRESS(2,COLUMN())),OFFSET($R$2,0,0,ROW()-1,12),ROW()-1,FALSE))</f>
        <v>5395.1469360000001</v>
      </c>
      <c r="K19">
        <f ca="1">IF(AND(ISNUMBER($K$126),$B$110=1),$K$126,HLOOKUP(INDIRECT(ADDRESS(2,COLUMN())),OFFSET($R$2,0,0,ROW()-1,12),ROW()-1,FALSE))</f>
        <v>5181.894362</v>
      </c>
      <c r="L19">
        <f ca="1">IF(AND(ISNUMBER($L$126),$B$110=1),$L$126,HLOOKUP(INDIRECT(ADDRESS(2,COLUMN())),OFFSET($R$2,0,0,ROW()-1,12),ROW()-1,FALSE))</f>
        <v>5260.1666999999998</v>
      </c>
      <c r="M19">
        <f ca="1">IF(AND(ISNUMBER($M$126),$B$110=1),$M$126,HLOOKUP(INDIRECT(ADDRESS(2,COLUMN())),OFFSET($R$2,0,0,ROW()-1,12),ROW()-1,FALSE))</f>
        <v>5109.688983</v>
      </c>
      <c r="N19">
        <f ca="1">IF(AND(ISNUMBER($N$126),$B$110=1),$N$126,HLOOKUP(INDIRECT(ADDRESS(2,COLUMN())),OFFSET($R$2,0,0,ROW()-1,12),ROW()-1,FALSE))</f>
        <v>4982.6051589999997</v>
      </c>
      <c r="O19">
        <f ca="1">IF(AND(ISNUMBER($O$126),$B$110=1),$O$126,HLOOKUP(INDIRECT(ADDRESS(2,COLUMN())),OFFSET($R$2,0,0,ROW()-1,12),ROW()-1,FALSE))</f>
        <v>4774.029391</v>
      </c>
      <c r="P19">
        <f ca="1">IF(AND(ISNUMBER($P$126),$B$110=1),$P$126,HLOOKUP(INDIRECT(ADDRESS(2,COLUMN())),OFFSET($R$2,0,0,ROW()-1,12),ROW()-1,FALSE))</f>
        <v>4751.0011000000004</v>
      </c>
      <c r="Q19">
        <f ca="1">IF(AND(ISNUMBER($Q$126),$B$110=1),$Q$126,HLOOKUP(INDIRECT(ADDRESS(2,COLUMN())),OFFSET($R$2,0,0,ROW()-1,12),ROW()-1,FALSE))</f>
        <v>4587.5462509999998</v>
      </c>
      <c r="R19">
        <f>5514.375853</f>
        <v>5514.3758529999996</v>
      </c>
      <c r="S19">
        <f>5596.108106</f>
        <v>5596.1081059999997</v>
      </c>
      <c r="T19">
        <f>5539.00582</f>
        <v>5539.0058200000003</v>
      </c>
      <c r="U19">
        <f>5489.274402</f>
        <v>5489.274402</v>
      </c>
      <c r="V19">
        <f>5395.146936</f>
        <v>5395.1469360000001</v>
      </c>
      <c r="W19">
        <f>5181.894362</f>
        <v>5181.894362</v>
      </c>
      <c r="X19">
        <f>5260.1667</f>
        <v>5260.1666999999998</v>
      </c>
      <c r="Y19">
        <f>5109.688983</f>
        <v>5109.688983</v>
      </c>
      <c r="Z19">
        <f>4982.605159</f>
        <v>4982.6051589999997</v>
      </c>
      <c r="AA19">
        <f>4774.029391</f>
        <v>4774.029391</v>
      </c>
      <c r="AB19">
        <f>4751.0011</f>
        <v>4751.0011000000004</v>
      </c>
      <c r="AC19">
        <f>4587.546251</f>
        <v>4587.5462509999998</v>
      </c>
    </row>
    <row r="20" spans="1:29" x14ac:dyDescent="0.25">
      <c r="A20" t="str">
        <f>"    Tech Mahindra Ltd"</f>
        <v xml:space="preserve">    Tech Mahindra Ltd</v>
      </c>
      <c r="B20" t="str">
        <f>"TECHM IN Equity"</f>
        <v>TECHM IN Equity</v>
      </c>
      <c r="C20" t="str">
        <f t="shared" si="0"/>
        <v>IS010</v>
      </c>
      <c r="D20" t="str">
        <f t="shared" si="1"/>
        <v>SALES_REV_TURN</v>
      </c>
      <c r="E20" t="str">
        <f t="shared" si="2"/>
        <v>Dynamic</v>
      </c>
      <c r="F20">
        <f ca="1">IF(AND(ISNUMBER($F$127),$B$110=1),$F$127,HLOOKUP(INDIRECT(ADDRESS(2,COLUMN())),OFFSET($R$2,0,0,ROW()-1,12),ROW()-1,FALSE))</f>
        <v>1310.079369</v>
      </c>
      <c r="G20">
        <f ca="1">IF(AND(ISNUMBER($G$127),$B$110=1),$G$127,HLOOKUP(INDIRECT(ADDRESS(2,COLUMN())),OFFSET($R$2,0,0,ROW()-1,12),ROW()-1,FALSE))</f>
        <v>1355.6502519999999</v>
      </c>
      <c r="H20">
        <f ca="1">IF(AND(ISNUMBER($H$127),$B$110=1),$H$127,HLOOKUP(INDIRECT(ADDRESS(2,COLUMN())),OFFSET($R$2,0,0,ROW()-1,12),ROW()-1,FALSE))</f>
        <v>1288.917872</v>
      </c>
      <c r="I20">
        <f ca="1">IF(AND(ISNUMBER($I$127),$B$110=1),$I$127,HLOOKUP(INDIRECT(ADDRESS(2,COLUMN())),OFFSET($R$2,0,0,ROW()-1,12),ROW()-1,FALSE))</f>
        <v>1244.333318</v>
      </c>
      <c r="J20">
        <f ca="1">IF(AND(ISNUMBER($J$127),$B$110=1),$J$127,HLOOKUP(INDIRECT(ADDRESS(2,COLUMN())),OFFSET($R$2,0,0,ROW()-1,12),ROW()-1,FALSE))</f>
        <v>1262.1748250000001</v>
      </c>
      <c r="K20">
        <f ca="1">IF(AND(ISNUMBER($K$127),$B$110=1),$K$127,HLOOKUP(INDIRECT(ADDRESS(2,COLUMN())),OFFSET($R$2,0,0,ROW()-1,12),ROW()-1,FALSE))</f>
        <v>1241.23704</v>
      </c>
      <c r="L20">
        <f ca="1">IF(AND(ISNUMBER($L$127),$B$110=1),$L$127,HLOOKUP(INDIRECT(ADDRESS(2,COLUMN())),OFFSET($R$2,0,0,ROW()-1,12),ROW()-1,FALSE))</f>
        <v>1231.7373849999999</v>
      </c>
      <c r="M20">
        <f ca="1">IF(AND(ISNUMBER($M$127),$B$110=1),$M$127,HLOOKUP(INDIRECT(ADDRESS(2,COLUMN())),OFFSET($R$2,0,0,ROW()-1,12),ROW()-1,FALSE))</f>
        <v>1234.325231</v>
      </c>
      <c r="N20">
        <f ca="1">IF(AND(ISNUMBER($N$127),$B$110=1),$N$127,HLOOKUP(INDIRECT(ADDRESS(2,COLUMN())),OFFSET($R$2,0,0,ROW()-1,12),ROW()-1,FALSE))</f>
        <v>1251.204778</v>
      </c>
      <c r="O20">
        <f ca="1">IF(AND(ISNUMBER($O$127),$B$110=1),$O$127,HLOOKUP(INDIRECT(ADDRESS(2,COLUMN())),OFFSET($R$2,0,0,ROW()-1,12),ROW()-1,FALSE))</f>
        <v>1201.2251349999999</v>
      </c>
      <c r="P20">
        <f ca="1">IF(AND(ISNUMBER($P$127),$B$110=1),$P$127,HLOOKUP(INDIRECT(ADDRESS(2,COLUMN())),OFFSET($R$2,0,0,ROW()-1,12),ROW()-1,FALSE))</f>
        <v>1183.259217</v>
      </c>
      <c r="Q20">
        <f ca="1">IF(AND(ISNUMBER($Q$127),$B$110=1),$Q$127,HLOOKUP(INDIRECT(ADDRESS(2,COLUMN())),OFFSET($R$2,0,0,ROW()-1,12),ROW()-1,FALSE))</f>
        <v>1137.5979600000001</v>
      </c>
      <c r="R20">
        <f>1310.079369</f>
        <v>1310.079369</v>
      </c>
      <c r="S20">
        <f>1355.650252</f>
        <v>1355.6502519999999</v>
      </c>
      <c r="T20">
        <f>1288.917872</f>
        <v>1288.917872</v>
      </c>
      <c r="U20">
        <f>1244.333318</f>
        <v>1244.333318</v>
      </c>
      <c r="V20">
        <f>1262.174825</f>
        <v>1262.1748250000001</v>
      </c>
      <c r="W20">
        <f>1241.23704</f>
        <v>1241.23704</v>
      </c>
      <c r="X20">
        <f>1231.737385</f>
        <v>1231.7373849999999</v>
      </c>
      <c r="Y20">
        <f>1234.325231</f>
        <v>1234.325231</v>
      </c>
      <c r="Z20">
        <f>1251.204778</f>
        <v>1251.204778</v>
      </c>
      <c r="AA20">
        <f>1201.225135</f>
        <v>1201.2251349999999</v>
      </c>
      <c r="AB20">
        <f>1183.259217</f>
        <v>1183.259217</v>
      </c>
      <c r="AC20">
        <f>1137.59796</f>
        <v>1137.5979600000001</v>
      </c>
    </row>
    <row r="21" spans="1:29" x14ac:dyDescent="0.25">
      <c r="A21" t="str">
        <f>"    Wipro Ltd"</f>
        <v xml:space="preserve">    Wipro Ltd</v>
      </c>
      <c r="B21" t="str">
        <f>"WIT US Equity"</f>
        <v>WIT US Equity</v>
      </c>
      <c r="C21" t="str">
        <f t="shared" si="0"/>
        <v>IS010</v>
      </c>
      <c r="D21" t="str">
        <f t="shared" si="1"/>
        <v>SALES_REV_TURN</v>
      </c>
      <c r="E21" t="str">
        <f t="shared" si="2"/>
        <v>Dynamic</v>
      </c>
      <c r="F21">
        <f ca="1">IF(AND(ISNUMBER($F$128),$B$110=1),$F$128,HLOOKUP(INDIRECT(ADDRESS(2,COLUMN())),OFFSET($R$2,0,0,ROW()-1,12),ROW()-1,FALSE))</f>
        <v>2168.836906</v>
      </c>
      <c r="G21">
        <f ca="1">IF(AND(ISNUMBER($G$128),$B$110=1),$G$128,HLOOKUP(INDIRECT(ADDRESS(2,COLUMN())),OFFSET($R$2,0,0,ROW()-1,12),ROW()-1,FALSE))</f>
        <v>2172.2936330000002</v>
      </c>
      <c r="H21">
        <f ca="1">IF(AND(ISNUMBER($H$128),$B$110=1),$H$128,HLOOKUP(INDIRECT(ADDRESS(2,COLUMN())),OFFSET($R$2,0,0,ROW()-1,12),ROW()-1,FALSE))</f>
        <v>2149.4929430000002</v>
      </c>
      <c r="I21">
        <f ca="1">IF(AND(ISNUMBER($I$128),$B$110=1),$I$128,HLOOKUP(INDIRECT(ADDRESS(2,COLUMN())),OFFSET($R$2,0,0,ROW()-1,12),ROW()-1,FALSE))</f>
        <v>2116.2294619999998</v>
      </c>
      <c r="J21">
        <f ca="1">IF(AND(ISNUMBER($J$128),$B$110=1),$J$128,HLOOKUP(INDIRECT(ADDRESS(2,COLUMN())),OFFSET($R$2,0,0,ROW()-1,12),ROW()-1,FALSE))</f>
        <v>2129.9971970000001</v>
      </c>
      <c r="K21">
        <f ca="1">IF(AND(ISNUMBER($K$128),$B$110=1),$K$128,HLOOKUP(INDIRECT(ADDRESS(2,COLUMN())),OFFSET($R$2,0,0,ROW()-1,12),ROW()-1,FALSE))</f>
        <v>2090.0085210000002</v>
      </c>
      <c r="L21">
        <f ca="1">IF(AND(ISNUMBER($L$128),$B$110=1),$L$128,HLOOKUP(INDIRECT(ADDRESS(2,COLUMN())),OFFSET($R$2,0,0,ROW()-1,12),ROW()-1,FALSE))</f>
        <v>2075.4350679999998</v>
      </c>
      <c r="M21">
        <f ca="1">IF(AND(ISNUMBER($M$128),$B$110=1),$M$128,HLOOKUP(INDIRECT(ADDRESS(2,COLUMN())),OFFSET($R$2,0,0,ROW()-1,12),ROW()-1,FALSE))</f>
        <v>2084.6355830000002</v>
      </c>
      <c r="N21">
        <f ca="1">IF(AND(ISNUMBER($N$128),$B$110=1),$N$128,HLOOKUP(INDIRECT(ADDRESS(2,COLUMN())),OFFSET($R$2,0,0,ROW()-1,12),ROW()-1,FALSE))</f>
        <v>2138.846372</v>
      </c>
      <c r="O21">
        <f ca="1">IF(AND(ISNUMBER($O$128),$B$110=1),$O$128,HLOOKUP(INDIRECT(ADDRESS(2,COLUMN())),OFFSET($R$2,0,0,ROW()-1,12),ROW()-1,FALSE))</f>
        <v>2111.5780399999999</v>
      </c>
      <c r="P21">
        <f ca="1">IF(AND(ISNUMBER($P$128),$B$110=1),$P$128,HLOOKUP(INDIRECT(ADDRESS(2,COLUMN())),OFFSET($R$2,0,0,ROW()-1,12),ROW()-1,FALSE))</f>
        <v>2088.1630650000002</v>
      </c>
      <c r="Q21">
        <f ca="1">IF(AND(ISNUMBER($Q$128),$B$110=1),$Q$128,HLOOKUP(INDIRECT(ADDRESS(2,COLUMN())),OFFSET($R$2,0,0,ROW()-1,12),ROW()-1,FALSE))</f>
        <v>2112.9787710000001</v>
      </c>
      <c r="R21">
        <f>2168.836906</f>
        <v>2168.836906</v>
      </c>
      <c r="S21">
        <f>2172.293633</f>
        <v>2172.2936330000002</v>
      </c>
      <c r="T21">
        <f>2149.492943</f>
        <v>2149.4929430000002</v>
      </c>
      <c r="U21">
        <f>2116.229462</f>
        <v>2116.2294619999998</v>
      </c>
      <c r="V21">
        <f>2129.997197</f>
        <v>2129.9971970000001</v>
      </c>
      <c r="W21">
        <f>2090.008521</f>
        <v>2090.0085210000002</v>
      </c>
      <c r="X21">
        <f>2075.435068</f>
        <v>2075.4350679999998</v>
      </c>
      <c r="Y21">
        <f>2084.635583</f>
        <v>2084.6355830000002</v>
      </c>
      <c r="Z21">
        <f>2138.846372</f>
        <v>2138.846372</v>
      </c>
      <c r="AA21">
        <f>2111.57804</f>
        <v>2111.5780399999999</v>
      </c>
      <c r="AB21">
        <f>2088.163065</f>
        <v>2088.1630650000002</v>
      </c>
      <c r="AC21">
        <f>2112.978771</f>
        <v>2112.9787710000001</v>
      </c>
    </row>
    <row r="22" spans="1:29" x14ac:dyDescent="0.25">
      <c r="A22" t="str">
        <f>"Gross Profit"</f>
        <v>Gross Profit</v>
      </c>
      <c r="B22" t="str">
        <f>"BRITBPOV Index"</f>
        <v>BRITBPOV Index</v>
      </c>
      <c r="E22" t="str">
        <f>"Sum"</f>
        <v>Sum</v>
      </c>
      <c r="F22">
        <f ca="1">IF(ISERROR(IF(SUM($F$23:$F$39) = 0, "", SUM($F$23:$F$39))), "", (IF(SUM($F$23:$F$39) = 0, "", SUM($F$23:$F$39))))</f>
        <v>20293.297756399999</v>
      </c>
      <c r="G22">
        <f ca="1">IF(ISERROR(IF(SUM($G$23:$G$39) = 0, "", SUM($G$23:$G$39))), "", (IF(SUM($G$23:$G$39) = 0, "", SUM($G$23:$G$39))))</f>
        <v>23981.744383999998</v>
      </c>
      <c r="H22">
        <f ca="1">IF(ISERROR(IF(SUM($H$23:$H$39) = 0, "", SUM($H$23:$H$39))), "", (IF(SUM($H$23:$H$39) = 0, "", SUM($H$23:$H$39))))</f>
        <v>20849.957725</v>
      </c>
      <c r="I22">
        <f ca="1">IF(ISERROR(IF(SUM($I$23:$I$39) = 0, "", SUM($I$23:$I$39))), "", (IF(SUM($I$23:$I$39) = 0, "", SUM($I$23:$I$39))))</f>
        <v>21413.771786099998</v>
      </c>
      <c r="J22">
        <f ca="1">IF(ISERROR(IF(SUM($J$23:$J$39) = 0, "", SUM($J$23:$J$39))), "", (IF(SUM($J$23:$J$39) = 0, "", SUM($J$23:$J$39))))</f>
        <v>20186.531719999999</v>
      </c>
      <c r="K22">
        <f ca="1">IF(ISERROR(IF(SUM($K$23:$K$39) = 0, "", SUM($K$23:$K$39))), "", (IF(SUM($K$23:$K$39) = 0, "", SUM($K$23:$K$39))))</f>
        <v>23101.705328799999</v>
      </c>
      <c r="L22">
        <f ca="1">IF(ISERROR(IF(SUM($L$23:$L$39) = 0, "", SUM($L$23:$L$39))), "", (IF(SUM($L$23:$L$39) = 0, "", SUM($L$23:$L$39))))</f>
        <v>21227.188045599996</v>
      </c>
      <c r="M22">
        <f ca="1">IF(ISERROR(IF(SUM($M$23:$M$39) = 0, "", SUM($M$23:$M$39))), "", (IF(SUM($M$23:$M$39) = 0, "", SUM($M$23:$M$39))))</f>
        <v>21390.540375199998</v>
      </c>
      <c r="N22">
        <f ca="1">IF(ISERROR(IF(SUM($N$23:$N$39) = 0, "", SUM($N$23:$N$39))), "", (IF(SUM($N$23:$N$39) = 0, "", SUM($N$23:$N$39))))</f>
        <v>19230.937822</v>
      </c>
      <c r="O22">
        <f ca="1">IF(ISERROR(IF(SUM($O$23:$O$39) = 0, "", SUM($O$23:$O$39))), "", (IF(SUM($O$23:$O$39) = 0, "", SUM($O$23:$O$39))))</f>
        <v>22713.867099499996</v>
      </c>
      <c r="P22">
        <f ca="1">IF(ISERROR(IF(SUM($P$23:$P$39) = 0, "", SUM($P$23:$P$39))), "", (IF(SUM($P$23:$P$39) = 0, "", SUM($P$23:$P$39))))</f>
        <v>20302.8509849</v>
      </c>
      <c r="Q22">
        <f ca="1">IF(ISERROR(IF(SUM($Q$23:$Q$39) = 0, "", SUM($Q$23:$Q$39))), "", (IF(SUM($Q$23:$Q$39) = 0, "", SUM($Q$23:$Q$39))))</f>
        <v>19583.0913927</v>
      </c>
      <c r="R22">
        <f>20293.29776</f>
        <v>20293.297760000001</v>
      </c>
      <c r="S22">
        <f>23981.74438</f>
        <v>23981.74438</v>
      </c>
      <c r="T22">
        <f>20849.95773</f>
        <v>20849.957729999998</v>
      </c>
      <c r="U22">
        <f>21413.77179</f>
        <v>21413.771789999999</v>
      </c>
      <c r="V22">
        <f>20186.53172</f>
        <v>20186.531719999999</v>
      </c>
      <c r="W22">
        <f>23101.70533</f>
        <v>23101.705330000001</v>
      </c>
      <c r="X22">
        <f>21227.18805</f>
        <v>21227.188050000001</v>
      </c>
      <c r="Y22">
        <f>21390.54038</f>
        <v>21390.540379999999</v>
      </c>
      <c r="Z22">
        <f>19230.93782</f>
        <v>19230.937819999999</v>
      </c>
      <c r="AA22">
        <f>22713.8671</f>
        <v>22713.867099999999</v>
      </c>
      <c r="AB22">
        <f>20302.85098</f>
        <v>20302.850979999999</v>
      </c>
      <c r="AC22">
        <f>19583.09139</f>
        <v>19583.091390000001</v>
      </c>
    </row>
    <row r="23" spans="1:29" x14ac:dyDescent="0.25">
      <c r="A23" t="str">
        <f>"    Accenture PLC"</f>
        <v xml:space="preserve">    Accenture PLC</v>
      </c>
      <c r="B23" t="str">
        <f>"ACN US Equity"</f>
        <v>ACN US Equity</v>
      </c>
      <c r="C23" t="str">
        <f t="shared" ref="C23:C39" si="3">"RR861"</f>
        <v>RR861</v>
      </c>
      <c r="D23" t="str">
        <f t="shared" ref="D23:D39" si="4">"GROSS_PROFIT"</f>
        <v>GROSS_PROFIT</v>
      </c>
      <c r="E23" t="str">
        <f t="shared" ref="E23:E39" si="5">"Dynamic"</f>
        <v>Dynamic</v>
      </c>
      <c r="F23">
        <f ca="1">IF(AND(ISNUMBER($F$129),$B$110=1),$F$129,HLOOKUP(INDIRECT(ADDRESS(2,COLUMN())),OFFSET($R$2,0,0,ROW()-1,12),ROW()-1,FALSE))</f>
        <v>3359.1709999999998</v>
      </c>
      <c r="G23">
        <f ca="1">IF(AND(ISNUMBER($G$129),$B$110=1),$G$129,HLOOKUP(INDIRECT(ADDRESS(2,COLUMN())),OFFSET($R$2,0,0,ROW()-1,12),ROW()-1,FALSE))</f>
        <v>3647.759</v>
      </c>
      <c r="H23">
        <f ca="1">IF(AND(ISNUMBER($H$129),$B$110=1),$H$129,HLOOKUP(INDIRECT(ADDRESS(2,COLUMN())),OFFSET($R$2,0,0,ROW()-1,12),ROW()-1,FALSE))</f>
        <v>3434.616</v>
      </c>
      <c r="I23">
        <f ca="1">IF(AND(ISNUMBER($I$129),$B$110=1),$I$129,HLOOKUP(INDIRECT(ADDRESS(2,COLUMN())),OFFSET($R$2,0,0,ROW()-1,12),ROW()-1,FALSE))</f>
        <v>3528.2979999999998</v>
      </c>
      <c r="J23">
        <f ca="1">IF(AND(ISNUMBER($J$129),$B$110=1),$J$129,HLOOKUP(INDIRECT(ADDRESS(2,COLUMN())),OFFSET($R$2,0,0,ROW()-1,12),ROW()-1,FALSE))</f>
        <v>3054.3490000000002</v>
      </c>
      <c r="K23">
        <f ca="1">IF(AND(ISNUMBER($K$129),$B$110=1),$K$129,HLOOKUP(INDIRECT(ADDRESS(2,COLUMN())),OFFSET($R$2,0,0,ROW()-1,12),ROW()-1,FALSE))</f>
        <v>3297.4250000000002</v>
      </c>
      <c r="L23">
        <f ca="1">IF(AND(ISNUMBER($L$129),$B$110=1),$L$129,HLOOKUP(INDIRECT(ADDRESS(2,COLUMN())),OFFSET($R$2,0,0,ROW()-1,12),ROW()-1,FALSE))</f>
        <v>3237.6559999999999</v>
      </c>
      <c r="M23">
        <f ca="1">IF(AND(ISNUMBER($M$129),$B$110=1),$M$129,HLOOKUP(INDIRECT(ADDRESS(2,COLUMN())),OFFSET($R$2,0,0,ROW()-1,12),ROW()-1,FALSE))</f>
        <v>3332.0149999999999</v>
      </c>
      <c r="N23">
        <f ca="1">IF(AND(ISNUMBER($N$129),$B$110=1),$N$129,HLOOKUP(INDIRECT(ADDRESS(2,COLUMN())),OFFSET($R$2,0,0,ROW()-1,12),ROW()-1,FALSE))</f>
        <v>2859.54</v>
      </c>
      <c r="O23">
        <f ca="1">IF(AND(ISNUMBER($O$129),$B$110=1),$O$129,HLOOKUP(INDIRECT(ADDRESS(2,COLUMN())),OFFSET($R$2,0,0,ROW()-1,12),ROW()-1,FALSE))</f>
        <v>3064.1529999999998</v>
      </c>
      <c r="P23">
        <f ca="1">IF(AND(ISNUMBER($P$129),$B$110=1),$P$129,HLOOKUP(INDIRECT(ADDRESS(2,COLUMN())),OFFSET($R$2,0,0,ROW()-1,12),ROW()-1,FALSE))</f>
        <v>2886.6729999999998</v>
      </c>
      <c r="Q23">
        <f ca="1">IF(AND(ISNUMBER($Q$129),$B$110=1),$Q$129,HLOOKUP(INDIRECT(ADDRESS(2,COLUMN())),OFFSET($R$2,0,0,ROW()-1,12),ROW()-1,FALSE))</f>
        <v>2909.6309999999999</v>
      </c>
      <c r="R23">
        <f>3359.171</f>
        <v>3359.1709999999998</v>
      </c>
      <c r="S23">
        <f>3647.759</f>
        <v>3647.759</v>
      </c>
      <c r="T23">
        <f>3434.616</f>
        <v>3434.616</v>
      </c>
      <c r="U23">
        <f>3528.298</f>
        <v>3528.2979999999998</v>
      </c>
      <c r="V23">
        <f>3054.349</f>
        <v>3054.3490000000002</v>
      </c>
      <c r="W23">
        <f>3297.425</f>
        <v>3297.4250000000002</v>
      </c>
      <c r="X23">
        <f>3237.656</f>
        <v>3237.6559999999999</v>
      </c>
      <c r="Y23">
        <f>3332.015</f>
        <v>3332.0149999999999</v>
      </c>
      <c r="Z23">
        <f>2859.54</f>
        <v>2859.54</v>
      </c>
      <c r="AA23">
        <f>3064.153</f>
        <v>3064.1529999999998</v>
      </c>
      <c r="AB23">
        <f>2886.673</f>
        <v>2886.6729999999998</v>
      </c>
      <c r="AC23">
        <f>2909.631</f>
        <v>2909.6309999999999</v>
      </c>
    </row>
    <row r="24" spans="1:29" x14ac:dyDescent="0.25">
      <c r="A24" t="str">
        <f>"    Amdocs Ltd"</f>
        <v xml:space="preserve">    Amdocs Ltd</v>
      </c>
      <c r="B24" t="str">
        <f>"DOX US Equity"</f>
        <v>DOX US Equity</v>
      </c>
      <c r="C24" t="str">
        <f t="shared" si="3"/>
        <v>RR861</v>
      </c>
      <c r="D24" t="str">
        <f t="shared" si="4"/>
        <v>GROSS_PROFIT</v>
      </c>
      <c r="E24" t="str">
        <f t="shared" si="5"/>
        <v>Dynamic</v>
      </c>
      <c r="F24">
        <f ca="1">IF(AND(ISNUMBER($F$130),$B$110=1),$F$130,HLOOKUP(INDIRECT(ADDRESS(2,COLUMN())),OFFSET($R$2,0,0,ROW()-1,12),ROW()-1,FALSE))</f>
        <v>363.96300000000002</v>
      </c>
      <c r="G24">
        <f ca="1">IF(AND(ISNUMBER($G$130),$B$110=1),$G$130,HLOOKUP(INDIRECT(ADDRESS(2,COLUMN())),OFFSET($R$2,0,0,ROW()-1,12),ROW()-1,FALSE))</f>
        <v>355.64499999999998</v>
      </c>
      <c r="H24">
        <f ca="1">IF(AND(ISNUMBER($H$130),$B$110=1),$H$130,HLOOKUP(INDIRECT(ADDRESS(2,COLUMN())),OFFSET($R$2,0,0,ROW()-1,12),ROW()-1,FALSE))</f>
        <v>363.12400000000002</v>
      </c>
      <c r="I24">
        <f ca="1">IF(AND(ISNUMBER($I$130),$B$110=1),$I$130,HLOOKUP(INDIRECT(ADDRESS(2,COLUMN())),OFFSET($R$2,0,0,ROW()-1,12),ROW()-1,FALSE))</f>
        <v>359.84199999999998</v>
      </c>
      <c r="J24">
        <f ca="1">IF(AND(ISNUMBER($J$130),$B$110=1),$J$130,HLOOKUP(INDIRECT(ADDRESS(2,COLUMN())),OFFSET($R$2,0,0,ROW()-1,12),ROW()-1,FALSE))</f>
        <v>361.04399999999998</v>
      </c>
      <c r="K24">
        <f ca="1">IF(AND(ISNUMBER($K$130),$B$110=1),$K$130,HLOOKUP(INDIRECT(ADDRESS(2,COLUMN())),OFFSET($R$2,0,0,ROW()-1,12),ROW()-1,FALSE))</f>
        <v>349.48700000000002</v>
      </c>
      <c r="L24">
        <f ca="1">IF(AND(ISNUMBER($L$130),$B$110=1),$L$130,HLOOKUP(INDIRECT(ADDRESS(2,COLUMN())),OFFSET($R$2,0,0,ROW()-1,12),ROW()-1,FALSE))</f>
        <v>347.66500000000002</v>
      </c>
      <c r="M24">
        <f ca="1">IF(AND(ISNUMBER($M$130),$B$110=1),$M$130,HLOOKUP(INDIRECT(ADDRESS(2,COLUMN())),OFFSET($R$2,0,0,ROW()-1,12),ROW()-1,FALSE))</f>
        <v>351.62900000000002</v>
      </c>
      <c r="N24">
        <f ca="1">IF(AND(ISNUMBER($N$130),$B$110=1),$N$130,HLOOKUP(INDIRECT(ADDRESS(2,COLUMN())),OFFSET($R$2,0,0,ROW()-1,12),ROW()-1,FALSE))</f>
        <v>345.75299999999999</v>
      </c>
      <c r="O24">
        <f ca="1">IF(AND(ISNUMBER($O$130),$B$110=1),$O$130,HLOOKUP(INDIRECT(ADDRESS(2,COLUMN())),OFFSET($R$2,0,0,ROW()-1,12),ROW()-1,FALSE))</f>
        <v>334.51400000000001</v>
      </c>
      <c r="P24">
        <f ca="1">IF(AND(ISNUMBER($P$130),$B$110=1),$P$130,HLOOKUP(INDIRECT(ADDRESS(2,COLUMN())),OFFSET($R$2,0,0,ROW()-1,12),ROW()-1,FALSE))</f>
        <v>343.279</v>
      </c>
      <c r="Q24">
        <f ca="1">IF(AND(ISNUMBER($Q$130),$B$110=1),$Q$130,HLOOKUP(INDIRECT(ADDRESS(2,COLUMN())),OFFSET($R$2,0,0,ROW()-1,12),ROW()-1,FALSE))</f>
        <v>338.05500000000001</v>
      </c>
      <c r="R24">
        <f>363.963</f>
        <v>363.96300000000002</v>
      </c>
      <c r="S24">
        <f>355.645</f>
        <v>355.64499999999998</v>
      </c>
      <c r="T24">
        <f>363.124</f>
        <v>363.12400000000002</v>
      </c>
      <c r="U24">
        <f>359.842</f>
        <v>359.84199999999998</v>
      </c>
      <c r="V24">
        <f>361.044</f>
        <v>361.04399999999998</v>
      </c>
      <c r="W24">
        <f>349.487</f>
        <v>349.48700000000002</v>
      </c>
      <c r="X24">
        <f>347.665</f>
        <v>347.66500000000002</v>
      </c>
      <c r="Y24">
        <f>351.629</f>
        <v>351.62900000000002</v>
      </c>
      <c r="Z24">
        <f>345.753</f>
        <v>345.75299999999999</v>
      </c>
      <c r="AA24">
        <f>334.514</f>
        <v>334.51400000000001</v>
      </c>
      <c r="AB24">
        <f>343.279</f>
        <v>343.279</v>
      </c>
      <c r="AC24">
        <f>338.055</f>
        <v>338.05500000000001</v>
      </c>
    </row>
    <row r="25" spans="1:29" x14ac:dyDescent="0.25">
      <c r="A25" t="str">
        <f>"    Atos SE"</f>
        <v xml:space="preserve">    Atos SE</v>
      </c>
      <c r="B25" t="str">
        <f>"ATO FP Equity"</f>
        <v>ATO FP Equity</v>
      </c>
      <c r="C25" t="str">
        <f t="shared" si="3"/>
        <v>RR861</v>
      </c>
      <c r="D25" t="str">
        <f t="shared" si="4"/>
        <v>GROSS_PROFIT</v>
      </c>
      <c r="E25" t="str">
        <f t="shared" si="5"/>
        <v>Dynamic</v>
      </c>
      <c r="F25" t="str">
        <f ca="1">IF(AND(ISNUMBER($F$131),$B$110=1),$F$131,HLOOKUP(INDIRECT(ADDRESS(2,COLUMN())),OFFSET($R$2,0,0,ROW()-1,12),ROW()-1,FALSE))</f>
        <v/>
      </c>
      <c r="G25" t="str">
        <f ca="1">IF(AND(ISNUMBER($G$131),$B$110=1),$G$131,HLOOKUP(INDIRECT(ADDRESS(2,COLUMN())),OFFSET($R$2,0,0,ROW()-1,12),ROW()-1,FALSE))</f>
        <v/>
      </c>
      <c r="H25" t="str">
        <f ca="1">IF(AND(ISNUMBER($H$131),$B$110=1),$H$131,HLOOKUP(INDIRECT(ADDRESS(2,COLUMN())),OFFSET($R$2,0,0,ROW()-1,12),ROW()-1,FALSE))</f>
        <v/>
      </c>
      <c r="I25" t="str">
        <f ca="1">IF(AND(ISNUMBER($I$131),$B$110=1),$I$131,HLOOKUP(INDIRECT(ADDRESS(2,COLUMN())),OFFSET($R$2,0,0,ROW()-1,12),ROW()-1,FALSE))</f>
        <v/>
      </c>
      <c r="J25" t="str">
        <f ca="1">IF(AND(ISNUMBER($J$131),$B$110=1),$J$131,HLOOKUP(INDIRECT(ADDRESS(2,COLUMN())),OFFSET($R$2,0,0,ROW()-1,12),ROW()-1,FALSE))</f>
        <v/>
      </c>
      <c r="K25" t="str">
        <f ca="1">IF(AND(ISNUMBER($K$131),$B$110=1),$K$131,HLOOKUP(INDIRECT(ADDRESS(2,COLUMN())),OFFSET($R$2,0,0,ROW()-1,12),ROW()-1,FALSE))</f>
        <v/>
      </c>
      <c r="L25" t="str">
        <f ca="1">IF(AND(ISNUMBER($L$131),$B$110=1),$L$131,HLOOKUP(INDIRECT(ADDRESS(2,COLUMN())),OFFSET($R$2,0,0,ROW()-1,12),ROW()-1,FALSE))</f>
        <v/>
      </c>
      <c r="M25" t="str">
        <f ca="1">IF(AND(ISNUMBER($M$131),$B$110=1),$M$131,HLOOKUP(INDIRECT(ADDRESS(2,COLUMN())),OFFSET($R$2,0,0,ROW()-1,12),ROW()-1,FALSE))</f>
        <v/>
      </c>
      <c r="N25" t="str">
        <f ca="1">IF(AND(ISNUMBER($N$131),$B$110=1),$N$131,HLOOKUP(INDIRECT(ADDRESS(2,COLUMN())),OFFSET($R$2,0,0,ROW()-1,12),ROW()-1,FALSE))</f>
        <v/>
      </c>
      <c r="O25" t="str">
        <f ca="1">IF(AND(ISNUMBER($O$131),$B$110=1),$O$131,HLOOKUP(INDIRECT(ADDRESS(2,COLUMN())),OFFSET($R$2,0,0,ROW()-1,12),ROW()-1,FALSE))</f>
        <v/>
      </c>
      <c r="P25" t="str">
        <f ca="1">IF(AND(ISNUMBER($P$131),$B$110=1),$P$131,HLOOKUP(INDIRECT(ADDRESS(2,COLUMN())),OFFSET($R$2,0,0,ROW()-1,12),ROW()-1,FALSE))</f>
        <v/>
      </c>
      <c r="Q25" t="str">
        <f ca="1">IF(AND(ISNUMBER($Q$131),$B$110=1),$Q$131,HLOOKUP(INDIRECT(ADDRESS(2,COLUMN())),OFFSET($R$2,0,0,ROW()-1,12),ROW()-1,FALSE))</f>
        <v/>
      </c>
      <c r="R25" t="str">
        <f>""</f>
        <v/>
      </c>
      <c r="S25" t="str">
        <f>""</f>
        <v/>
      </c>
      <c r="T25" t="str">
        <f>""</f>
        <v/>
      </c>
      <c r="U25" t="str">
        <f>""</f>
        <v/>
      </c>
      <c r="V25" t="str">
        <f>""</f>
        <v/>
      </c>
      <c r="W25" t="str">
        <f>""</f>
        <v/>
      </c>
      <c r="X25" t="str">
        <f>""</f>
        <v/>
      </c>
      <c r="Y25" t="str">
        <f>""</f>
        <v/>
      </c>
      <c r="Z25" t="str">
        <f>""</f>
        <v/>
      </c>
      <c r="AA25" t="str">
        <f>""</f>
        <v/>
      </c>
      <c r="AB25" t="str">
        <f>""</f>
        <v/>
      </c>
      <c r="AC25" t="str">
        <f>""</f>
        <v/>
      </c>
    </row>
    <row r="26" spans="1:29" x14ac:dyDescent="0.25">
      <c r="A26" t="str">
        <f>"    Capgemini SE"</f>
        <v xml:space="preserve">    Capgemini SE</v>
      </c>
      <c r="B26" t="str">
        <f>"CAP FP Equity"</f>
        <v>CAP FP Equity</v>
      </c>
      <c r="C26" t="str">
        <f t="shared" si="3"/>
        <v>RR861</v>
      </c>
      <c r="D26" t="str">
        <f t="shared" si="4"/>
        <v>GROSS_PROFIT</v>
      </c>
      <c r="E26" t="str">
        <f t="shared" si="5"/>
        <v>Dynamic</v>
      </c>
      <c r="F26" t="str">
        <f ca="1">IF(AND(ISNUMBER($F$132),$B$110=1),$F$132,HLOOKUP(INDIRECT(ADDRESS(2,COLUMN())),OFFSET($R$2,0,0,ROW()-1,12),ROW()-1,FALSE))</f>
        <v/>
      </c>
      <c r="G26" t="str">
        <f ca="1">IF(AND(ISNUMBER($G$132),$B$110=1),$G$132,HLOOKUP(INDIRECT(ADDRESS(2,COLUMN())),OFFSET($R$2,0,0,ROW()-1,12),ROW()-1,FALSE))</f>
        <v/>
      </c>
      <c r="H26" t="str">
        <f ca="1">IF(AND(ISNUMBER($H$132),$B$110=1),$H$132,HLOOKUP(INDIRECT(ADDRESS(2,COLUMN())),OFFSET($R$2,0,0,ROW()-1,12),ROW()-1,FALSE))</f>
        <v/>
      </c>
      <c r="I26" t="str">
        <f ca="1">IF(AND(ISNUMBER($I$132),$B$110=1),$I$132,HLOOKUP(INDIRECT(ADDRESS(2,COLUMN())),OFFSET($R$2,0,0,ROW()-1,12),ROW()-1,FALSE))</f>
        <v/>
      </c>
      <c r="J26" t="str">
        <f ca="1">IF(AND(ISNUMBER($J$132),$B$110=1),$J$132,HLOOKUP(INDIRECT(ADDRESS(2,COLUMN())),OFFSET($R$2,0,0,ROW()-1,12),ROW()-1,FALSE))</f>
        <v/>
      </c>
      <c r="K26" t="str">
        <f ca="1">IF(AND(ISNUMBER($K$132),$B$110=1),$K$132,HLOOKUP(INDIRECT(ADDRESS(2,COLUMN())),OFFSET($R$2,0,0,ROW()-1,12),ROW()-1,FALSE))</f>
        <v/>
      </c>
      <c r="L26" t="str">
        <f ca="1">IF(AND(ISNUMBER($L$132),$B$110=1),$L$132,HLOOKUP(INDIRECT(ADDRESS(2,COLUMN())),OFFSET($R$2,0,0,ROW()-1,12),ROW()-1,FALSE))</f>
        <v/>
      </c>
      <c r="M26" t="str">
        <f ca="1">IF(AND(ISNUMBER($M$132),$B$110=1),$M$132,HLOOKUP(INDIRECT(ADDRESS(2,COLUMN())),OFFSET($R$2,0,0,ROW()-1,12),ROW()-1,FALSE))</f>
        <v/>
      </c>
      <c r="N26" t="str">
        <f ca="1">IF(AND(ISNUMBER($N$132),$B$110=1),$N$132,HLOOKUP(INDIRECT(ADDRESS(2,COLUMN())),OFFSET($R$2,0,0,ROW()-1,12),ROW()-1,FALSE))</f>
        <v/>
      </c>
      <c r="O26" t="str">
        <f ca="1">IF(AND(ISNUMBER($O$132),$B$110=1),$O$132,HLOOKUP(INDIRECT(ADDRESS(2,COLUMN())),OFFSET($R$2,0,0,ROW()-1,12),ROW()-1,FALSE))</f>
        <v/>
      </c>
      <c r="P26" t="str">
        <f ca="1">IF(AND(ISNUMBER($P$132),$B$110=1),$P$132,HLOOKUP(INDIRECT(ADDRESS(2,COLUMN())),OFFSET($R$2,0,0,ROW()-1,12),ROW()-1,FALSE))</f>
        <v/>
      </c>
      <c r="Q26" t="str">
        <f ca="1">IF(AND(ISNUMBER($Q$132),$B$110=1),$Q$132,HLOOKUP(INDIRECT(ADDRESS(2,COLUMN())),OFFSET($R$2,0,0,ROW()-1,12),ROW()-1,FALSE))</f>
        <v/>
      </c>
      <c r="R26" t="str">
        <f>""</f>
        <v/>
      </c>
      <c r="S26" t="str">
        <f>""</f>
        <v/>
      </c>
      <c r="T26" t="str">
        <f>""</f>
        <v/>
      </c>
      <c r="U26" t="str">
        <f>""</f>
        <v/>
      </c>
      <c r="V26" t="str">
        <f>""</f>
        <v/>
      </c>
      <c r="W26" t="str">
        <f>""</f>
        <v/>
      </c>
      <c r="X26" t="str">
        <f>""</f>
        <v/>
      </c>
      <c r="Y26" t="str">
        <f>""</f>
        <v/>
      </c>
      <c r="Z26" t="str">
        <f>""</f>
        <v/>
      </c>
      <c r="AA26" t="str">
        <f>""</f>
        <v/>
      </c>
      <c r="AB26" t="str">
        <f>""</f>
        <v/>
      </c>
      <c r="AC26" t="str">
        <f>""</f>
        <v/>
      </c>
    </row>
    <row r="27" spans="1:29" x14ac:dyDescent="0.25">
      <c r="A27" t="str">
        <f>"    CGI Inc"</f>
        <v xml:space="preserve">    CGI Inc</v>
      </c>
      <c r="B27" t="str">
        <f>"GIB US Equity"</f>
        <v>GIB US Equity</v>
      </c>
      <c r="C27" t="str">
        <f t="shared" si="3"/>
        <v>RR861</v>
      </c>
      <c r="D27" t="str">
        <f t="shared" si="4"/>
        <v>GROSS_PROFIT</v>
      </c>
      <c r="E27" t="str">
        <f t="shared" si="5"/>
        <v>Dynamic</v>
      </c>
      <c r="F27">
        <f ca="1">IF(AND(ISNUMBER($F$133),$B$110=1),$F$133,HLOOKUP(INDIRECT(ADDRESS(2,COLUMN())),OFFSET($R$2,0,0,ROW()-1,12),ROW()-1,FALSE))</f>
        <v>361.64946079999999</v>
      </c>
      <c r="G27">
        <f ca="1">IF(AND(ISNUMBER($G$133),$B$110=1),$G$133,HLOOKUP(INDIRECT(ADDRESS(2,COLUMN())),OFFSET($R$2,0,0,ROW()-1,12),ROW()-1,FALSE))</f>
        <v>359.91563250000002</v>
      </c>
      <c r="H27">
        <f ca="1">IF(AND(ISNUMBER($H$133),$B$110=1),$H$133,HLOOKUP(INDIRECT(ADDRESS(2,COLUMN())),OFFSET($R$2,0,0,ROW()-1,12),ROW()-1,FALSE))</f>
        <v>346.31609250000002</v>
      </c>
      <c r="I27">
        <f ca="1">IF(AND(ISNUMBER($I$133),$B$110=1),$I$133,HLOOKUP(INDIRECT(ADDRESS(2,COLUMN())),OFFSET($R$2,0,0,ROW()-1,12),ROW()-1,FALSE))</f>
        <v>355.37162430000001</v>
      </c>
      <c r="J27">
        <f ca="1">IF(AND(ISNUMBER($J$133),$B$110=1),$J$133,HLOOKUP(INDIRECT(ADDRESS(2,COLUMN())),OFFSET($R$2,0,0,ROW()-1,12),ROW()-1,FALSE))</f>
        <v>343.95636610000003</v>
      </c>
      <c r="K27">
        <f ca="1">IF(AND(ISNUMBER($K$133),$B$110=1),$K$133,HLOOKUP(INDIRECT(ADDRESS(2,COLUMN())),OFFSET($R$2,0,0,ROW()-1,12),ROW()-1,FALSE))</f>
        <v>330.91075699999999</v>
      </c>
      <c r="L27">
        <f ca="1">IF(AND(ISNUMBER($L$133),$B$110=1),$L$133,HLOOKUP(INDIRECT(ADDRESS(2,COLUMN())),OFFSET($R$2,0,0,ROW()-1,12),ROW()-1,FALSE))</f>
        <v>334.60496849999998</v>
      </c>
      <c r="M27">
        <f ca="1">IF(AND(ISNUMBER($M$133),$B$110=1),$M$133,HLOOKUP(INDIRECT(ADDRESS(2,COLUMN())),OFFSET($R$2,0,0,ROW()-1,12),ROW()-1,FALSE))</f>
        <v>338.620069</v>
      </c>
      <c r="N27">
        <f ca="1">IF(AND(ISNUMBER($N$133),$B$110=1),$N$133,HLOOKUP(INDIRECT(ADDRESS(2,COLUMN())),OFFSET($R$2,0,0,ROW()-1,12),ROW()-1,FALSE))</f>
        <v>335.57726960000002</v>
      </c>
      <c r="O27">
        <f ca="1">IF(AND(ISNUMBER($O$133),$B$110=1),$O$133,HLOOKUP(INDIRECT(ADDRESS(2,COLUMN())),OFFSET($R$2,0,0,ROW()-1,12),ROW()-1,FALSE))</f>
        <v>319.63052909999999</v>
      </c>
      <c r="P27">
        <f ca="1">IF(AND(ISNUMBER($P$133),$B$110=1),$P$133,HLOOKUP(INDIRECT(ADDRESS(2,COLUMN())),OFFSET($R$2,0,0,ROW()-1,12),ROW()-1,FALSE))</f>
        <v>313.55274050000003</v>
      </c>
      <c r="Q27">
        <f ca="1">IF(AND(ISNUMBER($Q$133),$B$110=1),$Q$133,HLOOKUP(INDIRECT(ADDRESS(2,COLUMN())),OFFSET($R$2,0,0,ROW()-1,12),ROW()-1,FALSE))</f>
        <v>297.40814360000002</v>
      </c>
      <c r="R27">
        <f>361.6494608</f>
        <v>361.64946079999999</v>
      </c>
      <c r="S27">
        <f>359.9156325</f>
        <v>359.91563250000002</v>
      </c>
      <c r="T27">
        <f>346.3160925</f>
        <v>346.31609250000002</v>
      </c>
      <c r="U27">
        <f>355.3716243</f>
        <v>355.37162430000001</v>
      </c>
      <c r="V27">
        <f>343.9563661</f>
        <v>343.95636610000003</v>
      </c>
      <c r="W27">
        <f>330.910757</f>
        <v>330.91075699999999</v>
      </c>
      <c r="X27">
        <f>334.6049685</f>
        <v>334.60496849999998</v>
      </c>
      <c r="Y27">
        <f>338.620069</f>
        <v>338.620069</v>
      </c>
      <c r="Z27">
        <f>335.5772696</f>
        <v>335.57726960000002</v>
      </c>
      <c r="AA27">
        <f>319.6305291</f>
        <v>319.63052909999999</v>
      </c>
      <c r="AB27">
        <f>313.5527405</f>
        <v>313.55274050000003</v>
      </c>
      <c r="AC27">
        <f>297.4081436</f>
        <v>297.40814360000002</v>
      </c>
    </row>
    <row r="28" spans="1:29" x14ac:dyDescent="0.25">
      <c r="A28" t="str">
        <f>"    Cognizant Technology Solutions Corp"</f>
        <v xml:space="preserve">    Cognizant Technology Solutions Corp</v>
      </c>
      <c r="B28" t="str">
        <f>"CTSH US Equity"</f>
        <v>CTSH US Equity</v>
      </c>
      <c r="C28" t="str">
        <f t="shared" si="3"/>
        <v>RR861</v>
      </c>
      <c r="D28" t="str">
        <f t="shared" si="4"/>
        <v>GROSS_PROFIT</v>
      </c>
      <c r="E28" t="str">
        <f t="shared" si="5"/>
        <v>Dynamic</v>
      </c>
      <c r="F28">
        <f ca="1">IF(AND(ISNUMBER($F$134),$B$110=1),$F$134,HLOOKUP(INDIRECT(ADDRESS(2,COLUMN())),OFFSET($R$2,0,0,ROW()-1,12),ROW()-1,FALSE))</f>
        <v>1478</v>
      </c>
      <c r="G28">
        <f ca="1">IF(AND(ISNUMBER($G$134),$B$110=1),$G$134,HLOOKUP(INDIRECT(ADDRESS(2,COLUMN())),OFFSET($R$2,0,0,ROW()-1,12),ROW()-1,FALSE))</f>
        <v>1535</v>
      </c>
      <c r="H28">
        <f ca="1">IF(AND(ISNUMBER($H$134),$B$110=1),$H$134,HLOOKUP(INDIRECT(ADDRESS(2,COLUMN())),OFFSET($R$2,0,0,ROW()-1,12),ROW()-1,FALSE))</f>
        <v>1567</v>
      </c>
      <c r="I28">
        <f ca="1">IF(AND(ISNUMBER($I$134),$B$110=1),$I$134,HLOOKUP(INDIRECT(ADDRESS(2,COLUMN())),OFFSET($R$2,0,0,ROW()-1,12),ROW()-1,FALSE))</f>
        <v>1512</v>
      </c>
      <c r="J28">
        <f ca="1">IF(AND(ISNUMBER($J$134),$B$110=1),$J$134,HLOOKUP(INDIRECT(ADDRESS(2,COLUMN())),OFFSET($R$2,0,0,ROW()-1,12),ROW()-1,FALSE))</f>
        <v>1535</v>
      </c>
      <c r="K28">
        <f ca="1">IF(AND(ISNUMBER($K$134),$B$110=1),$K$134,HLOOKUP(INDIRECT(ADDRESS(2,COLUMN())),OFFSET($R$2,0,0,ROW()-1,12),ROW()-1,FALSE))</f>
        <v>1589</v>
      </c>
      <c r="L28">
        <f ca="1">IF(AND(ISNUMBER($L$134),$B$110=1),$L$134,HLOOKUP(INDIRECT(ADDRESS(2,COLUMN())),OFFSET($R$2,0,0,ROW()-1,12),ROW()-1,FALSE))</f>
        <v>1598</v>
      </c>
      <c r="M28">
        <f ca="1">IF(AND(ISNUMBER($M$134),$B$110=1),$M$134,HLOOKUP(INDIRECT(ADDRESS(2,COLUMN())),OFFSET($R$2,0,0,ROW()-1,12),ROW()-1,FALSE))</f>
        <v>1589</v>
      </c>
      <c r="N28">
        <f ca="1">IF(AND(ISNUMBER($N$134),$B$110=1),$N$134,HLOOKUP(INDIRECT(ADDRESS(2,COLUMN())),OFFSET($R$2,0,0,ROW()-1,12),ROW()-1,FALSE))</f>
        <v>1511</v>
      </c>
      <c r="O28">
        <f ca="1">IF(AND(ISNUMBER($O$134),$B$110=1),$O$134,HLOOKUP(INDIRECT(ADDRESS(2,COLUMN())),OFFSET($R$2,0,0,ROW()-1,12),ROW()-1,FALSE))</f>
        <v>1468</v>
      </c>
      <c r="P28">
        <f ca="1">IF(AND(ISNUMBER($P$134),$B$110=1),$P$134,HLOOKUP(INDIRECT(ADDRESS(2,COLUMN())),OFFSET($R$2,0,0,ROW()-1,12),ROW()-1,FALSE))</f>
        <v>1429</v>
      </c>
      <c r="Q28">
        <f ca="1">IF(AND(ISNUMBER($Q$134),$B$110=1),$Q$134,HLOOKUP(INDIRECT(ADDRESS(2,COLUMN())),OFFSET($R$2,0,0,ROW()-1,12),ROW()-1,FALSE))</f>
        <v>1409</v>
      </c>
      <c r="R28">
        <f>1478</f>
        <v>1478</v>
      </c>
      <c r="S28">
        <f>1535</f>
        <v>1535</v>
      </c>
      <c r="T28">
        <f>1567</f>
        <v>1567</v>
      </c>
      <c r="U28">
        <f>1512</f>
        <v>1512</v>
      </c>
      <c r="V28">
        <f>1535</f>
        <v>1535</v>
      </c>
      <c r="W28">
        <f>1589</f>
        <v>1589</v>
      </c>
      <c r="X28">
        <f>1598</f>
        <v>1598</v>
      </c>
      <c r="Y28">
        <f>1589</f>
        <v>1589</v>
      </c>
      <c r="Z28">
        <f>1511</f>
        <v>1511</v>
      </c>
      <c r="AA28">
        <f>1468</f>
        <v>1468</v>
      </c>
      <c r="AB28">
        <f>1429</f>
        <v>1429</v>
      </c>
      <c r="AC28">
        <f>1409</f>
        <v>1409</v>
      </c>
    </row>
    <row r="29" spans="1:29" x14ac:dyDescent="0.25">
      <c r="A29" t="str">
        <f>"    Conduent Inc"</f>
        <v xml:space="preserve">    Conduent Inc</v>
      </c>
      <c r="B29" t="str">
        <f>"CNDT US Equity"</f>
        <v>CNDT US Equity</v>
      </c>
      <c r="C29" t="str">
        <f t="shared" si="3"/>
        <v>RR861</v>
      </c>
      <c r="D29" t="str">
        <f t="shared" si="4"/>
        <v>GROSS_PROFIT</v>
      </c>
      <c r="E29" t="str">
        <f t="shared" si="5"/>
        <v>Dynamic</v>
      </c>
      <c r="F29">
        <f ca="1">IF(AND(ISNUMBER($F$135),$B$110=1),$F$135,HLOOKUP(INDIRECT(ADDRESS(2,COLUMN())),OFFSET($R$2,0,0,ROW()-1,12),ROW()-1,FALSE))</f>
        <v>219</v>
      </c>
      <c r="G29">
        <f ca="1">IF(AND(ISNUMBER($G$135),$B$110=1),$G$135,HLOOKUP(INDIRECT(ADDRESS(2,COLUMN())),OFFSET($R$2,0,0,ROW()-1,12),ROW()-1,FALSE))</f>
        <v>249</v>
      </c>
      <c r="H29">
        <f ca="1">IF(AND(ISNUMBER($H$135),$B$110=1),$H$135,HLOOKUP(INDIRECT(ADDRESS(2,COLUMN())),OFFSET($R$2,0,0,ROW()-1,12),ROW()-1,FALSE))</f>
        <v>239</v>
      </c>
      <c r="I29">
        <f ca="1">IF(AND(ISNUMBER($I$135),$B$110=1),$I$135,HLOOKUP(INDIRECT(ADDRESS(2,COLUMN())),OFFSET($R$2,0,0,ROW()-1,12),ROW()-1,FALSE))</f>
        <v>233</v>
      </c>
      <c r="J29">
        <f ca="1">IF(AND(ISNUMBER($J$135),$B$110=1),$J$135,HLOOKUP(INDIRECT(ADDRESS(2,COLUMN())),OFFSET($R$2,0,0,ROW()-1,12),ROW()-1,FALSE))</f>
        <v>252</v>
      </c>
      <c r="K29">
        <f ca="1">IF(AND(ISNUMBER($K$135),$B$110=1),$K$135,HLOOKUP(INDIRECT(ADDRESS(2,COLUMN())),OFFSET($R$2,0,0,ROW()-1,12),ROW()-1,FALSE))</f>
        <v>293</v>
      </c>
      <c r="L29">
        <f ca="1">IF(AND(ISNUMBER($L$135),$B$110=1),$L$135,HLOOKUP(INDIRECT(ADDRESS(2,COLUMN())),OFFSET($R$2,0,0,ROW()-1,12),ROW()-1,FALSE))</f>
        <v>299</v>
      </c>
      <c r="M29">
        <f ca="1">IF(AND(ISNUMBER($M$135),$B$110=1),$M$135,HLOOKUP(INDIRECT(ADDRESS(2,COLUMN())),OFFSET($R$2,0,0,ROW()-1,12),ROW()-1,FALSE))</f>
        <v>314</v>
      </c>
      <c r="N29">
        <f ca="1">IF(AND(ISNUMBER($N$135),$B$110=1),$N$135,HLOOKUP(INDIRECT(ADDRESS(2,COLUMN())),OFFSET($R$2,0,0,ROW()-1,12),ROW()-1,FALSE))</f>
        <v>305</v>
      </c>
      <c r="O29">
        <f ca="1">IF(AND(ISNUMBER($O$135),$B$110=1),$O$135,HLOOKUP(INDIRECT(ADDRESS(2,COLUMN())),OFFSET($R$2,0,0,ROW()-1,12),ROW()-1,FALSE))</f>
        <v>339</v>
      </c>
      <c r="P29">
        <f ca="1">IF(AND(ISNUMBER($P$135),$B$110=1),$P$135,HLOOKUP(INDIRECT(ADDRESS(2,COLUMN())),OFFSET($R$2,0,0,ROW()-1,12),ROW()-1,FALSE))</f>
        <v>261</v>
      </c>
      <c r="Q29">
        <f ca="1">IF(AND(ISNUMBER($Q$135),$B$110=1),$Q$135,HLOOKUP(INDIRECT(ADDRESS(2,COLUMN())),OFFSET($R$2,0,0,ROW()-1,12),ROW()-1,FALSE))</f>
        <v>243</v>
      </c>
      <c r="R29">
        <f>219</f>
        <v>219</v>
      </c>
      <c r="S29">
        <f>249</f>
        <v>249</v>
      </c>
      <c r="T29">
        <f>239</f>
        <v>239</v>
      </c>
      <c r="U29">
        <f>233</f>
        <v>233</v>
      </c>
      <c r="V29">
        <f>252</f>
        <v>252</v>
      </c>
      <c r="W29">
        <f>293</f>
        <v>293</v>
      </c>
      <c r="X29">
        <f>299</f>
        <v>299</v>
      </c>
      <c r="Y29">
        <f>314</f>
        <v>314</v>
      </c>
      <c r="Z29">
        <f>305</f>
        <v>305</v>
      </c>
      <c r="AA29">
        <f>339</f>
        <v>339</v>
      </c>
      <c r="AB29">
        <f>261</f>
        <v>261</v>
      </c>
      <c r="AC29">
        <f>243</f>
        <v>243</v>
      </c>
    </row>
    <row r="30" spans="1:29" x14ac:dyDescent="0.25">
      <c r="A30" t="str">
        <f>"    DXC Technology Co"</f>
        <v xml:space="preserve">    DXC Technology Co</v>
      </c>
      <c r="B30" t="str">
        <f>"DXC US Equity"</f>
        <v>DXC US Equity</v>
      </c>
      <c r="C30" t="str">
        <f t="shared" si="3"/>
        <v>RR861</v>
      </c>
      <c r="D30" t="str">
        <f t="shared" si="4"/>
        <v>GROSS_PROFIT</v>
      </c>
      <c r="E30" t="str">
        <f t="shared" si="5"/>
        <v>Dynamic</v>
      </c>
      <c r="F30">
        <f ca="1">IF(AND(ISNUMBER($F$136),$B$110=1),$F$136,HLOOKUP(INDIRECT(ADDRESS(2,COLUMN())),OFFSET($R$2,0,0,ROW()-1,12),ROW()-1,FALSE))</f>
        <v>1042</v>
      </c>
      <c r="G30">
        <f ca="1">IF(AND(ISNUMBER($G$136),$B$110=1),$G$136,HLOOKUP(INDIRECT(ADDRESS(2,COLUMN())),OFFSET($R$2,0,0,ROW()-1,12),ROW()-1,FALSE))</f>
        <v>1194</v>
      </c>
      <c r="H30">
        <f ca="1">IF(AND(ISNUMBER($H$136),$B$110=1),$H$136,HLOOKUP(INDIRECT(ADDRESS(2,COLUMN())),OFFSET($R$2,0,0,ROW()-1,12),ROW()-1,FALSE))</f>
        <v>1172</v>
      </c>
      <c r="I30">
        <f ca="1">IF(AND(ISNUMBER($I$136),$B$110=1),$I$136,HLOOKUP(INDIRECT(ADDRESS(2,COLUMN())),OFFSET($R$2,0,0,ROW()-1,12),ROW()-1,FALSE))</f>
        <v>1268</v>
      </c>
      <c r="J30">
        <f ca="1">IF(AND(ISNUMBER($J$136),$B$110=1),$J$136,HLOOKUP(INDIRECT(ADDRESS(2,COLUMN())),OFFSET($R$2,0,0,ROW()-1,12),ROW()-1,FALSE))</f>
        <v>1444</v>
      </c>
      <c r="K30">
        <f ca="1">IF(AND(ISNUMBER($K$136),$B$110=1),$K$136,HLOOKUP(INDIRECT(ADDRESS(2,COLUMN())),OFFSET($R$2,0,0,ROW()-1,12),ROW()-1,FALSE))</f>
        <v>1453</v>
      </c>
      <c r="L30">
        <f ca="1">IF(AND(ISNUMBER($L$136),$B$110=1),$L$136,HLOOKUP(INDIRECT(ADDRESS(2,COLUMN())),OFFSET($R$2,0,0,ROW()-1,12),ROW()-1,FALSE))</f>
        <v>1495</v>
      </c>
      <c r="M30">
        <f ca="1">IF(AND(ISNUMBER($M$136),$B$110=1),$M$136,HLOOKUP(INDIRECT(ADDRESS(2,COLUMN())),OFFSET($R$2,0,0,ROW()-1,12),ROW()-1,FALSE))</f>
        <v>1415</v>
      </c>
      <c r="N30">
        <f ca="1">IF(AND(ISNUMBER($N$136),$B$110=1),$N$136,HLOOKUP(INDIRECT(ADDRESS(2,COLUMN())),OFFSET($R$2,0,0,ROW()-1,12),ROW()-1,FALSE))</f>
        <v>1497</v>
      </c>
      <c r="O30">
        <f ca="1">IF(AND(ISNUMBER($O$136),$B$110=1),$O$136,HLOOKUP(INDIRECT(ADDRESS(2,COLUMN())),OFFSET($R$2,0,0,ROW()-1,12),ROW()-1,FALSE))</f>
        <v>1409</v>
      </c>
      <c r="P30">
        <f ca="1">IF(AND(ISNUMBER($P$136),$B$110=1),$P$136,HLOOKUP(INDIRECT(ADDRESS(2,COLUMN())),OFFSET($R$2,0,0,ROW()-1,12),ROW()-1,FALSE))</f>
        <v>1583</v>
      </c>
      <c r="Q30">
        <f ca="1">IF(AND(ISNUMBER($Q$136),$B$110=1),$Q$136,HLOOKUP(INDIRECT(ADDRESS(2,COLUMN())),OFFSET($R$2,0,0,ROW()-1,12),ROW()-1,FALSE))</f>
        <v>927</v>
      </c>
      <c r="R30">
        <f>1042</f>
        <v>1042</v>
      </c>
      <c r="S30">
        <f>1194</f>
        <v>1194</v>
      </c>
      <c r="T30">
        <f>1172</f>
        <v>1172</v>
      </c>
      <c r="U30">
        <f>1268</f>
        <v>1268</v>
      </c>
      <c r="V30">
        <f>1444</f>
        <v>1444</v>
      </c>
      <c r="W30">
        <f>1453</f>
        <v>1453</v>
      </c>
      <c r="X30">
        <f>1495</f>
        <v>1495</v>
      </c>
      <c r="Y30">
        <f>1415</f>
        <v>1415</v>
      </c>
      <c r="Z30">
        <f>1497</f>
        <v>1497</v>
      </c>
      <c r="AA30">
        <f>1409</f>
        <v>1409</v>
      </c>
      <c r="AB30">
        <f>1583</f>
        <v>1583</v>
      </c>
      <c r="AC30">
        <f>927</f>
        <v>927</v>
      </c>
    </row>
    <row r="31" spans="1:29" x14ac:dyDescent="0.25">
      <c r="A31" t="str">
        <f>"    EPAM Systems Inc"</f>
        <v xml:space="preserve">    EPAM Systems Inc</v>
      </c>
      <c r="B31" t="str">
        <f>"EPAM US Equity"</f>
        <v>EPAM US Equity</v>
      </c>
      <c r="C31" t="str">
        <f t="shared" si="3"/>
        <v>RR861</v>
      </c>
      <c r="D31" t="str">
        <f t="shared" si="4"/>
        <v>GROSS_PROFIT</v>
      </c>
      <c r="E31" t="str">
        <f t="shared" si="5"/>
        <v>Dynamic</v>
      </c>
      <c r="F31">
        <f ca="1">IF(AND(ISNUMBER($F$137),$B$110=1),$F$137,HLOOKUP(INDIRECT(ADDRESS(2,COLUMN())),OFFSET($R$2,0,0,ROW()-1,12),ROW()-1,FALSE))</f>
        <v>227.55699999999999</v>
      </c>
      <c r="G31">
        <f ca="1">IF(AND(ISNUMBER($G$137),$B$110=1),$G$137,HLOOKUP(INDIRECT(ADDRESS(2,COLUMN())),OFFSET($R$2,0,0,ROW()-1,12),ROW()-1,FALSE))</f>
        <v>222.70599999999999</v>
      </c>
      <c r="H31">
        <f ca="1">IF(AND(ISNUMBER($H$137),$B$110=1),$H$137,HLOOKUP(INDIRECT(ADDRESS(2,COLUMN())),OFFSET($R$2,0,0,ROW()-1,12),ROW()-1,FALSE))</f>
        <v>210.578</v>
      </c>
      <c r="I31">
        <f ca="1">IF(AND(ISNUMBER($I$137),$B$110=1),$I$137,HLOOKUP(INDIRECT(ADDRESS(2,COLUMN())),OFFSET($R$2,0,0,ROW()-1,12),ROW()-1,FALSE))</f>
        <v>195.672</v>
      </c>
      <c r="J31">
        <f ca="1">IF(AND(ISNUMBER($J$137),$B$110=1),$J$137,HLOOKUP(INDIRECT(ADDRESS(2,COLUMN())),OFFSET($R$2,0,0,ROW()-1,12),ROW()-1,FALSE))</f>
        <v>176.64400000000001</v>
      </c>
      <c r="K31">
        <f ca="1">IF(AND(ISNUMBER($K$137),$B$110=1),$K$137,HLOOKUP(INDIRECT(ADDRESS(2,COLUMN())),OFFSET($R$2,0,0,ROW()-1,12),ROW()-1,FALSE))</f>
        <v>185.9</v>
      </c>
      <c r="L31">
        <f ca="1">IF(AND(ISNUMBER($L$137),$B$110=1),$L$137,HLOOKUP(INDIRECT(ADDRESS(2,COLUMN())),OFFSET($R$2,0,0,ROW()-1,12),ROW()-1,FALSE))</f>
        <v>167.10499999999999</v>
      </c>
      <c r="M31">
        <f ca="1">IF(AND(ISNUMBER($M$137),$B$110=1),$M$137,HLOOKUP(INDIRECT(ADDRESS(2,COLUMN())),OFFSET($R$2,0,0,ROW()-1,12),ROW()-1,FALSE))</f>
        <v>156.47200000000001</v>
      </c>
      <c r="N31">
        <f ca="1">IF(AND(ISNUMBER($N$137),$B$110=1),$N$137,HLOOKUP(INDIRECT(ADDRESS(2,COLUMN())),OFFSET($R$2,0,0,ROW()-1,12),ROW()-1,FALSE))</f>
        <v>146.51400000000001</v>
      </c>
      <c r="O31">
        <f ca="1">IF(AND(ISNUMBER($O$137),$B$110=1),$O$137,HLOOKUP(INDIRECT(ADDRESS(2,COLUMN())),OFFSET($R$2,0,0,ROW()-1,12),ROW()-1,FALSE))</f>
        <v>145.17599999999999</v>
      </c>
      <c r="P31">
        <f ca="1">IF(AND(ISNUMBER($P$137),$B$110=1),$P$137,HLOOKUP(INDIRECT(ADDRESS(2,COLUMN())),OFFSET($R$2,0,0,ROW()-1,12),ROW()-1,FALSE))</f>
        <v>138.154</v>
      </c>
      <c r="Q31">
        <f ca="1">IF(AND(ISNUMBER($Q$137),$B$110=1),$Q$137,HLOOKUP(INDIRECT(ADDRESS(2,COLUMN())),OFFSET($R$2,0,0,ROW()-1,12),ROW()-1,FALSE))</f>
        <v>128.845</v>
      </c>
      <c r="R31">
        <f>227.557</f>
        <v>227.55699999999999</v>
      </c>
      <c r="S31">
        <f>222.706</f>
        <v>222.70599999999999</v>
      </c>
      <c r="T31">
        <f>210.578</f>
        <v>210.578</v>
      </c>
      <c r="U31">
        <f>195.672</f>
        <v>195.672</v>
      </c>
      <c r="V31">
        <f>176.644</f>
        <v>176.64400000000001</v>
      </c>
      <c r="W31">
        <f>185.9</f>
        <v>185.9</v>
      </c>
      <c r="X31">
        <f>167.105</f>
        <v>167.10499999999999</v>
      </c>
      <c r="Y31">
        <f>156.472</f>
        <v>156.47200000000001</v>
      </c>
      <c r="Z31">
        <f>146.514</f>
        <v>146.51400000000001</v>
      </c>
      <c r="AA31">
        <f>145.176</f>
        <v>145.17599999999999</v>
      </c>
      <c r="AB31">
        <f>138.154</f>
        <v>138.154</v>
      </c>
      <c r="AC31">
        <f>128.845</f>
        <v>128.845</v>
      </c>
    </row>
    <row r="32" spans="1:29" x14ac:dyDescent="0.25">
      <c r="A32" t="str">
        <f>"    Genpact Ltd"</f>
        <v xml:space="preserve">    Genpact Ltd</v>
      </c>
      <c r="B32" t="str">
        <f>"G US Equity"</f>
        <v>G US Equity</v>
      </c>
      <c r="C32" t="str">
        <f t="shared" si="3"/>
        <v>RR861</v>
      </c>
      <c r="D32" t="str">
        <f t="shared" si="4"/>
        <v>GROSS_PROFIT</v>
      </c>
      <c r="E32" t="str">
        <f t="shared" si="5"/>
        <v>Dynamic</v>
      </c>
      <c r="F32">
        <f ca="1">IF(AND(ISNUMBER($F$138),$B$110=1),$F$138,HLOOKUP(INDIRECT(ADDRESS(2,COLUMN())),OFFSET($R$2,0,0,ROW()-1,12),ROW()-1,FALSE))</f>
        <v>318.42099999999999</v>
      </c>
      <c r="G32">
        <f ca="1">IF(AND(ISNUMBER($G$138),$B$110=1),$G$138,HLOOKUP(INDIRECT(ADDRESS(2,COLUMN())),OFFSET($R$2,0,0,ROW()-1,12),ROW()-1,FALSE))</f>
        <v>310.09100000000001</v>
      </c>
      <c r="H32">
        <f ca="1">IF(AND(ISNUMBER($H$138),$B$110=1),$H$138,HLOOKUP(INDIRECT(ADDRESS(2,COLUMN())),OFFSET($R$2,0,0,ROW()-1,12),ROW()-1,FALSE))</f>
        <v>315.14</v>
      </c>
      <c r="I32">
        <f ca="1">IF(AND(ISNUMBER($I$138),$B$110=1),$I$138,HLOOKUP(INDIRECT(ADDRESS(2,COLUMN())),OFFSET($R$2,0,0,ROW()-1,12),ROW()-1,FALSE))</f>
        <v>310.55500000000001</v>
      </c>
      <c r="J32">
        <f ca="1">IF(AND(ISNUMBER($J$138),$B$110=1),$J$138,HLOOKUP(INDIRECT(ADDRESS(2,COLUMN())),OFFSET($R$2,0,0,ROW()-1,12),ROW()-1,FALSE))</f>
        <v>290.06900000000002</v>
      </c>
      <c r="K32">
        <f ca="1">IF(AND(ISNUMBER($K$138),$B$110=1),$K$138,HLOOKUP(INDIRECT(ADDRESS(2,COLUMN())),OFFSET($R$2,0,0,ROW()-1,12),ROW()-1,FALSE))</f>
        <v>302.20499999999998</v>
      </c>
      <c r="L32">
        <f ca="1">IF(AND(ISNUMBER($L$138),$B$110=1),$L$138,HLOOKUP(INDIRECT(ADDRESS(2,COLUMN())),OFFSET($R$2,0,0,ROW()-1,12),ROW()-1,FALSE))</f>
        <v>266.56599999999997</v>
      </c>
      <c r="M32">
        <f ca="1">IF(AND(ISNUMBER($M$138),$B$110=1),$M$138,HLOOKUP(INDIRECT(ADDRESS(2,COLUMN())),OFFSET($R$2,0,0,ROW()-1,12),ROW()-1,FALSE))</f>
        <v>265.66300000000001</v>
      </c>
      <c r="N32">
        <f ca="1">IF(AND(ISNUMBER($N$138),$B$110=1),$N$138,HLOOKUP(INDIRECT(ADDRESS(2,COLUMN())),OFFSET($R$2,0,0,ROW()-1,12),ROW()-1,FALSE))</f>
        <v>244.58799999999999</v>
      </c>
      <c r="O32">
        <f ca="1">IF(AND(ISNUMBER($O$138),$B$110=1),$O$138,HLOOKUP(INDIRECT(ADDRESS(2,COLUMN())),OFFSET($R$2,0,0,ROW()-1,12),ROW()-1,FALSE))</f>
        <v>279.61</v>
      </c>
      <c r="P32">
        <f ca="1">IF(AND(ISNUMBER($P$138),$B$110=1),$P$138,HLOOKUP(INDIRECT(ADDRESS(2,COLUMN())),OFFSET($R$2,0,0,ROW()-1,12),ROW()-1,FALSE))</f>
        <v>280.03399999999999</v>
      </c>
      <c r="Q32">
        <f ca="1">IF(AND(ISNUMBER($Q$138),$B$110=1),$Q$138,HLOOKUP(INDIRECT(ADDRESS(2,COLUMN())),OFFSET($R$2,0,0,ROW()-1,12),ROW()-1,FALSE))</f>
        <v>256.18900000000002</v>
      </c>
      <c r="R32">
        <f>318.421</f>
        <v>318.42099999999999</v>
      </c>
      <c r="S32">
        <f>310.091</f>
        <v>310.09100000000001</v>
      </c>
      <c r="T32">
        <f>315.14</f>
        <v>315.14</v>
      </c>
      <c r="U32">
        <f>310.555</f>
        <v>310.55500000000001</v>
      </c>
      <c r="V32">
        <f>290.069</f>
        <v>290.06900000000002</v>
      </c>
      <c r="W32">
        <f>302.205</f>
        <v>302.20499999999998</v>
      </c>
      <c r="X32">
        <f>266.566</f>
        <v>266.56599999999997</v>
      </c>
      <c r="Y32">
        <f>265.663</f>
        <v>265.66300000000001</v>
      </c>
      <c r="Z32">
        <f>244.588</f>
        <v>244.58799999999999</v>
      </c>
      <c r="AA32">
        <f>279.61</f>
        <v>279.61</v>
      </c>
      <c r="AB32">
        <f>280.034</f>
        <v>280.03399999999999</v>
      </c>
      <c r="AC32">
        <f>256.189</f>
        <v>256.18900000000002</v>
      </c>
    </row>
    <row r="33" spans="1:29" x14ac:dyDescent="0.25">
      <c r="A33" t="str">
        <f>"    HCL Technologies Ltd"</f>
        <v xml:space="preserve">    HCL Technologies Ltd</v>
      </c>
      <c r="B33" t="str">
        <f>"HCLT IN Equity"</f>
        <v>HCLT IN Equity</v>
      </c>
      <c r="C33" t="str">
        <f t="shared" si="3"/>
        <v>RR861</v>
      </c>
      <c r="D33" t="str">
        <f t="shared" si="4"/>
        <v>GROSS_PROFIT</v>
      </c>
      <c r="E33" t="str">
        <f t="shared" si="5"/>
        <v>Dynamic</v>
      </c>
      <c r="F33">
        <f ca="1">IF(AND(ISNUMBER($F$139),$B$110=1),$F$139,HLOOKUP(INDIRECT(ADDRESS(2,COLUMN())),OFFSET($R$2,0,0,ROW()-1,12),ROW()-1,FALSE))</f>
        <v>1020.2</v>
      </c>
      <c r="G33">
        <f ca="1">IF(AND(ISNUMBER($G$139),$B$110=1),$G$139,HLOOKUP(INDIRECT(ADDRESS(2,COLUMN())),OFFSET($R$2,0,0,ROW()-1,12),ROW()-1,FALSE))</f>
        <v>976.7</v>
      </c>
      <c r="H33">
        <f ca="1">IF(AND(ISNUMBER($H$139),$B$110=1),$H$139,HLOOKUP(INDIRECT(ADDRESS(2,COLUMN())),OFFSET($R$2,0,0,ROW()-1,12),ROW()-1,FALSE))</f>
        <v>917.1</v>
      </c>
      <c r="I33">
        <f ca="1">IF(AND(ISNUMBER($I$139),$B$110=1),$I$139,HLOOKUP(INDIRECT(ADDRESS(2,COLUMN())),OFFSET($R$2,0,0,ROW()-1,12),ROW()-1,FALSE))</f>
        <v>792.3</v>
      </c>
      <c r="J33">
        <f ca="1">IF(AND(ISNUMBER($J$139),$B$110=1),$J$139,HLOOKUP(INDIRECT(ADDRESS(2,COLUMN())),OFFSET($R$2,0,0,ROW()-1,12),ROW()-1,FALSE))</f>
        <v>791.9</v>
      </c>
      <c r="K33">
        <f ca="1">IF(AND(ISNUMBER($K$139),$B$110=1),$K$139,HLOOKUP(INDIRECT(ADDRESS(2,COLUMN())),OFFSET($R$2,0,0,ROW()-1,12),ROW()-1,FALSE))</f>
        <v>776.5</v>
      </c>
      <c r="L33">
        <f ca="1">IF(AND(ISNUMBER($L$139),$B$110=1),$L$139,HLOOKUP(INDIRECT(ADDRESS(2,COLUMN())),OFFSET($R$2,0,0,ROW()-1,12),ROW()-1,FALSE))</f>
        <v>775.5</v>
      </c>
      <c r="M33">
        <f ca="1">IF(AND(ISNUMBER($M$139),$B$110=1),$M$139,HLOOKUP(INDIRECT(ADDRESS(2,COLUMN())),OFFSET($R$2,0,0,ROW()-1,12),ROW()-1,FALSE))</f>
        <v>706.5</v>
      </c>
      <c r="N33" t="str">
        <f ca="1">IF(AND(ISNUMBER($N$139),$B$110=1),$N$139,HLOOKUP(INDIRECT(ADDRESS(2,COLUMN())),OFFSET($R$2,0,0,ROW()-1,12),ROW()-1,FALSE))</f>
        <v/>
      </c>
      <c r="O33">
        <f ca="1">IF(AND(ISNUMBER($O$139),$B$110=1),$O$139,HLOOKUP(INDIRECT(ADDRESS(2,COLUMN())),OFFSET($R$2,0,0,ROW()-1,12),ROW()-1,FALSE))</f>
        <v>682.1</v>
      </c>
      <c r="P33">
        <f ca="1">IF(AND(ISNUMBER($P$139),$B$110=1),$P$139,HLOOKUP(INDIRECT(ADDRESS(2,COLUMN())),OFFSET($R$2,0,0,ROW()-1,12),ROW()-1,FALSE))</f>
        <v>655.4</v>
      </c>
      <c r="Q33">
        <f ca="1">IF(AND(ISNUMBER($Q$139),$B$110=1),$Q$139,HLOOKUP(INDIRECT(ADDRESS(2,COLUMN())),OFFSET($R$2,0,0,ROW()-1,12),ROW()-1,FALSE))</f>
        <v>634.6</v>
      </c>
      <c r="R33">
        <f>1020.2</f>
        <v>1020.2</v>
      </c>
      <c r="S33">
        <f>976.7</f>
        <v>976.7</v>
      </c>
      <c r="T33">
        <f>917.1</f>
        <v>917.1</v>
      </c>
      <c r="U33">
        <f>792.3</f>
        <v>792.3</v>
      </c>
      <c r="V33">
        <f>791.9</f>
        <v>791.9</v>
      </c>
      <c r="W33">
        <f>776.5</f>
        <v>776.5</v>
      </c>
      <c r="X33">
        <f>775.5</f>
        <v>775.5</v>
      </c>
      <c r="Y33">
        <f>706.5</f>
        <v>706.5</v>
      </c>
      <c r="Z33" t="str">
        <f>""</f>
        <v/>
      </c>
      <c r="AA33">
        <f>682.1</f>
        <v>682.1</v>
      </c>
      <c r="AB33">
        <f>655.4</f>
        <v>655.4</v>
      </c>
      <c r="AC33">
        <f>634.6</f>
        <v>634.6</v>
      </c>
    </row>
    <row r="34" spans="1:29" x14ac:dyDescent="0.25">
      <c r="A34" t="str">
        <f>"    Indra Sistemas SA"</f>
        <v xml:space="preserve">    Indra Sistemas SA</v>
      </c>
      <c r="B34" t="str">
        <f>"IDR SM Equity"</f>
        <v>IDR SM Equity</v>
      </c>
      <c r="C34" t="str">
        <f t="shared" si="3"/>
        <v>RR861</v>
      </c>
      <c r="D34" t="str">
        <f t="shared" si="4"/>
        <v>GROSS_PROFIT</v>
      </c>
      <c r="E34" t="str">
        <f t="shared" si="5"/>
        <v>Dynamic</v>
      </c>
      <c r="F34" t="str">
        <f ca="1">IF(AND(ISNUMBER($F$140),$B$110=1),$F$140,HLOOKUP(INDIRECT(ADDRESS(2,COLUMN())),OFFSET($R$2,0,0,ROW()-1,12),ROW()-1,FALSE))</f>
        <v/>
      </c>
      <c r="G34" t="str">
        <f ca="1">IF(AND(ISNUMBER($G$140),$B$110=1),$G$140,HLOOKUP(INDIRECT(ADDRESS(2,COLUMN())),OFFSET($R$2,0,0,ROW()-1,12),ROW()-1,FALSE))</f>
        <v/>
      </c>
      <c r="H34" t="str">
        <f ca="1">IF(AND(ISNUMBER($H$140),$B$110=1),$H$140,HLOOKUP(INDIRECT(ADDRESS(2,COLUMN())),OFFSET($R$2,0,0,ROW()-1,12),ROW()-1,FALSE))</f>
        <v/>
      </c>
      <c r="I34" t="str">
        <f ca="1">IF(AND(ISNUMBER($I$140),$B$110=1),$I$140,HLOOKUP(INDIRECT(ADDRESS(2,COLUMN())),OFFSET($R$2,0,0,ROW()-1,12),ROW()-1,FALSE))</f>
        <v/>
      </c>
      <c r="J34" t="str">
        <f ca="1">IF(AND(ISNUMBER($J$140),$B$110=1),$J$140,HLOOKUP(INDIRECT(ADDRESS(2,COLUMN())),OFFSET($R$2,0,0,ROW()-1,12),ROW()-1,FALSE))</f>
        <v/>
      </c>
      <c r="K34" t="str">
        <f ca="1">IF(AND(ISNUMBER($K$140),$B$110=1),$K$140,HLOOKUP(INDIRECT(ADDRESS(2,COLUMN())),OFFSET($R$2,0,0,ROW()-1,12),ROW()-1,FALSE))</f>
        <v/>
      </c>
      <c r="L34" t="str">
        <f ca="1">IF(AND(ISNUMBER($L$140),$B$110=1),$L$140,HLOOKUP(INDIRECT(ADDRESS(2,COLUMN())),OFFSET($R$2,0,0,ROW()-1,12),ROW()-1,FALSE))</f>
        <v/>
      </c>
      <c r="M34" t="str">
        <f ca="1">IF(AND(ISNUMBER($M$140),$B$110=1),$M$140,HLOOKUP(INDIRECT(ADDRESS(2,COLUMN())),OFFSET($R$2,0,0,ROW()-1,12),ROW()-1,FALSE))</f>
        <v/>
      </c>
      <c r="N34" t="str">
        <f ca="1">IF(AND(ISNUMBER($N$140),$B$110=1),$N$140,HLOOKUP(INDIRECT(ADDRESS(2,COLUMN())),OFFSET($R$2,0,0,ROW()-1,12),ROW()-1,FALSE))</f>
        <v/>
      </c>
      <c r="O34" t="str">
        <f ca="1">IF(AND(ISNUMBER($O$140),$B$110=1),$O$140,HLOOKUP(INDIRECT(ADDRESS(2,COLUMN())),OFFSET($R$2,0,0,ROW()-1,12),ROW()-1,FALSE))</f>
        <v/>
      </c>
      <c r="P34" t="str">
        <f ca="1">IF(AND(ISNUMBER($P$140),$B$110=1),$P$140,HLOOKUP(INDIRECT(ADDRESS(2,COLUMN())),OFFSET($R$2,0,0,ROW()-1,12),ROW()-1,FALSE))</f>
        <v/>
      </c>
      <c r="Q34" t="str">
        <f ca="1">IF(AND(ISNUMBER($Q$140),$B$110=1),$Q$140,HLOOKUP(INDIRECT(ADDRESS(2,COLUMN())),OFFSET($R$2,0,0,ROW()-1,12),ROW()-1,FALSE))</f>
        <v/>
      </c>
      <c r="R34" t="str">
        <f>""</f>
        <v/>
      </c>
      <c r="S34" t="str">
        <f>""</f>
        <v/>
      </c>
      <c r="T34" t="str">
        <f>""</f>
        <v/>
      </c>
      <c r="U34" t="str">
        <f>""</f>
        <v/>
      </c>
      <c r="V34" t="str">
        <f>""</f>
        <v/>
      </c>
      <c r="W34" t="str">
        <f>""</f>
        <v/>
      </c>
      <c r="X34" t="str">
        <f>""</f>
        <v/>
      </c>
      <c r="Y34" t="str">
        <f>""</f>
        <v/>
      </c>
      <c r="Z34" t="str">
        <f>""</f>
        <v/>
      </c>
      <c r="AA34" t="str">
        <f>""</f>
        <v/>
      </c>
      <c r="AB34" t="str">
        <f>""</f>
        <v/>
      </c>
      <c r="AC34" t="str">
        <f>""</f>
        <v/>
      </c>
    </row>
    <row r="35" spans="1:29" x14ac:dyDescent="0.25">
      <c r="A35" t="str">
        <f>"    Infosys Ltd"</f>
        <v xml:space="preserve">    Infosys Ltd</v>
      </c>
      <c r="B35" t="str">
        <f>"INFY US Equity"</f>
        <v>INFY US Equity</v>
      </c>
      <c r="C35" t="str">
        <f t="shared" si="3"/>
        <v>RR861</v>
      </c>
      <c r="D35" t="str">
        <f t="shared" si="4"/>
        <v>GROSS_PROFIT</v>
      </c>
      <c r="E35" t="str">
        <f t="shared" si="5"/>
        <v>Dynamic</v>
      </c>
      <c r="F35">
        <f ca="1">IF(AND(ISNUMBER($F$141),$B$110=1),$F$141,HLOOKUP(INDIRECT(ADDRESS(2,COLUMN())),OFFSET($R$2,0,0,ROW()-1,12),ROW()-1,FALSE))</f>
        <v>1072.063357</v>
      </c>
      <c r="G35">
        <f ca="1">IF(AND(ISNUMBER($G$141),$B$110=1),$G$141,HLOOKUP(INDIRECT(ADDRESS(2,COLUMN())),OFFSET($R$2,0,0,ROW()-1,12),ROW()-1,FALSE))</f>
        <v>1083.8650689999999</v>
      </c>
      <c r="H35">
        <f ca="1">IF(AND(ISNUMBER($H$141),$B$110=1),$H$141,HLOOKUP(INDIRECT(ADDRESS(2,COLUMN())),OFFSET($R$2,0,0,ROW()-1,12),ROW()-1,FALSE))</f>
        <v>1072.927469</v>
      </c>
      <c r="I35">
        <f ca="1">IF(AND(ISNUMBER($I$141),$B$110=1),$I$141,HLOOKUP(INDIRECT(ADDRESS(2,COLUMN())),OFFSET($R$2,0,0,ROW()-1,12),ROW()-1,FALSE))</f>
        <v>1010.077109</v>
      </c>
      <c r="J35">
        <f ca="1">IF(AND(ISNUMBER($J$141),$B$110=1),$J$141,HLOOKUP(INDIRECT(ADDRESS(2,COLUMN())),OFFSET($R$2,0,0,ROW()-1,12),ROW()-1,FALSE))</f>
        <v>1029.918079</v>
      </c>
      <c r="K35">
        <f ca="1">IF(AND(ISNUMBER($K$141),$B$110=1),$K$141,HLOOKUP(INDIRECT(ADDRESS(2,COLUMN())),OFFSET($R$2,0,0,ROW()-1,12),ROW()-1,FALSE))</f>
        <v>1024.7765810000001</v>
      </c>
      <c r="L35">
        <f ca="1">IF(AND(ISNUMBER($L$141),$B$110=1),$L$141,HLOOKUP(INDIRECT(ADDRESS(2,COLUMN())),OFFSET($R$2,0,0,ROW()-1,12),ROW()-1,FALSE))</f>
        <v>1045.924501</v>
      </c>
      <c r="M35">
        <f ca="1">IF(AND(ISNUMBER($M$141),$B$110=1),$M$141,HLOOKUP(INDIRECT(ADDRESS(2,COLUMN())),OFFSET($R$2,0,0,ROW()-1,12),ROW()-1,FALSE))</f>
        <v>1020.118287</v>
      </c>
      <c r="N35">
        <f ca="1">IF(AND(ISNUMBER($N$141),$B$110=1),$N$141,HLOOKUP(INDIRECT(ADDRESS(2,COLUMN())),OFFSET($R$2,0,0,ROW()-1,12),ROW()-1,FALSE))</f>
        <v>1014.230057</v>
      </c>
      <c r="O35">
        <f ca="1">IF(AND(ISNUMBER($O$141),$B$110=1),$O$141,HLOOKUP(INDIRECT(ADDRESS(2,COLUMN())),OFFSET($R$2,0,0,ROW()-1,12),ROW()-1,FALSE))</f>
        <v>980.01690589999998</v>
      </c>
      <c r="P35">
        <f ca="1">IF(AND(ISNUMBER($P$141),$B$110=1),$P$141,HLOOKUP(INDIRECT(ADDRESS(2,COLUMN())),OFFSET($R$2,0,0,ROW()-1,12),ROW()-1,FALSE))</f>
        <v>986.25935530000004</v>
      </c>
      <c r="Q35">
        <f ca="1">IF(AND(ISNUMBER($Q$141),$B$110=1),$Q$141,HLOOKUP(INDIRECT(ADDRESS(2,COLUMN())),OFFSET($R$2,0,0,ROW()-1,12),ROW()-1,FALSE))</f>
        <v>958.01314009999999</v>
      </c>
      <c r="R35">
        <f>1072.063357</f>
        <v>1072.063357</v>
      </c>
      <c r="S35">
        <f>1083.865069</f>
        <v>1083.8650689999999</v>
      </c>
      <c r="T35">
        <f>1072.927469</f>
        <v>1072.927469</v>
      </c>
      <c r="U35">
        <f>1010.077109</f>
        <v>1010.077109</v>
      </c>
      <c r="V35">
        <f>1029.918079</f>
        <v>1029.918079</v>
      </c>
      <c r="W35">
        <f>1024.776581</f>
        <v>1024.7765810000001</v>
      </c>
      <c r="X35">
        <f>1045.924501</f>
        <v>1045.924501</v>
      </c>
      <c r="Y35">
        <f>1020.118287</f>
        <v>1020.118287</v>
      </c>
      <c r="Z35">
        <f>1014.230057</f>
        <v>1014.230057</v>
      </c>
      <c r="AA35">
        <f>980.0169059</f>
        <v>980.01690589999998</v>
      </c>
      <c r="AB35">
        <f>986.2593553</f>
        <v>986.25935530000004</v>
      </c>
      <c r="AC35">
        <f>958.0131401</f>
        <v>958.01314009999999</v>
      </c>
    </row>
    <row r="36" spans="1:29" x14ac:dyDescent="0.25">
      <c r="A36" t="str">
        <f>"    International Business Machines Corp"</f>
        <v xml:space="preserve">    International Business Machines Corp</v>
      </c>
      <c r="B36" t="str">
        <f>"IBM US Equity"</f>
        <v>IBM US Equity</v>
      </c>
      <c r="C36" t="str">
        <f t="shared" si="3"/>
        <v>RR861</v>
      </c>
      <c r="D36" t="str">
        <f t="shared" si="4"/>
        <v>GROSS_PROFIT</v>
      </c>
      <c r="E36" t="str">
        <f t="shared" si="5"/>
        <v>Dynamic</v>
      </c>
      <c r="F36">
        <f ca="1">IF(AND(ISNUMBER($F$142),$B$110=1),$F$142,HLOOKUP(INDIRECT(ADDRESS(2,COLUMN())),OFFSET($R$2,0,0,ROW()-1,12),ROW()-1,FALSE))</f>
        <v>7922</v>
      </c>
      <c r="G36">
        <f ca="1">IF(AND(ISNUMBER($G$142),$B$110=1),$G$142,HLOOKUP(INDIRECT(ADDRESS(2,COLUMN())),OFFSET($R$2,0,0,ROW()-1,12),ROW()-1,FALSE))</f>
        <v>11100</v>
      </c>
      <c r="H36">
        <f ca="1">IF(AND(ISNUMBER($H$142),$B$110=1),$H$142,HLOOKUP(INDIRECT(ADDRESS(2,COLUMN())),OFFSET($R$2,0,0,ROW()-1,12),ROW()-1,FALSE))</f>
        <v>8336</v>
      </c>
      <c r="I36">
        <f ca="1">IF(AND(ISNUMBER($I$142),$B$110=1),$I$142,HLOOKUP(INDIRECT(ADDRESS(2,COLUMN())),OFFSET($R$2,0,0,ROW()-1,12),ROW()-1,FALSE))</f>
        <v>9010</v>
      </c>
      <c r="J36">
        <f ca="1">IF(AND(ISNUMBER($J$142),$B$110=1),$J$142,HLOOKUP(INDIRECT(ADDRESS(2,COLUMN())),OFFSET($R$2,0,0,ROW()-1,12),ROW()-1,FALSE))</f>
        <v>8043</v>
      </c>
      <c r="K36">
        <f ca="1">IF(AND(ISNUMBER($K$142),$B$110=1),$K$142,HLOOKUP(INDIRECT(ADDRESS(2,COLUMN())),OFFSET($R$2,0,0,ROW()-1,12),ROW()-1,FALSE))</f>
        <v>10687</v>
      </c>
      <c r="L36">
        <f ca="1">IF(AND(ISNUMBER($L$142),$B$110=1),$L$142,HLOOKUP(INDIRECT(ADDRESS(2,COLUMN())),OFFSET($R$2,0,0,ROW()-1,12),ROW()-1,FALSE))</f>
        <v>8803</v>
      </c>
      <c r="M36">
        <f ca="1">IF(AND(ISNUMBER($M$142),$B$110=1),$M$142,HLOOKUP(INDIRECT(ADDRESS(2,COLUMN())),OFFSET($R$2,0,0,ROW()-1,12),ROW()-1,FALSE))</f>
        <v>9199</v>
      </c>
      <c r="N36">
        <f ca="1">IF(AND(ISNUMBER($N$142),$B$110=1),$N$142,HLOOKUP(INDIRECT(ADDRESS(2,COLUMN())),OFFSET($R$2,0,0,ROW()-1,12),ROW()-1,FALSE))</f>
        <v>8247</v>
      </c>
      <c r="O36">
        <f ca="1">IF(AND(ISNUMBER($O$142),$B$110=1),$O$142,HLOOKUP(INDIRECT(ADDRESS(2,COLUMN())),OFFSET($R$2,0,0,ROW()-1,12),ROW()-1,FALSE))</f>
        <v>11049</v>
      </c>
      <c r="P36">
        <f ca="1">IF(AND(ISNUMBER($P$142),$B$110=1),$P$142,HLOOKUP(INDIRECT(ADDRESS(2,COLUMN())),OFFSET($R$2,0,0,ROW()-1,12),ROW()-1,FALSE))</f>
        <v>8800</v>
      </c>
      <c r="Q36">
        <f ca="1">IF(AND(ISNUMBER($Q$142),$B$110=1),$Q$142,HLOOKUP(INDIRECT(ADDRESS(2,COLUMN())),OFFSET($R$2,0,0,ROW()-1,12),ROW()-1,FALSE))</f>
        <v>8968</v>
      </c>
      <c r="R36">
        <f>7922</f>
        <v>7922</v>
      </c>
      <c r="S36">
        <f>11100</f>
        <v>11100</v>
      </c>
      <c r="T36">
        <f>8336</f>
        <v>8336</v>
      </c>
      <c r="U36">
        <f>9010</f>
        <v>9010</v>
      </c>
      <c r="V36">
        <f>8043</f>
        <v>8043</v>
      </c>
      <c r="W36">
        <f>10687</f>
        <v>10687</v>
      </c>
      <c r="X36">
        <f>8803</f>
        <v>8803</v>
      </c>
      <c r="Y36">
        <f>9199</f>
        <v>9199</v>
      </c>
      <c r="Z36">
        <f>8247</f>
        <v>8247</v>
      </c>
      <c r="AA36">
        <f>11049</f>
        <v>11049</v>
      </c>
      <c r="AB36">
        <f>8800</f>
        <v>8800</v>
      </c>
      <c r="AC36">
        <f>8968</f>
        <v>8968</v>
      </c>
    </row>
    <row r="37" spans="1:29" x14ac:dyDescent="0.25">
      <c r="A37" t="str">
        <f>"    Tata Consultancy Services Ltd"</f>
        <v xml:space="preserve">    Tata Consultancy Services Ltd</v>
      </c>
      <c r="B37" t="str">
        <f>"TCS IN Equity"</f>
        <v>TCS IN Equity</v>
      </c>
      <c r="C37" t="str">
        <f t="shared" si="3"/>
        <v>RR861</v>
      </c>
      <c r="D37" t="str">
        <f t="shared" si="4"/>
        <v>GROSS_PROFIT</v>
      </c>
      <c r="E37" t="str">
        <f t="shared" si="5"/>
        <v>Dynamic</v>
      </c>
      <c r="F37">
        <f ca="1">IF(AND(ISNUMBER($F$143),$B$110=1),$F$143,HLOOKUP(INDIRECT(ADDRESS(2,COLUMN())),OFFSET($R$2,0,0,ROW()-1,12),ROW()-1,FALSE))</f>
        <v>2315.993684</v>
      </c>
      <c r="G37">
        <f ca="1">IF(AND(ISNUMBER($G$143),$B$110=1),$G$143,HLOOKUP(INDIRECT(ADDRESS(2,COLUMN())),OFFSET($R$2,0,0,ROW()-1,12),ROW()-1,FALSE))</f>
        <v>2314.7448720000002</v>
      </c>
      <c r="H37">
        <f ca="1">IF(AND(ISNUMBER($H$143),$B$110=1),$H$143,HLOOKUP(INDIRECT(ADDRESS(2,COLUMN())),OFFSET($R$2,0,0,ROW()-1,12),ROW()-1,FALSE))</f>
        <v>2261.53215</v>
      </c>
      <c r="I37">
        <f ca="1">IF(AND(ISNUMBER($I$143),$B$110=1),$I$143,HLOOKUP(INDIRECT(ADDRESS(2,COLUMN())),OFFSET($R$2,0,0,ROW()-1,12),ROW()-1,FALSE))</f>
        <v>2221.910793</v>
      </c>
      <c r="J37">
        <f ca="1">IF(AND(ISNUMBER($J$143),$B$110=1),$J$143,HLOOKUP(INDIRECT(ADDRESS(2,COLUMN())),OFFSET($R$2,0,0,ROW()-1,12),ROW()-1,FALSE))</f>
        <v>2252.5909459999998</v>
      </c>
      <c r="K37">
        <f ca="1">IF(AND(ISNUMBER($K$143),$B$110=1),$K$143,HLOOKUP(INDIRECT(ADDRESS(2,COLUMN())),OFFSET($R$2,0,0,ROW()-1,12),ROW()-1,FALSE))</f>
        <v>2165.4372950000002</v>
      </c>
      <c r="L37">
        <f ca="1">IF(AND(ISNUMBER($L$143),$B$110=1),$L$143,HLOOKUP(INDIRECT(ADDRESS(2,COLUMN())),OFFSET($R$2,0,0,ROW()-1,12),ROW()-1,FALSE))</f>
        <v>2234.2934150000001</v>
      </c>
      <c r="M37">
        <f ca="1">IF(AND(ISNUMBER($M$143),$B$110=1),$M$143,HLOOKUP(INDIRECT(ADDRESS(2,COLUMN())),OFFSET($R$2,0,0,ROW()-1,12),ROW()-1,FALSE))</f>
        <v>2114.5083450000002</v>
      </c>
      <c r="N37">
        <f ca="1">IF(AND(ISNUMBER($N$143),$B$110=1),$N$143,HLOOKUP(INDIRECT(ADDRESS(2,COLUMN())),OFFSET($R$2,0,0,ROW()-1,12),ROW()-1,FALSE))</f>
        <v>2105.0438819999999</v>
      </c>
      <c r="O37">
        <f ca="1">IF(AND(ISNUMBER($O$143),$B$110=1),$O$143,HLOOKUP(INDIRECT(ADDRESS(2,COLUMN())),OFFSET($R$2,0,0,ROW()-1,12),ROW()-1,FALSE))</f>
        <v>2014.719497</v>
      </c>
      <c r="P37">
        <f ca="1">IF(AND(ISNUMBER($P$143),$B$110=1),$P$143,HLOOKUP(INDIRECT(ADDRESS(2,COLUMN())),OFFSET($R$2,0,0,ROW()-1,12),ROW()-1,FALSE))</f>
        <v>2011.4090639999999</v>
      </c>
      <c r="Q37">
        <f ca="1">IF(AND(ISNUMBER($Q$143),$B$110=1),$Q$143,HLOOKUP(INDIRECT(ADDRESS(2,COLUMN())),OFFSET($R$2,0,0,ROW()-1,12),ROW()-1,FALSE))</f>
        <v>1906.256965</v>
      </c>
      <c r="R37">
        <f>2315.993684</f>
        <v>2315.993684</v>
      </c>
      <c r="S37">
        <f>2314.744872</f>
        <v>2314.7448720000002</v>
      </c>
      <c r="T37">
        <f>2261.53215</f>
        <v>2261.53215</v>
      </c>
      <c r="U37">
        <f>2221.910793</f>
        <v>2221.910793</v>
      </c>
      <c r="V37">
        <f>2252.590946</f>
        <v>2252.5909459999998</v>
      </c>
      <c r="W37">
        <f>2165.437295</f>
        <v>2165.4372950000002</v>
      </c>
      <c r="X37">
        <f>2234.293415</f>
        <v>2234.2934150000001</v>
      </c>
      <c r="Y37">
        <f>2114.508345</f>
        <v>2114.5083450000002</v>
      </c>
      <c r="Z37">
        <f>2105.043882</f>
        <v>2105.0438819999999</v>
      </c>
      <c r="AA37">
        <f>2014.719497</f>
        <v>2014.719497</v>
      </c>
      <c r="AB37">
        <f>2011.409064</f>
        <v>2011.4090639999999</v>
      </c>
      <c r="AC37">
        <f>1906.256965</f>
        <v>1906.256965</v>
      </c>
    </row>
    <row r="38" spans="1:29" x14ac:dyDescent="0.25">
      <c r="A38" t="str">
        <f>"    Tech Mahindra Ltd"</f>
        <v xml:space="preserve">    Tech Mahindra Ltd</v>
      </c>
      <c r="B38" t="str">
        <f>"TECHM IN Equity"</f>
        <v>TECHM IN Equity</v>
      </c>
      <c r="C38" t="str">
        <f t="shared" si="3"/>
        <v>RR861</v>
      </c>
      <c r="D38" t="str">
        <f t="shared" si="4"/>
        <v>GROSS_PROFIT</v>
      </c>
      <c r="E38" t="str">
        <f t="shared" si="5"/>
        <v>Dynamic</v>
      </c>
      <c r="F38" t="str">
        <f ca="1">IF(AND(ISNUMBER($F$144),$B$110=1),$F$144,HLOOKUP(INDIRECT(ADDRESS(2,COLUMN())),OFFSET($R$2,0,0,ROW()-1,12),ROW()-1,FALSE))</f>
        <v/>
      </c>
      <c r="G38" t="str">
        <f ca="1">IF(AND(ISNUMBER($G$144),$B$110=1),$G$144,HLOOKUP(INDIRECT(ADDRESS(2,COLUMN())),OFFSET($R$2,0,0,ROW()-1,12),ROW()-1,FALSE))</f>
        <v/>
      </c>
      <c r="H38" t="str">
        <f ca="1">IF(AND(ISNUMBER($H$144),$B$110=1),$H$144,HLOOKUP(INDIRECT(ADDRESS(2,COLUMN())),OFFSET($R$2,0,0,ROW()-1,12),ROW()-1,FALSE))</f>
        <v/>
      </c>
      <c r="I38" t="str">
        <f ca="1">IF(AND(ISNUMBER($I$144),$B$110=1),$I$144,HLOOKUP(INDIRECT(ADDRESS(2,COLUMN())),OFFSET($R$2,0,0,ROW()-1,12),ROW()-1,FALSE))</f>
        <v/>
      </c>
      <c r="J38" t="str">
        <f ca="1">IF(AND(ISNUMBER($J$144),$B$110=1),$J$144,HLOOKUP(INDIRECT(ADDRESS(2,COLUMN())),OFFSET($R$2,0,0,ROW()-1,12),ROW()-1,FALSE))</f>
        <v/>
      </c>
      <c r="K38" t="str">
        <f ca="1">IF(AND(ISNUMBER($K$144),$B$110=1),$K$144,HLOOKUP(INDIRECT(ADDRESS(2,COLUMN())),OFFSET($R$2,0,0,ROW()-1,12),ROW()-1,FALSE))</f>
        <v/>
      </c>
      <c r="L38" t="str">
        <f ca="1">IF(AND(ISNUMBER($L$144),$B$110=1),$L$144,HLOOKUP(INDIRECT(ADDRESS(2,COLUMN())),OFFSET($R$2,0,0,ROW()-1,12),ROW()-1,FALSE))</f>
        <v/>
      </c>
      <c r="M38" t="str">
        <f ca="1">IF(AND(ISNUMBER($M$144),$B$110=1),$M$144,HLOOKUP(INDIRECT(ADDRESS(2,COLUMN())),OFFSET($R$2,0,0,ROW()-1,12),ROW()-1,FALSE))</f>
        <v/>
      </c>
      <c r="N38" t="str">
        <f ca="1">IF(AND(ISNUMBER($N$144),$B$110=1),$N$144,HLOOKUP(INDIRECT(ADDRESS(2,COLUMN())),OFFSET($R$2,0,0,ROW()-1,12),ROW()-1,FALSE))</f>
        <v/>
      </c>
      <c r="O38" t="str">
        <f ca="1">IF(AND(ISNUMBER($O$144),$B$110=1),$O$144,HLOOKUP(INDIRECT(ADDRESS(2,COLUMN())),OFFSET($R$2,0,0,ROW()-1,12),ROW()-1,FALSE))</f>
        <v/>
      </c>
      <c r="P38" t="str">
        <f ca="1">IF(AND(ISNUMBER($P$144),$B$110=1),$P$144,HLOOKUP(INDIRECT(ADDRESS(2,COLUMN())),OFFSET($R$2,0,0,ROW()-1,12),ROW()-1,FALSE))</f>
        <v/>
      </c>
      <c r="Q38" t="str">
        <f ca="1">IF(AND(ISNUMBER($Q$144),$B$110=1),$Q$144,HLOOKUP(INDIRECT(ADDRESS(2,COLUMN())),OFFSET($R$2,0,0,ROW()-1,12),ROW()-1,FALSE))</f>
        <v/>
      </c>
      <c r="R38" t="str">
        <f>""</f>
        <v/>
      </c>
      <c r="S38" t="str">
        <f>""</f>
        <v/>
      </c>
      <c r="T38" t="str">
        <f>""</f>
        <v/>
      </c>
      <c r="U38" t="str">
        <f>""</f>
        <v/>
      </c>
      <c r="V38" t="str">
        <f>""</f>
        <v/>
      </c>
      <c r="W38" t="str">
        <f>""</f>
        <v/>
      </c>
      <c r="X38" t="str">
        <f>""</f>
        <v/>
      </c>
      <c r="Y38" t="str">
        <f>""</f>
        <v/>
      </c>
      <c r="Z38" t="str">
        <f>""</f>
        <v/>
      </c>
      <c r="AA38" t="str">
        <f>""</f>
        <v/>
      </c>
      <c r="AB38" t="str">
        <f>""</f>
        <v/>
      </c>
      <c r="AC38" t="str">
        <f>""</f>
        <v/>
      </c>
    </row>
    <row r="39" spans="1:29" x14ac:dyDescent="0.25">
      <c r="A39" t="str">
        <f>"    Wipro Ltd"</f>
        <v xml:space="preserve">    Wipro Ltd</v>
      </c>
      <c r="B39" t="str">
        <f>"WIT US Equity"</f>
        <v>WIT US Equity</v>
      </c>
      <c r="C39" t="str">
        <f t="shared" si="3"/>
        <v>RR861</v>
      </c>
      <c r="D39" t="str">
        <f t="shared" si="4"/>
        <v>GROSS_PROFIT</v>
      </c>
      <c r="E39" t="str">
        <f t="shared" si="5"/>
        <v>Dynamic</v>
      </c>
      <c r="F39">
        <f ca="1">IF(AND(ISNUMBER($F$145),$B$110=1),$F$145,HLOOKUP(INDIRECT(ADDRESS(2,COLUMN())),OFFSET($R$2,0,0,ROW()-1,12),ROW()-1,FALSE))</f>
        <v>593.27925459999994</v>
      </c>
      <c r="G39">
        <f ca="1">IF(AND(ISNUMBER($G$145),$B$110=1),$G$145,HLOOKUP(INDIRECT(ADDRESS(2,COLUMN())),OFFSET($R$2,0,0,ROW()-1,12),ROW()-1,FALSE))</f>
        <v>632.31781049999995</v>
      </c>
      <c r="H39">
        <f ca="1">IF(AND(ISNUMBER($H$145),$B$110=1),$H$145,HLOOKUP(INDIRECT(ADDRESS(2,COLUMN())),OFFSET($R$2,0,0,ROW()-1,12),ROW()-1,FALSE))</f>
        <v>614.62401350000005</v>
      </c>
      <c r="I39">
        <f ca="1">IF(AND(ISNUMBER($I$145),$B$110=1),$I$145,HLOOKUP(INDIRECT(ADDRESS(2,COLUMN())),OFFSET($R$2,0,0,ROW()-1,12),ROW()-1,FALSE))</f>
        <v>616.74525979999999</v>
      </c>
      <c r="J39">
        <f ca="1">IF(AND(ISNUMBER($J$145),$B$110=1),$J$145,HLOOKUP(INDIRECT(ADDRESS(2,COLUMN())),OFFSET($R$2,0,0,ROW()-1,12),ROW()-1,FALSE))</f>
        <v>612.06032889999994</v>
      </c>
      <c r="K39">
        <f ca="1">IF(AND(ISNUMBER($K$145),$B$110=1),$K$145,HLOOKUP(INDIRECT(ADDRESS(2,COLUMN())),OFFSET($R$2,0,0,ROW()-1,12),ROW()-1,FALSE))</f>
        <v>647.0636958</v>
      </c>
      <c r="L39">
        <f ca="1">IF(AND(ISNUMBER($L$145),$B$110=1),$L$145,HLOOKUP(INDIRECT(ADDRESS(2,COLUMN())),OFFSET($R$2,0,0,ROW()-1,12),ROW()-1,FALSE))</f>
        <v>622.87316109999995</v>
      </c>
      <c r="M39">
        <f ca="1">IF(AND(ISNUMBER($M$145),$B$110=1),$M$145,HLOOKUP(INDIRECT(ADDRESS(2,COLUMN())),OFFSET($R$2,0,0,ROW()-1,12),ROW()-1,FALSE))</f>
        <v>588.01467419999994</v>
      </c>
      <c r="N39">
        <f ca="1">IF(AND(ISNUMBER($N$145),$B$110=1),$N$145,HLOOKUP(INDIRECT(ADDRESS(2,COLUMN())),OFFSET($R$2,0,0,ROW()-1,12),ROW()-1,FALSE))</f>
        <v>619.69161340000005</v>
      </c>
      <c r="O39">
        <f ca="1">IF(AND(ISNUMBER($O$145),$B$110=1),$O$145,HLOOKUP(INDIRECT(ADDRESS(2,COLUMN())),OFFSET($R$2,0,0,ROW()-1,12),ROW()-1,FALSE))</f>
        <v>628.94716749999998</v>
      </c>
      <c r="P39">
        <f ca="1">IF(AND(ISNUMBER($P$145),$B$110=1),$P$145,HLOOKUP(INDIRECT(ADDRESS(2,COLUMN())),OFFSET($R$2,0,0,ROW()-1,12),ROW()-1,FALSE))</f>
        <v>615.08982509999998</v>
      </c>
      <c r="Q39">
        <f ca="1">IF(AND(ISNUMBER($Q$145),$B$110=1),$Q$145,HLOOKUP(INDIRECT(ADDRESS(2,COLUMN())),OFFSET($R$2,0,0,ROW()-1,12),ROW()-1,FALSE))</f>
        <v>607.09314400000005</v>
      </c>
      <c r="R39">
        <f>593.2792546</f>
        <v>593.27925459999994</v>
      </c>
      <c r="S39">
        <f>632.3178105</f>
        <v>632.31781049999995</v>
      </c>
      <c r="T39">
        <f>614.6240135</f>
        <v>614.62401350000005</v>
      </c>
      <c r="U39">
        <f>616.7452598</f>
        <v>616.74525979999999</v>
      </c>
      <c r="V39">
        <f>612.0603289</f>
        <v>612.06032889999994</v>
      </c>
      <c r="W39">
        <f>647.0636958</f>
        <v>647.0636958</v>
      </c>
      <c r="X39">
        <f>622.8731611</f>
        <v>622.87316109999995</v>
      </c>
      <c r="Y39">
        <f>588.0146742</f>
        <v>588.01467419999994</v>
      </c>
      <c r="Z39">
        <f>619.6916134</f>
        <v>619.69161340000005</v>
      </c>
      <c r="AA39">
        <f>628.9471675</f>
        <v>628.94716749999998</v>
      </c>
      <c r="AB39">
        <f>615.0898251</f>
        <v>615.08982509999998</v>
      </c>
      <c r="AC39">
        <f>607.093144</f>
        <v>607.09314400000005</v>
      </c>
    </row>
    <row r="40" spans="1:29" x14ac:dyDescent="0.25">
      <c r="A40" t="str">
        <f>"EBITDA"</f>
        <v>EBITDA</v>
      </c>
      <c r="B40" t="str">
        <f>"BRITBPOV Index"</f>
        <v>BRITBPOV Index</v>
      </c>
      <c r="E40" t="str">
        <f>"Sum"</f>
        <v>Sum</v>
      </c>
      <c r="F40">
        <f ca="1">IF(ISERROR(IF(SUM($F$41:$F$57) = 0, "", SUM($F$41:$F$57))), "", (IF(SUM($F$41:$F$57) = 0, "", SUM($F$41:$F$57))))</f>
        <v>6213.1338099400009</v>
      </c>
      <c r="G40">
        <f ca="1">IF(ISERROR(IF(SUM($G$41:$G$57) = 0, "", SUM($G$41:$G$57))), "", (IF(SUM($G$41:$G$57) = 0, "", SUM($G$41:$G$57))))</f>
        <v>14161.452780900001</v>
      </c>
      <c r="H40">
        <f ca="1">IF(ISERROR(IF(SUM($H$41:$H$57) = 0, "", SUM($H$41:$H$57))), "", (IF(SUM($H$41:$H$57) = 0, "", SUM($H$41:$H$57))))</f>
        <v>9660.0515013599997</v>
      </c>
      <c r="I40">
        <f ca="1">IF(ISERROR(IF(SUM($I$41:$I$57) = 0, "", SUM($I$41:$I$57))), "", (IF(SUM($I$41:$I$57) = 0, "", SUM($I$41:$I$57))))</f>
        <v>10648.18945722</v>
      </c>
      <c r="J40">
        <f ca="1">IF(ISERROR(IF(SUM($J$41:$J$57) = 0, "", SUM($J$41:$J$57))), "", (IF(SUM($J$41:$J$57) = 0, "", SUM($J$41:$J$57))))</f>
        <v>11004.72682942</v>
      </c>
      <c r="K40">
        <f ca="1">IF(ISERROR(IF(SUM($K$41:$K$57) = 0, "", SUM($K$41:$K$57))), "", (IF(SUM($K$41:$K$57) = 0, "", SUM($K$41:$K$57))))</f>
        <v>13591.663855300001</v>
      </c>
      <c r="L40">
        <f ca="1">IF(ISERROR(IF(SUM($L$41:$L$57) = 0, "", SUM($L$41:$L$57))), "", (IF(SUM($L$41:$L$57) = 0, "", SUM($L$41:$L$57))))</f>
        <v>11725.54473962</v>
      </c>
      <c r="M40">
        <f ca="1">IF(ISERROR(IF(SUM($M$41:$M$57) = 0, "", SUM($M$41:$M$57))), "", (IF(SUM($M$41:$M$57) = 0, "", SUM($M$41:$M$57))))</f>
        <v>12886.307394560001</v>
      </c>
      <c r="N40">
        <f ca="1">IF(ISERROR(IF(SUM($N$41:$N$57) = 0, "", SUM($N$41:$N$57))), "", (IF(SUM($N$41:$N$57) = 0, "", SUM($N$41:$N$57))))</f>
        <v>10170.122234679999</v>
      </c>
      <c r="O40">
        <f ca="1">IF(ISERROR(IF(SUM($O$41:$O$57) = 0, "", SUM($O$41:$O$57))), "", (IF(SUM($O$41:$O$57) = 0, "", SUM($O$41:$O$57))))</f>
        <v>13131.268641700002</v>
      </c>
      <c r="P40">
        <f ca="1">IF(ISERROR(IF(SUM($P$41:$P$57) = 0, "", SUM($P$41:$P$57))), "", (IF(SUM($P$41:$P$57) = 0, "", SUM($P$41:$P$57))))</f>
        <v>11411.211835909999</v>
      </c>
      <c r="Q40">
        <f ca="1">IF(ISERROR(IF(SUM($Q$41:$Q$57) = 0, "", SUM($Q$41:$Q$57))), "", (IF(SUM($Q$41:$Q$57) = 0, "", SUM($Q$41:$Q$57))))</f>
        <v>9597.4742789199991</v>
      </c>
      <c r="R40">
        <f>6213.13381</f>
        <v>6213.1338100000003</v>
      </c>
      <c r="S40">
        <f>14161.45278</f>
        <v>14161.45278</v>
      </c>
      <c r="T40">
        <f>9660.051501</f>
        <v>9660.0515009999999</v>
      </c>
      <c r="U40">
        <f>10648.18946</f>
        <v>10648.18946</v>
      </c>
      <c r="V40">
        <f>11004.72683</f>
        <v>11004.72683</v>
      </c>
      <c r="W40">
        <f>13591.66386</f>
        <v>13591.663860000001</v>
      </c>
      <c r="X40">
        <f>11725.54474</f>
        <v>11725.544739999999</v>
      </c>
      <c r="Y40">
        <f>12886.3074</f>
        <v>12886.3074</v>
      </c>
      <c r="Z40">
        <f>10170.12223</f>
        <v>10170.122230000001</v>
      </c>
      <c r="AA40">
        <f>13131.26864</f>
        <v>13131.26864</v>
      </c>
      <c r="AB40">
        <f>11411.21184</f>
        <v>11411.21184</v>
      </c>
      <c r="AC40">
        <f>9597.474279</f>
        <v>9597.474279</v>
      </c>
    </row>
    <row r="41" spans="1:29" x14ac:dyDescent="0.25">
      <c r="A41" t="str">
        <f>"    Accenture PLC"</f>
        <v xml:space="preserve">    Accenture PLC</v>
      </c>
      <c r="B41" t="str">
        <f>"ACN US Equity"</f>
        <v>ACN US Equity</v>
      </c>
      <c r="C41" t="str">
        <f t="shared" ref="C41:C57" si="6">"RR009"</f>
        <v>RR009</v>
      </c>
      <c r="D41" t="str">
        <f t="shared" ref="D41:D57" si="7">"EBITDA"</f>
        <v>EBITDA</v>
      </c>
      <c r="E41" t="str">
        <f t="shared" ref="E41:E57" si="8">"Dynamic"</f>
        <v>Dynamic</v>
      </c>
      <c r="F41">
        <f ca="1">IF(AND(ISNUMBER($F$146),$B$110=1),$F$146,HLOOKUP(INDIRECT(ADDRESS(2,COLUMN())),OFFSET($R$2,0,0,ROW()-1,12),ROW()-1,FALSE))</f>
        <v>2110.0100000000002</v>
      </c>
      <c r="G41">
        <f ca="1">IF(AND(ISNUMBER($G$146),$B$110=1),$G$146,HLOOKUP(INDIRECT(ADDRESS(2,COLUMN())),OFFSET($R$2,0,0,ROW()-1,12),ROW()-1,FALSE))</f>
        <v>2341.2649999999999</v>
      </c>
      <c r="H41">
        <f ca="1">IF(AND(ISNUMBER($H$146),$B$110=1),$H$146,HLOOKUP(INDIRECT(ADDRESS(2,COLUMN())),OFFSET($R$2,0,0,ROW()-1,12),ROW()-1,FALSE))</f>
        <v>1838.8240000000001</v>
      </c>
      <c r="I41">
        <f ca="1">IF(AND(ISNUMBER($I$146),$B$110=1),$I$146,HLOOKUP(INDIRECT(ADDRESS(2,COLUMN())),OFFSET($R$2,0,0,ROW()-1,12),ROW()-1,FALSE))</f>
        <v>1939.252</v>
      </c>
      <c r="J41">
        <f ca="1">IF(AND(ISNUMBER($J$146),$B$110=1),$J$146,HLOOKUP(INDIRECT(ADDRESS(2,COLUMN())),OFFSET($R$2,0,0,ROW()-1,12),ROW()-1,FALSE))</f>
        <v>1606.2239999999999</v>
      </c>
      <c r="K41">
        <f ca="1">IF(AND(ISNUMBER($K$146),$B$110=1),$K$146,HLOOKUP(INDIRECT(ADDRESS(2,COLUMN())),OFFSET($R$2,0,0,ROW()-1,12),ROW()-1,FALSE))</f>
        <v>1840.6969999999999</v>
      </c>
      <c r="L41">
        <f ca="1">IF(AND(ISNUMBER($L$146),$B$110=1),$L$146,HLOOKUP(INDIRECT(ADDRESS(2,COLUMN())),OFFSET($R$2,0,0,ROW()-1,12),ROW()-1,FALSE))</f>
        <v>1783.425</v>
      </c>
      <c r="M41">
        <f ca="1">IF(AND(ISNUMBER($M$146),$B$110=1),$M$146,HLOOKUP(INDIRECT(ADDRESS(2,COLUMN())),OFFSET($R$2,0,0,ROW()-1,12),ROW()-1,FALSE))</f>
        <v>1873.2639999999999</v>
      </c>
      <c r="N41">
        <f ca="1">IF(AND(ISNUMBER($N$146),$B$110=1),$N$146,HLOOKUP(INDIRECT(ADDRESS(2,COLUMN())),OFFSET($R$2,0,0,ROW()-1,12),ROW()-1,FALSE))</f>
        <v>1516.7080000000001</v>
      </c>
      <c r="O41">
        <f ca="1">IF(AND(ISNUMBER($O$146),$B$110=1),$O$146,HLOOKUP(INDIRECT(ADDRESS(2,COLUMN())),OFFSET($R$2,0,0,ROW()-1,12),ROW()-1,FALSE))</f>
        <v>1730.809</v>
      </c>
      <c r="P41">
        <f ca="1">IF(AND(ISNUMBER($P$146),$B$110=1),$P$146,HLOOKUP(INDIRECT(ADDRESS(2,COLUMN())),OFFSET($R$2,0,0,ROW()-1,12),ROW()-1,FALSE))</f>
        <v>1528.6310000000001</v>
      </c>
      <c r="Q41">
        <f ca="1">IF(AND(ISNUMBER($Q$146),$B$110=1),$Q$146,HLOOKUP(INDIRECT(ADDRESS(2,COLUMN())),OFFSET($R$2,0,0,ROW()-1,12),ROW()-1,FALSE))</f>
        <v>1059.915</v>
      </c>
      <c r="R41">
        <f>2110.01</f>
        <v>2110.0100000000002</v>
      </c>
      <c r="S41">
        <f>2341.265</f>
        <v>2341.2649999999999</v>
      </c>
      <c r="T41">
        <f>1838.824</f>
        <v>1838.8240000000001</v>
      </c>
      <c r="U41">
        <f>1939.252</f>
        <v>1939.252</v>
      </c>
      <c r="V41">
        <f>1606.224</f>
        <v>1606.2239999999999</v>
      </c>
      <c r="W41">
        <f>1840.697</f>
        <v>1840.6969999999999</v>
      </c>
      <c r="X41">
        <f>1783.425</f>
        <v>1783.425</v>
      </c>
      <c r="Y41">
        <f>1873.264</f>
        <v>1873.2639999999999</v>
      </c>
      <c r="Z41">
        <f>1516.708</f>
        <v>1516.7080000000001</v>
      </c>
      <c r="AA41">
        <f>1730.809</f>
        <v>1730.809</v>
      </c>
      <c r="AB41">
        <f>1528.631</f>
        <v>1528.6310000000001</v>
      </c>
      <c r="AC41">
        <f>1059.915</f>
        <v>1059.915</v>
      </c>
    </row>
    <row r="42" spans="1:29" x14ac:dyDescent="0.25">
      <c r="A42" t="str">
        <f>"    Amdocs Ltd"</f>
        <v xml:space="preserve">    Amdocs Ltd</v>
      </c>
      <c r="B42" t="str">
        <f>"DOX US Equity"</f>
        <v>DOX US Equity</v>
      </c>
      <c r="C42" t="str">
        <f t="shared" si="6"/>
        <v>RR009</v>
      </c>
      <c r="D42" t="str">
        <f t="shared" si="7"/>
        <v>EBITDA</v>
      </c>
      <c r="E42" t="str">
        <f t="shared" si="8"/>
        <v>Dynamic</v>
      </c>
      <c r="F42">
        <f ca="1">IF(AND(ISNUMBER($F$147),$B$110=1),$F$147,HLOOKUP(INDIRECT(ADDRESS(2,COLUMN())),OFFSET($R$2,0,0,ROW()-1,12),ROW()-1,FALSE))</f>
        <v>205.82</v>
      </c>
      <c r="G42">
        <f ca="1">IF(AND(ISNUMBER($G$147),$B$110=1),$G$147,HLOOKUP(INDIRECT(ADDRESS(2,COLUMN())),OFFSET($R$2,0,0,ROW()-1,12),ROW()-1,FALSE))</f>
        <v>192.57599999999999</v>
      </c>
      <c r="H42">
        <f ca="1">IF(AND(ISNUMBER($H$147),$B$110=1),$H$147,HLOOKUP(INDIRECT(ADDRESS(2,COLUMN())),OFFSET($R$2,0,0,ROW()-1,12),ROW()-1,FALSE))</f>
        <v>194.66800000000001</v>
      </c>
      <c r="I42">
        <f ca="1">IF(AND(ISNUMBER($I$147),$B$110=1),$I$147,HLOOKUP(INDIRECT(ADDRESS(2,COLUMN())),OFFSET($R$2,0,0,ROW()-1,12),ROW()-1,FALSE))</f>
        <v>195.72499999999999</v>
      </c>
      <c r="J42">
        <f ca="1">IF(AND(ISNUMBER($J$147),$B$110=1),$J$147,HLOOKUP(INDIRECT(ADDRESS(2,COLUMN())),OFFSET($R$2,0,0,ROW()-1,12),ROW()-1,FALSE))</f>
        <v>200.55099999999999</v>
      </c>
      <c r="K42">
        <f ca="1">IF(AND(ISNUMBER($K$147),$B$110=1),$K$147,HLOOKUP(INDIRECT(ADDRESS(2,COLUMN())),OFFSET($R$2,0,0,ROW()-1,12),ROW()-1,FALSE))</f>
        <v>184.57400000000001</v>
      </c>
      <c r="L42">
        <f ca="1">IF(AND(ISNUMBER($L$147),$B$110=1),$L$147,HLOOKUP(INDIRECT(ADDRESS(2,COLUMN())),OFFSET($R$2,0,0,ROW()-1,12),ROW()-1,FALSE))</f>
        <v>122.622</v>
      </c>
      <c r="M42">
        <f ca="1">IF(AND(ISNUMBER($M$147),$B$110=1),$M$147,HLOOKUP(INDIRECT(ADDRESS(2,COLUMN())),OFFSET($R$2,0,0,ROW()-1,12),ROW()-1,FALSE))</f>
        <v>160.03899999999999</v>
      </c>
      <c r="N42">
        <f ca="1">IF(AND(ISNUMBER($N$147),$B$110=1),$N$147,HLOOKUP(INDIRECT(ADDRESS(2,COLUMN())),OFFSET($R$2,0,0,ROW()-1,12),ROW()-1,FALSE))</f>
        <v>185.49</v>
      </c>
      <c r="O42">
        <f ca="1">IF(AND(ISNUMBER($O$147),$B$110=1),$O$147,HLOOKUP(INDIRECT(ADDRESS(2,COLUMN())),OFFSET($R$2,0,0,ROW()-1,12),ROW()-1,FALSE))</f>
        <v>171.38</v>
      </c>
      <c r="P42">
        <f ca="1">IF(AND(ISNUMBER($P$147),$B$110=1),$P$147,HLOOKUP(INDIRECT(ADDRESS(2,COLUMN())),OFFSET($R$2,0,0,ROW()-1,12),ROW()-1,FALSE))</f>
        <v>183.399</v>
      </c>
      <c r="Q42">
        <f ca="1">IF(AND(ISNUMBER($Q$147),$B$110=1),$Q$147,HLOOKUP(INDIRECT(ADDRESS(2,COLUMN())),OFFSET($R$2,0,0,ROW()-1,12),ROW()-1,FALSE))</f>
        <v>184.40700000000001</v>
      </c>
      <c r="R42">
        <f>205.82</f>
        <v>205.82</v>
      </c>
      <c r="S42">
        <f>192.576</f>
        <v>192.57599999999999</v>
      </c>
      <c r="T42">
        <f>194.668</f>
        <v>194.66800000000001</v>
      </c>
      <c r="U42">
        <f>195.725</f>
        <v>195.72499999999999</v>
      </c>
      <c r="V42">
        <f>200.551</f>
        <v>200.55099999999999</v>
      </c>
      <c r="W42">
        <f>184.574</f>
        <v>184.57400000000001</v>
      </c>
      <c r="X42">
        <f>122.622</f>
        <v>122.622</v>
      </c>
      <c r="Y42">
        <f>160.039</f>
        <v>160.03899999999999</v>
      </c>
      <c r="Z42">
        <f>185.49</f>
        <v>185.49</v>
      </c>
      <c r="AA42">
        <f>171.38</f>
        <v>171.38</v>
      </c>
      <c r="AB42">
        <f>183.399</f>
        <v>183.399</v>
      </c>
      <c r="AC42">
        <f>184.407</f>
        <v>184.40700000000001</v>
      </c>
    </row>
    <row r="43" spans="1:29" x14ac:dyDescent="0.25">
      <c r="A43" t="str">
        <f>"    Atos SE"</f>
        <v xml:space="preserve">    Atos SE</v>
      </c>
      <c r="B43" t="str">
        <f>"ATO FP Equity"</f>
        <v>ATO FP Equity</v>
      </c>
      <c r="C43" t="str">
        <f t="shared" si="6"/>
        <v>RR009</v>
      </c>
      <c r="D43" t="str">
        <f t="shared" si="7"/>
        <v>EBITDA</v>
      </c>
      <c r="E43" t="str">
        <f t="shared" si="8"/>
        <v>Dynamic</v>
      </c>
      <c r="F43" t="str">
        <f ca="1">IF(AND(ISNUMBER($F$148),$B$110=1),$F$148,HLOOKUP(INDIRECT(ADDRESS(2,COLUMN())),OFFSET($R$2,0,0,ROW()-1,12),ROW()-1,FALSE))</f>
        <v/>
      </c>
      <c r="G43" t="str">
        <f ca="1">IF(AND(ISNUMBER($G$148),$B$110=1),$G$148,HLOOKUP(INDIRECT(ADDRESS(2,COLUMN())),OFFSET($R$2,0,0,ROW()-1,12),ROW()-1,FALSE))</f>
        <v/>
      </c>
      <c r="H43" t="str">
        <f ca="1">IF(AND(ISNUMBER($H$148),$B$110=1),$H$148,HLOOKUP(INDIRECT(ADDRESS(2,COLUMN())),OFFSET($R$2,0,0,ROW()-1,12),ROW()-1,FALSE))</f>
        <v/>
      </c>
      <c r="I43" t="str">
        <f ca="1">IF(AND(ISNUMBER($I$148),$B$110=1),$I$148,HLOOKUP(INDIRECT(ADDRESS(2,COLUMN())),OFFSET($R$2,0,0,ROW()-1,12),ROW()-1,FALSE))</f>
        <v/>
      </c>
      <c r="J43" t="str">
        <f ca="1">IF(AND(ISNUMBER($J$148),$B$110=1),$J$148,HLOOKUP(INDIRECT(ADDRESS(2,COLUMN())),OFFSET($R$2,0,0,ROW()-1,12),ROW()-1,FALSE))</f>
        <v/>
      </c>
      <c r="K43" t="str">
        <f ca="1">IF(AND(ISNUMBER($K$148),$B$110=1),$K$148,HLOOKUP(INDIRECT(ADDRESS(2,COLUMN())),OFFSET($R$2,0,0,ROW()-1,12),ROW()-1,FALSE))</f>
        <v/>
      </c>
      <c r="L43" t="str">
        <f ca="1">IF(AND(ISNUMBER($L$148),$B$110=1),$L$148,HLOOKUP(INDIRECT(ADDRESS(2,COLUMN())),OFFSET($R$2,0,0,ROW()-1,12),ROW()-1,FALSE))</f>
        <v/>
      </c>
      <c r="M43" t="str">
        <f ca="1">IF(AND(ISNUMBER($M$148),$B$110=1),$M$148,HLOOKUP(INDIRECT(ADDRESS(2,COLUMN())),OFFSET($R$2,0,0,ROW()-1,12),ROW()-1,FALSE))</f>
        <v/>
      </c>
      <c r="N43" t="str">
        <f ca="1">IF(AND(ISNUMBER($N$148),$B$110=1),$N$148,HLOOKUP(INDIRECT(ADDRESS(2,COLUMN())),OFFSET($R$2,0,0,ROW()-1,12),ROW()-1,FALSE))</f>
        <v/>
      </c>
      <c r="O43" t="str">
        <f ca="1">IF(AND(ISNUMBER($O$148),$B$110=1),$O$148,HLOOKUP(INDIRECT(ADDRESS(2,COLUMN())),OFFSET($R$2,0,0,ROW()-1,12),ROW()-1,FALSE))</f>
        <v/>
      </c>
      <c r="P43" t="str">
        <f ca="1">IF(AND(ISNUMBER($P$148),$B$110=1),$P$148,HLOOKUP(INDIRECT(ADDRESS(2,COLUMN())),OFFSET($R$2,0,0,ROW()-1,12),ROW()-1,FALSE))</f>
        <v/>
      </c>
      <c r="Q43" t="str">
        <f ca="1">IF(AND(ISNUMBER($Q$148),$B$110=1),$Q$148,HLOOKUP(INDIRECT(ADDRESS(2,COLUMN())),OFFSET($R$2,0,0,ROW()-1,12),ROW()-1,FALSE))</f>
        <v/>
      </c>
      <c r="R43" t="str">
        <f>""</f>
        <v/>
      </c>
      <c r="S43" t="str">
        <f>""</f>
        <v/>
      </c>
      <c r="T43" t="str">
        <f>""</f>
        <v/>
      </c>
      <c r="U43" t="str">
        <f>""</f>
        <v/>
      </c>
      <c r="V43" t="str">
        <f>""</f>
        <v/>
      </c>
      <c r="W43" t="str">
        <f>""</f>
        <v/>
      </c>
      <c r="X43" t="str">
        <f>""</f>
        <v/>
      </c>
      <c r="Y43" t="str">
        <f>""</f>
        <v/>
      </c>
      <c r="Z43" t="str">
        <f>""</f>
        <v/>
      </c>
      <c r="AA43" t="str">
        <f>""</f>
        <v/>
      </c>
      <c r="AB43" t="str">
        <f>""</f>
        <v/>
      </c>
      <c r="AC43" t="str">
        <f>""</f>
        <v/>
      </c>
    </row>
    <row r="44" spans="1:29" x14ac:dyDescent="0.25">
      <c r="A44" t="str">
        <f>"    Capgemini SE"</f>
        <v xml:space="preserve">    Capgemini SE</v>
      </c>
      <c r="B44" t="str">
        <f>"CAP FP Equity"</f>
        <v>CAP FP Equity</v>
      </c>
      <c r="C44" t="str">
        <f t="shared" si="6"/>
        <v>RR009</v>
      </c>
      <c r="D44" t="str">
        <f t="shared" si="7"/>
        <v>EBITDA</v>
      </c>
      <c r="E44" t="str">
        <f t="shared" si="8"/>
        <v>Dynamic</v>
      </c>
      <c r="F44" t="str">
        <f ca="1">IF(AND(ISNUMBER($F$149),$B$110=1),$F$149,HLOOKUP(INDIRECT(ADDRESS(2,COLUMN())),OFFSET($R$2,0,0,ROW()-1,12),ROW()-1,FALSE))</f>
        <v/>
      </c>
      <c r="G44" t="str">
        <f ca="1">IF(AND(ISNUMBER($G$149),$B$110=1),$G$149,HLOOKUP(INDIRECT(ADDRESS(2,COLUMN())),OFFSET($R$2,0,0,ROW()-1,12),ROW()-1,FALSE))</f>
        <v/>
      </c>
      <c r="H44" t="str">
        <f ca="1">IF(AND(ISNUMBER($H$149),$B$110=1),$H$149,HLOOKUP(INDIRECT(ADDRESS(2,COLUMN())),OFFSET($R$2,0,0,ROW()-1,12),ROW()-1,FALSE))</f>
        <v/>
      </c>
      <c r="I44" t="str">
        <f ca="1">IF(AND(ISNUMBER($I$149),$B$110=1),$I$149,HLOOKUP(INDIRECT(ADDRESS(2,COLUMN())),OFFSET($R$2,0,0,ROW()-1,12),ROW()-1,FALSE))</f>
        <v/>
      </c>
      <c r="J44" t="str">
        <f ca="1">IF(AND(ISNUMBER($J$149),$B$110=1),$J$149,HLOOKUP(INDIRECT(ADDRESS(2,COLUMN())),OFFSET($R$2,0,0,ROW()-1,12),ROW()-1,FALSE))</f>
        <v/>
      </c>
      <c r="K44" t="str">
        <f ca="1">IF(AND(ISNUMBER($K$149),$B$110=1),$K$149,HLOOKUP(INDIRECT(ADDRESS(2,COLUMN())),OFFSET($R$2,0,0,ROW()-1,12),ROW()-1,FALSE))</f>
        <v/>
      </c>
      <c r="L44" t="str">
        <f ca="1">IF(AND(ISNUMBER($L$149),$B$110=1),$L$149,HLOOKUP(INDIRECT(ADDRESS(2,COLUMN())),OFFSET($R$2,0,0,ROW()-1,12),ROW()-1,FALSE))</f>
        <v/>
      </c>
      <c r="M44" t="str">
        <f ca="1">IF(AND(ISNUMBER($M$149),$B$110=1),$M$149,HLOOKUP(INDIRECT(ADDRESS(2,COLUMN())),OFFSET($R$2,0,0,ROW()-1,12),ROW()-1,FALSE))</f>
        <v/>
      </c>
      <c r="N44" t="str">
        <f ca="1">IF(AND(ISNUMBER($N$149),$B$110=1),$N$149,HLOOKUP(INDIRECT(ADDRESS(2,COLUMN())),OFFSET($R$2,0,0,ROW()-1,12),ROW()-1,FALSE))</f>
        <v/>
      </c>
      <c r="O44" t="str">
        <f ca="1">IF(AND(ISNUMBER($O$149),$B$110=1),$O$149,HLOOKUP(INDIRECT(ADDRESS(2,COLUMN())),OFFSET($R$2,0,0,ROW()-1,12),ROW()-1,FALSE))</f>
        <v/>
      </c>
      <c r="P44" t="str">
        <f ca="1">IF(AND(ISNUMBER($P$149),$B$110=1),$P$149,HLOOKUP(INDIRECT(ADDRESS(2,COLUMN())),OFFSET($R$2,0,0,ROW()-1,12),ROW()-1,FALSE))</f>
        <v/>
      </c>
      <c r="Q44" t="str">
        <f ca="1">IF(AND(ISNUMBER($Q$149),$B$110=1),$Q$149,HLOOKUP(INDIRECT(ADDRESS(2,COLUMN())),OFFSET($R$2,0,0,ROW()-1,12),ROW()-1,FALSE))</f>
        <v/>
      </c>
      <c r="R44" t="str">
        <f>""</f>
        <v/>
      </c>
      <c r="S44" t="str">
        <f>""</f>
        <v/>
      </c>
      <c r="T44" t="str">
        <f>""</f>
        <v/>
      </c>
      <c r="U44" t="str">
        <f>""</f>
        <v/>
      </c>
      <c r="V44" t="str">
        <f>""</f>
        <v/>
      </c>
      <c r="W44" t="str">
        <f>""</f>
        <v/>
      </c>
      <c r="X44" t="str">
        <f>""</f>
        <v/>
      </c>
      <c r="Y44" t="str">
        <f>""</f>
        <v/>
      </c>
      <c r="Z44" t="str">
        <f>""</f>
        <v/>
      </c>
      <c r="AA44" t="str">
        <f>""</f>
        <v/>
      </c>
      <c r="AB44" t="str">
        <f>""</f>
        <v/>
      </c>
      <c r="AC44" t="str">
        <f>""</f>
        <v/>
      </c>
    </row>
    <row r="45" spans="1:29" x14ac:dyDescent="0.25">
      <c r="A45" t="str">
        <f>"    CGI Inc"</f>
        <v xml:space="preserve">    CGI Inc</v>
      </c>
      <c r="B45" t="str">
        <f>"GIB US Equity"</f>
        <v>GIB US Equity</v>
      </c>
      <c r="C45" t="str">
        <f t="shared" si="6"/>
        <v>RR009</v>
      </c>
      <c r="D45" t="str">
        <f t="shared" si="7"/>
        <v>EBITDA</v>
      </c>
      <c r="E45" t="str">
        <f t="shared" si="8"/>
        <v>Dynamic</v>
      </c>
      <c r="F45">
        <f ca="1">IF(AND(ISNUMBER($F$150),$B$110=1),$F$150,HLOOKUP(INDIRECT(ADDRESS(2,COLUMN())),OFFSET($R$2,0,0,ROW()-1,12),ROW()-1,FALSE))</f>
        <v>435.50314279999998</v>
      </c>
      <c r="G45">
        <f ca="1">IF(AND(ISNUMBER($G$150),$B$110=1),$G$150,HLOOKUP(INDIRECT(ADDRESS(2,COLUMN())),OFFSET($R$2,0,0,ROW()-1,12),ROW()-1,FALSE))</f>
        <v>421.27071760000001</v>
      </c>
      <c r="H45">
        <f ca="1">IF(AND(ISNUMBER($H$150),$B$110=1),$H$150,HLOOKUP(INDIRECT(ADDRESS(2,COLUMN())),OFFSET($R$2,0,0,ROW()-1,12),ROW()-1,FALSE))</f>
        <v>399.22996619999998</v>
      </c>
      <c r="I45">
        <f ca="1">IF(AND(ISNUMBER($I$150),$B$110=1),$I$150,HLOOKUP(INDIRECT(ADDRESS(2,COLUMN())),OFFSET($R$2,0,0,ROW()-1,12),ROW()-1,FALSE))</f>
        <v>403.46808859999999</v>
      </c>
      <c r="J45">
        <f ca="1">IF(AND(ISNUMBER($J$150),$B$110=1),$J$150,HLOOKUP(INDIRECT(ADDRESS(2,COLUMN())),OFFSET($R$2,0,0,ROW()-1,12),ROW()-1,FALSE))</f>
        <v>411.19489340000001</v>
      </c>
      <c r="K45">
        <f ca="1">IF(AND(ISNUMBER($K$150),$B$110=1),$K$150,HLOOKUP(INDIRECT(ADDRESS(2,COLUMN())),OFFSET($R$2,0,0,ROW()-1,12),ROW()-1,FALSE))</f>
        <v>399.99252289999998</v>
      </c>
      <c r="L45">
        <f ca="1">IF(AND(ISNUMBER($L$150),$B$110=1),$L$150,HLOOKUP(INDIRECT(ADDRESS(2,COLUMN())),OFFSET($R$2,0,0,ROW()-1,12),ROW()-1,FALSE))</f>
        <v>395.26823630000001</v>
      </c>
      <c r="M45">
        <f ca="1">IF(AND(ISNUMBER($M$150),$B$110=1),$M$150,HLOOKUP(INDIRECT(ADDRESS(2,COLUMN())),OFFSET($R$2,0,0,ROW()-1,12),ROW()-1,FALSE))</f>
        <v>394.62824560000001</v>
      </c>
      <c r="N45">
        <f ca="1">IF(AND(ISNUMBER($N$150),$B$110=1),$N$150,HLOOKUP(INDIRECT(ADDRESS(2,COLUMN())),OFFSET($R$2,0,0,ROW()-1,12),ROW()-1,FALSE))</f>
        <v>381.80112759999997</v>
      </c>
      <c r="O45">
        <f ca="1">IF(AND(ISNUMBER($O$150),$B$110=1),$O$150,HLOOKUP(INDIRECT(ADDRESS(2,COLUMN())),OFFSET($R$2,0,0,ROW()-1,12),ROW()-1,FALSE))</f>
        <v>354.85445650000003</v>
      </c>
      <c r="P45">
        <f ca="1">IF(AND(ISNUMBER($P$150),$B$110=1),$P$150,HLOOKUP(INDIRECT(ADDRESS(2,COLUMN())),OFFSET($R$2,0,0,ROW()-1,12),ROW()-1,FALSE))</f>
        <v>320.4168785</v>
      </c>
      <c r="Q45">
        <f ca="1">IF(AND(ISNUMBER($Q$150),$B$110=1),$Q$150,HLOOKUP(INDIRECT(ADDRESS(2,COLUMN())),OFFSET($R$2,0,0,ROW()-1,12),ROW()-1,FALSE))</f>
        <v>365.63411819999999</v>
      </c>
      <c r="R45">
        <f>435.5031428</f>
        <v>435.50314279999998</v>
      </c>
      <c r="S45">
        <f>421.2707176</f>
        <v>421.27071760000001</v>
      </c>
      <c r="T45">
        <f>399.2299662</f>
        <v>399.22996619999998</v>
      </c>
      <c r="U45">
        <f>403.4680886</f>
        <v>403.46808859999999</v>
      </c>
      <c r="V45">
        <f>411.1948934</f>
        <v>411.19489340000001</v>
      </c>
      <c r="W45">
        <f>399.9925229</f>
        <v>399.99252289999998</v>
      </c>
      <c r="X45">
        <f>395.2682363</f>
        <v>395.26823630000001</v>
      </c>
      <c r="Y45">
        <f>394.6282456</f>
        <v>394.62824560000001</v>
      </c>
      <c r="Z45">
        <f>381.8011276</f>
        <v>381.80112759999997</v>
      </c>
      <c r="AA45">
        <f>354.8544565</f>
        <v>354.85445650000003</v>
      </c>
      <c r="AB45">
        <f>320.4168785</f>
        <v>320.4168785</v>
      </c>
      <c r="AC45">
        <f>365.6341182</f>
        <v>365.63411819999999</v>
      </c>
    </row>
    <row r="46" spans="1:29" x14ac:dyDescent="0.25">
      <c r="A46" t="str">
        <f>"    Cognizant Technology Solutions Corp"</f>
        <v xml:space="preserve">    Cognizant Technology Solutions Corp</v>
      </c>
      <c r="B46" t="str">
        <f>"CTSH US Equity"</f>
        <v>CTSH US Equity</v>
      </c>
      <c r="C46" t="str">
        <f t="shared" si="6"/>
        <v>RR009</v>
      </c>
      <c r="D46" t="str">
        <f t="shared" si="7"/>
        <v>EBITDA</v>
      </c>
      <c r="E46" t="str">
        <f t="shared" si="8"/>
        <v>Dynamic</v>
      </c>
      <c r="F46">
        <f ca="1">IF(AND(ISNUMBER($F$151),$B$110=1),$F$151,HLOOKUP(INDIRECT(ADDRESS(2,COLUMN())),OFFSET($R$2,0,0,ROW()-1,12),ROW()-1,FALSE))</f>
        <v>715</v>
      </c>
      <c r="G46">
        <f ca="1">IF(AND(ISNUMBER($G$151),$B$110=1),$G$151,HLOOKUP(INDIRECT(ADDRESS(2,COLUMN())),OFFSET($R$2,0,0,ROW()-1,12),ROW()-1,FALSE))</f>
        <v>818</v>
      </c>
      <c r="H46">
        <f ca="1">IF(AND(ISNUMBER($H$151),$B$110=1),$H$151,HLOOKUP(INDIRECT(ADDRESS(2,COLUMN())),OFFSET($R$2,0,0,ROW()-1,12),ROW()-1,FALSE))</f>
        <v>859</v>
      </c>
      <c r="I46">
        <f ca="1">IF(AND(ISNUMBER($I$151),$B$110=1),$I$151,HLOOKUP(INDIRECT(ADDRESS(2,COLUMN())),OFFSET($R$2,0,0,ROW()-1,12),ROW()-1,FALSE))</f>
        <v>816</v>
      </c>
      <c r="J46">
        <f ca="1">IF(AND(ISNUMBER($J$151),$B$110=1),$J$151,HLOOKUP(INDIRECT(ADDRESS(2,COLUMN())),OFFSET($R$2,0,0,ROW()-1,12),ROW()-1,FALSE))</f>
        <v>672</v>
      </c>
      <c r="K46">
        <f ca="1">IF(AND(ISNUMBER($K$151),$B$110=1),$K$151,HLOOKUP(INDIRECT(ADDRESS(2,COLUMN())),OFFSET($R$2,0,0,ROW()-1,12),ROW()-1,FALSE))</f>
        <v>824</v>
      </c>
      <c r="L46">
        <f ca="1">IF(AND(ISNUMBER($L$151),$B$110=1),$L$151,HLOOKUP(INDIRECT(ADDRESS(2,COLUMN())),OFFSET($R$2,0,0,ROW()-1,12),ROW()-1,FALSE))</f>
        <v>872</v>
      </c>
      <c r="M46">
        <f ca="1">IF(AND(ISNUMBER($M$151),$B$110=1),$M$151,HLOOKUP(INDIRECT(ADDRESS(2,COLUMN())),OFFSET($R$2,0,0,ROW()-1,12),ROW()-1,FALSE))</f>
        <v>793</v>
      </c>
      <c r="N46">
        <f ca="1">IF(AND(ISNUMBER($N$151),$B$110=1),$N$151,HLOOKUP(INDIRECT(ADDRESS(2,COLUMN())),OFFSET($R$2,0,0,ROW()-1,12),ROW()-1,FALSE))</f>
        <v>810</v>
      </c>
      <c r="O46">
        <f ca="1">IF(AND(ISNUMBER($O$151),$B$110=1),$O$151,HLOOKUP(INDIRECT(ADDRESS(2,COLUMN())),OFFSET($R$2,0,0,ROW()-1,12),ROW()-1,FALSE))</f>
        <v>779</v>
      </c>
      <c r="P46">
        <f ca="1">IF(AND(ISNUMBER($P$151),$B$110=1),$P$151,HLOOKUP(INDIRECT(ADDRESS(2,COLUMN())),OFFSET($R$2,0,0,ROW()-1,12),ROW()-1,FALSE))</f>
        <v>762</v>
      </c>
      <c r="Q46">
        <f ca="1">IF(AND(ISNUMBER($Q$151),$B$110=1),$Q$151,HLOOKUP(INDIRECT(ADDRESS(2,COLUMN())),OFFSET($R$2,0,0,ROW()-1,12),ROW()-1,FALSE))</f>
        <v>813</v>
      </c>
      <c r="R46">
        <f>715</f>
        <v>715</v>
      </c>
      <c r="S46">
        <f>818</f>
        <v>818</v>
      </c>
      <c r="T46">
        <f>859</f>
        <v>859</v>
      </c>
      <c r="U46">
        <f>816</f>
        <v>816</v>
      </c>
      <c r="V46">
        <f>672</f>
        <v>672</v>
      </c>
      <c r="W46">
        <f>824</f>
        <v>824</v>
      </c>
      <c r="X46">
        <f>872</f>
        <v>872</v>
      </c>
      <c r="Y46">
        <f>793</f>
        <v>793</v>
      </c>
      <c r="Z46">
        <f>810</f>
        <v>810</v>
      </c>
      <c r="AA46">
        <f>779</f>
        <v>779</v>
      </c>
      <c r="AB46">
        <f>762</f>
        <v>762</v>
      </c>
      <c r="AC46">
        <f>813</f>
        <v>813</v>
      </c>
    </row>
    <row r="47" spans="1:29" x14ac:dyDescent="0.25">
      <c r="A47" t="str">
        <f>"    Conduent Inc"</f>
        <v xml:space="preserve">    Conduent Inc</v>
      </c>
      <c r="B47" t="str">
        <f>"CNDT US Equity"</f>
        <v>CNDT US Equity</v>
      </c>
      <c r="C47" t="str">
        <f t="shared" si="6"/>
        <v>RR009</v>
      </c>
      <c r="D47" t="str">
        <f t="shared" si="7"/>
        <v>EBITDA</v>
      </c>
      <c r="E47" t="str">
        <f t="shared" si="8"/>
        <v>Dynamic</v>
      </c>
      <c r="F47">
        <f ca="1">IF(AND(ISNUMBER($F$152),$B$110=1),$F$152,HLOOKUP(INDIRECT(ADDRESS(2,COLUMN())),OFFSET($R$2,0,0,ROW()-1,12),ROW()-1,FALSE))</f>
        <v>83</v>
      </c>
      <c r="G47">
        <f ca="1">IF(AND(ISNUMBER($G$152),$B$110=1),$G$152,HLOOKUP(INDIRECT(ADDRESS(2,COLUMN())),OFFSET($R$2,0,0,ROW()-1,12),ROW()-1,FALSE))</f>
        <v>-503</v>
      </c>
      <c r="H47">
        <f ca="1">IF(AND(ISNUMBER($H$152),$B$110=1),$H$152,HLOOKUP(INDIRECT(ADDRESS(2,COLUMN())),OFFSET($R$2,0,0,ROW()-1,12),ROW()-1,FALSE))</f>
        <v>119</v>
      </c>
      <c r="I47">
        <f ca="1">IF(AND(ISNUMBER($I$152),$B$110=1),$I$152,HLOOKUP(INDIRECT(ADDRESS(2,COLUMN())),OFFSET($R$2,0,0,ROW()-1,12),ROW()-1,FALSE))</f>
        <v>-987</v>
      </c>
      <c r="J47">
        <f ca="1">IF(AND(ISNUMBER($J$152),$B$110=1),$J$152,HLOOKUP(INDIRECT(ADDRESS(2,COLUMN())),OFFSET($R$2,0,0,ROW()-1,12),ROW()-1,FALSE))</f>
        <v>-205</v>
      </c>
      <c r="K47">
        <f ca="1">IF(AND(ISNUMBER($K$152),$B$110=1),$K$152,HLOOKUP(INDIRECT(ADDRESS(2,COLUMN())),OFFSET($R$2,0,0,ROW()-1,12),ROW()-1,FALSE))</f>
        <v>-4</v>
      </c>
      <c r="L47">
        <f ca="1">IF(AND(ISNUMBER($L$152),$B$110=1),$L$152,HLOOKUP(INDIRECT(ADDRESS(2,COLUMN())),OFFSET($R$2,0,0,ROW()-1,12),ROW()-1,FALSE))</f>
        <v>-117</v>
      </c>
      <c r="M47">
        <f ca="1">IF(AND(ISNUMBER($M$152),$B$110=1),$M$152,HLOOKUP(INDIRECT(ADDRESS(2,COLUMN())),OFFSET($R$2,0,0,ROW()-1,12),ROW()-1,FALSE))</f>
        <v>204</v>
      </c>
      <c r="N47">
        <f ca="1">IF(AND(ISNUMBER($N$152),$B$110=1),$N$152,HLOOKUP(INDIRECT(ADDRESS(2,COLUMN())),OFFSET($R$2,0,0,ROW()-1,12),ROW()-1,FALSE))</f>
        <v>95</v>
      </c>
      <c r="O47">
        <f ca="1">IF(AND(ISNUMBER($O$152),$B$110=1),$O$152,HLOOKUP(INDIRECT(ADDRESS(2,COLUMN())),OFFSET($R$2,0,0,ROW()-1,12),ROW()-1,FALSE))</f>
        <v>156</v>
      </c>
      <c r="P47">
        <f ca="1">IF(AND(ISNUMBER($P$152),$B$110=1),$P$152,HLOOKUP(INDIRECT(ADDRESS(2,COLUMN())),OFFSET($R$2,0,0,ROW()-1,12),ROW()-1,FALSE))</f>
        <v>171</v>
      </c>
      <c r="Q47">
        <f ca="1">IF(AND(ISNUMBER($Q$152),$B$110=1),$Q$152,HLOOKUP(INDIRECT(ADDRESS(2,COLUMN())),OFFSET($R$2,0,0,ROW()-1,12),ROW()-1,FALSE))</f>
        <v>143</v>
      </c>
      <c r="R47">
        <f>83</f>
        <v>83</v>
      </c>
      <c r="S47">
        <f>-503</f>
        <v>-503</v>
      </c>
      <c r="T47">
        <f>119</f>
        <v>119</v>
      </c>
      <c r="U47">
        <f>-987</f>
        <v>-987</v>
      </c>
      <c r="V47">
        <f>-205</f>
        <v>-205</v>
      </c>
      <c r="W47">
        <f>-4</f>
        <v>-4</v>
      </c>
      <c r="X47">
        <f>-117</f>
        <v>-117</v>
      </c>
      <c r="Y47">
        <f>204</f>
        <v>204</v>
      </c>
      <c r="Z47">
        <f>95</f>
        <v>95</v>
      </c>
      <c r="AA47">
        <f>156</f>
        <v>156</v>
      </c>
      <c r="AB47">
        <f>171</f>
        <v>171</v>
      </c>
      <c r="AC47">
        <f>143</f>
        <v>143</v>
      </c>
    </row>
    <row r="48" spans="1:29" x14ac:dyDescent="0.25">
      <c r="A48" t="str">
        <f>"    DXC Technology Co"</f>
        <v xml:space="preserve">    DXC Technology Co</v>
      </c>
      <c r="B48" t="str">
        <f>"DXC US Equity"</f>
        <v>DXC US Equity</v>
      </c>
      <c r="C48" t="str">
        <f t="shared" si="6"/>
        <v>RR009</v>
      </c>
      <c r="D48" t="str">
        <f t="shared" si="7"/>
        <v>EBITDA</v>
      </c>
      <c r="E48" t="str">
        <f t="shared" si="8"/>
        <v>Dynamic</v>
      </c>
      <c r="F48">
        <f ca="1">IF(AND(ISNUMBER($F$153),$B$110=1),$F$153,HLOOKUP(INDIRECT(ADDRESS(2,COLUMN())),OFFSET($R$2,0,0,ROW()-1,12),ROW()-1,FALSE))</f>
        <v>-3172</v>
      </c>
      <c r="G48">
        <f ca="1">IF(AND(ISNUMBER($G$153),$B$110=1),$G$153,HLOOKUP(INDIRECT(ADDRESS(2,COLUMN())),OFFSET($R$2,0,0,ROW()-1,12),ROW()-1,FALSE))</f>
        <v>710</v>
      </c>
      <c r="H48">
        <f ca="1">IF(AND(ISNUMBER($H$153),$B$110=1),$H$153,HLOOKUP(INDIRECT(ADDRESS(2,COLUMN())),OFFSET($R$2,0,0,ROW()-1,12),ROW()-1,FALSE))</f>
        <v>-1445</v>
      </c>
      <c r="I48">
        <f ca="1">IF(AND(ISNUMBER($I$153),$B$110=1),$I$153,HLOOKUP(INDIRECT(ADDRESS(2,COLUMN())),OFFSET($R$2,0,0,ROW()-1,12),ROW()-1,FALSE))</f>
        <v>790</v>
      </c>
      <c r="J48">
        <f ca="1">IF(AND(ISNUMBER($J$153),$B$110=1),$J$153,HLOOKUP(INDIRECT(ADDRESS(2,COLUMN())),OFFSET($R$2,0,0,ROW()-1,12),ROW()-1,FALSE))</f>
        <v>912</v>
      </c>
      <c r="K48">
        <f ca="1">IF(AND(ISNUMBER($K$153),$B$110=1),$K$153,HLOOKUP(INDIRECT(ADDRESS(2,COLUMN())),OFFSET($R$2,0,0,ROW()-1,12),ROW()-1,FALSE))</f>
        <v>890</v>
      </c>
      <c r="L48">
        <f ca="1">IF(AND(ISNUMBER($L$153),$B$110=1),$L$153,HLOOKUP(INDIRECT(ADDRESS(2,COLUMN())),OFFSET($R$2,0,0,ROW()-1,12),ROW()-1,FALSE))</f>
        <v>778</v>
      </c>
      <c r="M48">
        <f ca="1">IF(AND(ISNUMBER($M$153),$B$110=1),$M$153,HLOOKUP(INDIRECT(ADDRESS(2,COLUMN())),OFFSET($R$2,0,0,ROW()-1,12),ROW()-1,FALSE))</f>
        <v>828</v>
      </c>
      <c r="N48">
        <f ca="1">IF(AND(ISNUMBER($N$153),$B$110=1),$N$153,HLOOKUP(INDIRECT(ADDRESS(2,COLUMN())),OFFSET($R$2,0,0,ROW()-1,12),ROW()-1,FALSE))</f>
        <v>1285</v>
      </c>
      <c r="O48">
        <f ca="1">IF(AND(ISNUMBER($O$153),$B$110=1),$O$153,HLOOKUP(INDIRECT(ADDRESS(2,COLUMN())),OFFSET($R$2,0,0,ROW()-1,12),ROW()-1,FALSE))</f>
        <v>795</v>
      </c>
      <c r="P48">
        <f ca="1">IF(AND(ISNUMBER($P$153),$B$110=1),$P$153,HLOOKUP(INDIRECT(ADDRESS(2,COLUMN())),OFFSET($R$2,0,0,ROW()-1,12),ROW()-1,FALSE))</f>
        <v>1173</v>
      </c>
      <c r="Q48">
        <f ca="1">IF(AND(ISNUMBER($Q$153),$B$110=1),$Q$153,HLOOKUP(INDIRECT(ADDRESS(2,COLUMN())),OFFSET($R$2,0,0,ROW()-1,12),ROW()-1,FALSE))</f>
        <v>368</v>
      </c>
      <c r="R48">
        <f>-3172</f>
        <v>-3172</v>
      </c>
      <c r="S48">
        <f>710</f>
        <v>710</v>
      </c>
      <c r="T48">
        <f>-1445</f>
        <v>-1445</v>
      </c>
      <c r="U48">
        <f>790</f>
        <v>790</v>
      </c>
      <c r="V48">
        <f>912</f>
        <v>912</v>
      </c>
      <c r="W48">
        <f>890</f>
        <v>890</v>
      </c>
      <c r="X48">
        <f>778</f>
        <v>778</v>
      </c>
      <c r="Y48">
        <f>828</f>
        <v>828</v>
      </c>
      <c r="Z48">
        <f>1285</f>
        <v>1285</v>
      </c>
      <c r="AA48">
        <f>795</f>
        <v>795</v>
      </c>
      <c r="AB48">
        <f>1173</f>
        <v>1173</v>
      </c>
      <c r="AC48">
        <f>368</f>
        <v>368</v>
      </c>
    </row>
    <row r="49" spans="1:29" x14ac:dyDescent="0.25">
      <c r="A49" t="str">
        <f>"    EPAM Systems Inc"</f>
        <v xml:space="preserve">    EPAM Systems Inc</v>
      </c>
      <c r="B49" t="str">
        <f>"EPAM US Equity"</f>
        <v>EPAM US Equity</v>
      </c>
      <c r="C49" t="str">
        <f t="shared" si="6"/>
        <v>RR009</v>
      </c>
      <c r="D49" t="str">
        <f t="shared" si="7"/>
        <v>EBITDA</v>
      </c>
      <c r="E49" t="str">
        <f t="shared" si="8"/>
        <v>Dynamic</v>
      </c>
      <c r="F49">
        <f ca="1">IF(AND(ISNUMBER($F$154),$B$110=1),$F$154,HLOOKUP(INDIRECT(ADDRESS(2,COLUMN())),OFFSET($R$2,0,0,ROW()-1,12),ROW()-1,FALSE))</f>
        <v>121.312</v>
      </c>
      <c r="G49">
        <f ca="1">IF(AND(ISNUMBER($G$154),$B$110=1),$G$154,HLOOKUP(INDIRECT(ADDRESS(2,COLUMN())),OFFSET($R$2,0,0,ROW()-1,12),ROW()-1,FALSE))</f>
        <v>115.322</v>
      </c>
      <c r="H49">
        <f ca="1">IF(AND(ISNUMBER($H$154),$B$110=1),$H$154,HLOOKUP(INDIRECT(ADDRESS(2,COLUMN())),OFFSET($R$2,0,0,ROW()-1,12),ROW()-1,FALSE))</f>
        <v>107.238</v>
      </c>
      <c r="I49">
        <f ca="1">IF(AND(ISNUMBER($I$154),$B$110=1),$I$154,HLOOKUP(INDIRECT(ADDRESS(2,COLUMN())),OFFSET($R$2,0,0,ROW()-1,12),ROW()-1,FALSE))</f>
        <v>98.629000000000005</v>
      </c>
      <c r="J49">
        <f ca="1">IF(AND(ISNUMBER($J$154),$B$110=1),$J$154,HLOOKUP(INDIRECT(ADDRESS(2,COLUMN())),OFFSET($R$2,0,0,ROW()-1,12),ROW()-1,FALSE))</f>
        <v>88.122</v>
      </c>
      <c r="K49">
        <f ca="1">IF(AND(ISNUMBER($K$154),$B$110=1),$K$154,HLOOKUP(INDIRECT(ADDRESS(2,COLUMN())),OFFSET($R$2,0,0,ROW()-1,12),ROW()-1,FALSE))</f>
        <v>88.453000000000003</v>
      </c>
      <c r="L49">
        <f ca="1">IF(AND(ISNUMBER($L$154),$B$110=1),$L$154,HLOOKUP(INDIRECT(ADDRESS(2,COLUMN())),OFFSET($R$2,0,0,ROW()-1,12),ROW()-1,FALSE))</f>
        <v>73.879000000000005</v>
      </c>
      <c r="M49">
        <f ca="1">IF(AND(ISNUMBER($M$154),$B$110=1),$M$154,HLOOKUP(INDIRECT(ADDRESS(2,COLUMN())),OFFSET($R$2,0,0,ROW()-1,12),ROW()-1,FALSE))</f>
        <v>63.198999999999998</v>
      </c>
      <c r="N49">
        <f ca="1">IF(AND(ISNUMBER($N$154),$B$110=1),$N$154,HLOOKUP(INDIRECT(ADDRESS(2,COLUMN())),OFFSET($R$2,0,0,ROW()-1,12),ROW()-1,FALSE))</f>
        <v>56.872999999999998</v>
      </c>
      <c r="O49">
        <f ca="1">IF(AND(ISNUMBER($O$154),$B$110=1),$O$154,HLOOKUP(INDIRECT(ADDRESS(2,COLUMN())),OFFSET($R$2,0,0,ROW()-1,12),ROW()-1,FALSE))</f>
        <v>59.746000000000002</v>
      </c>
      <c r="P49">
        <f ca="1">IF(AND(ISNUMBER($P$154),$B$110=1),$P$154,HLOOKUP(INDIRECT(ADDRESS(2,COLUMN())),OFFSET($R$2,0,0,ROW()-1,12),ROW()-1,FALSE))</f>
        <v>56.421999999999997</v>
      </c>
      <c r="Q49">
        <f ca="1">IF(AND(ISNUMBER($Q$154),$B$110=1),$Q$154,HLOOKUP(INDIRECT(ADDRESS(2,COLUMN())),OFFSET($R$2,0,0,ROW()-1,12),ROW()-1,FALSE))</f>
        <v>47.701999999999998</v>
      </c>
      <c r="R49">
        <f>121.312</f>
        <v>121.312</v>
      </c>
      <c r="S49">
        <f>115.322</f>
        <v>115.322</v>
      </c>
      <c r="T49">
        <f>107.238</f>
        <v>107.238</v>
      </c>
      <c r="U49">
        <f>98.629</f>
        <v>98.629000000000005</v>
      </c>
      <c r="V49">
        <f>88.122</f>
        <v>88.122</v>
      </c>
      <c r="W49">
        <f>88.453</f>
        <v>88.453000000000003</v>
      </c>
      <c r="X49">
        <f>73.879</f>
        <v>73.879000000000005</v>
      </c>
      <c r="Y49">
        <f>63.199</f>
        <v>63.198999999999998</v>
      </c>
      <c r="Z49">
        <f>56.873</f>
        <v>56.872999999999998</v>
      </c>
      <c r="AA49">
        <f>59.746</f>
        <v>59.746000000000002</v>
      </c>
      <c r="AB49">
        <f>56.422</f>
        <v>56.421999999999997</v>
      </c>
      <c r="AC49">
        <f>47.702</f>
        <v>47.701999999999998</v>
      </c>
    </row>
    <row r="50" spans="1:29" x14ac:dyDescent="0.25">
      <c r="A50" t="str">
        <f>"    Genpact Ltd"</f>
        <v xml:space="preserve">    Genpact Ltd</v>
      </c>
      <c r="B50" t="str">
        <f>"G US Equity"</f>
        <v>G US Equity</v>
      </c>
      <c r="C50" t="str">
        <f t="shared" si="6"/>
        <v>RR009</v>
      </c>
      <c r="D50" t="str">
        <f t="shared" si="7"/>
        <v>EBITDA</v>
      </c>
      <c r="E50" t="str">
        <f t="shared" si="8"/>
        <v>Dynamic</v>
      </c>
      <c r="F50">
        <f ca="1">IF(AND(ISNUMBER($F$155),$B$110=1),$F$155,HLOOKUP(INDIRECT(ADDRESS(2,COLUMN())),OFFSET($R$2,0,0,ROW()-1,12),ROW()-1,FALSE))</f>
        <v>149.893</v>
      </c>
      <c r="G50">
        <f ca="1">IF(AND(ISNUMBER($G$155),$B$110=1),$G$155,HLOOKUP(INDIRECT(ADDRESS(2,COLUMN())),OFFSET($R$2,0,0,ROW()-1,12),ROW()-1,FALSE))</f>
        <v>178.33</v>
      </c>
      <c r="H50">
        <f ca="1">IF(AND(ISNUMBER($H$155),$B$110=1),$H$155,HLOOKUP(INDIRECT(ADDRESS(2,COLUMN())),OFFSET($R$2,0,0,ROW()-1,12),ROW()-1,FALSE))</f>
        <v>163.58000000000001</v>
      </c>
      <c r="I50">
        <f ca="1">IF(AND(ISNUMBER($I$155),$B$110=1),$I$155,HLOOKUP(INDIRECT(ADDRESS(2,COLUMN())),OFFSET($R$2,0,0,ROW()-1,12),ROW()-1,FALSE))</f>
        <v>156.006</v>
      </c>
      <c r="J50">
        <f ca="1">IF(AND(ISNUMBER($J$155),$B$110=1),$J$155,HLOOKUP(INDIRECT(ADDRESS(2,COLUMN())),OFFSET($R$2,0,0,ROW()-1,12),ROW()-1,FALSE))</f>
        <v>134.60900000000001</v>
      </c>
      <c r="K50">
        <f ca="1">IF(AND(ISNUMBER($K$155),$B$110=1),$K$155,HLOOKUP(INDIRECT(ADDRESS(2,COLUMN())),OFFSET($R$2,0,0,ROW()-1,12),ROW()-1,FALSE))</f>
        <v>137.81299999999999</v>
      </c>
      <c r="L50">
        <f ca="1">IF(AND(ISNUMBER($L$155),$B$110=1),$L$155,HLOOKUP(INDIRECT(ADDRESS(2,COLUMN())),OFFSET($R$2,0,0,ROW()-1,12),ROW()-1,FALSE))</f>
        <v>119.399</v>
      </c>
      <c r="M50">
        <f ca="1">IF(AND(ISNUMBER($M$155),$B$110=1),$M$155,HLOOKUP(INDIRECT(ADDRESS(2,COLUMN())),OFFSET($R$2,0,0,ROW()-1,12),ROW()-1,FALSE))</f>
        <v>105.125</v>
      </c>
      <c r="N50">
        <f ca="1">IF(AND(ISNUMBER($N$155),$B$110=1),$N$155,HLOOKUP(INDIRECT(ADDRESS(2,COLUMN())),OFFSET($R$2,0,0,ROW()-1,12),ROW()-1,FALSE))</f>
        <v>89.533000000000001</v>
      </c>
      <c r="O50">
        <f ca="1">IF(AND(ISNUMBER($O$155),$B$110=1),$O$155,HLOOKUP(INDIRECT(ADDRESS(2,COLUMN())),OFFSET($R$2,0,0,ROW()-1,12),ROW()-1,FALSE))</f>
        <v>100.169</v>
      </c>
      <c r="P50">
        <f ca="1">IF(AND(ISNUMBER($P$155),$B$110=1),$P$155,HLOOKUP(INDIRECT(ADDRESS(2,COLUMN())),OFFSET($R$2,0,0,ROW()-1,12),ROW()-1,FALSE))</f>
        <v>123.029</v>
      </c>
      <c r="Q50">
        <f ca="1">IF(AND(ISNUMBER($Q$155),$B$110=1),$Q$155,HLOOKUP(INDIRECT(ADDRESS(2,COLUMN())),OFFSET($R$2,0,0,ROW()-1,12),ROW()-1,FALSE))</f>
        <v>102.51900000000001</v>
      </c>
      <c r="R50">
        <f>149.893</f>
        <v>149.893</v>
      </c>
      <c r="S50">
        <f>178.33</f>
        <v>178.33</v>
      </c>
      <c r="T50">
        <f>163.58</f>
        <v>163.58000000000001</v>
      </c>
      <c r="U50">
        <f>156.006</f>
        <v>156.006</v>
      </c>
      <c r="V50">
        <f>134.609</f>
        <v>134.60900000000001</v>
      </c>
      <c r="W50">
        <f>137.813</f>
        <v>137.81299999999999</v>
      </c>
      <c r="X50">
        <f>119.399</f>
        <v>119.399</v>
      </c>
      <c r="Y50">
        <f>105.125</f>
        <v>105.125</v>
      </c>
      <c r="Z50">
        <f>89.533</f>
        <v>89.533000000000001</v>
      </c>
      <c r="AA50">
        <f>100.169</f>
        <v>100.169</v>
      </c>
      <c r="AB50">
        <f>123.029</f>
        <v>123.029</v>
      </c>
      <c r="AC50">
        <f>102.519</f>
        <v>102.51900000000001</v>
      </c>
    </row>
    <row r="51" spans="1:29" x14ac:dyDescent="0.25">
      <c r="A51" t="str">
        <f>"    HCL Technologies Ltd"</f>
        <v xml:space="preserve">    HCL Technologies Ltd</v>
      </c>
      <c r="B51" t="str">
        <f>"HCLT IN Equity"</f>
        <v>HCLT IN Equity</v>
      </c>
      <c r="C51" t="str">
        <f t="shared" si="6"/>
        <v>RR009</v>
      </c>
      <c r="D51" t="str">
        <f t="shared" si="7"/>
        <v>EBITDA</v>
      </c>
      <c r="E51" t="str">
        <f t="shared" si="8"/>
        <v>Dynamic</v>
      </c>
      <c r="F51">
        <f ca="1">IF(AND(ISNUMBER($F$156),$B$110=1),$F$156,HLOOKUP(INDIRECT(ADDRESS(2,COLUMN())),OFFSET($R$2,0,0,ROW()-1,12),ROW()-1,FALSE))</f>
        <v>646.20000000000005</v>
      </c>
      <c r="G51">
        <f ca="1">IF(AND(ISNUMBER($G$156),$B$110=1),$G$156,HLOOKUP(INDIRECT(ADDRESS(2,COLUMN())),OFFSET($R$2,0,0,ROW()-1,12),ROW()-1,FALSE))</f>
        <v>627.1</v>
      </c>
      <c r="H51">
        <f ca="1">IF(AND(ISNUMBER($H$156),$B$110=1),$H$156,HLOOKUP(INDIRECT(ADDRESS(2,COLUMN())),OFFSET($R$2,0,0,ROW()-1,12),ROW()-1,FALSE))</f>
        <v>582</v>
      </c>
      <c r="I51">
        <f ca="1">IF(AND(ISNUMBER($I$156),$B$110=1),$I$156,HLOOKUP(INDIRECT(ADDRESS(2,COLUMN())),OFFSET($R$2,0,0,ROW()-1,12),ROW()-1,FALSE))</f>
        <v>489.4</v>
      </c>
      <c r="J51">
        <f ca="1">IF(AND(ISNUMBER($J$156),$B$110=1),$J$156,HLOOKUP(INDIRECT(ADDRESS(2,COLUMN())),OFFSET($R$2,0,0,ROW()-1,12),ROW()-1,FALSE))</f>
        <v>510.6</v>
      </c>
      <c r="K51">
        <f ca="1">IF(AND(ISNUMBER($K$156),$B$110=1),$K$156,HLOOKUP(INDIRECT(ADDRESS(2,COLUMN())),OFFSET($R$2,0,0,ROW()-1,12),ROW()-1,FALSE))</f>
        <v>509.3</v>
      </c>
      <c r="L51">
        <f ca="1">IF(AND(ISNUMBER($L$156),$B$110=1),$L$156,HLOOKUP(INDIRECT(ADDRESS(2,COLUMN())),OFFSET($R$2,0,0,ROW()-1,12),ROW()-1,FALSE))</f>
        <v>492.5</v>
      </c>
      <c r="M51">
        <f ca="1">IF(AND(ISNUMBER($M$156),$B$110=1),$M$156,HLOOKUP(INDIRECT(ADDRESS(2,COLUMN())),OFFSET($R$2,0,0,ROW()-1,12),ROW()-1,FALSE))</f>
        <v>477.6</v>
      </c>
      <c r="N51">
        <f ca="1">IF(AND(ISNUMBER($N$156),$B$110=1),$N$156,HLOOKUP(INDIRECT(ADDRESS(2,COLUMN())),OFFSET($R$2,0,0,ROW()-1,12),ROW()-1,FALSE))</f>
        <v>469.44451409999999</v>
      </c>
      <c r="O51">
        <f ca="1">IF(AND(ISNUMBER($O$156),$B$110=1),$O$156,HLOOKUP(INDIRECT(ADDRESS(2,COLUMN())),OFFSET($R$2,0,0,ROW()-1,12),ROW()-1,FALSE))</f>
        <v>459.9</v>
      </c>
      <c r="P51">
        <f ca="1">IF(AND(ISNUMBER($P$156),$B$110=1),$P$156,HLOOKUP(INDIRECT(ADDRESS(2,COLUMN())),OFFSET($R$2,0,0,ROW()-1,12),ROW()-1,FALSE))</f>
        <v>427.8</v>
      </c>
      <c r="Q51">
        <f ca="1">IF(AND(ISNUMBER($Q$156),$B$110=1),$Q$156,HLOOKUP(INDIRECT(ADDRESS(2,COLUMN())),OFFSET($R$2,0,0,ROW()-1,12),ROW()-1,FALSE))</f>
        <v>415.7</v>
      </c>
      <c r="R51">
        <f>646.2</f>
        <v>646.20000000000005</v>
      </c>
      <c r="S51">
        <f>627.1</f>
        <v>627.1</v>
      </c>
      <c r="T51">
        <f>582</f>
        <v>582</v>
      </c>
      <c r="U51">
        <f>489.4</f>
        <v>489.4</v>
      </c>
      <c r="V51">
        <f>510.6</f>
        <v>510.6</v>
      </c>
      <c r="W51">
        <f>509.3</f>
        <v>509.3</v>
      </c>
      <c r="X51">
        <f>492.5</f>
        <v>492.5</v>
      </c>
      <c r="Y51">
        <f>477.6</f>
        <v>477.6</v>
      </c>
      <c r="Z51">
        <f>469.4445141</f>
        <v>469.44451409999999</v>
      </c>
      <c r="AA51">
        <f>459.9</f>
        <v>459.9</v>
      </c>
      <c r="AB51">
        <f>427.8</f>
        <v>427.8</v>
      </c>
      <c r="AC51">
        <f>415.7</f>
        <v>415.7</v>
      </c>
    </row>
    <row r="52" spans="1:29" x14ac:dyDescent="0.25">
      <c r="A52" t="str">
        <f>"    Indra Sistemas SA"</f>
        <v xml:space="preserve">    Indra Sistemas SA</v>
      </c>
      <c r="B52" t="str">
        <f>"IDR SM Equity"</f>
        <v>IDR SM Equity</v>
      </c>
      <c r="C52" t="str">
        <f t="shared" si="6"/>
        <v>RR009</v>
      </c>
      <c r="D52" t="str">
        <f t="shared" si="7"/>
        <v>EBITDA</v>
      </c>
      <c r="E52" t="str">
        <f t="shared" si="8"/>
        <v>Dynamic</v>
      </c>
      <c r="F52">
        <f ca="1">IF(AND(ISNUMBER($F$157),$B$110=1),$F$157,HLOOKUP(INDIRECT(ADDRESS(2,COLUMN())),OFFSET($R$2,0,0,ROW()-1,12),ROW()-1,FALSE))</f>
        <v>56.007129740000003</v>
      </c>
      <c r="G52">
        <f ca="1">IF(AND(ISNUMBER($G$157),$B$110=1),$G$157,HLOOKUP(INDIRECT(ADDRESS(2,COLUMN())),OFFSET($R$2,0,0,ROW()-1,12),ROW()-1,FALSE))</f>
        <v>136.6839282</v>
      </c>
      <c r="H52">
        <f ca="1">IF(AND(ISNUMBER($H$157),$B$110=1),$H$157,HLOOKUP(INDIRECT(ADDRESS(2,COLUMN())),OFFSET($R$2,0,0,ROW()-1,12),ROW()-1,FALSE))</f>
        <v>89.851648159999996</v>
      </c>
      <c r="I52">
        <f ca="1">IF(AND(ISNUMBER($I$157),$B$110=1),$I$157,HLOOKUP(INDIRECT(ADDRESS(2,COLUMN())),OFFSET($R$2,0,0,ROW()-1,12),ROW()-1,FALSE))</f>
        <v>80.713244220000007</v>
      </c>
      <c r="J52">
        <f ca="1">IF(AND(ISNUMBER($J$157),$B$110=1),$J$157,HLOOKUP(INDIRECT(ADDRESS(2,COLUMN())),OFFSET($R$2,0,0,ROW()-1,12),ROW()-1,FALSE))</f>
        <v>79.723677519999995</v>
      </c>
      <c r="K52">
        <f ca="1">IF(AND(ISNUMBER($K$157),$B$110=1),$K$157,HLOOKUP(INDIRECT(ADDRESS(2,COLUMN())),OFFSET($R$2,0,0,ROW()-1,12),ROW()-1,FALSE))</f>
        <v>125.45003199999999</v>
      </c>
      <c r="L52">
        <f ca="1">IF(AND(ISNUMBER($L$157),$B$110=1),$L$157,HLOOKUP(INDIRECT(ADDRESS(2,COLUMN())),OFFSET($R$2,0,0,ROW()-1,12),ROW()-1,FALSE))</f>
        <v>77.447167620000002</v>
      </c>
      <c r="M52">
        <f ca="1">IF(AND(ISNUMBER($M$157),$B$110=1),$M$157,HLOOKUP(INDIRECT(ADDRESS(2,COLUMN())),OFFSET($R$2,0,0,ROW()-1,12),ROW()-1,FALSE))</f>
        <v>81.786623660000004</v>
      </c>
      <c r="N52">
        <f ca="1">IF(AND(ISNUMBER($N$157),$B$110=1),$N$157,HLOOKUP(INDIRECT(ADDRESS(2,COLUMN())),OFFSET($R$2,0,0,ROW()-1,12),ROW()-1,FALSE))</f>
        <v>58.86742718</v>
      </c>
      <c r="O52">
        <f ca="1">IF(AND(ISNUMBER($O$157),$B$110=1),$O$157,HLOOKUP(INDIRECT(ADDRESS(2,COLUMN())),OFFSET($R$2,0,0,ROW()-1,12),ROW()-1,FALSE))</f>
        <v>112.6553212</v>
      </c>
      <c r="P52">
        <f ca="1">IF(AND(ISNUMBER($P$157),$B$110=1),$P$157,HLOOKUP(INDIRECT(ADDRESS(2,COLUMN())),OFFSET($R$2,0,0,ROW()-1,12),ROW()-1,FALSE))</f>
        <v>73.779405710000006</v>
      </c>
      <c r="Q52">
        <f ca="1">IF(AND(ISNUMBER($Q$157),$B$110=1),$Q$157,HLOOKUP(INDIRECT(ADDRESS(2,COLUMN())),OFFSET($R$2,0,0,ROW()-1,12),ROW()-1,FALSE))</f>
        <v>66.103023019999995</v>
      </c>
      <c r="R52">
        <f>56.00712974</f>
        <v>56.007129740000003</v>
      </c>
      <c r="S52">
        <f>136.6839282</f>
        <v>136.6839282</v>
      </c>
      <c r="T52">
        <f>89.85164816</f>
        <v>89.851648159999996</v>
      </c>
      <c r="U52">
        <f>80.71324422</f>
        <v>80.713244220000007</v>
      </c>
      <c r="V52">
        <f>79.72367752</f>
        <v>79.723677519999995</v>
      </c>
      <c r="W52">
        <f>125.450032</f>
        <v>125.45003199999999</v>
      </c>
      <c r="X52">
        <f>77.44716762</f>
        <v>77.447167620000002</v>
      </c>
      <c r="Y52">
        <f>81.78662366</f>
        <v>81.786623660000004</v>
      </c>
      <c r="Z52">
        <f>58.86742718</f>
        <v>58.86742718</v>
      </c>
      <c r="AA52">
        <f>112.6553212</f>
        <v>112.6553212</v>
      </c>
      <c r="AB52">
        <f>73.77940571</f>
        <v>73.779405710000006</v>
      </c>
      <c r="AC52">
        <f>66.10302302</f>
        <v>66.103023019999995</v>
      </c>
    </row>
    <row r="53" spans="1:29" x14ac:dyDescent="0.25">
      <c r="A53" t="str">
        <f>"    Infosys Ltd"</f>
        <v xml:space="preserve">    Infosys Ltd</v>
      </c>
      <c r="B53" t="str">
        <f>"INFY US Equity"</f>
        <v>INFY US Equity</v>
      </c>
      <c r="C53" t="str">
        <f t="shared" si="6"/>
        <v>RR009</v>
      </c>
      <c r="D53" t="str">
        <f t="shared" si="7"/>
        <v>EBITDA</v>
      </c>
      <c r="E53" t="str">
        <f t="shared" si="8"/>
        <v>Dynamic</v>
      </c>
      <c r="F53">
        <f ca="1">IF(AND(ISNUMBER($F$158),$B$110=1),$F$158,HLOOKUP(INDIRECT(ADDRESS(2,COLUMN())),OFFSET($R$2,0,0,ROW()-1,12),ROW()-1,FALSE))</f>
        <v>783.54772300000002</v>
      </c>
      <c r="G53">
        <f ca="1">IF(AND(ISNUMBER($G$158),$B$110=1),$G$158,HLOOKUP(INDIRECT(ADDRESS(2,COLUMN())),OFFSET($R$2,0,0,ROW()-1,12),ROW()-1,FALSE))</f>
        <v>814.40826549999997</v>
      </c>
      <c r="H53">
        <f ca="1">IF(AND(ISNUMBER($H$158),$B$110=1),$H$158,HLOOKUP(INDIRECT(ADDRESS(2,COLUMN())),OFFSET($R$2,0,0,ROW()-1,12),ROW()-1,FALSE))</f>
        <v>801.35602589999996</v>
      </c>
      <c r="I53">
        <f ca="1">IF(AND(ISNUMBER($I$158),$B$110=1),$I$158,HLOOKUP(INDIRECT(ADDRESS(2,COLUMN())),OFFSET($R$2,0,0,ROW()-1,12),ROW()-1,FALSE))</f>
        <v>740.8766038</v>
      </c>
      <c r="J53">
        <f ca="1">IF(AND(ISNUMBER($J$158),$B$110=1),$J$158,HLOOKUP(INDIRECT(ADDRESS(2,COLUMN())),OFFSET($R$2,0,0,ROW()-1,12),ROW()-1,FALSE))</f>
        <v>730.8500808</v>
      </c>
      <c r="K53">
        <f ca="1">IF(AND(ISNUMBER($K$158),$B$110=1),$K$158,HLOOKUP(INDIRECT(ADDRESS(2,COLUMN())),OFFSET($R$2,0,0,ROW()-1,12),ROW()-1,FALSE))</f>
        <v>750.8181611</v>
      </c>
      <c r="L53">
        <f ca="1">IF(AND(ISNUMBER($L$158),$B$110=1),$L$158,HLOOKUP(INDIRECT(ADDRESS(2,COLUMN())),OFFSET($R$2,0,0,ROW()-1,12),ROW()-1,FALSE))</f>
        <v>764.74665379999999</v>
      </c>
      <c r="M53">
        <f ca="1">IF(AND(ISNUMBER($M$158),$B$110=1),$M$158,HLOOKUP(INDIRECT(ADDRESS(2,COLUMN())),OFFSET($R$2,0,0,ROW()-1,12),ROW()-1,FALSE))</f>
        <v>741.67371969999999</v>
      </c>
      <c r="N53">
        <f ca="1">IF(AND(ISNUMBER($N$158),$B$110=1),$N$158,HLOOKUP(INDIRECT(ADDRESS(2,COLUMN())),OFFSET($R$2,0,0,ROW()-1,12),ROW()-1,FALSE))</f>
        <v>765.99301760000003</v>
      </c>
      <c r="O53">
        <f ca="1">IF(AND(ISNUMBER($O$158),$B$110=1),$O$158,HLOOKUP(INDIRECT(ADDRESS(2,COLUMN())),OFFSET($R$2,0,0,ROW()-1,12),ROW()-1,FALSE))</f>
        <v>744.12696019999998</v>
      </c>
      <c r="P53">
        <f ca="1">IF(AND(ISNUMBER($P$158),$B$110=1),$P$158,HLOOKUP(INDIRECT(ADDRESS(2,COLUMN())),OFFSET($R$2,0,0,ROW()-1,12),ROW()-1,FALSE))</f>
        <v>731.44976159999999</v>
      </c>
      <c r="Q53">
        <f ca="1">IF(AND(ISNUMBER($Q$158),$B$110=1),$Q$158,HLOOKUP(INDIRECT(ADDRESS(2,COLUMN())),OFFSET($R$2,0,0,ROW()-1,12),ROW()-1,FALSE))</f>
        <v>707.26738950000004</v>
      </c>
      <c r="R53">
        <f>783.547723</f>
        <v>783.54772300000002</v>
      </c>
      <c r="S53">
        <f>814.4082655</f>
        <v>814.40826549999997</v>
      </c>
      <c r="T53">
        <f>801.3560259</f>
        <v>801.35602589999996</v>
      </c>
      <c r="U53">
        <f>740.8766038</f>
        <v>740.8766038</v>
      </c>
      <c r="V53">
        <f>730.8500808</f>
        <v>730.8500808</v>
      </c>
      <c r="W53">
        <f>750.8181611</f>
        <v>750.8181611</v>
      </c>
      <c r="X53">
        <f>764.7466538</f>
        <v>764.74665379999999</v>
      </c>
      <c r="Y53">
        <f>741.6737197</f>
        <v>741.67371969999999</v>
      </c>
      <c r="Z53">
        <f>765.9930176</f>
        <v>765.99301760000003</v>
      </c>
      <c r="AA53">
        <f>744.1269602</f>
        <v>744.12696019999998</v>
      </c>
      <c r="AB53">
        <f>731.4497616</f>
        <v>731.44976159999999</v>
      </c>
      <c r="AC53">
        <f>707.2673895</f>
        <v>707.26738950000004</v>
      </c>
    </row>
    <row r="54" spans="1:29" x14ac:dyDescent="0.25">
      <c r="A54" t="str">
        <f>"    International Business Machines Corp"</f>
        <v xml:space="preserve">    International Business Machines Corp</v>
      </c>
      <c r="B54" t="str">
        <f>"IBM US Equity"</f>
        <v>IBM US Equity</v>
      </c>
      <c r="C54" t="str">
        <f t="shared" si="6"/>
        <v>RR009</v>
      </c>
      <c r="D54" t="str">
        <f t="shared" si="7"/>
        <v>EBITDA</v>
      </c>
      <c r="E54" t="str">
        <f t="shared" si="8"/>
        <v>Dynamic</v>
      </c>
      <c r="F54">
        <f ca="1">IF(AND(ISNUMBER($F$159),$B$110=1),$F$159,HLOOKUP(INDIRECT(ADDRESS(2,COLUMN())),OFFSET($R$2,0,0,ROW()-1,12),ROW()-1,FALSE))</f>
        <v>1977</v>
      </c>
      <c r="G54">
        <f ca="1">IF(AND(ISNUMBER($G$159),$B$110=1),$G$159,HLOOKUP(INDIRECT(ADDRESS(2,COLUMN())),OFFSET($R$2,0,0,ROW()-1,12),ROW()-1,FALSE))</f>
        <v>6117</v>
      </c>
      <c r="H54">
        <f ca="1">IF(AND(ISNUMBER($H$159),$B$110=1),$H$159,HLOOKUP(INDIRECT(ADDRESS(2,COLUMN())),OFFSET($R$2,0,0,ROW()-1,12),ROW()-1,FALSE))</f>
        <v>3844</v>
      </c>
      <c r="I54">
        <f ca="1">IF(AND(ISNUMBER($I$159),$B$110=1),$I$159,HLOOKUP(INDIRECT(ADDRESS(2,COLUMN())),OFFSET($R$2,0,0,ROW()-1,12),ROW()-1,FALSE))</f>
        <v>3869</v>
      </c>
      <c r="J54">
        <f ca="1">IF(AND(ISNUMBER($J$159),$B$110=1),$J$159,HLOOKUP(INDIRECT(ADDRESS(2,COLUMN())),OFFSET($R$2,0,0,ROW()-1,12),ROW()-1,FALSE))</f>
        <v>3749</v>
      </c>
      <c r="K54">
        <f ca="1">IF(AND(ISNUMBER($K$159),$B$110=1),$K$159,HLOOKUP(INDIRECT(ADDRESS(2,COLUMN())),OFFSET($R$2,0,0,ROW()-1,12),ROW()-1,FALSE))</f>
        <v>5739</v>
      </c>
      <c r="L54">
        <f ca="1">IF(AND(ISNUMBER($L$159),$B$110=1),$L$159,HLOOKUP(INDIRECT(ADDRESS(2,COLUMN())),OFFSET($R$2,0,0,ROW()-1,12),ROW()-1,FALSE))</f>
        <v>4326</v>
      </c>
      <c r="M54">
        <f ca="1">IF(AND(ISNUMBER($M$159),$B$110=1),$M$159,HLOOKUP(INDIRECT(ADDRESS(2,COLUMN())),OFFSET($R$2,0,0,ROW()-1,12),ROW()-1,FALSE))</f>
        <v>5208</v>
      </c>
      <c r="N54">
        <f ca="1">IF(AND(ISNUMBER($N$159),$B$110=1),$N$159,HLOOKUP(INDIRECT(ADDRESS(2,COLUMN())),OFFSET($R$2,0,0,ROW()-1,12),ROW()-1,FALSE))</f>
        <v>2511</v>
      </c>
      <c r="O54">
        <f ca="1">IF(AND(ISNUMBER($O$159),$B$110=1),$O$159,HLOOKUP(INDIRECT(ADDRESS(2,COLUMN())),OFFSET($R$2,0,0,ROW()-1,12),ROW()-1,FALSE))</f>
        <v>5807</v>
      </c>
      <c r="P54">
        <f ca="1">IF(AND(ISNUMBER($P$159),$B$110=1),$P$159,HLOOKUP(INDIRECT(ADDRESS(2,COLUMN())),OFFSET($R$2,0,0,ROW()-1,12),ROW()-1,FALSE))</f>
        <v>3986</v>
      </c>
      <c r="Q54">
        <f ca="1">IF(AND(ISNUMBER($Q$159),$B$110=1),$Q$159,HLOOKUP(INDIRECT(ADDRESS(2,COLUMN())),OFFSET($R$2,0,0,ROW()-1,12),ROW()-1,FALSE))</f>
        <v>3616</v>
      </c>
      <c r="R54">
        <f>1977</f>
        <v>1977</v>
      </c>
      <c r="S54">
        <f>6117</f>
        <v>6117</v>
      </c>
      <c r="T54">
        <f>3844</f>
        <v>3844</v>
      </c>
      <c r="U54">
        <f>3869</f>
        <v>3869</v>
      </c>
      <c r="V54">
        <f>3749</f>
        <v>3749</v>
      </c>
      <c r="W54">
        <f>5739</f>
        <v>5739</v>
      </c>
      <c r="X54">
        <f>4326</f>
        <v>4326</v>
      </c>
      <c r="Y54">
        <f>5208</f>
        <v>5208</v>
      </c>
      <c r="Z54">
        <f>2511</f>
        <v>2511</v>
      </c>
      <c r="AA54">
        <f>5807</f>
        <v>5807</v>
      </c>
      <c r="AB54">
        <f>3986</f>
        <v>3986</v>
      </c>
      <c r="AC54">
        <f>3616</f>
        <v>3616</v>
      </c>
    </row>
    <row r="55" spans="1:29" x14ac:dyDescent="0.25">
      <c r="A55" t="str">
        <f>"    Tata Consultancy Services Ltd"</f>
        <v xml:space="preserve">    Tata Consultancy Services Ltd</v>
      </c>
      <c r="B55" t="str">
        <f>"TCS IN Equity"</f>
        <v>TCS IN Equity</v>
      </c>
      <c r="C55" t="str">
        <f t="shared" si="6"/>
        <v>RR009</v>
      </c>
      <c r="D55" t="str">
        <f t="shared" si="7"/>
        <v>EBITDA</v>
      </c>
      <c r="E55" t="str">
        <f t="shared" si="8"/>
        <v>Dynamic</v>
      </c>
      <c r="F55">
        <f ca="1">IF(AND(ISNUMBER($F$160),$B$110=1),$F$160,HLOOKUP(INDIRECT(ADDRESS(2,COLUMN())),OFFSET($R$2,0,0,ROW()-1,12),ROW()-1,FALSE))</f>
        <v>1515.190241</v>
      </c>
      <c r="G55">
        <f ca="1">IF(AND(ISNUMBER($G$160),$B$110=1),$G$160,HLOOKUP(INDIRECT(ADDRESS(2,COLUMN())),OFFSET($R$2,0,0,ROW()-1,12),ROW()-1,FALSE))</f>
        <v>1526.453837</v>
      </c>
      <c r="H55">
        <f ca="1">IF(AND(ISNUMBER($H$160),$B$110=1),$H$160,HLOOKUP(INDIRECT(ADDRESS(2,COLUMN())),OFFSET($R$2,0,0,ROW()-1,12),ROW()-1,FALSE))</f>
        <v>1453.070645</v>
      </c>
      <c r="I55">
        <f ca="1">IF(AND(ISNUMBER($I$160),$B$110=1),$I$160,HLOOKUP(INDIRECT(ADDRESS(2,COLUMN())),OFFSET($R$2,0,0,ROW()-1,12),ROW()-1,FALSE))</f>
        <v>1443.3576230000001</v>
      </c>
      <c r="J55">
        <f ca="1">IF(AND(ISNUMBER($J$160),$B$110=1),$J$160,HLOOKUP(INDIRECT(ADDRESS(2,COLUMN())),OFFSET($R$2,0,0,ROW()-1,12),ROW()-1,FALSE))</f>
        <v>1429.905557</v>
      </c>
      <c r="K55">
        <f ca="1">IF(AND(ISNUMBER($K$160),$B$110=1),$K$160,HLOOKUP(INDIRECT(ADDRESS(2,COLUMN())),OFFSET($R$2,0,0,ROW()-1,12),ROW()-1,FALSE))</f>
        <v>1399.3529610000001</v>
      </c>
      <c r="L55">
        <f ca="1">IF(AND(ISNUMBER($L$160),$B$110=1),$L$160,HLOOKUP(INDIRECT(ADDRESS(2,COLUMN())),OFFSET($R$2,0,0,ROW()-1,12),ROW()-1,FALSE))</f>
        <v>1466.9776240000001</v>
      </c>
      <c r="M55">
        <f ca="1">IF(AND(ISNUMBER($M$160),$B$110=1),$M$160,HLOOKUP(INDIRECT(ADDRESS(2,COLUMN())),OFFSET($R$2,0,0,ROW()-1,12),ROW()-1,FALSE))</f>
        <v>1352.8498509999999</v>
      </c>
      <c r="N55">
        <f ca="1">IF(AND(ISNUMBER($N$160),$B$110=1),$N$160,HLOOKUP(INDIRECT(ADDRESS(2,COLUMN())),OFFSET($R$2,0,0,ROW()-1,12),ROW()-1,FALSE))</f>
        <v>1344.0218190000001</v>
      </c>
      <c r="O55">
        <f ca="1">IF(AND(ISNUMBER($O$160),$B$110=1),$O$160,HLOOKUP(INDIRECT(ADDRESS(2,COLUMN())),OFFSET($R$2,0,0,ROW()-1,12),ROW()-1,FALSE))</f>
        <v>1280.170255</v>
      </c>
      <c r="P55">
        <f ca="1">IF(AND(ISNUMBER($P$160),$B$110=1),$P$160,HLOOKUP(INDIRECT(ADDRESS(2,COLUMN())),OFFSET($R$2,0,0,ROW()-1,12),ROW()-1,FALSE))</f>
        <v>1270.0033719999999</v>
      </c>
      <c r="Q55">
        <f ca="1">IF(AND(ISNUMBER($Q$160),$B$110=1),$Q$160,HLOOKUP(INDIRECT(ADDRESS(2,COLUMN())),OFFSET($R$2,0,0,ROW()-1,12),ROW()-1,FALSE))</f>
        <v>1149.522727</v>
      </c>
      <c r="R55">
        <f>1515.190241</f>
        <v>1515.190241</v>
      </c>
      <c r="S55">
        <f>1526.453837</f>
        <v>1526.453837</v>
      </c>
      <c r="T55">
        <f>1453.070645</f>
        <v>1453.070645</v>
      </c>
      <c r="U55">
        <f>1443.357623</f>
        <v>1443.3576230000001</v>
      </c>
      <c r="V55">
        <f>1429.905557</f>
        <v>1429.905557</v>
      </c>
      <c r="W55">
        <f>1399.352961</f>
        <v>1399.3529610000001</v>
      </c>
      <c r="X55">
        <f>1466.977624</f>
        <v>1466.9776240000001</v>
      </c>
      <c r="Y55">
        <f>1352.849851</f>
        <v>1352.8498509999999</v>
      </c>
      <c r="Z55">
        <f>1344.021819</f>
        <v>1344.0218190000001</v>
      </c>
      <c r="AA55">
        <f>1280.170255</f>
        <v>1280.170255</v>
      </c>
      <c r="AB55">
        <f>1270.003372</f>
        <v>1270.0033719999999</v>
      </c>
      <c r="AC55">
        <f>1149.522727</f>
        <v>1149.522727</v>
      </c>
    </row>
    <row r="56" spans="1:29" x14ac:dyDescent="0.25">
      <c r="A56" t="str">
        <f>"    Tech Mahindra Ltd"</f>
        <v xml:space="preserve">    Tech Mahindra Ltd</v>
      </c>
      <c r="B56" t="str">
        <f>"TECHM IN Equity"</f>
        <v>TECHM IN Equity</v>
      </c>
      <c r="C56" t="str">
        <f t="shared" si="6"/>
        <v>RR009</v>
      </c>
      <c r="D56" t="str">
        <f t="shared" si="7"/>
        <v>EBITDA</v>
      </c>
      <c r="E56" t="str">
        <f t="shared" si="8"/>
        <v>Dynamic</v>
      </c>
      <c r="F56">
        <f ca="1">IF(AND(ISNUMBER($F$161),$B$110=1),$F$161,HLOOKUP(INDIRECT(ADDRESS(2,COLUMN())),OFFSET($R$2,0,0,ROW()-1,12),ROW()-1,FALSE))</f>
        <v>156.03063560000001</v>
      </c>
      <c r="G56">
        <f ca="1">IF(AND(ISNUMBER($G$161),$B$110=1),$G$161,HLOOKUP(INDIRECT(ADDRESS(2,COLUMN())),OFFSET($R$2,0,0,ROW()-1,12),ROW()-1,FALSE))</f>
        <v>219.5085972</v>
      </c>
      <c r="H56">
        <f ca="1">IF(AND(ISNUMBER($H$161),$B$110=1),$H$161,HLOOKUP(INDIRECT(ADDRESS(2,COLUMN())),OFFSET($R$2,0,0,ROW()-1,12),ROW()-1,FALSE))</f>
        <v>213.2903211</v>
      </c>
      <c r="I56">
        <f ca="1">IF(AND(ISNUMBER($I$161),$B$110=1),$I$161,HLOOKUP(INDIRECT(ADDRESS(2,COLUMN())),OFFSET($R$2,0,0,ROW()-1,12),ROW()-1,FALSE))</f>
        <v>188.9724272</v>
      </c>
      <c r="J56">
        <f ca="1">IF(AND(ISNUMBER($J$161),$B$110=1),$J$161,HLOOKUP(INDIRECT(ADDRESS(2,COLUMN())),OFFSET($R$2,0,0,ROW()-1,12),ROW()-1,FALSE))</f>
        <v>232.59740289999999</v>
      </c>
      <c r="K56">
        <f ca="1">IF(AND(ISNUMBER($K$161),$B$110=1),$K$161,HLOOKUP(INDIRECT(ADDRESS(2,COLUMN())),OFFSET($R$2,0,0,ROW()-1,12),ROW()-1,FALSE))</f>
        <v>239.06827440000001</v>
      </c>
      <c r="L56">
        <f ca="1">IF(AND(ISNUMBER($L$161),$B$110=1),$L$161,HLOOKUP(INDIRECT(ADDRESS(2,COLUMN())),OFFSET($R$2,0,0,ROW()-1,12),ROW()-1,FALSE))</f>
        <v>231.0396983</v>
      </c>
      <c r="M56">
        <f ca="1">IF(AND(ISNUMBER($M$161),$B$110=1),$M$161,HLOOKUP(INDIRECT(ADDRESS(2,COLUMN())),OFFSET($R$2,0,0,ROW()-1,12),ROW()-1,FALSE))</f>
        <v>202.37267660000001</v>
      </c>
      <c r="N56">
        <f ca="1">IF(AND(ISNUMBER($N$161),$B$110=1),$N$161,HLOOKUP(INDIRECT(ADDRESS(2,COLUMN())),OFFSET($R$2,0,0,ROW()-1,12),ROW()-1,FALSE))</f>
        <v>219.3355995</v>
      </c>
      <c r="O56">
        <f ca="1">IF(AND(ISNUMBER($O$161),$B$110=1),$O$161,HLOOKUP(INDIRECT(ADDRESS(2,COLUMN())),OFFSET($R$2,0,0,ROW()-1,12),ROW()-1,FALSE))</f>
        <v>195.35611280000001</v>
      </c>
      <c r="P56">
        <f ca="1">IF(AND(ISNUMBER($P$161),$B$110=1),$P$161,HLOOKUP(INDIRECT(ADDRESS(2,COLUMN())),OFFSET($R$2,0,0,ROW()-1,12),ROW()-1,FALSE))</f>
        <v>172.00736499999999</v>
      </c>
      <c r="Q56">
        <f ca="1">IF(AND(ISNUMBER($Q$161),$B$110=1),$Q$161,HLOOKUP(INDIRECT(ADDRESS(2,COLUMN())),OFFSET($R$2,0,0,ROW()-1,12),ROW()-1,FALSE))</f>
        <v>144.9347655</v>
      </c>
      <c r="R56">
        <f>156.0306356</f>
        <v>156.03063560000001</v>
      </c>
      <c r="S56">
        <f>219.5085972</f>
        <v>219.5085972</v>
      </c>
      <c r="T56">
        <f>213.2903211</f>
        <v>213.2903211</v>
      </c>
      <c r="U56">
        <f>188.9724272</f>
        <v>188.9724272</v>
      </c>
      <c r="V56">
        <f>232.5974029</f>
        <v>232.59740289999999</v>
      </c>
      <c r="W56">
        <f>239.0682744</f>
        <v>239.06827440000001</v>
      </c>
      <c r="X56">
        <f>231.0396983</f>
        <v>231.0396983</v>
      </c>
      <c r="Y56">
        <f>202.3726766</f>
        <v>202.37267660000001</v>
      </c>
      <c r="Z56">
        <f>219.3355995</f>
        <v>219.3355995</v>
      </c>
      <c r="AA56">
        <f>195.3561128</f>
        <v>195.35611280000001</v>
      </c>
      <c r="AB56">
        <f>172.007365</f>
        <v>172.00736499999999</v>
      </c>
      <c r="AC56">
        <f>144.9347655</f>
        <v>144.9347655</v>
      </c>
    </row>
    <row r="57" spans="1:29" x14ac:dyDescent="0.25">
      <c r="A57" t="str">
        <f>"    Wipro Ltd"</f>
        <v xml:space="preserve">    Wipro Ltd</v>
      </c>
      <c r="B57" t="str">
        <f>"WIT US Equity"</f>
        <v>WIT US Equity</v>
      </c>
      <c r="C57" t="str">
        <f t="shared" si="6"/>
        <v>RR009</v>
      </c>
      <c r="D57" t="str">
        <f t="shared" si="7"/>
        <v>EBITDA</v>
      </c>
      <c r="E57" t="str">
        <f t="shared" si="8"/>
        <v>Dynamic</v>
      </c>
      <c r="F57">
        <f ca="1">IF(AND(ISNUMBER($F$162),$B$110=1),$F$162,HLOOKUP(INDIRECT(ADDRESS(2,COLUMN())),OFFSET($R$2,0,0,ROW()-1,12),ROW()-1,FALSE))</f>
        <v>430.6199378</v>
      </c>
      <c r="G57">
        <f ca="1">IF(AND(ISNUMBER($G$162),$B$110=1),$G$162,HLOOKUP(INDIRECT(ADDRESS(2,COLUMN())),OFFSET($R$2,0,0,ROW()-1,12),ROW()-1,FALSE))</f>
        <v>446.53443540000001</v>
      </c>
      <c r="H57">
        <f ca="1">IF(AND(ISNUMBER($H$162),$B$110=1),$H$162,HLOOKUP(INDIRECT(ADDRESS(2,COLUMN())),OFFSET($R$2,0,0,ROW()-1,12),ROW()-1,FALSE))</f>
        <v>439.94289500000002</v>
      </c>
      <c r="I57">
        <f ca="1">IF(AND(ISNUMBER($I$162),$B$110=1),$I$162,HLOOKUP(INDIRECT(ADDRESS(2,COLUMN())),OFFSET($R$2,0,0,ROW()-1,12),ROW()-1,FALSE))</f>
        <v>423.78947040000003</v>
      </c>
      <c r="J57">
        <f ca="1">IF(AND(ISNUMBER($J$162),$B$110=1),$J$162,HLOOKUP(INDIRECT(ADDRESS(2,COLUMN())),OFFSET($R$2,0,0,ROW()-1,12),ROW()-1,FALSE))</f>
        <v>452.34921780000002</v>
      </c>
      <c r="K57">
        <f ca="1">IF(AND(ISNUMBER($K$162),$B$110=1),$K$162,HLOOKUP(INDIRECT(ADDRESS(2,COLUMN())),OFFSET($R$2,0,0,ROW()-1,12),ROW()-1,FALSE))</f>
        <v>467.14490389999997</v>
      </c>
      <c r="L57">
        <f ca="1">IF(AND(ISNUMBER($L$162),$B$110=1),$L$162,HLOOKUP(INDIRECT(ADDRESS(2,COLUMN())),OFFSET($R$2,0,0,ROW()-1,12),ROW()-1,FALSE))</f>
        <v>339.24035959999998</v>
      </c>
      <c r="M57">
        <f ca="1">IF(AND(ISNUMBER($M$162),$B$110=1),$M$162,HLOOKUP(INDIRECT(ADDRESS(2,COLUMN())),OFFSET($R$2,0,0,ROW()-1,12),ROW()-1,FALSE))</f>
        <v>400.76927799999999</v>
      </c>
      <c r="N57">
        <f ca="1">IF(AND(ISNUMBER($N$162),$B$110=1),$N$162,HLOOKUP(INDIRECT(ADDRESS(2,COLUMN())),OFFSET($R$2,0,0,ROW()-1,12),ROW()-1,FALSE))</f>
        <v>381.0547297</v>
      </c>
      <c r="O57">
        <f ca="1">IF(AND(ISNUMBER($O$162),$B$110=1),$O$162,HLOOKUP(INDIRECT(ADDRESS(2,COLUMN())),OFFSET($R$2,0,0,ROW()-1,12),ROW()-1,FALSE))</f>
        <v>385.10153600000001</v>
      </c>
      <c r="P57">
        <f ca="1">IF(AND(ISNUMBER($P$162),$B$110=1),$P$162,HLOOKUP(INDIRECT(ADDRESS(2,COLUMN())),OFFSET($R$2,0,0,ROW()-1,12),ROW()-1,FALSE))</f>
        <v>432.2740531</v>
      </c>
      <c r="Q57">
        <f ca="1">IF(AND(ISNUMBER($Q$162),$B$110=1),$Q$162,HLOOKUP(INDIRECT(ADDRESS(2,COLUMN())),OFFSET($R$2,0,0,ROW()-1,12),ROW()-1,FALSE))</f>
        <v>413.76925569999997</v>
      </c>
      <c r="R57">
        <f>430.6199378</f>
        <v>430.6199378</v>
      </c>
      <c r="S57">
        <f>446.5344354</f>
        <v>446.53443540000001</v>
      </c>
      <c r="T57">
        <f>439.942895</f>
        <v>439.94289500000002</v>
      </c>
      <c r="U57">
        <f>423.7894704</f>
        <v>423.78947040000003</v>
      </c>
      <c r="V57">
        <f>452.3492178</f>
        <v>452.34921780000002</v>
      </c>
      <c r="W57">
        <f>467.1449039</f>
        <v>467.14490389999997</v>
      </c>
      <c r="X57">
        <f>339.2403596</f>
        <v>339.24035959999998</v>
      </c>
      <c r="Y57">
        <f>400.769278</f>
        <v>400.76927799999999</v>
      </c>
      <c r="Z57">
        <f>381.0547297</f>
        <v>381.0547297</v>
      </c>
      <c r="AA57">
        <f>385.101536</f>
        <v>385.10153600000001</v>
      </c>
      <c r="AB57">
        <f>432.2740531</f>
        <v>432.2740531</v>
      </c>
      <c r="AC57">
        <f>413.7692557</f>
        <v>413.76925569999997</v>
      </c>
    </row>
    <row r="58" spans="1:29" x14ac:dyDescent="0.25">
      <c r="A58" t="str">
        <f>"Operating Income"</f>
        <v>Operating Income</v>
      </c>
      <c r="B58" t="str">
        <f>"BRITBPOV Index"</f>
        <v>BRITBPOV Index</v>
      </c>
      <c r="E58" t="str">
        <f>"Sum"</f>
        <v>Sum</v>
      </c>
      <c r="F58">
        <f ca="1">IF(ISERROR(IF(SUM($F$59:$F$75) = 0, "", SUM($F$59:$F$75))), "", (IF(SUM($F$59:$F$75) = 0, "", SUM($F$59:$F$75))))</f>
        <v>2259.6513117300001</v>
      </c>
      <c r="G58">
        <f ca="1">IF(ISERROR(IF(SUM($G$59:$G$75) = 0, "", SUM($G$59:$G$75))), "", (IF(SUM($G$59:$G$75) = 0, "", SUM($G$59:$G$75))))</f>
        <v>9854.4121608999994</v>
      </c>
      <c r="H58">
        <f ca="1">IF(ISERROR(IF(SUM($H$59:$H$75) = 0, "", SUM($H$59:$H$75))), "", (IF(SUM($H$59:$H$75) = 0, "", SUM($H$59:$H$75))))</f>
        <v>5712.5410696300005</v>
      </c>
      <c r="I58">
        <f ca="1">IF(ISERROR(IF(SUM($I$59:$I$75) = 0, "", SUM($I$59:$I$75))), "", (IF(SUM($I$59:$I$75) = 0, "", SUM($I$59:$I$75))))</f>
        <v>7097.0684351499995</v>
      </c>
      <c r="J58">
        <f ca="1">IF(ISERROR(IF(SUM($J$59:$J$75) = 0, "", SUM($J$59:$J$75))), "", (IF(SUM($J$59:$J$75) = 0, "", SUM($J$59:$J$75))))</f>
        <v>7632.6669479799993</v>
      </c>
      <c r="K58">
        <f ca="1">IF(ISERROR(IF(SUM($K$59:$K$75) = 0, "", SUM($K$59:$K$75))), "", (IF(SUM($K$59:$K$75) = 0, "", SUM($K$59:$K$75))))</f>
        <v>10968.075127709999</v>
      </c>
      <c r="L58">
        <f ca="1">IF(ISERROR(IF(SUM($L$59:$L$75) = 0, "", SUM($L$59:$L$75))), "", (IF(SUM($L$59:$L$75) = 0, "", SUM($L$59:$L$75))))</f>
        <v>9028.5764770099995</v>
      </c>
      <c r="M58">
        <f ca="1">IF(ISERROR(IF(SUM($M$59:$M$75) = 0, "", SUM($M$59:$M$75))), "", (IF(SUM($M$59:$M$75) = 0, "", SUM($M$59:$M$75))))</f>
        <v>9159.0759985199984</v>
      </c>
      <c r="N58">
        <f ca="1">IF(ISERROR(IF(SUM($N$59:$N$75) = 0, "", SUM($N$59:$N$75))), "", (IF(SUM($N$59:$N$75) = 0, "", SUM($N$59:$N$75))))</f>
        <v>7431.6539485900003</v>
      </c>
      <c r="O58">
        <f ca="1">IF(ISERROR(IF(SUM($O$59:$O$75) = 0, "", SUM($O$59:$O$75))), "", (IF(SUM($O$59:$O$75) = 0, "", SUM($O$59:$O$75))))</f>
        <v>10492.89506407</v>
      </c>
      <c r="P58">
        <f ca="1">IF(ISERROR(IF(SUM($P$59:$P$75) = 0, "", SUM($P$59:$P$75))), "", (IF(SUM($P$59:$P$75) = 0, "", SUM($P$59:$P$75))))</f>
        <v>8359.7430498899994</v>
      </c>
      <c r="Q58">
        <f ca="1">IF(ISERROR(IF(SUM($Q$59:$Q$75) = 0, "", SUM($Q$59:$Q$75))), "", (IF(SUM($Q$59:$Q$75) = 0, "", SUM($Q$59:$Q$75))))</f>
        <v>7116.1068203999994</v>
      </c>
      <c r="R58">
        <f>2259.651312</f>
        <v>2259.651312</v>
      </c>
      <c r="S58">
        <f>9854.412161</f>
        <v>9854.4121610000002</v>
      </c>
      <c r="T58">
        <f>5712.54107</f>
        <v>5712.5410700000002</v>
      </c>
      <c r="U58">
        <f>7097.068435</f>
        <v>7097.0684350000001</v>
      </c>
      <c r="V58">
        <f>7632.666948</f>
        <v>7632.666948</v>
      </c>
      <c r="W58">
        <f>10968.07513</f>
        <v>10968.075129999999</v>
      </c>
      <c r="X58">
        <f>9028.576477</f>
        <v>9028.5764770000005</v>
      </c>
      <c r="Y58">
        <f>9159.075999</f>
        <v>9159.0759990000006</v>
      </c>
      <c r="Z58">
        <f>7431.653949</f>
        <v>7431.6539489999996</v>
      </c>
      <c r="AA58">
        <f>10492.89506</f>
        <v>10492.895060000001</v>
      </c>
      <c r="AB58">
        <f>8359.74305</f>
        <v>8359.7430499999991</v>
      </c>
      <c r="AC58">
        <f>7116.10682</f>
        <v>7116.10682</v>
      </c>
    </row>
    <row r="59" spans="1:29" x14ac:dyDescent="0.25">
      <c r="A59" t="str">
        <f>"    Accenture PLC"</f>
        <v xml:space="preserve">    Accenture PLC</v>
      </c>
      <c r="B59" t="str">
        <f>"ACN US Equity"</f>
        <v>ACN US Equity</v>
      </c>
      <c r="C59" t="str">
        <f t="shared" ref="C59:C75" si="9">"IS033"</f>
        <v>IS033</v>
      </c>
      <c r="D59" t="str">
        <f t="shared" ref="D59:D75" si="10">"IS_OPER_INC"</f>
        <v>IS_OPER_INC</v>
      </c>
      <c r="E59" t="str">
        <f t="shared" ref="E59:E75" si="11">"Dynamic"</f>
        <v>Dynamic</v>
      </c>
      <c r="F59">
        <f ca="1">IF(AND(ISNUMBER($F$163),$B$110=1),$F$163,HLOOKUP(INDIRECT(ADDRESS(2,COLUMN())),OFFSET($R$2,0,0,ROW()-1,12),ROW()-1,FALSE))</f>
        <v>1488.9449999999999</v>
      </c>
      <c r="G59">
        <f ca="1">IF(AND(ISNUMBER($G$163),$B$110=1),$G$163,HLOOKUP(INDIRECT(ADDRESS(2,COLUMN())),OFFSET($R$2,0,0,ROW()-1,12),ROW()-1,FALSE))</f>
        <v>1767.2629999999999</v>
      </c>
      <c r="H59">
        <f ca="1">IF(AND(ISNUMBER($H$163),$B$110=1),$H$163,HLOOKUP(INDIRECT(ADDRESS(2,COLUMN())),OFFSET($R$2,0,0,ROW()-1,12),ROW()-1,FALSE))</f>
        <v>1571.4929999999999</v>
      </c>
      <c r="I59">
        <f ca="1">IF(AND(ISNUMBER($I$163),$B$110=1),$I$163,HLOOKUP(INDIRECT(ADDRESS(2,COLUMN())),OFFSET($R$2,0,0,ROW()-1,12),ROW()-1,FALSE))</f>
        <v>1717.943</v>
      </c>
      <c r="J59">
        <f ca="1">IF(AND(ISNUMBER($J$163),$B$110=1),$J$163,HLOOKUP(INDIRECT(ADDRESS(2,COLUMN())),OFFSET($R$2,0,0,ROW()-1,12),ROW()-1,FALSE))</f>
        <v>1386.626</v>
      </c>
      <c r="K59">
        <f ca="1">IF(AND(ISNUMBER($K$163),$B$110=1),$K$163,HLOOKUP(INDIRECT(ADDRESS(2,COLUMN())),OFFSET($R$2,0,0,ROW()-1,12),ROW()-1,FALSE))</f>
        <v>1629.0119999999999</v>
      </c>
      <c r="L59">
        <f ca="1">IF(AND(ISNUMBER($L$163),$B$110=1),$L$163,HLOOKUP(INDIRECT(ADDRESS(2,COLUMN())),OFFSET($R$2,0,0,ROW()-1,12),ROW()-1,FALSE))</f>
        <v>1469.684</v>
      </c>
      <c r="M59">
        <f ca="1">IF(AND(ISNUMBER($M$163),$B$110=1),$M$163,HLOOKUP(INDIRECT(ADDRESS(2,COLUMN())),OFFSET($R$2,0,0,ROW()-1,12),ROW()-1,FALSE))</f>
        <v>1634.875</v>
      </c>
      <c r="N59">
        <f ca="1">IF(AND(ISNUMBER($N$163),$B$110=1),$N$163,HLOOKUP(INDIRECT(ADDRESS(2,COLUMN())),OFFSET($R$2,0,0,ROW()-1,12),ROW()-1,FALSE))</f>
        <v>1296.0440000000001</v>
      </c>
      <c r="O59">
        <f ca="1">IF(AND(ISNUMBER($O$163),$B$110=1),$O$163,HLOOKUP(INDIRECT(ADDRESS(2,COLUMN())),OFFSET($R$2,0,0,ROW()-1,12),ROW()-1,FALSE))</f>
        <v>1498.1759999999999</v>
      </c>
      <c r="P59">
        <f ca="1">IF(AND(ISNUMBER($P$163),$B$110=1),$P$163,HLOOKUP(INDIRECT(ADDRESS(2,COLUMN())),OFFSET($R$2,0,0,ROW()-1,12),ROW()-1,FALSE))</f>
        <v>1296.5619999999999</v>
      </c>
      <c r="Q59">
        <f ca="1">IF(AND(ISNUMBER($Q$163),$B$110=1),$Q$163,HLOOKUP(INDIRECT(ADDRESS(2,COLUMN())),OFFSET($R$2,0,0,ROW()-1,12),ROW()-1,FALSE))</f>
        <v>865.43499999999995</v>
      </c>
      <c r="R59">
        <f>1488.945</f>
        <v>1488.9449999999999</v>
      </c>
      <c r="S59">
        <f>1767.263</f>
        <v>1767.2629999999999</v>
      </c>
      <c r="T59">
        <f>1571.493</f>
        <v>1571.4929999999999</v>
      </c>
      <c r="U59">
        <f>1717.943</f>
        <v>1717.943</v>
      </c>
      <c r="V59">
        <f>1386.626</f>
        <v>1386.626</v>
      </c>
      <c r="W59">
        <f>1629.012</f>
        <v>1629.0119999999999</v>
      </c>
      <c r="X59">
        <f>1469.684</f>
        <v>1469.684</v>
      </c>
      <c r="Y59">
        <f>1634.875</f>
        <v>1634.875</v>
      </c>
      <c r="Z59">
        <f>1296.044</f>
        <v>1296.0440000000001</v>
      </c>
      <c r="AA59">
        <f>1498.176</f>
        <v>1498.1759999999999</v>
      </c>
      <c r="AB59">
        <f>1296.562</f>
        <v>1296.5619999999999</v>
      </c>
      <c r="AC59">
        <f>865.435</f>
        <v>865.43499999999995</v>
      </c>
    </row>
    <row r="60" spans="1:29" x14ac:dyDescent="0.25">
      <c r="A60" t="str">
        <f>"    Amdocs Ltd"</f>
        <v xml:space="preserve">    Amdocs Ltd</v>
      </c>
      <c r="B60" t="str">
        <f>"DOX US Equity"</f>
        <v>DOX US Equity</v>
      </c>
      <c r="C60" t="str">
        <f t="shared" si="9"/>
        <v>IS033</v>
      </c>
      <c r="D60" t="str">
        <f t="shared" si="10"/>
        <v>IS_OPER_INC</v>
      </c>
      <c r="E60" t="str">
        <f t="shared" si="11"/>
        <v>Dynamic</v>
      </c>
      <c r="F60">
        <f ca="1">IF(AND(ISNUMBER($F$164),$B$110=1),$F$164,HLOOKUP(INDIRECT(ADDRESS(2,COLUMN())),OFFSET($R$2,0,0,ROW()-1,12),ROW()-1,FALSE))</f>
        <v>156.71199999999999</v>
      </c>
      <c r="G60">
        <f ca="1">IF(AND(ISNUMBER($G$164),$B$110=1),$G$164,HLOOKUP(INDIRECT(ADDRESS(2,COLUMN())),OFFSET($R$2,0,0,ROW()-1,12),ROW()-1,FALSE))</f>
        <v>143.577</v>
      </c>
      <c r="H60">
        <f ca="1">IF(AND(ISNUMBER($H$164),$B$110=1),$H$164,HLOOKUP(INDIRECT(ADDRESS(2,COLUMN())),OFFSET($R$2,0,0,ROW()-1,12),ROW()-1,FALSE))</f>
        <v>144.154</v>
      </c>
      <c r="I60">
        <f ca="1">IF(AND(ISNUMBER($I$164),$B$110=1),$I$164,HLOOKUP(INDIRECT(ADDRESS(2,COLUMN())),OFFSET($R$2,0,0,ROW()-1,12),ROW()-1,FALSE))</f>
        <v>142.32</v>
      </c>
      <c r="J60">
        <f ca="1">IF(AND(ISNUMBER($J$164),$B$110=1),$J$164,HLOOKUP(INDIRECT(ADDRESS(2,COLUMN())),OFFSET($R$2,0,0,ROW()-1,12),ROW()-1,FALSE))</f>
        <v>150.17500000000001</v>
      </c>
      <c r="K60">
        <f ca="1">IF(AND(ISNUMBER($K$164),$B$110=1),$K$164,HLOOKUP(INDIRECT(ADDRESS(2,COLUMN())),OFFSET($R$2,0,0,ROW()-1,12),ROW()-1,FALSE))</f>
        <v>133.09700000000001</v>
      </c>
      <c r="L60">
        <f ca="1">IF(AND(ISNUMBER($L$164),$B$110=1),$L$164,HLOOKUP(INDIRECT(ADDRESS(2,COLUMN())),OFFSET($R$2,0,0,ROW()-1,12),ROW()-1,FALSE))</f>
        <v>68.819000000000003</v>
      </c>
      <c r="M60">
        <f ca="1">IF(AND(ISNUMBER($M$164),$B$110=1),$M$164,HLOOKUP(INDIRECT(ADDRESS(2,COLUMN())),OFFSET($R$2,0,0,ROW()-1,12),ROW()-1,FALSE))</f>
        <v>105.518</v>
      </c>
      <c r="N60">
        <f ca="1">IF(AND(ISNUMBER($N$164),$B$110=1),$N$164,HLOOKUP(INDIRECT(ADDRESS(2,COLUMN())),OFFSET($R$2,0,0,ROW()-1,12),ROW()-1,FALSE))</f>
        <v>131.827</v>
      </c>
      <c r="O60">
        <f ca="1">IF(AND(ISNUMBER($O$164),$B$110=1),$O$164,HLOOKUP(INDIRECT(ADDRESS(2,COLUMN())),OFFSET($R$2,0,0,ROW()-1,12),ROW()-1,FALSE))</f>
        <v>122.143</v>
      </c>
      <c r="P60">
        <f ca="1">IF(AND(ISNUMBER($P$164),$B$110=1),$P$164,HLOOKUP(INDIRECT(ADDRESS(2,COLUMN())),OFFSET($R$2,0,0,ROW()-1,12),ROW()-1,FALSE))</f>
        <v>132.047</v>
      </c>
      <c r="Q60">
        <f ca="1">IF(AND(ISNUMBER($Q$164),$B$110=1),$Q$164,HLOOKUP(INDIRECT(ADDRESS(2,COLUMN())),OFFSET($R$2,0,0,ROW()-1,12),ROW()-1,FALSE))</f>
        <v>129.91200000000001</v>
      </c>
      <c r="R60">
        <f>156.712</f>
        <v>156.71199999999999</v>
      </c>
      <c r="S60">
        <f>143.577</f>
        <v>143.577</v>
      </c>
      <c r="T60">
        <f>144.154</f>
        <v>144.154</v>
      </c>
      <c r="U60">
        <f>142.32</f>
        <v>142.32</v>
      </c>
      <c r="V60">
        <f>150.175</f>
        <v>150.17500000000001</v>
      </c>
      <c r="W60">
        <f>133.097</f>
        <v>133.09700000000001</v>
      </c>
      <c r="X60">
        <f>68.819</f>
        <v>68.819000000000003</v>
      </c>
      <c r="Y60">
        <f>105.518</f>
        <v>105.518</v>
      </c>
      <c r="Z60">
        <f>131.827</f>
        <v>131.827</v>
      </c>
      <c r="AA60">
        <f>122.143</f>
        <v>122.143</v>
      </c>
      <c r="AB60">
        <f>132.047</f>
        <v>132.047</v>
      </c>
      <c r="AC60">
        <f>129.912</f>
        <v>129.91200000000001</v>
      </c>
    </row>
    <row r="61" spans="1:29" x14ac:dyDescent="0.25">
      <c r="A61" t="str">
        <f>"    Atos SE"</f>
        <v xml:space="preserve">    Atos SE</v>
      </c>
      <c r="B61" t="str">
        <f>"ATO FP Equity"</f>
        <v>ATO FP Equity</v>
      </c>
      <c r="C61" t="str">
        <f t="shared" si="9"/>
        <v>IS033</v>
      </c>
      <c r="D61" t="str">
        <f t="shared" si="10"/>
        <v>IS_OPER_INC</v>
      </c>
      <c r="E61" t="str">
        <f t="shared" si="11"/>
        <v>Dynamic</v>
      </c>
      <c r="F61" t="str">
        <f ca="1">IF(AND(ISNUMBER($F$165),$B$110=1),$F$165,HLOOKUP(INDIRECT(ADDRESS(2,COLUMN())),OFFSET($R$2,0,0,ROW()-1,12),ROW()-1,FALSE))</f>
        <v/>
      </c>
      <c r="G61" t="str">
        <f ca="1">IF(AND(ISNUMBER($G$165),$B$110=1),$G$165,HLOOKUP(INDIRECT(ADDRESS(2,COLUMN())),OFFSET($R$2,0,0,ROW()-1,12),ROW()-1,FALSE))</f>
        <v/>
      </c>
      <c r="H61" t="str">
        <f ca="1">IF(AND(ISNUMBER($H$165),$B$110=1),$H$165,HLOOKUP(INDIRECT(ADDRESS(2,COLUMN())),OFFSET($R$2,0,0,ROW()-1,12),ROW()-1,FALSE))</f>
        <v/>
      </c>
      <c r="I61" t="str">
        <f ca="1">IF(AND(ISNUMBER($I$165),$B$110=1),$I$165,HLOOKUP(INDIRECT(ADDRESS(2,COLUMN())),OFFSET($R$2,0,0,ROW()-1,12),ROW()-1,FALSE))</f>
        <v/>
      </c>
      <c r="J61" t="str">
        <f ca="1">IF(AND(ISNUMBER($J$165),$B$110=1),$J$165,HLOOKUP(INDIRECT(ADDRESS(2,COLUMN())),OFFSET($R$2,0,0,ROW()-1,12),ROW()-1,FALSE))</f>
        <v/>
      </c>
      <c r="K61" t="str">
        <f ca="1">IF(AND(ISNUMBER($K$165),$B$110=1),$K$165,HLOOKUP(INDIRECT(ADDRESS(2,COLUMN())),OFFSET($R$2,0,0,ROW()-1,12),ROW()-1,FALSE))</f>
        <v/>
      </c>
      <c r="L61" t="str">
        <f ca="1">IF(AND(ISNUMBER($L$165),$B$110=1),$L$165,HLOOKUP(INDIRECT(ADDRESS(2,COLUMN())),OFFSET($R$2,0,0,ROW()-1,12),ROW()-1,FALSE))</f>
        <v/>
      </c>
      <c r="M61" t="str">
        <f ca="1">IF(AND(ISNUMBER($M$165),$B$110=1),$M$165,HLOOKUP(INDIRECT(ADDRESS(2,COLUMN())),OFFSET($R$2,0,0,ROW()-1,12),ROW()-1,FALSE))</f>
        <v/>
      </c>
      <c r="N61" t="str">
        <f ca="1">IF(AND(ISNUMBER($N$165),$B$110=1),$N$165,HLOOKUP(INDIRECT(ADDRESS(2,COLUMN())),OFFSET($R$2,0,0,ROW()-1,12),ROW()-1,FALSE))</f>
        <v/>
      </c>
      <c r="O61" t="str">
        <f ca="1">IF(AND(ISNUMBER($O$165),$B$110=1),$O$165,HLOOKUP(INDIRECT(ADDRESS(2,COLUMN())),OFFSET($R$2,0,0,ROW()-1,12),ROW()-1,FALSE))</f>
        <v/>
      </c>
      <c r="P61" t="str">
        <f ca="1">IF(AND(ISNUMBER($P$165),$B$110=1),$P$165,HLOOKUP(INDIRECT(ADDRESS(2,COLUMN())),OFFSET($R$2,0,0,ROW()-1,12),ROW()-1,FALSE))</f>
        <v/>
      </c>
      <c r="Q61" t="str">
        <f ca="1">IF(AND(ISNUMBER($Q$165),$B$110=1),$Q$165,HLOOKUP(INDIRECT(ADDRESS(2,COLUMN())),OFFSET($R$2,0,0,ROW()-1,12),ROW()-1,FALSE))</f>
        <v/>
      </c>
      <c r="R61" t="str">
        <f>""</f>
        <v/>
      </c>
      <c r="S61" t="str">
        <f>""</f>
        <v/>
      </c>
      <c r="T61" t="str">
        <f>""</f>
        <v/>
      </c>
      <c r="U61" t="str">
        <f>""</f>
        <v/>
      </c>
      <c r="V61" t="str">
        <f>""</f>
        <v/>
      </c>
      <c r="W61" t="str">
        <f>""</f>
        <v/>
      </c>
      <c r="X61" t="str">
        <f>""</f>
        <v/>
      </c>
      <c r="Y61" t="str">
        <f>""</f>
        <v/>
      </c>
      <c r="Z61" t="str">
        <f>""</f>
        <v/>
      </c>
      <c r="AA61" t="str">
        <f>""</f>
        <v/>
      </c>
      <c r="AB61" t="str">
        <f>""</f>
        <v/>
      </c>
      <c r="AC61" t="str">
        <f>""</f>
        <v/>
      </c>
    </row>
    <row r="62" spans="1:29" x14ac:dyDescent="0.25">
      <c r="A62" t="str">
        <f>"    Capgemini SE"</f>
        <v xml:space="preserve">    Capgemini SE</v>
      </c>
      <c r="B62" t="str">
        <f>"CAP FP Equity"</f>
        <v>CAP FP Equity</v>
      </c>
      <c r="C62" t="str">
        <f t="shared" si="9"/>
        <v>IS033</v>
      </c>
      <c r="D62" t="str">
        <f t="shared" si="10"/>
        <v>IS_OPER_INC</v>
      </c>
      <c r="E62" t="str">
        <f t="shared" si="11"/>
        <v>Dynamic</v>
      </c>
      <c r="F62" t="str">
        <f ca="1">IF(AND(ISNUMBER($F$166),$B$110=1),$F$166,HLOOKUP(INDIRECT(ADDRESS(2,COLUMN())),OFFSET($R$2,0,0,ROW()-1,12),ROW()-1,FALSE))</f>
        <v/>
      </c>
      <c r="G62" t="str">
        <f ca="1">IF(AND(ISNUMBER($G$166),$B$110=1),$G$166,HLOOKUP(INDIRECT(ADDRESS(2,COLUMN())),OFFSET($R$2,0,0,ROW()-1,12),ROW()-1,FALSE))</f>
        <v/>
      </c>
      <c r="H62" t="str">
        <f ca="1">IF(AND(ISNUMBER($H$166),$B$110=1),$H$166,HLOOKUP(INDIRECT(ADDRESS(2,COLUMN())),OFFSET($R$2,0,0,ROW()-1,12),ROW()-1,FALSE))</f>
        <v/>
      </c>
      <c r="I62" t="str">
        <f ca="1">IF(AND(ISNUMBER($I$166),$B$110=1),$I$166,HLOOKUP(INDIRECT(ADDRESS(2,COLUMN())),OFFSET($R$2,0,0,ROW()-1,12),ROW()-1,FALSE))</f>
        <v/>
      </c>
      <c r="J62" t="str">
        <f ca="1">IF(AND(ISNUMBER($J$166),$B$110=1),$J$166,HLOOKUP(INDIRECT(ADDRESS(2,COLUMN())),OFFSET($R$2,0,0,ROW()-1,12),ROW()-1,FALSE))</f>
        <v/>
      </c>
      <c r="K62" t="str">
        <f ca="1">IF(AND(ISNUMBER($K$166),$B$110=1),$K$166,HLOOKUP(INDIRECT(ADDRESS(2,COLUMN())),OFFSET($R$2,0,0,ROW()-1,12),ROW()-1,FALSE))</f>
        <v/>
      </c>
      <c r="L62" t="str">
        <f ca="1">IF(AND(ISNUMBER($L$166),$B$110=1),$L$166,HLOOKUP(INDIRECT(ADDRESS(2,COLUMN())),OFFSET($R$2,0,0,ROW()-1,12),ROW()-1,FALSE))</f>
        <v/>
      </c>
      <c r="M62" t="str">
        <f ca="1">IF(AND(ISNUMBER($M$166),$B$110=1),$M$166,HLOOKUP(INDIRECT(ADDRESS(2,COLUMN())),OFFSET($R$2,0,0,ROW()-1,12),ROW()-1,FALSE))</f>
        <v/>
      </c>
      <c r="N62" t="str">
        <f ca="1">IF(AND(ISNUMBER($N$166),$B$110=1),$N$166,HLOOKUP(INDIRECT(ADDRESS(2,COLUMN())),OFFSET($R$2,0,0,ROW()-1,12),ROW()-1,FALSE))</f>
        <v/>
      </c>
      <c r="O62" t="str">
        <f ca="1">IF(AND(ISNUMBER($O$166),$B$110=1),$O$166,HLOOKUP(INDIRECT(ADDRESS(2,COLUMN())),OFFSET($R$2,0,0,ROW()-1,12),ROW()-1,FALSE))</f>
        <v/>
      </c>
      <c r="P62" t="str">
        <f ca="1">IF(AND(ISNUMBER($P$166),$B$110=1),$P$166,HLOOKUP(INDIRECT(ADDRESS(2,COLUMN())),OFFSET($R$2,0,0,ROW()-1,12),ROW()-1,FALSE))</f>
        <v/>
      </c>
      <c r="Q62" t="str">
        <f ca="1">IF(AND(ISNUMBER($Q$166),$B$110=1),$Q$166,HLOOKUP(INDIRECT(ADDRESS(2,COLUMN())),OFFSET($R$2,0,0,ROW()-1,12),ROW()-1,FALSE))</f>
        <v/>
      </c>
      <c r="R62" t="str">
        <f>""</f>
        <v/>
      </c>
      <c r="S62" t="str">
        <f>""</f>
        <v/>
      </c>
      <c r="T62" t="str">
        <f>""</f>
        <v/>
      </c>
      <c r="U62" t="str">
        <f>""</f>
        <v/>
      </c>
      <c r="V62" t="str">
        <f>""</f>
        <v/>
      </c>
      <c r="W62" t="str">
        <f>""</f>
        <v/>
      </c>
      <c r="X62" t="str">
        <f>""</f>
        <v/>
      </c>
      <c r="Y62" t="str">
        <f>""</f>
        <v/>
      </c>
      <c r="Z62" t="str">
        <f>""</f>
        <v/>
      </c>
      <c r="AA62" t="str">
        <f>""</f>
        <v/>
      </c>
      <c r="AB62" t="str">
        <f>""</f>
        <v/>
      </c>
      <c r="AC62" t="str">
        <f>""</f>
        <v/>
      </c>
    </row>
    <row r="63" spans="1:29" x14ac:dyDescent="0.25">
      <c r="A63" t="str">
        <f>"    CGI Inc"</f>
        <v xml:space="preserve">    CGI Inc</v>
      </c>
      <c r="B63" t="str">
        <f>"GIB US Equity"</f>
        <v>GIB US Equity</v>
      </c>
      <c r="C63" t="str">
        <f t="shared" si="9"/>
        <v>IS033</v>
      </c>
      <c r="D63" t="str">
        <f t="shared" si="10"/>
        <v>IS_OPER_INC</v>
      </c>
      <c r="E63" t="str">
        <f t="shared" si="11"/>
        <v>Dynamic</v>
      </c>
      <c r="F63">
        <f ca="1">IF(AND(ISNUMBER($F$167),$B$110=1),$F$167,HLOOKUP(INDIRECT(ADDRESS(2,COLUMN())),OFFSET($R$2,0,0,ROW()-1,12),ROW()-1,FALSE))</f>
        <v>338.15726549999999</v>
      </c>
      <c r="G63">
        <f ca="1">IF(AND(ISNUMBER($G$167),$B$110=1),$G$167,HLOOKUP(INDIRECT(ADDRESS(2,COLUMN())),OFFSET($R$2,0,0,ROW()-1,12),ROW()-1,FALSE))</f>
        <v>320.9576654</v>
      </c>
      <c r="H63">
        <f ca="1">IF(AND(ISNUMBER($H$167),$B$110=1),$H$167,HLOOKUP(INDIRECT(ADDRESS(2,COLUMN())),OFFSET($R$2,0,0,ROW()-1,12),ROW()-1,FALSE))</f>
        <v>325.64632660000001</v>
      </c>
      <c r="I63">
        <f ca="1">IF(AND(ISNUMBER($I$167),$B$110=1),$I$167,HLOOKUP(INDIRECT(ADDRESS(2,COLUMN())),OFFSET($R$2,0,0,ROW()-1,12),ROW()-1,FALSE))</f>
        <v>327.61521190000002</v>
      </c>
      <c r="J63">
        <f ca="1">IF(AND(ISNUMBER($J$167),$B$110=1),$J$167,HLOOKUP(INDIRECT(ADDRESS(2,COLUMN())),OFFSET($R$2,0,0,ROW()-1,12),ROW()-1,FALSE))</f>
        <v>337.5236908</v>
      </c>
      <c r="K63">
        <f ca="1">IF(AND(ISNUMBER($K$167),$B$110=1),$K$167,HLOOKUP(INDIRECT(ADDRESS(2,COLUMN())),OFFSET($R$2,0,0,ROW()-1,12),ROW()-1,FALSE))</f>
        <v>327.55136449999998</v>
      </c>
      <c r="L63">
        <f ca="1">IF(AND(ISNUMBER($L$167),$B$110=1),$L$167,HLOOKUP(INDIRECT(ADDRESS(2,COLUMN())),OFFSET($R$2,0,0,ROW()-1,12),ROW()-1,FALSE))</f>
        <v>317.644498</v>
      </c>
      <c r="M63">
        <f ca="1">IF(AND(ISNUMBER($M$167),$B$110=1),$M$167,HLOOKUP(INDIRECT(ADDRESS(2,COLUMN())),OFFSET($R$2,0,0,ROW()-1,12),ROW()-1,FALSE))</f>
        <v>316.5138824</v>
      </c>
      <c r="N63">
        <f ca="1">IF(AND(ISNUMBER($N$167),$B$110=1),$N$167,HLOOKUP(INDIRECT(ADDRESS(2,COLUMN())),OFFSET($R$2,0,0,ROW()-1,12),ROW()-1,FALSE))</f>
        <v>305.01388450000002</v>
      </c>
      <c r="O63">
        <f ca="1">IF(AND(ISNUMBER($O$167),$B$110=1),$O$167,HLOOKUP(INDIRECT(ADDRESS(2,COLUMN())),OFFSET($R$2,0,0,ROW()-1,12),ROW()-1,FALSE))</f>
        <v>281.45783399999999</v>
      </c>
      <c r="P63">
        <f ca="1">IF(AND(ISNUMBER($P$167),$B$110=1),$P$167,HLOOKUP(INDIRECT(ADDRESS(2,COLUMN())),OFFSET($R$2,0,0,ROW()-1,12),ROW()-1,FALSE))</f>
        <v>240.45230359999999</v>
      </c>
      <c r="Q63">
        <f ca="1">IF(AND(ISNUMBER($Q$167),$B$110=1),$Q$167,HLOOKUP(INDIRECT(ADDRESS(2,COLUMN())),OFFSET($R$2,0,0,ROW()-1,12),ROW()-1,FALSE))</f>
        <v>295.22503130000001</v>
      </c>
      <c r="R63">
        <f>338.1572655</f>
        <v>338.15726549999999</v>
      </c>
      <c r="S63">
        <f>320.9576654</f>
        <v>320.9576654</v>
      </c>
      <c r="T63">
        <f>325.6463266</f>
        <v>325.64632660000001</v>
      </c>
      <c r="U63">
        <f>327.6152119</f>
        <v>327.61521190000002</v>
      </c>
      <c r="V63">
        <f>337.5236908</f>
        <v>337.5236908</v>
      </c>
      <c r="W63">
        <f>327.5513645</f>
        <v>327.55136449999998</v>
      </c>
      <c r="X63">
        <f>317.644498</f>
        <v>317.644498</v>
      </c>
      <c r="Y63">
        <f>316.5138824</f>
        <v>316.5138824</v>
      </c>
      <c r="Z63">
        <f>305.0138845</f>
        <v>305.01388450000002</v>
      </c>
      <c r="AA63">
        <f>281.457834</f>
        <v>281.45783399999999</v>
      </c>
      <c r="AB63">
        <f>240.4523036</f>
        <v>240.45230359999999</v>
      </c>
      <c r="AC63">
        <f>295.2250313</f>
        <v>295.22503130000001</v>
      </c>
    </row>
    <row r="64" spans="1:29" x14ac:dyDescent="0.25">
      <c r="A64" t="str">
        <f>"    Cognizant Technology Solutions Corp"</f>
        <v xml:space="preserve">    Cognizant Technology Solutions Corp</v>
      </c>
      <c r="B64" t="str">
        <f>"CTSH US Equity"</f>
        <v>CTSH US Equity</v>
      </c>
      <c r="C64" t="str">
        <f t="shared" si="9"/>
        <v>IS033</v>
      </c>
      <c r="D64" t="str">
        <f t="shared" si="10"/>
        <v>IS_OPER_INC</v>
      </c>
      <c r="E64" t="str">
        <f t="shared" si="11"/>
        <v>Dynamic</v>
      </c>
      <c r="F64">
        <f ca="1">IF(AND(ISNUMBER($F$168),$B$110=1),$F$168,HLOOKUP(INDIRECT(ADDRESS(2,COLUMN())),OFFSET($R$2,0,0,ROW()-1,12),ROW()-1,FALSE))</f>
        <v>579</v>
      </c>
      <c r="G64">
        <f ca="1">IF(AND(ISNUMBER($G$168),$B$110=1),$G$168,HLOOKUP(INDIRECT(ADDRESS(2,COLUMN())),OFFSET($R$2,0,0,ROW()-1,12),ROW()-1,FALSE))</f>
        <v>626</v>
      </c>
      <c r="H64">
        <f ca="1">IF(AND(ISNUMBER($H$168),$B$110=1),$H$168,HLOOKUP(INDIRECT(ADDRESS(2,COLUMN())),OFFSET($R$2,0,0,ROW()-1,12),ROW()-1,FALSE))</f>
        <v>669</v>
      </c>
      <c r="I64">
        <f ca="1">IF(AND(ISNUMBER($I$168),$B$110=1),$I$168,HLOOKUP(INDIRECT(ADDRESS(2,COLUMN())),OFFSET($R$2,0,0,ROW()-1,12),ROW()-1,FALSE))</f>
        <v>619</v>
      </c>
      <c r="J64">
        <f ca="1">IF(AND(ISNUMBER($J$168),$B$110=1),$J$168,HLOOKUP(INDIRECT(ADDRESS(2,COLUMN())),OFFSET($R$2,0,0,ROW()-1,12),ROW()-1,FALSE))</f>
        <v>539</v>
      </c>
      <c r="K64">
        <f ca="1">IF(AND(ISNUMBER($K$168),$B$110=1),$K$168,HLOOKUP(INDIRECT(ADDRESS(2,COLUMN())),OFFSET($R$2,0,0,ROW()-1,12),ROW()-1,FALSE))</f>
        <v>693</v>
      </c>
      <c r="L64">
        <f ca="1">IF(AND(ISNUMBER($L$168),$B$110=1),$L$168,HLOOKUP(INDIRECT(ADDRESS(2,COLUMN())),OFFSET($R$2,0,0,ROW()-1,12),ROW()-1,FALSE))</f>
        <v>745</v>
      </c>
      <c r="M64">
        <f ca="1">IF(AND(ISNUMBER($M$168),$B$110=1),$M$168,HLOOKUP(INDIRECT(ADDRESS(2,COLUMN())),OFFSET($R$2,0,0,ROW()-1,12),ROW()-1,FALSE))</f>
        <v>670</v>
      </c>
      <c r="N64">
        <f ca="1">IF(AND(ISNUMBER($N$168),$B$110=1),$N$168,HLOOKUP(INDIRECT(ADDRESS(2,COLUMN())),OFFSET($R$2,0,0,ROW()-1,12),ROW()-1,FALSE))</f>
        <v>693</v>
      </c>
      <c r="O64">
        <f ca="1">IF(AND(ISNUMBER($O$168),$B$110=1),$O$168,HLOOKUP(INDIRECT(ADDRESS(2,COLUMN())),OFFSET($R$2,0,0,ROW()-1,12),ROW()-1,FALSE))</f>
        <v>657</v>
      </c>
      <c r="P64">
        <f ca="1">IF(AND(ISNUMBER($P$168),$B$110=1),$P$168,HLOOKUP(INDIRECT(ADDRESS(2,COLUMN())),OFFSET($R$2,0,0,ROW()-1,12),ROW()-1,FALSE))</f>
        <v>648</v>
      </c>
      <c r="Q64">
        <f ca="1">IF(AND(ISNUMBER($Q$168),$B$110=1),$Q$168,HLOOKUP(INDIRECT(ADDRESS(2,COLUMN())),OFFSET($R$2,0,0,ROW()-1,12),ROW()-1,FALSE))</f>
        <v>606</v>
      </c>
      <c r="R64">
        <f>579</f>
        <v>579</v>
      </c>
      <c r="S64">
        <f>626</f>
        <v>626</v>
      </c>
      <c r="T64">
        <f>669</f>
        <v>669</v>
      </c>
      <c r="U64">
        <f>619</f>
        <v>619</v>
      </c>
      <c r="V64">
        <f>539</f>
        <v>539</v>
      </c>
      <c r="W64">
        <f>693</f>
        <v>693</v>
      </c>
      <c r="X64">
        <f>745</f>
        <v>745</v>
      </c>
      <c r="Y64">
        <f>670</f>
        <v>670</v>
      </c>
      <c r="Z64">
        <f>693</f>
        <v>693</v>
      </c>
      <c r="AA64">
        <f>657</f>
        <v>657</v>
      </c>
      <c r="AB64">
        <f>648</f>
        <v>648</v>
      </c>
      <c r="AC64">
        <f>606</f>
        <v>606</v>
      </c>
    </row>
    <row r="65" spans="1:29" x14ac:dyDescent="0.25">
      <c r="A65" t="str">
        <f>"    Conduent Inc"</f>
        <v xml:space="preserve">    Conduent Inc</v>
      </c>
      <c r="B65" t="str">
        <f>"CNDT US Equity"</f>
        <v>CNDT US Equity</v>
      </c>
      <c r="C65" t="str">
        <f t="shared" si="9"/>
        <v>IS033</v>
      </c>
      <c r="D65" t="str">
        <f t="shared" si="10"/>
        <v>IS_OPER_INC</v>
      </c>
      <c r="E65" t="str">
        <f t="shared" si="11"/>
        <v>Dynamic</v>
      </c>
      <c r="F65">
        <f ca="1">IF(AND(ISNUMBER($F$169),$B$110=1),$F$169,HLOOKUP(INDIRECT(ADDRESS(2,COLUMN())),OFFSET($R$2,0,0,ROW()-1,12),ROW()-1,FALSE))</f>
        <v>-34</v>
      </c>
      <c r="G65">
        <f ca="1">IF(AND(ISNUMBER($G$169),$B$110=1),$G$169,HLOOKUP(INDIRECT(ADDRESS(2,COLUMN())),OFFSET($R$2,0,0,ROW()-1,12),ROW()-1,FALSE))</f>
        <v>-617</v>
      </c>
      <c r="H65">
        <f ca="1">IF(AND(ISNUMBER($H$169),$B$110=1),$H$169,HLOOKUP(INDIRECT(ADDRESS(2,COLUMN())),OFFSET($R$2,0,0,ROW()-1,12),ROW()-1,FALSE))</f>
        <v>6</v>
      </c>
      <c r="I65">
        <f ca="1">IF(AND(ISNUMBER($I$169),$B$110=1),$I$169,HLOOKUP(INDIRECT(ADDRESS(2,COLUMN())),OFFSET($R$2,0,0,ROW()-1,12),ROW()-1,FALSE))</f>
        <v>-1098</v>
      </c>
      <c r="J65">
        <f ca="1">IF(AND(ISNUMBER($J$169),$B$110=1),$J$169,HLOOKUP(INDIRECT(ADDRESS(2,COLUMN())),OFFSET($R$2,0,0,ROW()-1,12),ROW()-1,FALSE))</f>
        <v>-319</v>
      </c>
      <c r="K65">
        <f ca="1">IF(AND(ISNUMBER($K$169),$B$110=1),$K$169,HLOOKUP(INDIRECT(ADDRESS(2,COLUMN())),OFFSET($R$2,0,0,ROW()-1,12),ROW()-1,FALSE))</f>
        <v>-119</v>
      </c>
      <c r="L65">
        <f ca="1">IF(AND(ISNUMBER($L$169),$B$110=1),$L$169,HLOOKUP(INDIRECT(ADDRESS(2,COLUMN())),OFFSET($R$2,0,0,ROW()-1,12),ROW()-1,FALSE))</f>
        <v>-230</v>
      </c>
      <c r="M65">
        <f ca="1">IF(AND(ISNUMBER($M$169),$B$110=1),$M$169,HLOOKUP(INDIRECT(ADDRESS(2,COLUMN())),OFFSET($R$2,0,0,ROW()-1,12),ROW()-1,FALSE))</f>
        <v>89</v>
      </c>
      <c r="N65">
        <f ca="1">IF(AND(ISNUMBER($N$169),$B$110=1),$N$169,HLOOKUP(INDIRECT(ADDRESS(2,COLUMN())),OFFSET($R$2,0,0,ROW()-1,12),ROW()-1,FALSE))</f>
        <v>-22</v>
      </c>
      <c r="O65">
        <f ca="1">IF(AND(ISNUMBER($O$169),$B$110=1),$O$169,HLOOKUP(INDIRECT(ADDRESS(2,COLUMN())),OFFSET($R$2,0,0,ROW()-1,12),ROW()-1,FALSE))</f>
        <v>39</v>
      </c>
      <c r="P65">
        <f ca="1">IF(AND(ISNUMBER($P$169),$B$110=1),$P$169,HLOOKUP(INDIRECT(ADDRESS(2,COLUMN())),OFFSET($R$2,0,0,ROW()-1,12),ROW()-1,FALSE))</f>
        <v>48</v>
      </c>
      <c r="Q65">
        <f ca="1">IF(AND(ISNUMBER($Q$169),$B$110=1),$Q$169,HLOOKUP(INDIRECT(ADDRESS(2,COLUMN())),OFFSET($R$2,0,0,ROW()-1,12),ROW()-1,FALSE))</f>
        <v>13</v>
      </c>
      <c r="R65">
        <f>-34</f>
        <v>-34</v>
      </c>
      <c r="S65">
        <f>-617</f>
        <v>-617</v>
      </c>
      <c r="T65">
        <f>6</f>
        <v>6</v>
      </c>
      <c r="U65">
        <f>-1098</f>
        <v>-1098</v>
      </c>
      <c r="V65">
        <f>-319</f>
        <v>-319</v>
      </c>
      <c r="W65">
        <f>-119</f>
        <v>-119</v>
      </c>
      <c r="X65">
        <f>-230</f>
        <v>-230</v>
      </c>
      <c r="Y65">
        <f>89</f>
        <v>89</v>
      </c>
      <c r="Z65">
        <f>-22</f>
        <v>-22</v>
      </c>
      <c r="AA65">
        <f>39</f>
        <v>39</v>
      </c>
      <c r="AB65">
        <f>48</f>
        <v>48</v>
      </c>
      <c r="AC65">
        <f>13</f>
        <v>13</v>
      </c>
    </row>
    <row r="66" spans="1:29" x14ac:dyDescent="0.25">
      <c r="A66" t="str">
        <f>"    DXC Technology Co"</f>
        <v xml:space="preserve">    DXC Technology Co</v>
      </c>
      <c r="B66" t="str">
        <f>"DXC US Equity"</f>
        <v>DXC US Equity</v>
      </c>
      <c r="C66" t="str">
        <f t="shared" si="9"/>
        <v>IS033</v>
      </c>
      <c r="D66" t="str">
        <f t="shared" si="10"/>
        <v>IS_OPER_INC</v>
      </c>
      <c r="E66" t="str">
        <f t="shared" si="11"/>
        <v>Dynamic</v>
      </c>
      <c r="F66">
        <f ca="1">IF(AND(ISNUMBER($F$170),$B$110=1),$F$170,HLOOKUP(INDIRECT(ADDRESS(2,COLUMN())),OFFSET($R$2,0,0,ROW()-1,12),ROW()-1,FALSE))</f>
        <v>-3878</v>
      </c>
      <c r="G66">
        <f ca="1">IF(AND(ISNUMBER($G$170),$B$110=1),$G$170,HLOOKUP(INDIRECT(ADDRESS(2,COLUMN())),OFFSET($R$2,0,0,ROW()-1,12),ROW()-1,FALSE))</f>
        <v>70</v>
      </c>
      <c r="H66">
        <f ca="1">IF(AND(ISNUMBER($H$170),$B$110=1),$H$170,HLOOKUP(INDIRECT(ADDRESS(2,COLUMN())),OFFSET($R$2,0,0,ROW()-1,12),ROW()-1,FALSE))</f>
        <v>-2071</v>
      </c>
      <c r="I66">
        <f ca="1">IF(AND(ISNUMBER($I$170),$B$110=1),$I$170,HLOOKUP(INDIRECT(ADDRESS(2,COLUMN())),OFFSET($R$2,0,0,ROW()-1,12),ROW()-1,FALSE))</f>
        <v>149</v>
      </c>
      <c r="J66">
        <f ca="1">IF(AND(ISNUMBER($J$170),$B$110=1),$J$170,HLOOKUP(INDIRECT(ADDRESS(2,COLUMN())),OFFSET($R$2,0,0,ROW()-1,12),ROW()-1,FALSE))</f>
        <v>403</v>
      </c>
      <c r="K66">
        <f ca="1">IF(AND(ISNUMBER($K$170),$B$110=1),$K$170,HLOOKUP(INDIRECT(ADDRESS(2,COLUMN())),OFFSET($R$2,0,0,ROW()-1,12),ROW()-1,FALSE))</f>
        <v>378</v>
      </c>
      <c r="L66">
        <f ca="1">IF(AND(ISNUMBER($L$170),$B$110=1),$L$170,HLOOKUP(INDIRECT(ADDRESS(2,COLUMN())),OFFSET($R$2,0,0,ROW()-1,12),ROW()-1,FALSE))</f>
        <v>285</v>
      </c>
      <c r="M66">
        <f ca="1">IF(AND(ISNUMBER($M$170),$B$110=1),$M$170,HLOOKUP(INDIRECT(ADDRESS(2,COLUMN())),OFFSET($R$2,0,0,ROW()-1,12),ROW()-1,FALSE))</f>
        <v>319</v>
      </c>
      <c r="N66">
        <f ca="1">IF(AND(ISNUMBER($N$170),$B$110=1),$N$170,HLOOKUP(INDIRECT(ADDRESS(2,COLUMN())),OFFSET($R$2,0,0,ROW()-1,12),ROW()-1,FALSE))</f>
        <v>658</v>
      </c>
      <c r="O66">
        <f ca="1">IF(AND(ISNUMBER($O$170),$B$110=1),$O$170,HLOOKUP(INDIRECT(ADDRESS(2,COLUMN())),OFFSET($R$2,0,0,ROW()-1,12),ROW()-1,FALSE))</f>
        <v>312</v>
      </c>
      <c r="P66">
        <f ca="1">IF(AND(ISNUMBER($P$170),$B$110=1),$P$170,HLOOKUP(INDIRECT(ADDRESS(2,COLUMN())),OFFSET($R$2,0,0,ROW()-1,12),ROW()-1,FALSE))</f>
        <v>269</v>
      </c>
      <c r="Q66">
        <f ca="1">IF(AND(ISNUMBER($Q$170),$B$110=1),$Q$170,HLOOKUP(INDIRECT(ADDRESS(2,COLUMN())),OFFSET($R$2,0,0,ROW()-1,12),ROW()-1,FALSE))</f>
        <v>5</v>
      </c>
      <c r="R66">
        <f>-3878</f>
        <v>-3878</v>
      </c>
      <c r="S66">
        <f>70</f>
        <v>70</v>
      </c>
      <c r="T66">
        <f>-2071</f>
        <v>-2071</v>
      </c>
      <c r="U66">
        <f>149</f>
        <v>149</v>
      </c>
      <c r="V66">
        <f>403</f>
        <v>403</v>
      </c>
      <c r="W66">
        <f>378</f>
        <v>378</v>
      </c>
      <c r="X66">
        <f>285</f>
        <v>285</v>
      </c>
      <c r="Y66">
        <f>319</f>
        <v>319</v>
      </c>
      <c r="Z66">
        <f>658</f>
        <v>658</v>
      </c>
      <c r="AA66">
        <f>312</f>
        <v>312</v>
      </c>
      <c r="AB66">
        <f>269</f>
        <v>269</v>
      </c>
      <c r="AC66">
        <f>5</f>
        <v>5</v>
      </c>
    </row>
    <row r="67" spans="1:29" x14ac:dyDescent="0.25">
      <c r="A67" t="str">
        <f>"    EPAM Systems Inc"</f>
        <v xml:space="preserve">    EPAM Systems Inc</v>
      </c>
      <c r="B67" t="str">
        <f>"EPAM US Equity"</f>
        <v>EPAM US Equity</v>
      </c>
      <c r="C67" t="str">
        <f t="shared" si="9"/>
        <v>IS033</v>
      </c>
      <c r="D67" t="str">
        <f t="shared" si="10"/>
        <v>IS_OPER_INC</v>
      </c>
      <c r="E67" t="str">
        <f t="shared" si="11"/>
        <v>Dynamic</v>
      </c>
      <c r="F67">
        <f ca="1">IF(AND(ISNUMBER($F$171),$B$110=1),$F$171,HLOOKUP(INDIRECT(ADDRESS(2,COLUMN())),OFFSET($R$2,0,0,ROW()-1,12),ROW()-1,FALSE))</f>
        <v>87.509</v>
      </c>
      <c r="G67">
        <f ca="1">IF(AND(ISNUMBER($G$171),$B$110=1),$G$171,HLOOKUP(INDIRECT(ADDRESS(2,COLUMN())),OFFSET($R$2,0,0,ROW()-1,12),ROW()-1,FALSE))</f>
        <v>84.745000000000005</v>
      </c>
      <c r="H67">
        <f ca="1">IF(AND(ISNUMBER($H$171),$B$110=1),$H$171,HLOOKUP(INDIRECT(ADDRESS(2,COLUMN())),OFFSET($R$2,0,0,ROW()-1,12),ROW()-1,FALSE))</f>
        <v>80.564999999999998</v>
      </c>
      <c r="I67">
        <f ca="1">IF(AND(ISNUMBER($I$171),$B$110=1),$I$171,HLOOKUP(INDIRECT(ADDRESS(2,COLUMN())),OFFSET($R$2,0,0,ROW()-1,12),ROW()-1,FALSE))</f>
        <v>72.882000000000005</v>
      </c>
      <c r="J67">
        <f ca="1">IF(AND(ISNUMBER($J$171),$B$110=1),$J$171,HLOOKUP(INDIRECT(ADDRESS(2,COLUMN())),OFFSET($R$2,0,0,ROW()-1,12),ROW()-1,FALSE))</f>
        <v>64.658000000000001</v>
      </c>
      <c r="K67">
        <f ca="1">IF(AND(ISNUMBER($K$171),$B$110=1),$K$171,HLOOKUP(INDIRECT(ADDRESS(2,COLUMN())),OFFSET($R$2,0,0,ROW()-1,12),ROW()-1,FALSE))</f>
        <v>78.27</v>
      </c>
      <c r="L67">
        <f ca="1">IF(AND(ISNUMBER($L$171),$B$110=1),$L$171,HLOOKUP(INDIRECT(ADDRESS(2,COLUMN())),OFFSET($R$2,0,0,ROW()-1,12),ROW()-1,FALSE))</f>
        <v>64.56</v>
      </c>
      <c r="M67">
        <f ca="1">IF(AND(ISNUMBER($M$171),$B$110=1),$M$171,HLOOKUP(INDIRECT(ADDRESS(2,COLUMN())),OFFSET($R$2,0,0,ROW()-1,12),ROW()-1,FALSE))</f>
        <v>54.237000000000002</v>
      </c>
      <c r="N67">
        <f ca="1">IF(AND(ISNUMBER($N$171),$B$110=1),$N$171,HLOOKUP(INDIRECT(ADDRESS(2,COLUMN())),OFFSET($R$2,0,0,ROW()-1,12),ROW()-1,FALSE))</f>
        <v>48.697000000000003</v>
      </c>
      <c r="O67">
        <f ca="1">IF(AND(ISNUMBER($O$171),$B$110=1),$O$171,HLOOKUP(INDIRECT(ADDRESS(2,COLUMN())),OFFSET($R$2,0,0,ROW()-1,12),ROW()-1,FALSE))</f>
        <v>52.05</v>
      </c>
      <c r="P67">
        <f ca="1">IF(AND(ISNUMBER($P$171),$B$110=1),$P$171,HLOOKUP(INDIRECT(ADDRESS(2,COLUMN())),OFFSET($R$2,0,0,ROW()-1,12),ROW()-1,FALSE))</f>
        <v>49.247999999999998</v>
      </c>
      <c r="Q67">
        <f ca="1">IF(AND(ISNUMBER($Q$171),$B$110=1),$Q$171,HLOOKUP(INDIRECT(ADDRESS(2,COLUMN())),OFFSET($R$2,0,0,ROW()-1,12),ROW()-1,FALSE))</f>
        <v>40.682000000000002</v>
      </c>
      <c r="R67">
        <f>87.509</f>
        <v>87.509</v>
      </c>
      <c r="S67">
        <f>84.745</f>
        <v>84.745000000000005</v>
      </c>
      <c r="T67">
        <f>80.565</f>
        <v>80.564999999999998</v>
      </c>
      <c r="U67">
        <f>72.882</f>
        <v>72.882000000000005</v>
      </c>
      <c r="V67">
        <f>64.658</f>
        <v>64.658000000000001</v>
      </c>
      <c r="W67">
        <f>78.27</f>
        <v>78.27</v>
      </c>
      <c r="X67">
        <f>64.56</f>
        <v>64.56</v>
      </c>
      <c r="Y67">
        <f>54.237</f>
        <v>54.237000000000002</v>
      </c>
      <c r="Z67">
        <f>48.697</f>
        <v>48.697000000000003</v>
      </c>
      <c r="AA67">
        <f>52.05</f>
        <v>52.05</v>
      </c>
      <c r="AB67">
        <f>49.248</f>
        <v>49.247999999999998</v>
      </c>
      <c r="AC67">
        <f>40.682</f>
        <v>40.682000000000002</v>
      </c>
    </row>
    <row r="68" spans="1:29" x14ac:dyDescent="0.25">
      <c r="A68" t="str">
        <f>"    Genpact Ltd"</f>
        <v xml:space="preserve">    Genpact Ltd</v>
      </c>
      <c r="B68" t="str">
        <f>"G US Equity"</f>
        <v>G US Equity</v>
      </c>
      <c r="C68" t="str">
        <f t="shared" si="9"/>
        <v>IS033</v>
      </c>
      <c r="D68" t="str">
        <f t="shared" si="10"/>
        <v>IS_OPER_INC</v>
      </c>
      <c r="E68" t="str">
        <f t="shared" si="11"/>
        <v>Dynamic</v>
      </c>
      <c r="F68">
        <f ca="1">IF(AND(ISNUMBER($F$172),$B$110=1),$F$172,HLOOKUP(INDIRECT(ADDRESS(2,COLUMN())),OFFSET($R$2,0,0,ROW()-1,12),ROW()-1,FALSE))</f>
        <v>110.658</v>
      </c>
      <c r="G68">
        <f ca="1">IF(AND(ISNUMBER($G$172),$B$110=1),$G$172,HLOOKUP(INDIRECT(ADDRESS(2,COLUMN())),OFFSET($R$2,0,0,ROW()-1,12),ROW()-1,FALSE))</f>
        <v>119.518</v>
      </c>
      <c r="H68">
        <f ca="1">IF(AND(ISNUMBER($H$172),$B$110=1),$H$172,HLOOKUP(INDIRECT(ADDRESS(2,COLUMN())),OFFSET($R$2,0,0,ROW()-1,12),ROW()-1,FALSE))</f>
        <v>113.584</v>
      </c>
      <c r="I68">
        <f ca="1">IF(AND(ISNUMBER($I$172),$B$110=1),$I$172,HLOOKUP(INDIRECT(ADDRESS(2,COLUMN())),OFFSET($R$2,0,0,ROW()-1,12),ROW()-1,FALSE))</f>
        <v>106.202</v>
      </c>
      <c r="J68">
        <f ca="1">IF(AND(ISNUMBER($J$172),$B$110=1),$J$172,HLOOKUP(INDIRECT(ADDRESS(2,COLUMN())),OFFSET($R$2,0,0,ROW()-1,12),ROW()-1,FALSE))</f>
        <v>90.072000000000003</v>
      </c>
      <c r="K68">
        <f ca="1">IF(AND(ISNUMBER($K$172),$B$110=1),$K$172,HLOOKUP(INDIRECT(ADDRESS(2,COLUMN())),OFFSET($R$2,0,0,ROW()-1,12),ROW()-1,FALSE))</f>
        <v>110.84099999999999</v>
      </c>
      <c r="L68">
        <f ca="1">IF(AND(ISNUMBER($L$172),$B$110=1),$L$172,HLOOKUP(INDIRECT(ADDRESS(2,COLUMN())),OFFSET($R$2,0,0,ROW()-1,12),ROW()-1,FALSE))</f>
        <v>94.028000000000006</v>
      </c>
      <c r="M68">
        <f ca="1">IF(AND(ISNUMBER($M$172),$B$110=1),$M$172,HLOOKUP(INDIRECT(ADDRESS(2,COLUMN())),OFFSET($R$2,0,0,ROW()-1,12),ROW()-1,FALSE))</f>
        <v>79.522000000000006</v>
      </c>
      <c r="N68">
        <f ca="1">IF(AND(ISNUMBER($N$172),$B$110=1),$N$172,HLOOKUP(INDIRECT(ADDRESS(2,COLUMN())),OFFSET($R$2,0,0,ROW()-1,12),ROW()-1,FALSE))</f>
        <v>63.761000000000003</v>
      </c>
      <c r="O68">
        <f ca="1">IF(AND(ISNUMBER($O$172),$B$110=1),$O$172,HLOOKUP(INDIRECT(ADDRESS(2,COLUMN())),OFFSET($R$2,0,0,ROW()-1,12),ROW()-1,FALSE))</f>
        <v>73.305000000000007</v>
      </c>
      <c r="P68">
        <f ca="1">IF(AND(ISNUMBER($P$172),$B$110=1),$P$172,HLOOKUP(INDIRECT(ADDRESS(2,COLUMN())),OFFSET($R$2,0,0,ROW()-1,12),ROW()-1,FALSE))</f>
        <v>97.918999999999997</v>
      </c>
      <c r="Q68">
        <f ca="1">IF(AND(ISNUMBER($Q$172),$B$110=1),$Q$172,HLOOKUP(INDIRECT(ADDRESS(2,COLUMN())),OFFSET($R$2,0,0,ROW()-1,12),ROW()-1,FALSE))</f>
        <v>80.959000000000003</v>
      </c>
      <c r="R68">
        <f>110.658</f>
        <v>110.658</v>
      </c>
      <c r="S68">
        <f>119.518</f>
        <v>119.518</v>
      </c>
      <c r="T68">
        <f>113.584</f>
        <v>113.584</v>
      </c>
      <c r="U68">
        <f>106.202</f>
        <v>106.202</v>
      </c>
      <c r="V68">
        <f>90.072</f>
        <v>90.072000000000003</v>
      </c>
      <c r="W68">
        <f>110.841</f>
        <v>110.84099999999999</v>
      </c>
      <c r="X68">
        <f>94.028</f>
        <v>94.028000000000006</v>
      </c>
      <c r="Y68">
        <f>79.522</f>
        <v>79.522000000000006</v>
      </c>
      <c r="Z68">
        <f>63.761</f>
        <v>63.761000000000003</v>
      </c>
      <c r="AA68">
        <f>73.305</f>
        <v>73.305000000000007</v>
      </c>
      <c r="AB68">
        <f>97.919</f>
        <v>97.918999999999997</v>
      </c>
      <c r="AC68">
        <f>80.959</f>
        <v>80.959000000000003</v>
      </c>
    </row>
    <row r="69" spans="1:29" x14ac:dyDescent="0.25">
      <c r="A69" t="str">
        <f>"    HCL Technologies Ltd"</f>
        <v xml:space="preserve">    HCL Technologies Ltd</v>
      </c>
      <c r="B69" t="str">
        <f>"HCLT IN Equity"</f>
        <v>HCLT IN Equity</v>
      </c>
      <c r="C69" t="str">
        <f t="shared" si="9"/>
        <v>IS033</v>
      </c>
      <c r="D69" t="str">
        <f t="shared" si="10"/>
        <v>IS_OPER_INC</v>
      </c>
      <c r="E69" t="str">
        <f t="shared" si="11"/>
        <v>Dynamic</v>
      </c>
      <c r="F69">
        <f ca="1">IF(AND(ISNUMBER($F$173),$B$110=1),$F$173,HLOOKUP(INDIRECT(ADDRESS(2,COLUMN())),OFFSET($R$2,0,0,ROW()-1,12),ROW()-1,FALSE))</f>
        <v>530.79999999999995</v>
      </c>
      <c r="G69">
        <f ca="1">IF(AND(ISNUMBER($G$173),$B$110=1),$G$173,HLOOKUP(INDIRECT(ADDRESS(2,COLUMN())),OFFSET($R$2,0,0,ROW()-1,12),ROW()-1,FALSE))</f>
        <v>514.79999999999995</v>
      </c>
      <c r="H69">
        <f ca="1">IF(AND(ISNUMBER($H$173),$B$110=1),$H$173,HLOOKUP(INDIRECT(ADDRESS(2,COLUMN())),OFFSET($R$2,0,0,ROW()-1,12),ROW()-1,FALSE))</f>
        <v>496.1</v>
      </c>
      <c r="I69">
        <f ca="1">IF(AND(ISNUMBER($I$173),$B$110=1),$I$173,HLOOKUP(INDIRECT(ADDRESS(2,COLUMN())),OFFSET($R$2,0,0,ROW()-1,12),ROW()-1,FALSE))</f>
        <v>403.8</v>
      </c>
      <c r="J69">
        <f ca="1">IF(AND(ISNUMBER($J$173),$B$110=1),$J$173,HLOOKUP(INDIRECT(ADDRESS(2,COLUMN())),OFFSET($R$2,0,0,ROW()-1,12),ROW()-1,FALSE))</f>
        <v>431.1</v>
      </c>
      <c r="K69">
        <f ca="1">IF(AND(ISNUMBER($K$173),$B$110=1),$K$173,HLOOKUP(INDIRECT(ADDRESS(2,COLUMN())),OFFSET($R$2,0,0,ROW()-1,12),ROW()-1,FALSE))</f>
        <v>430.6</v>
      </c>
      <c r="L69">
        <f ca="1">IF(AND(ISNUMBER($L$173),$B$110=1),$L$173,HLOOKUP(INDIRECT(ADDRESS(2,COLUMN())),OFFSET($R$2,0,0,ROW()-1,12),ROW()-1,FALSE))</f>
        <v>417.5</v>
      </c>
      <c r="M69">
        <f ca="1">IF(AND(ISNUMBER($M$173),$B$110=1),$M$173,HLOOKUP(INDIRECT(ADDRESS(2,COLUMN())),OFFSET($R$2,0,0,ROW()-1,12),ROW()-1,FALSE))</f>
        <v>404.1</v>
      </c>
      <c r="N69">
        <f ca="1">IF(AND(ISNUMBER($N$173),$B$110=1),$N$173,HLOOKUP(INDIRECT(ADDRESS(2,COLUMN())),OFFSET($R$2,0,0,ROW()-1,12),ROW()-1,FALSE))</f>
        <v>402.80265559999998</v>
      </c>
      <c r="O69">
        <f ca="1">IF(AND(ISNUMBER($O$173),$B$110=1),$O$173,HLOOKUP(INDIRECT(ADDRESS(2,COLUMN())),OFFSET($R$2,0,0,ROW()-1,12),ROW()-1,FALSE))</f>
        <v>389.3</v>
      </c>
      <c r="P69">
        <f ca="1">IF(AND(ISNUMBER($P$173),$B$110=1),$P$173,HLOOKUP(INDIRECT(ADDRESS(2,COLUMN())),OFFSET($R$2,0,0,ROW()-1,12),ROW()-1,FALSE))</f>
        <v>380</v>
      </c>
      <c r="Q69">
        <f ca="1">IF(AND(ISNUMBER($Q$173),$B$110=1),$Q$173,HLOOKUP(INDIRECT(ADDRESS(2,COLUMN())),OFFSET($R$2,0,0,ROW()-1,12),ROW()-1,FALSE))</f>
        <v>379</v>
      </c>
      <c r="R69">
        <f>530.8</f>
        <v>530.79999999999995</v>
      </c>
      <c r="S69">
        <f>514.8</f>
        <v>514.79999999999995</v>
      </c>
      <c r="T69">
        <f>496.1</f>
        <v>496.1</v>
      </c>
      <c r="U69">
        <f>403.8</f>
        <v>403.8</v>
      </c>
      <c r="V69">
        <f>431.1</f>
        <v>431.1</v>
      </c>
      <c r="W69">
        <f>430.6</f>
        <v>430.6</v>
      </c>
      <c r="X69">
        <f>417.5</f>
        <v>417.5</v>
      </c>
      <c r="Y69">
        <f>404.1</f>
        <v>404.1</v>
      </c>
      <c r="Z69">
        <f>402.8026556</f>
        <v>402.80265559999998</v>
      </c>
      <c r="AA69">
        <f>389.3</f>
        <v>389.3</v>
      </c>
      <c r="AB69">
        <f>380</f>
        <v>380</v>
      </c>
      <c r="AC69">
        <f>379</f>
        <v>379</v>
      </c>
    </row>
    <row r="70" spans="1:29" x14ac:dyDescent="0.25">
      <c r="A70" t="str">
        <f>"    Indra Sistemas SA"</f>
        <v xml:space="preserve">    Indra Sistemas SA</v>
      </c>
      <c r="B70" t="str">
        <f>"IDR SM Equity"</f>
        <v>IDR SM Equity</v>
      </c>
      <c r="C70" t="str">
        <f t="shared" si="9"/>
        <v>IS033</v>
      </c>
      <c r="D70" t="str">
        <f t="shared" si="10"/>
        <v>IS_OPER_INC</v>
      </c>
      <c r="E70" t="str">
        <f t="shared" si="11"/>
        <v>Dynamic</v>
      </c>
      <c r="F70">
        <f ca="1">IF(AND(ISNUMBER($F$174),$B$110=1),$F$174,HLOOKUP(INDIRECT(ADDRESS(2,COLUMN())),OFFSET($R$2,0,0,ROW()-1,12),ROW()-1,FALSE))</f>
        <v>21.168049029999999</v>
      </c>
      <c r="G70">
        <f ca="1">IF(AND(ISNUMBER($G$174),$B$110=1),$G$174,HLOOKUP(INDIRECT(ADDRESS(2,COLUMN())),OFFSET($R$2,0,0,ROW()-1,12),ROW()-1,FALSE))</f>
        <v>104.3260461</v>
      </c>
      <c r="H70">
        <f ca="1">IF(AND(ISNUMBER($H$174),$B$110=1),$H$174,HLOOKUP(INDIRECT(ADDRESS(2,COLUMN())),OFFSET($R$2,0,0,ROW()-1,12),ROW()-1,FALSE))</f>
        <v>53.377216730000001</v>
      </c>
      <c r="I70">
        <f ca="1">IF(AND(ISNUMBER($I$174),$B$110=1),$I$174,HLOOKUP(INDIRECT(ADDRESS(2,COLUMN())),OFFSET($R$2,0,0,ROW()-1,12),ROW()-1,FALSE))</f>
        <v>45.18687765</v>
      </c>
      <c r="J70">
        <f ca="1">IF(AND(ISNUMBER($J$174),$B$110=1),$J$174,HLOOKUP(INDIRECT(ADDRESS(2,COLUMN())),OFFSET($R$2,0,0,ROW()-1,12),ROW()-1,FALSE))</f>
        <v>43.836665979999999</v>
      </c>
      <c r="K70">
        <f ca="1">IF(AND(ISNUMBER($K$174),$B$110=1),$K$174,HLOOKUP(INDIRECT(ADDRESS(2,COLUMN())),OFFSET($R$2,0,0,ROW()-1,12),ROW()-1,FALSE))</f>
        <v>96.125221210000007</v>
      </c>
      <c r="L70">
        <f ca="1">IF(AND(ISNUMBER($L$174),$B$110=1),$L$174,HLOOKUP(INDIRECT(ADDRESS(2,COLUMN())),OFFSET($R$2,0,0,ROW()-1,12),ROW()-1,FALSE))</f>
        <v>49.305704310000003</v>
      </c>
      <c r="M70">
        <f ca="1">IF(AND(ISNUMBER($M$174),$B$110=1),$M$174,HLOOKUP(INDIRECT(ADDRESS(2,COLUMN())),OFFSET($R$2,0,0,ROW()-1,12),ROW()-1,FALSE))</f>
        <v>55.756345520000004</v>
      </c>
      <c r="N70">
        <f ca="1">IF(AND(ISNUMBER($N$174),$B$110=1),$N$174,HLOOKUP(INDIRECT(ADDRESS(2,COLUMN())),OFFSET($R$2,0,0,ROW()-1,12),ROW()-1,FALSE))</f>
        <v>31.830195490000001</v>
      </c>
      <c r="O70">
        <f ca="1">IF(AND(ISNUMBER($O$174),$B$110=1),$O$174,HLOOKUP(INDIRECT(ADDRESS(2,COLUMN())),OFFSET($R$2,0,0,ROW()-1,12),ROW()-1,FALSE))</f>
        <v>84.713494470000001</v>
      </c>
      <c r="P70">
        <f ca="1">IF(AND(ISNUMBER($P$174),$B$110=1),$P$174,HLOOKUP(INDIRECT(ADDRESS(2,COLUMN())),OFFSET($R$2,0,0,ROW()-1,12),ROW()-1,FALSE))</f>
        <v>54.28152789</v>
      </c>
      <c r="Q70">
        <f ca="1">IF(AND(ISNUMBER($Q$174),$B$110=1),$Q$174,HLOOKUP(INDIRECT(ADDRESS(2,COLUMN())),OFFSET($R$2,0,0,ROW()-1,12),ROW()-1,FALSE))</f>
        <v>48.480908599999999</v>
      </c>
      <c r="R70">
        <f>21.16804903</f>
        <v>21.168049029999999</v>
      </c>
      <c r="S70">
        <f>104.3260461</f>
        <v>104.3260461</v>
      </c>
      <c r="T70">
        <f>53.37721673</f>
        <v>53.377216730000001</v>
      </c>
      <c r="U70">
        <f>45.18687765</f>
        <v>45.18687765</v>
      </c>
      <c r="V70">
        <f>43.83666598</f>
        <v>43.836665979999999</v>
      </c>
      <c r="W70">
        <f>96.12522121</f>
        <v>96.125221210000007</v>
      </c>
      <c r="X70">
        <f>49.30570431</f>
        <v>49.305704310000003</v>
      </c>
      <c r="Y70">
        <f>55.75634552</f>
        <v>55.756345520000004</v>
      </c>
      <c r="Z70">
        <f>31.83019549</f>
        <v>31.830195490000001</v>
      </c>
      <c r="AA70">
        <f>84.71349447</f>
        <v>84.713494470000001</v>
      </c>
      <c r="AB70">
        <f>54.28152789</f>
        <v>54.28152789</v>
      </c>
      <c r="AC70">
        <f>48.4809086</f>
        <v>48.480908599999999</v>
      </c>
    </row>
    <row r="71" spans="1:29" x14ac:dyDescent="0.25">
      <c r="A71" t="str">
        <f>"    Infosys Ltd"</f>
        <v xml:space="preserve">    Infosys Ltd</v>
      </c>
      <c r="B71" t="str">
        <f>"INFY US Equity"</f>
        <v>INFY US Equity</v>
      </c>
      <c r="C71" t="str">
        <f t="shared" si="9"/>
        <v>IS033</v>
      </c>
      <c r="D71" t="str">
        <f t="shared" si="10"/>
        <v>IS_OPER_INC</v>
      </c>
      <c r="E71" t="str">
        <f t="shared" si="11"/>
        <v>Dynamic</v>
      </c>
      <c r="F71">
        <f ca="1">IF(AND(ISNUMBER($F$175),$B$110=1),$F$175,HLOOKUP(INDIRECT(ADDRESS(2,COLUMN())),OFFSET($R$2,0,0,ROW()-1,12),ROW()-1,FALSE))</f>
        <v>680.1514502</v>
      </c>
      <c r="G71">
        <f ca="1">IF(AND(ISNUMBER($G$175),$B$110=1),$G$175,HLOOKUP(INDIRECT(ADDRESS(2,COLUMN())),OFFSET($R$2,0,0,ROW()-1,12),ROW()-1,FALSE))</f>
        <v>711.06266489999996</v>
      </c>
      <c r="H71">
        <f ca="1">IF(AND(ISNUMBER($H$175),$B$110=1),$H$175,HLOOKUP(INDIRECT(ADDRESS(2,COLUMN())),OFFSET($R$2,0,0,ROW()-1,12),ROW()-1,FALSE))</f>
        <v>698.04234780000002</v>
      </c>
      <c r="I71">
        <f ca="1">IF(AND(ISNUMBER($I$175),$B$110=1),$I$175,HLOOKUP(INDIRECT(ADDRESS(2,COLUMN())),OFFSET($R$2,0,0,ROW()-1,12),ROW()-1,FALSE))</f>
        <v>642.94629180000004</v>
      </c>
      <c r="J71">
        <f ca="1">IF(AND(ISNUMBER($J$175),$B$110=1),$J$175,HLOOKUP(INDIRECT(ADDRESS(2,COLUMN())),OFFSET($R$2,0,0,ROW()-1,12),ROW()-1,FALSE))</f>
        <v>655.47983550000004</v>
      </c>
      <c r="K71">
        <f ca="1">IF(AND(ISNUMBER($K$175),$B$110=1),$K$175,HLOOKUP(INDIRECT(ADDRESS(2,COLUMN())),OFFSET($R$2,0,0,ROW()-1,12),ROW()-1,FALSE))</f>
        <v>670.32379260000005</v>
      </c>
      <c r="L71">
        <f ca="1">IF(AND(ISNUMBER($L$175),$B$110=1),$L$175,HLOOKUP(INDIRECT(ADDRESS(2,COLUMN())),OFFSET($R$2,0,0,ROW()-1,12),ROW()-1,FALSE))</f>
        <v>698.51999320000004</v>
      </c>
      <c r="M71">
        <f ca="1">IF(AND(ISNUMBER($M$175),$B$110=1),$M$175,HLOOKUP(INDIRECT(ADDRESS(2,COLUMN())),OFFSET($R$2,0,0,ROW()-1,12),ROW()-1,FALSE))</f>
        <v>676.64863590000004</v>
      </c>
      <c r="N71">
        <f ca="1">IF(AND(ISNUMBER($N$175),$B$110=1),$N$175,HLOOKUP(INDIRECT(ADDRESS(2,COLUMN())),OFFSET($R$2,0,0,ROW()-1,12),ROW()-1,FALSE))</f>
        <v>694.69088920000002</v>
      </c>
      <c r="O71">
        <f ca="1">IF(AND(ISNUMBER($O$175),$B$110=1),$O$175,HLOOKUP(INDIRECT(ADDRESS(2,COLUMN())),OFFSET($R$2,0,0,ROW()-1,12),ROW()-1,FALSE))</f>
        <v>667.19625099999996</v>
      </c>
      <c r="P71">
        <f ca="1">IF(AND(ISNUMBER($P$175),$B$110=1),$P$175,HLOOKUP(INDIRECT(ADDRESS(2,COLUMN())),OFFSET($R$2,0,0,ROW()-1,12),ROW()-1,FALSE))</f>
        <v>660.5137575</v>
      </c>
      <c r="Q71">
        <f ca="1">IF(AND(ISNUMBER($Q$175),$B$110=1),$Q$175,HLOOKUP(INDIRECT(ADDRESS(2,COLUMN())),OFFSET($R$2,0,0,ROW()-1,12),ROW()-1,FALSE))</f>
        <v>637.48656830000004</v>
      </c>
      <c r="R71">
        <f>680.1514502</f>
        <v>680.1514502</v>
      </c>
      <c r="S71">
        <f>711.0626649</f>
        <v>711.06266489999996</v>
      </c>
      <c r="T71">
        <f>698.0423478</f>
        <v>698.04234780000002</v>
      </c>
      <c r="U71">
        <f>642.9462918</f>
        <v>642.94629180000004</v>
      </c>
      <c r="V71">
        <f>655.4798355</f>
        <v>655.47983550000004</v>
      </c>
      <c r="W71">
        <f>670.3237926</f>
        <v>670.32379260000005</v>
      </c>
      <c r="X71">
        <f>698.5199932</f>
        <v>698.51999320000004</v>
      </c>
      <c r="Y71">
        <f>676.6486359</f>
        <v>676.64863590000004</v>
      </c>
      <c r="Z71">
        <f>694.6908892</f>
        <v>694.69088920000002</v>
      </c>
      <c r="AA71">
        <f>667.196251</f>
        <v>667.19625099999996</v>
      </c>
      <c r="AB71">
        <f>660.5137575</f>
        <v>660.5137575</v>
      </c>
      <c r="AC71">
        <f>637.4865683</f>
        <v>637.48656830000004</v>
      </c>
    </row>
    <row r="72" spans="1:29" x14ac:dyDescent="0.25">
      <c r="A72" t="str">
        <f>"    International Business Machines Corp"</f>
        <v xml:space="preserve">    International Business Machines Corp</v>
      </c>
      <c r="B72" t="str">
        <f>"IBM US Equity"</f>
        <v>IBM US Equity</v>
      </c>
      <c r="C72" t="str">
        <f t="shared" si="9"/>
        <v>IS033</v>
      </c>
      <c r="D72" t="str">
        <f t="shared" si="10"/>
        <v>IS_OPER_INC</v>
      </c>
      <c r="E72" t="str">
        <f t="shared" si="11"/>
        <v>Dynamic</v>
      </c>
      <c r="F72">
        <f ca="1">IF(AND(ISNUMBER($F$176),$B$110=1),$F$176,HLOOKUP(INDIRECT(ADDRESS(2,COLUMN())),OFFSET($R$2,0,0,ROW()-1,12),ROW()-1,FALSE))</f>
        <v>343</v>
      </c>
      <c r="G72">
        <f ca="1">IF(AND(ISNUMBER($G$176),$B$110=1),$G$176,HLOOKUP(INDIRECT(ADDRESS(2,COLUMN())),OFFSET($R$2,0,0,ROW()-1,12),ROW()-1,FALSE))</f>
        <v>4071</v>
      </c>
      <c r="H72">
        <f ca="1">IF(AND(ISNUMBER($H$176),$B$110=1),$H$176,HLOOKUP(INDIRECT(ADDRESS(2,COLUMN())),OFFSET($R$2,0,0,ROW()-1,12),ROW()-1,FALSE))</f>
        <v>1759</v>
      </c>
      <c r="I72">
        <f ca="1">IF(AND(ISNUMBER($I$176),$B$110=1),$I$176,HLOOKUP(INDIRECT(ADDRESS(2,COLUMN())),OFFSET($R$2,0,0,ROW()-1,12),ROW()-1,FALSE))</f>
        <v>2147</v>
      </c>
      <c r="J72">
        <f ca="1">IF(AND(ISNUMBER($J$176),$B$110=1),$J$176,HLOOKUP(INDIRECT(ADDRESS(2,COLUMN())),OFFSET($R$2,0,0,ROW()-1,12),ROW()-1,FALSE))</f>
        <v>1919</v>
      </c>
      <c r="K72">
        <f ca="1">IF(AND(ISNUMBER($K$176),$B$110=1),$K$176,HLOOKUP(INDIRECT(ADDRESS(2,COLUMN())),OFFSET($R$2,0,0,ROW()-1,12),ROW()-1,FALSE))</f>
        <v>4628</v>
      </c>
      <c r="L72">
        <f ca="1">IF(AND(ISNUMBER($L$176),$B$110=1),$L$176,HLOOKUP(INDIRECT(ADDRESS(2,COLUMN())),OFFSET($R$2,0,0,ROW()-1,12),ROW()-1,FALSE))</f>
        <v>3188</v>
      </c>
      <c r="M72">
        <f ca="1">IF(AND(ISNUMBER($M$176),$B$110=1),$M$176,HLOOKUP(INDIRECT(ADDRESS(2,COLUMN())),OFFSET($R$2,0,0,ROW()-1,12),ROW()-1,FALSE))</f>
        <v>2978</v>
      </c>
      <c r="N72">
        <f ca="1">IF(AND(ISNUMBER($N$176),$B$110=1),$N$176,HLOOKUP(INDIRECT(ADDRESS(2,COLUMN())),OFFSET($R$2,0,0,ROW()-1,12),ROW()-1,FALSE))</f>
        <v>1397</v>
      </c>
      <c r="O72">
        <f ca="1">IF(AND(ISNUMBER($O$176),$B$110=1),$O$176,HLOOKUP(INDIRECT(ADDRESS(2,COLUMN())),OFFSET($R$2,0,0,ROW()-1,12),ROW()-1,FALSE))</f>
        <v>4658</v>
      </c>
      <c r="P72">
        <f ca="1">IF(AND(ISNUMBER($P$176),$B$110=1),$P$176,HLOOKUP(INDIRECT(ADDRESS(2,COLUMN())),OFFSET($R$2,0,0,ROW()-1,12),ROW()-1,FALSE))</f>
        <v>2810</v>
      </c>
      <c r="Q72">
        <f ca="1">IF(AND(ISNUMBER($Q$176),$B$110=1),$Q$176,HLOOKUP(INDIRECT(ADDRESS(2,COLUMN())),OFFSET($R$2,0,0,ROW()-1,12),ROW()-1,FALSE))</f>
        <v>2499</v>
      </c>
      <c r="R72">
        <f>343</f>
        <v>343</v>
      </c>
      <c r="S72">
        <f>4071</f>
        <v>4071</v>
      </c>
      <c r="T72">
        <f>1759</f>
        <v>1759</v>
      </c>
      <c r="U72">
        <f>2147</f>
        <v>2147</v>
      </c>
      <c r="V72">
        <f>1919</f>
        <v>1919</v>
      </c>
      <c r="W72">
        <f>4628</f>
        <v>4628</v>
      </c>
      <c r="X72">
        <f>3188</f>
        <v>3188</v>
      </c>
      <c r="Y72">
        <f>2978</f>
        <v>2978</v>
      </c>
      <c r="Z72">
        <f>1397</f>
        <v>1397</v>
      </c>
      <c r="AA72">
        <f>4658</f>
        <v>4658</v>
      </c>
      <c r="AB72">
        <f>2810</f>
        <v>2810</v>
      </c>
      <c r="AC72">
        <f>2499</f>
        <v>2499</v>
      </c>
    </row>
    <row r="73" spans="1:29" x14ac:dyDescent="0.25">
      <c r="A73" t="str">
        <f>"    Tata Consultancy Services Ltd"</f>
        <v xml:space="preserve">    Tata Consultancy Services Ltd</v>
      </c>
      <c r="B73" t="str">
        <f>"TCS IN Equity"</f>
        <v>TCS IN Equity</v>
      </c>
      <c r="C73" t="str">
        <f t="shared" si="9"/>
        <v>IS033</v>
      </c>
      <c r="D73" t="str">
        <f t="shared" si="10"/>
        <v>IS_OPER_INC</v>
      </c>
      <c r="E73" t="str">
        <f t="shared" si="11"/>
        <v>Dynamic</v>
      </c>
      <c r="F73">
        <f ca="1">IF(AND(ISNUMBER($F$177),$B$110=1),$F$177,HLOOKUP(INDIRECT(ADDRESS(2,COLUMN())),OFFSET($R$2,0,0,ROW()-1,12),ROW()-1,FALSE))</f>
        <v>1383.908725</v>
      </c>
      <c r="G73">
        <f ca="1">IF(AND(ISNUMBER($G$177),$B$110=1),$G$177,HLOOKUP(INDIRECT(ADDRESS(2,COLUMN())),OFFSET($R$2,0,0,ROW()-1,12),ROW()-1,FALSE))</f>
        <v>1400.5013859999999</v>
      </c>
      <c r="H73">
        <f ca="1">IF(AND(ISNUMBER($H$177),$B$110=1),$H$177,HLOOKUP(INDIRECT(ADDRESS(2,COLUMN())),OFFSET($R$2,0,0,ROW()-1,12),ROW()-1,FALSE))</f>
        <v>1330.287951</v>
      </c>
      <c r="I73">
        <f ca="1">IF(AND(ISNUMBER($I$177),$B$110=1),$I$177,HLOOKUP(INDIRECT(ADDRESS(2,COLUMN())),OFFSET($R$2,0,0,ROW()-1,12),ROW()-1,FALSE))</f>
        <v>1325.870009</v>
      </c>
      <c r="J73">
        <f ca="1">IF(AND(ISNUMBER($J$177),$B$110=1),$J$177,HLOOKUP(INDIRECT(ADDRESS(2,COLUMN())),OFFSET($R$2,0,0,ROW()-1,12),ROW()-1,FALSE))</f>
        <v>1353.683671</v>
      </c>
      <c r="K73">
        <f ca="1">IF(AND(ISNUMBER($K$177),$B$110=1),$K$177,HLOOKUP(INDIRECT(ADDRESS(2,COLUMN())),OFFSET($R$2,0,0,ROW()-1,12),ROW()-1,FALSE))</f>
        <v>1327.3243789999999</v>
      </c>
      <c r="L73">
        <f ca="1">IF(AND(ISNUMBER($L$177),$B$110=1),$L$177,HLOOKUP(INDIRECT(ADDRESS(2,COLUMN())),OFFSET($R$2,0,0,ROW()-1,12),ROW()-1,FALSE))</f>
        <v>1394.6135790000001</v>
      </c>
      <c r="M73">
        <f ca="1">IF(AND(ISNUMBER($M$177),$B$110=1),$M$177,HLOOKUP(INDIRECT(ADDRESS(2,COLUMN())),OFFSET($R$2,0,0,ROW()-1,12),ROW()-1,FALSE))</f>
        <v>1279.3237819999999</v>
      </c>
      <c r="N73">
        <f ca="1">IF(AND(ISNUMBER($N$177),$B$110=1),$N$177,HLOOKUP(INDIRECT(ADDRESS(2,COLUMN())),OFFSET($R$2,0,0,ROW()-1,12),ROW()-1,FALSE))</f>
        <v>1265.5739430000001</v>
      </c>
      <c r="O73">
        <f ca="1">IF(AND(ISNUMBER($O$177),$B$110=1),$O$177,HLOOKUP(INDIRECT(ADDRESS(2,COLUMN())),OFFSET($R$2,0,0,ROW()-1,12),ROW()-1,FALSE))</f>
        <v>1202.0037110000001</v>
      </c>
      <c r="P73">
        <f ca="1">IF(AND(ISNUMBER($P$177),$B$110=1),$P$177,HLOOKUP(INDIRECT(ADDRESS(2,COLUMN())),OFFSET($R$2,0,0,ROW()-1,12),ROW()-1,FALSE))</f>
        <v>1191.60042</v>
      </c>
      <c r="Q73">
        <f ca="1">IF(AND(ISNUMBER($Q$177),$B$110=1),$Q$177,HLOOKUP(INDIRECT(ADDRESS(2,COLUMN())),OFFSET($R$2,0,0,ROW()-1,12),ROW()-1,FALSE))</f>
        <v>1072.14355</v>
      </c>
      <c r="R73">
        <f>1383.908725</f>
        <v>1383.908725</v>
      </c>
      <c r="S73">
        <f>1400.501386</f>
        <v>1400.5013859999999</v>
      </c>
      <c r="T73">
        <f>1330.287951</f>
        <v>1330.287951</v>
      </c>
      <c r="U73">
        <f>1325.870009</f>
        <v>1325.870009</v>
      </c>
      <c r="V73">
        <f>1353.683671</f>
        <v>1353.683671</v>
      </c>
      <c r="W73">
        <f>1327.324379</f>
        <v>1327.3243789999999</v>
      </c>
      <c r="X73">
        <f>1394.613579</f>
        <v>1394.6135790000001</v>
      </c>
      <c r="Y73">
        <f>1279.323782</f>
        <v>1279.3237819999999</v>
      </c>
      <c r="Z73">
        <f>1265.573943</f>
        <v>1265.5739430000001</v>
      </c>
      <c r="AA73">
        <f>1202.003711</f>
        <v>1202.0037110000001</v>
      </c>
      <c r="AB73">
        <f>1191.60042</f>
        <v>1191.60042</v>
      </c>
      <c r="AC73">
        <f>1072.14355</f>
        <v>1072.14355</v>
      </c>
    </row>
    <row r="74" spans="1:29" x14ac:dyDescent="0.25">
      <c r="A74" t="str">
        <f>"    Tech Mahindra Ltd"</f>
        <v xml:space="preserve">    Tech Mahindra Ltd</v>
      </c>
      <c r="B74" t="str">
        <f>"TECHM IN Equity"</f>
        <v>TECHM IN Equity</v>
      </c>
      <c r="C74" t="str">
        <f t="shared" si="9"/>
        <v>IS033</v>
      </c>
      <c r="D74" t="str">
        <f t="shared" si="10"/>
        <v>IS_OPER_INC</v>
      </c>
      <c r="E74" t="str">
        <f t="shared" si="11"/>
        <v>Dynamic</v>
      </c>
      <c r="F74">
        <f ca="1">IF(AND(ISNUMBER($F$178),$B$110=1),$F$178,HLOOKUP(INDIRECT(ADDRESS(2,COLUMN())),OFFSET($R$2,0,0,ROW()-1,12),ROW()-1,FALSE))</f>
        <v>101.06081469999999</v>
      </c>
      <c r="G74">
        <f ca="1">IF(AND(ISNUMBER($G$178),$B$110=1),$G$178,HLOOKUP(INDIRECT(ADDRESS(2,COLUMN())),OFFSET($R$2,0,0,ROW()-1,12),ROW()-1,FALSE))</f>
        <v>165.47682119999999</v>
      </c>
      <c r="H74">
        <f ca="1">IF(AND(ISNUMBER($H$178),$B$110=1),$H$178,HLOOKUP(INDIRECT(ADDRESS(2,COLUMN())),OFFSET($R$2,0,0,ROW()-1,12),ROW()-1,FALSE))</f>
        <v>164.75989319999999</v>
      </c>
      <c r="I74">
        <f ca="1">IF(AND(ISNUMBER($I$178),$B$110=1),$I$178,HLOOKUP(INDIRECT(ADDRESS(2,COLUMN())),OFFSET($R$2,0,0,ROW()-1,12),ROW()-1,FALSE))</f>
        <v>142.7683021</v>
      </c>
      <c r="J74">
        <f ca="1">IF(AND(ISNUMBER($J$178),$B$110=1),$J$178,HLOOKUP(INDIRECT(ADDRESS(2,COLUMN())),OFFSET($R$2,0,0,ROW()-1,12),ROW()-1,FALSE))</f>
        <v>194.2167733</v>
      </c>
      <c r="K74">
        <f ca="1">IF(AND(ISNUMBER($K$178),$B$110=1),$K$178,HLOOKUP(INDIRECT(ADDRESS(2,COLUMN())),OFFSET($R$2,0,0,ROW()-1,12),ROW()-1,FALSE))</f>
        <v>199.70930390000001</v>
      </c>
      <c r="L74">
        <f ca="1">IF(AND(ISNUMBER($L$178),$B$110=1),$L$178,HLOOKUP(INDIRECT(ADDRESS(2,COLUMN())),OFFSET($R$2,0,0,ROW()-1,12),ROW()-1,FALSE))</f>
        <v>189.02002400000001</v>
      </c>
      <c r="M74">
        <f ca="1">IF(AND(ISNUMBER($M$178),$B$110=1),$M$178,HLOOKUP(INDIRECT(ADDRESS(2,COLUMN())),OFFSET($R$2,0,0,ROW()-1,12),ROW()-1,FALSE))</f>
        <v>160.49413630000001</v>
      </c>
      <c r="N74">
        <f ca="1">IF(AND(ISNUMBER($N$178),$B$110=1),$N$178,HLOOKUP(INDIRECT(ADDRESS(2,COLUMN())),OFFSET($R$2,0,0,ROW()-1,12),ROW()-1,FALSE))</f>
        <v>172.9348463</v>
      </c>
      <c r="O74">
        <f ca="1">IF(AND(ISNUMBER($O$178),$B$110=1),$O$178,HLOOKUP(INDIRECT(ADDRESS(2,COLUMN())),OFFSET($R$2,0,0,ROW()-1,12),ROW()-1,FALSE))</f>
        <v>152.99787889999999</v>
      </c>
      <c r="P74">
        <f ca="1">IF(AND(ISNUMBER($P$178),$B$110=1),$P$178,HLOOKUP(INDIRECT(ADDRESS(2,COLUMN())),OFFSET($R$2,0,0,ROW()-1,12),ROW()-1,FALSE))</f>
        <v>130.7369223</v>
      </c>
      <c r="Q74">
        <f ca="1">IF(AND(ISNUMBER($Q$178),$B$110=1),$Q$178,HLOOKUP(INDIRECT(ADDRESS(2,COLUMN())),OFFSET($R$2,0,0,ROW()-1,12),ROW()-1,FALSE))</f>
        <v>106.66386180000001</v>
      </c>
      <c r="R74">
        <f>101.0608147</f>
        <v>101.06081469999999</v>
      </c>
      <c r="S74">
        <f>165.4768212</f>
        <v>165.47682119999999</v>
      </c>
      <c r="T74">
        <f>164.7598932</f>
        <v>164.75989319999999</v>
      </c>
      <c r="U74">
        <f>142.7683021</f>
        <v>142.7683021</v>
      </c>
      <c r="V74">
        <f>194.2167733</f>
        <v>194.2167733</v>
      </c>
      <c r="W74">
        <f>199.7093039</f>
        <v>199.70930390000001</v>
      </c>
      <c r="X74">
        <f>189.020024</f>
        <v>189.02002400000001</v>
      </c>
      <c r="Y74">
        <f>160.4941363</f>
        <v>160.49413630000001</v>
      </c>
      <c r="Z74">
        <f>172.9348463</f>
        <v>172.9348463</v>
      </c>
      <c r="AA74">
        <f>152.9978789</f>
        <v>152.99787889999999</v>
      </c>
      <c r="AB74">
        <f>130.7369223</f>
        <v>130.7369223</v>
      </c>
      <c r="AC74">
        <f>106.6638618</f>
        <v>106.66386180000001</v>
      </c>
    </row>
    <row r="75" spans="1:29" x14ac:dyDescent="0.25">
      <c r="A75" t="str">
        <f>"    Wipro Ltd"</f>
        <v xml:space="preserve">    Wipro Ltd</v>
      </c>
      <c r="B75" t="str">
        <f>"WIT US Equity"</f>
        <v>WIT US Equity</v>
      </c>
      <c r="C75" t="str">
        <f t="shared" si="9"/>
        <v>IS033</v>
      </c>
      <c r="D75" t="str">
        <f t="shared" si="10"/>
        <v>IS_OPER_INC</v>
      </c>
      <c r="E75" t="str">
        <f t="shared" si="11"/>
        <v>Dynamic</v>
      </c>
      <c r="F75">
        <f ca="1">IF(AND(ISNUMBER($F$179),$B$110=1),$F$179,HLOOKUP(INDIRECT(ADDRESS(2,COLUMN())),OFFSET($R$2,0,0,ROW()-1,12),ROW()-1,FALSE))</f>
        <v>350.58100730000001</v>
      </c>
      <c r="G75">
        <f ca="1">IF(AND(ISNUMBER($G$179),$B$110=1),$G$179,HLOOKUP(INDIRECT(ADDRESS(2,COLUMN())),OFFSET($R$2,0,0,ROW()-1,12),ROW()-1,FALSE))</f>
        <v>372.1845773</v>
      </c>
      <c r="H75">
        <f ca="1">IF(AND(ISNUMBER($H$179),$B$110=1),$H$179,HLOOKUP(INDIRECT(ADDRESS(2,COLUMN())),OFFSET($R$2,0,0,ROW()-1,12),ROW()-1,FALSE))</f>
        <v>371.53133430000003</v>
      </c>
      <c r="I75">
        <f ca="1">IF(AND(ISNUMBER($I$179),$B$110=1),$I$179,HLOOKUP(INDIRECT(ADDRESS(2,COLUMN())),OFFSET($R$2,0,0,ROW()-1,12),ROW()-1,FALSE))</f>
        <v>352.53474269999998</v>
      </c>
      <c r="J75">
        <f ca="1">IF(AND(ISNUMBER($J$179),$B$110=1),$J$179,HLOOKUP(INDIRECT(ADDRESS(2,COLUMN())),OFFSET($R$2,0,0,ROW()-1,12),ROW()-1,FALSE))</f>
        <v>383.2953114</v>
      </c>
      <c r="K75">
        <f ca="1">IF(AND(ISNUMBER($K$179),$B$110=1),$K$179,HLOOKUP(INDIRECT(ADDRESS(2,COLUMN())),OFFSET($R$2,0,0,ROW()-1,12),ROW()-1,FALSE))</f>
        <v>385.22106650000001</v>
      </c>
      <c r="L75">
        <f ca="1">IF(AND(ISNUMBER($L$179),$B$110=1),$L$179,HLOOKUP(INDIRECT(ADDRESS(2,COLUMN())),OFFSET($R$2,0,0,ROW()-1,12),ROW()-1,FALSE))</f>
        <v>276.88167850000002</v>
      </c>
      <c r="M75">
        <f ca="1">IF(AND(ISNUMBER($M$179),$B$110=1),$M$179,HLOOKUP(INDIRECT(ADDRESS(2,COLUMN())),OFFSET($R$2,0,0,ROW()-1,12),ROW()-1,FALSE))</f>
        <v>336.08721639999999</v>
      </c>
      <c r="N75">
        <f ca="1">IF(AND(ISNUMBER($N$179),$B$110=1),$N$179,HLOOKUP(INDIRECT(ADDRESS(2,COLUMN())),OFFSET($R$2,0,0,ROW()-1,12),ROW()-1,FALSE))</f>
        <v>292.47853450000002</v>
      </c>
      <c r="O75">
        <f ca="1">IF(AND(ISNUMBER($O$179),$B$110=1),$O$179,HLOOKUP(INDIRECT(ADDRESS(2,COLUMN())),OFFSET($R$2,0,0,ROW()-1,12),ROW()-1,FALSE))</f>
        <v>303.55189469999999</v>
      </c>
      <c r="P75">
        <f ca="1">IF(AND(ISNUMBER($P$179),$B$110=1),$P$179,HLOOKUP(INDIRECT(ADDRESS(2,COLUMN())),OFFSET($R$2,0,0,ROW()-1,12),ROW()-1,FALSE))</f>
        <v>351.38211860000001</v>
      </c>
      <c r="Q75">
        <f ca="1">IF(AND(ISNUMBER($Q$179),$B$110=1),$Q$179,HLOOKUP(INDIRECT(ADDRESS(2,COLUMN())),OFFSET($R$2,0,0,ROW()-1,12),ROW()-1,FALSE))</f>
        <v>337.11890039999997</v>
      </c>
      <c r="R75">
        <f>350.5810073</f>
        <v>350.58100730000001</v>
      </c>
      <c r="S75">
        <f>372.1845773</f>
        <v>372.1845773</v>
      </c>
      <c r="T75">
        <f>371.5313343</f>
        <v>371.53133430000003</v>
      </c>
      <c r="U75">
        <f>352.5347427</f>
        <v>352.53474269999998</v>
      </c>
      <c r="V75">
        <f>383.2953114</f>
        <v>383.2953114</v>
      </c>
      <c r="W75">
        <f>385.2210665</f>
        <v>385.22106650000001</v>
      </c>
      <c r="X75">
        <f>276.8816785</f>
        <v>276.88167850000002</v>
      </c>
      <c r="Y75">
        <f>336.0872164</f>
        <v>336.08721639999999</v>
      </c>
      <c r="Z75">
        <f>292.4785345</f>
        <v>292.47853450000002</v>
      </c>
      <c r="AA75">
        <f>303.5518947</f>
        <v>303.55189469999999</v>
      </c>
      <c r="AB75">
        <f>351.3821186</f>
        <v>351.38211860000001</v>
      </c>
      <c r="AC75">
        <f>337.1189004</f>
        <v>337.11890039999997</v>
      </c>
    </row>
    <row r="76" spans="1:29" x14ac:dyDescent="0.25">
      <c r="A76" t="str">
        <f>"EPS Before XO"</f>
        <v>EPS Before XO</v>
      </c>
      <c r="B76" t="str">
        <f>"BRITBPOV Index"</f>
        <v>BRITBPOV Index</v>
      </c>
      <c r="E76" t="str">
        <f>"Average"</f>
        <v>Average</v>
      </c>
      <c r="F76">
        <f ca="1">IF(ISERROR(IF(AVERAGE($F$77:$F$93) = 0, "", AVERAGE($F$77:$F$93))), "", (IF(AVERAGE($F$77:$F$93) = 0, "", AVERAGE($F$77:$F$93))))</f>
        <v>-0.55575531524999988</v>
      </c>
      <c r="G76">
        <f ca="1">IF(ISERROR(IF(AVERAGE($G$77:$G$93) = 0, "", AVERAGE($G$77:$G$93))), "", (IF(AVERAGE($G$77:$G$93) = 0, "", AVERAGE($G$77:$G$93))))</f>
        <v>0.66701974416666676</v>
      </c>
      <c r="H76">
        <f ca="1">IF(ISERROR(IF(AVERAGE($H$77:$H$93) = 0, "", AVERAGE($H$77:$H$93))), "", (IF(AVERAGE($H$77:$H$93) = 0, "", AVERAGE($H$77:$H$93))))</f>
        <v>-3.9630285583333251E-2</v>
      </c>
      <c r="I76">
        <f ca="1">IF(ISERROR(IF(AVERAGE($I$77:$I$93) = 0, "", AVERAGE($I$77:$I$93))), "", (IF(AVERAGE($I$77:$I$93) = 0, "", AVERAGE($I$77:$I$93))))</f>
        <v>0.36223608633333321</v>
      </c>
      <c r="J76">
        <f ca="1">IF(ISERROR(IF(AVERAGE($J$77:$J$93) = 0, "", AVERAGE($J$77:$J$93))), "", (IF(AVERAGE($J$77:$J$93) = 0, "", AVERAGE($J$77:$J$93))))</f>
        <v>0.56680862016666667</v>
      </c>
      <c r="K76">
        <f ca="1">IF(ISERROR(IF(AVERAGE($K$77:$K$93) = 0, "", AVERAGE($K$77:$K$93))), "", (IF(AVERAGE($K$77:$K$93) = 0, "", AVERAGE($K$77:$K$93))))</f>
        <v>0.78509090099999979</v>
      </c>
      <c r="L76">
        <f ca="1">IF(ISERROR(IF(AVERAGE($L$77:$L$93) = 0, "", AVERAGE($L$77:$L$93))), "", (IF(AVERAGE($L$77:$L$93) = 0, "", AVERAGE($L$77:$L$93))))</f>
        <v>0.63617632516666667</v>
      </c>
      <c r="M76">
        <f ca="1">IF(ISERROR(IF(AVERAGE($M$77:$M$93) = 0, "", AVERAGE($M$77:$M$93))), "", (IF(AVERAGE($M$77:$M$93) = 0, "", AVERAGE($M$77:$M$93))))</f>
        <v>0.69882596091666682</v>
      </c>
      <c r="N76">
        <f ca="1">IF(ISERROR(IF(AVERAGE($N$77:$N$93) = 0, "", AVERAGE($N$77:$N$93))), "", (IF(AVERAGE($N$77:$N$93) = 0, "", AVERAGE($N$77:$N$93))))</f>
        <v>0.70604922033333339</v>
      </c>
      <c r="O76">
        <f ca="1">IF(ISERROR(IF(AVERAGE($O$77:$O$93) = 0, "", AVERAGE($O$77:$O$93))), "", (IF(AVERAGE($O$77:$O$93) = 0, "", AVERAGE($O$77:$O$93))))</f>
        <v>0.44866136841666671</v>
      </c>
      <c r="P76">
        <f ca="1">IF(ISERROR(IF(AVERAGE($P$77:$P$93) = 0, "", AVERAGE($P$77:$P$93))), "", (IF(AVERAGE($P$77:$P$93) = 0, "", AVERAGE($P$77:$P$93))))</f>
        <v>0.70852248808333318</v>
      </c>
      <c r="Q76">
        <f ca="1">IF(ISERROR(IF(AVERAGE($Q$77:$Q$93) = 0, "", AVERAGE($Q$77:$Q$93))), "", (IF(AVERAGE($Q$77:$Q$93) = 0, "", AVERAGE($Q$77:$Q$93))))</f>
        <v>0.58881806375000001</v>
      </c>
      <c r="R76">
        <f>-0.555755315</f>
        <v>-0.55575531499999997</v>
      </c>
      <c r="S76">
        <f>0.667019744</f>
        <v>0.66701974399999997</v>
      </c>
      <c r="T76">
        <f>-0.039630286</f>
        <v>-3.9630286000000001E-2</v>
      </c>
      <c r="U76">
        <f>0.362236086</f>
        <v>0.36223608600000001</v>
      </c>
      <c r="V76">
        <f>0.56680862</f>
        <v>0.56680861999999999</v>
      </c>
      <c r="W76">
        <f>0.785090901</f>
        <v>0.78509090100000001</v>
      </c>
      <c r="X76">
        <f>0.636176325</f>
        <v>0.63617632499999999</v>
      </c>
      <c r="Y76">
        <f>0.698825961</f>
        <v>0.69882596100000005</v>
      </c>
      <c r="Z76">
        <f>0.70604922</f>
        <v>0.70604922000000003</v>
      </c>
      <c r="AA76">
        <f>0.448661368</f>
        <v>0.448661368</v>
      </c>
      <c r="AB76">
        <f>0.708522488</f>
        <v>0.70852248799999995</v>
      </c>
      <c r="AC76">
        <f>0.588818064</f>
        <v>0.58881806400000003</v>
      </c>
    </row>
    <row r="77" spans="1:29" x14ac:dyDescent="0.25">
      <c r="A77" t="str">
        <f>"    Accenture PLC"</f>
        <v xml:space="preserve">    Accenture PLC</v>
      </c>
      <c r="B77" t="str">
        <f>"ACN US Equity"</f>
        <v>ACN US Equity</v>
      </c>
      <c r="C77" t="str">
        <f t="shared" ref="C77:C93" si="12">"IS148"</f>
        <v>IS148</v>
      </c>
      <c r="D77" t="str">
        <f t="shared" ref="D77:D93" si="13">"IS_DIL_EPS_BEF_XO"</f>
        <v>IS_DIL_EPS_BEF_XO</v>
      </c>
      <c r="E77" t="str">
        <f t="shared" ref="E77:E93" si="14">"Dynamic"</f>
        <v>Dynamic</v>
      </c>
      <c r="F77">
        <f ca="1">IF(AND(ISNUMBER($F$180),$B$110=1),$F$180,HLOOKUP(INDIRECT(ADDRESS(2,COLUMN())),OFFSET($R$2,0,0,ROW()-1,12),ROW()-1,FALSE))</f>
        <v>1.91</v>
      </c>
      <c r="G77">
        <f ca="1">IF(AND(ISNUMBER($G$180),$B$110=1),$G$180,HLOOKUP(INDIRECT(ADDRESS(2,COLUMN())),OFFSET($R$2,0,0,ROW()-1,12),ROW()-1,FALSE))</f>
        <v>2.09</v>
      </c>
      <c r="H77">
        <f ca="1">IF(AND(ISNUMBER($H$180),$B$110=1),$H$180,HLOOKUP(INDIRECT(ADDRESS(2,COLUMN())),OFFSET($R$2,0,0,ROW()-1,12),ROW()-1,FALSE))</f>
        <v>1.74</v>
      </c>
      <c r="I77">
        <f ca="1">IF(AND(ISNUMBER($I$180),$B$110=1),$I$180,HLOOKUP(INDIRECT(ADDRESS(2,COLUMN())),OFFSET($R$2,0,0,ROW()-1,12),ROW()-1,FALSE))</f>
        <v>1.93</v>
      </c>
      <c r="J77">
        <f ca="1">IF(AND(ISNUMBER($J$180),$B$110=1),$J$180,HLOOKUP(INDIRECT(ADDRESS(2,COLUMN())),OFFSET($R$2,0,0,ROW()-1,12),ROW()-1,FALSE))</f>
        <v>1.73</v>
      </c>
      <c r="K77">
        <f ca="1">IF(AND(ISNUMBER($K$180),$B$110=1),$K$180,HLOOKUP(INDIRECT(ADDRESS(2,COLUMN())),OFFSET($R$2,0,0,ROW()-1,12),ROW()-1,FALSE))</f>
        <v>1.96</v>
      </c>
      <c r="L77">
        <f ca="1">IF(AND(ISNUMBER($L$180),$B$110=1),$L$180,HLOOKUP(INDIRECT(ADDRESS(2,COLUMN())),OFFSET($R$2,0,0,ROW()-1,12),ROW()-1,FALSE))</f>
        <v>1.58</v>
      </c>
      <c r="M77">
        <f ca="1">IF(AND(ISNUMBER($M$180),$B$110=1),$M$180,HLOOKUP(INDIRECT(ADDRESS(2,COLUMN())),OFFSET($R$2,0,0,ROW()-1,12),ROW()-1,FALSE))</f>
        <v>1.6</v>
      </c>
      <c r="N77">
        <f ca="1">IF(AND(ISNUMBER($N$180),$B$110=1),$N$180,HLOOKUP(INDIRECT(ADDRESS(2,COLUMN())),OFFSET($R$2,0,0,ROW()-1,12),ROW()-1,FALSE))</f>
        <v>1.37</v>
      </c>
      <c r="O77">
        <f ca="1">IF(AND(ISNUMBER($O$180),$B$110=1),$O$180,HLOOKUP(INDIRECT(ADDRESS(2,COLUMN())),OFFSET($R$2,0,0,ROW()-1,12),ROW()-1,FALSE))</f>
        <v>1.79</v>
      </c>
      <c r="P77">
        <f ca="1">IF(AND(ISNUMBER($P$180),$B$110=1),$P$180,HLOOKUP(INDIRECT(ADDRESS(2,COLUMN())),OFFSET($R$2,0,0,ROW()-1,12),ROW()-1,FALSE))</f>
        <v>1.48</v>
      </c>
      <c r="Q77">
        <f ca="1">IF(AND(ISNUMBER($Q$180),$B$110=1),$Q$180,HLOOKUP(INDIRECT(ADDRESS(2,COLUMN())),OFFSET($R$2,0,0,ROW()-1,12),ROW()-1,FALSE))</f>
        <v>1.05</v>
      </c>
      <c r="R77">
        <f>1.91</f>
        <v>1.91</v>
      </c>
      <c r="S77">
        <f>2.09</f>
        <v>2.09</v>
      </c>
      <c r="T77">
        <f>1.74</f>
        <v>1.74</v>
      </c>
      <c r="U77">
        <f>1.93</f>
        <v>1.93</v>
      </c>
      <c r="V77">
        <f>1.73</f>
        <v>1.73</v>
      </c>
      <c r="W77">
        <f>1.96</f>
        <v>1.96</v>
      </c>
      <c r="X77">
        <f>1.58</f>
        <v>1.58</v>
      </c>
      <c r="Y77">
        <f>1.6</f>
        <v>1.6</v>
      </c>
      <c r="Z77">
        <f>1.37</f>
        <v>1.37</v>
      </c>
      <c r="AA77">
        <f>1.79</f>
        <v>1.79</v>
      </c>
      <c r="AB77">
        <f>1.48</f>
        <v>1.48</v>
      </c>
      <c r="AC77">
        <f>1.05</f>
        <v>1.05</v>
      </c>
    </row>
    <row r="78" spans="1:29" x14ac:dyDescent="0.25">
      <c r="A78" t="str">
        <f>"    Amdocs Ltd"</f>
        <v xml:space="preserve">    Amdocs Ltd</v>
      </c>
      <c r="B78" t="str">
        <f>"DOX US Equity"</f>
        <v>DOX US Equity</v>
      </c>
      <c r="C78" t="str">
        <f t="shared" si="12"/>
        <v>IS148</v>
      </c>
      <c r="D78" t="str">
        <f t="shared" si="13"/>
        <v>IS_DIL_EPS_BEF_XO</v>
      </c>
      <c r="E78" t="str">
        <f t="shared" si="14"/>
        <v>Dynamic</v>
      </c>
      <c r="F78">
        <f ca="1">IF(AND(ISNUMBER($F$181),$B$110=1),$F$181,HLOOKUP(INDIRECT(ADDRESS(2,COLUMN())),OFFSET($R$2,0,0,ROW()-1,12),ROW()-1,FALSE))</f>
        <v>0.94</v>
      </c>
      <c r="G78">
        <f ca="1">IF(AND(ISNUMBER($G$181),$B$110=1),$G$181,HLOOKUP(INDIRECT(ADDRESS(2,COLUMN())),OFFSET($R$2,0,0,ROW()-1,12),ROW()-1,FALSE))</f>
        <v>0.85</v>
      </c>
      <c r="H78">
        <f ca="1">IF(AND(ISNUMBER($H$181),$B$110=1),$H$181,HLOOKUP(INDIRECT(ADDRESS(2,COLUMN())),OFFSET($R$2,0,0,ROW()-1,12),ROW()-1,FALSE))</f>
        <v>0.9</v>
      </c>
      <c r="I78">
        <f ca="1">IF(AND(ISNUMBER($I$181),$B$110=1),$I$181,HLOOKUP(INDIRECT(ADDRESS(2,COLUMN())),OFFSET($R$2,0,0,ROW()-1,12),ROW()-1,FALSE))</f>
        <v>0.96</v>
      </c>
      <c r="J78">
        <f ca="1">IF(AND(ISNUMBER($J$181),$B$110=1),$J$181,HLOOKUP(INDIRECT(ADDRESS(2,COLUMN())),OFFSET($R$2,0,0,ROW()-1,12),ROW()-1,FALSE))</f>
        <v>0.9</v>
      </c>
      <c r="K78">
        <f ca="1">IF(AND(ISNUMBER($K$181),$B$110=1),$K$181,HLOOKUP(INDIRECT(ADDRESS(2,COLUMN())),OFFSET($R$2,0,0,ROW()-1,12),ROW()-1,FALSE))</f>
        <v>0.72</v>
      </c>
      <c r="L78">
        <f ca="1">IF(AND(ISNUMBER($L$181),$B$110=1),$L$181,HLOOKUP(INDIRECT(ADDRESS(2,COLUMN())),OFFSET($R$2,0,0,ROW()-1,12),ROW()-1,FALSE))</f>
        <v>0.31</v>
      </c>
      <c r="M78">
        <f ca="1">IF(AND(ISNUMBER($M$181),$B$110=1),$M$181,HLOOKUP(INDIRECT(ADDRESS(2,COLUMN())),OFFSET($R$2,0,0,ROW()-1,12),ROW()-1,FALSE))</f>
        <v>0.64</v>
      </c>
      <c r="N78">
        <f ca="1">IF(AND(ISNUMBER($N$181),$B$110=1),$N$181,HLOOKUP(INDIRECT(ADDRESS(2,COLUMN())),OFFSET($R$2,0,0,ROW()-1,12),ROW()-1,FALSE))</f>
        <v>0.7</v>
      </c>
      <c r="O78">
        <f ca="1">IF(AND(ISNUMBER($O$181),$B$110=1),$O$181,HLOOKUP(INDIRECT(ADDRESS(2,COLUMN())),OFFSET($R$2,0,0,ROW()-1,12),ROW()-1,FALSE))</f>
        <v>0.8</v>
      </c>
      <c r="P78">
        <f ca="1">IF(AND(ISNUMBER($P$181),$B$110=1),$P$181,HLOOKUP(INDIRECT(ADDRESS(2,COLUMN())),OFFSET($R$2,0,0,ROW()-1,12),ROW()-1,FALSE))</f>
        <v>0.73</v>
      </c>
      <c r="Q78">
        <f ca="1">IF(AND(ISNUMBER($Q$181),$B$110=1),$Q$181,HLOOKUP(INDIRECT(ADDRESS(2,COLUMN())),OFFSET($R$2,0,0,ROW()-1,12),ROW()-1,FALSE))</f>
        <v>0.81</v>
      </c>
      <c r="R78">
        <f>0.94</f>
        <v>0.94</v>
      </c>
      <c r="S78">
        <f>0.85</f>
        <v>0.85</v>
      </c>
      <c r="T78">
        <f>0.9</f>
        <v>0.9</v>
      </c>
      <c r="U78">
        <f>0.96</f>
        <v>0.96</v>
      </c>
      <c r="V78">
        <f>0.9</f>
        <v>0.9</v>
      </c>
      <c r="W78">
        <f>0.72</f>
        <v>0.72</v>
      </c>
      <c r="X78">
        <f>0.31</f>
        <v>0.31</v>
      </c>
      <c r="Y78">
        <f>0.64</f>
        <v>0.64</v>
      </c>
      <c r="Z78">
        <f>0.7</f>
        <v>0.7</v>
      </c>
      <c r="AA78">
        <f>0.8</f>
        <v>0.8</v>
      </c>
      <c r="AB78">
        <f>0.73</f>
        <v>0.73</v>
      </c>
      <c r="AC78">
        <f>0.81</f>
        <v>0.81</v>
      </c>
    </row>
    <row r="79" spans="1:29" x14ac:dyDescent="0.25">
      <c r="A79" t="str">
        <f>"    Atos SE"</f>
        <v xml:space="preserve">    Atos SE</v>
      </c>
      <c r="B79" t="str">
        <f>"ATO FP Equity"</f>
        <v>ATO FP Equity</v>
      </c>
      <c r="C79" t="str">
        <f t="shared" si="12"/>
        <v>IS148</v>
      </c>
      <c r="D79" t="str">
        <f t="shared" si="13"/>
        <v>IS_DIL_EPS_BEF_XO</v>
      </c>
      <c r="E79" t="str">
        <f t="shared" si="14"/>
        <v>Dynamic</v>
      </c>
      <c r="F79" t="str">
        <f ca="1">IF(AND(ISNUMBER($F$182),$B$110=1),$F$182,HLOOKUP(INDIRECT(ADDRESS(2,COLUMN())),OFFSET($R$2,0,0,ROW()-1,12),ROW()-1,FALSE))</f>
        <v/>
      </c>
      <c r="G79" t="str">
        <f ca="1">IF(AND(ISNUMBER($G$182),$B$110=1),$G$182,HLOOKUP(INDIRECT(ADDRESS(2,COLUMN())),OFFSET($R$2,0,0,ROW()-1,12),ROW()-1,FALSE))</f>
        <v/>
      </c>
      <c r="H79" t="str">
        <f ca="1">IF(AND(ISNUMBER($H$182),$B$110=1),$H$182,HLOOKUP(INDIRECT(ADDRESS(2,COLUMN())),OFFSET($R$2,0,0,ROW()-1,12),ROW()-1,FALSE))</f>
        <v/>
      </c>
      <c r="I79" t="str">
        <f ca="1">IF(AND(ISNUMBER($I$182),$B$110=1),$I$182,HLOOKUP(INDIRECT(ADDRESS(2,COLUMN())),OFFSET($R$2,0,0,ROW()-1,12),ROW()-1,FALSE))</f>
        <v/>
      </c>
      <c r="J79" t="str">
        <f ca="1">IF(AND(ISNUMBER($J$182),$B$110=1),$J$182,HLOOKUP(INDIRECT(ADDRESS(2,COLUMN())),OFFSET($R$2,0,0,ROW()-1,12),ROW()-1,FALSE))</f>
        <v/>
      </c>
      <c r="K79" t="str">
        <f ca="1">IF(AND(ISNUMBER($K$182),$B$110=1),$K$182,HLOOKUP(INDIRECT(ADDRESS(2,COLUMN())),OFFSET($R$2,0,0,ROW()-1,12),ROW()-1,FALSE))</f>
        <v/>
      </c>
      <c r="L79" t="str">
        <f ca="1">IF(AND(ISNUMBER($L$182),$B$110=1),$L$182,HLOOKUP(INDIRECT(ADDRESS(2,COLUMN())),OFFSET($R$2,0,0,ROW()-1,12),ROW()-1,FALSE))</f>
        <v/>
      </c>
      <c r="M79" t="str">
        <f ca="1">IF(AND(ISNUMBER($M$182),$B$110=1),$M$182,HLOOKUP(INDIRECT(ADDRESS(2,COLUMN())),OFFSET($R$2,0,0,ROW()-1,12),ROW()-1,FALSE))</f>
        <v/>
      </c>
      <c r="N79" t="str">
        <f ca="1">IF(AND(ISNUMBER($N$182),$B$110=1),$N$182,HLOOKUP(INDIRECT(ADDRESS(2,COLUMN())),OFFSET($R$2,0,0,ROW()-1,12),ROW()-1,FALSE))</f>
        <v/>
      </c>
      <c r="O79" t="str">
        <f ca="1">IF(AND(ISNUMBER($O$182),$B$110=1),$O$182,HLOOKUP(INDIRECT(ADDRESS(2,COLUMN())),OFFSET($R$2,0,0,ROW()-1,12),ROW()-1,FALSE))</f>
        <v/>
      </c>
      <c r="P79" t="str">
        <f ca="1">IF(AND(ISNUMBER($P$182),$B$110=1),$P$182,HLOOKUP(INDIRECT(ADDRESS(2,COLUMN())),OFFSET($R$2,0,0,ROW()-1,12),ROW()-1,FALSE))</f>
        <v/>
      </c>
      <c r="Q79" t="str">
        <f ca="1">IF(AND(ISNUMBER($Q$182),$B$110=1),$Q$182,HLOOKUP(INDIRECT(ADDRESS(2,COLUMN())),OFFSET($R$2,0,0,ROW()-1,12),ROW()-1,FALSE))</f>
        <v/>
      </c>
      <c r="R79" t="str">
        <f>""</f>
        <v/>
      </c>
      <c r="S79" t="str">
        <f>""</f>
        <v/>
      </c>
      <c r="T79" t="str">
        <f>""</f>
        <v/>
      </c>
      <c r="U79" t="str">
        <f>""</f>
        <v/>
      </c>
      <c r="V79" t="str">
        <f>""</f>
        <v/>
      </c>
      <c r="W79" t="str">
        <f>""</f>
        <v/>
      </c>
      <c r="X79" t="str">
        <f>""</f>
        <v/>
      </c>
      <c r="Y79" t="str">
        <f>""</f>
        <v/>
      </c>
      <c r="Z79" t="str">
        <f>""</f>
        <v/>
      </c>
      <c r="AA79" t="str">
        <f>""</f>
        <v/>
      </c>
      <c r="AB79" t="str">
        <f>""</f>
        <v/>
      </c>
      <c r="AC79" t="str">
        <f>""</f>
        <v/>
      </c>
    </row>
    <row r="80" spans="1:29" x14ac:dyDescent="0.25">
      <c r="A80" t="str">
        <f>"    Capgemini SE"</f>
        <v xml:space="preserve">    Capgemini SE</v>
      </c>
      <c r="B80" t="str">
        <f>"CAP FP Equity"</f>
        <v>CAP FP Equity</v>
      </c>
      <c r="C80" t="str">
        <f t="shared" si="12"/>
        <v>IS148</v>
      </c>
      <c r="D80" t="str">
        <f t="shared" si="13"/>
        <v>IS_DIL_EPS_BEF_XO</v>
      </c>
      <c r="E80" t="str">
        <f t="shared" si="14"/>
        <v>Dynamic</v>
      </c>
      <c r="F80" t="str">
        <f ca="1">IF(AND(ISNUMBER($F$183),$B$110=1),$F$183,HLOOKUP(INDIRECT(ADDRESS(2,COLUMN())),OFFSET($R$2,0,0,ROW()-1,12),ROW()-1,FALSE))</f>
        <v/>
      </c>
      <c r="G80" t="str">
        <f ca="1">IF(AND(ISNUMBER($G$183),$B$110=1),$G$183,HLOOKUP(INDIRECT(ADDRESS(2,COLUMN())),OFFSET($R$2,0,0,ROW()-1,12),ROW()-1,FALSE))</f>
        <v/>
      </c>
      <c r="H80" t="str">
        <f ca="1">IF(AND(ISNUMBER($H$183),$B$110=1),$H$183,HLOOKUP(INDIRECT(ADDRESS(2,COLUMN())),OFFSET($R$2,0,0,ROW()-1,12),ROW()-1,FALSE))</f>
        <v/>
      </c>
      <c r="I80" t="str">
        <f ca="1">IF(AND(ISNUMBER($I$183),$B$110=1),$I$183,HLOOKUP(INDIRECT(ADDRESS(2,COLUMN())),OFFSET($R$2,0,0,ROW()-1,12),ROW()-1,FALSE))</f>
        <v/>
      </c>
      <c r="J80" t="str">
        <f ca="1">IF(AND(ISNUMBER($J$183),$B$110=1),$J$183,HLOOKUP(INDIRECT(ADDRESS(2,COLUMN())),OFFSET($R$2,0,0,ROW()-1,12),ROW()-1,FALSE))</f>
        <v/>
      </c>
      <c r="K80" t="str">
        <f ca="1">IF(AND(ISNUMBER($K$183),$B$110=1),$K$183,HLOOKUP(INDIRECT(ADDRESS(2,COLUMN())),OFFSET($R$2,0,0,ROW()-1,12),ROW()-1,FALSE))</f>
        <v/>
      </c>
      <c r="L80" t="str">
        <f ca="1">IF(AND(ISNUMBER($L$183),$B$110=1),$L$183,HLOOKUP(INDIRECT(ADDRESS(2,COLUMN())),OFFSET($R$2,0,0,ROW()-1,12),ROW()-1,FALSE))</f>
        <v/>
      </c>
      <c r="M80" t="str">
        <f ca="1">IF(AND(ISNUMBER($M$183),$B$110=1),$M$183,HLOOKUP(INDIRECT(ADDRESS(2,COLUMN())),OFFSET($R$2,0,0,ROW()-1,12),ROW()-1,FALSE))</f>
        <v/>
      </c>
      <c r="N80" t="str">
        <f ca="1">IF(AND(ISNUMBER($N$183),$B$110=1),$N$183,HLOOKUP(INDIRECT(ADDRESS(2,COLUMN())),OFFSET($R$2,0,0,ROW()-1,12),ROW()-1,FALSE))</f>
        <v/>
      </c>
      <c r="O80" t="str">
        <f ca="1">IF(AND(ISNUMBER($O$183),$B$110=1),$O$183,HLOOKUP(INDIRECT(ADDRESS(2,COLUMN())),OFFSET($R$2,0,0,ROW()-1,12),ROW()-1,FALSE))</f>
        <v/>
      </c>
      <c r="P80" t="str">
        <f ca="1">IF(AND(ISNUMBER($P$183),$B$110=1),$P$183,HLOOKUP(INDIRECT(ADDRESS(2,COLUMN())),OFFSET($R$2,0,0,ROW()-1,12),ROW()-1,FALSE))</f>
        <v/>
      </c>
      <c r="Q80" t="str">
        <f ca="1">IF(AND(ISNUMBER($Q$183),$B$110=1),$Q$183,HLOOKUP(INDIRECT(ADDRESS(2,COLUMN())),OFFSET($R$2,0,0,ROW()-1,12),ROW()-1,FALSE))</f>
        <v/>
      </c>
      <c r="R80" t="str">
        <f>""</f>
        <v/>
      </c>
      <c r="S80" t="str">
        <f>""</f>
        <v/>
      </c>
      <c r="T80" t="str">
        <f>""</f>
        <v/>
      </c>
      <c r="U80" t="str">
        <f>""</f>
        <v/>
      </c>
      <c r="V80" t="str">
        <f>""</f>
        <v/>
      </c>
      <c r="W80" t="str">
        <f>""</f>
        <v/>
      </c>
      <c r="X80" t="str">
        <f>""</f>
        <v/>
      </c>
      <c r="Y80" t="str">
        <f>""</f>
        <v/>
      </c>
      <c r="Z80" t="str">
        <f>""</f>
        <v/>
      </c>
      <c r="AA80" t="str">
        <f>""</f>
        <v/>
      </c>
      <c r="AB80" t="str">
        <f>""</f>
        <v/>
      </c>
      <c r="AC80" t="str">
        <f>""</f>
        <v/>
      </c>
    </row>
    <row r="81" spans="1:29" x14ac:dyDescent="0.25">
      <c r="A81" t="str">
        <f>"    CGI Inc"</f>
        <v xml:space="preserve">    CGI Inc</v>
      </c>
      <c r="B81" t="str">
        <f>"GIB US Equity"</f>
        <v>GIB US Equity</v>
      </c>
      <c r="C81" t="str">
        <f t="shared" si="12"/>
        <v>IS148</v>
      </c>
      <c r="D81" t="str">
        <f t="shared" si="13"/>
        <v>IS_DIL_EPS_BEF_XO</v>
      </c>
      <c r="E81" t="str">
        <f t="shared" si="14"/>
        <v>Dynamic</v>
      </c>
      <c r="F81" t="str">
        <f ca="1">IF(AND(ISNUMBER($F$184),$B$110=1),$F$184,HLOOKUP(INDIRECT(ADDRESS(2,COLUMN())),OFFSET($R$2,0,0,ROW()-1,12),ROW()-1,FALSE))</f>
        <v/>
      </c>
      <c r="G81" t="str">
        <f ca="1">IF(AND(ISNUMBER($G$184),$B$110=1),$G$184,HLOOKUP(INDIRECT(ADDRESS(2,COLUMN())),OFFSET($R$2,0,0,ROW()-1,12),ROW()-1,FALSE))</f>
        <v/>
      </c>
      <c r="H81" t="str">
        <f ca="1">IF(AND(ISNUMBER($H$184),$B$110=1),$H$184,HLOOKUP(INDIRECT(ADDRESS(2,COLUMN())),OFFSET($R$2,0,0,ROW()-1,12),ROW()-1,FALSE))</f>
        <v/>
      </c>
      <c r="I81" t="str">
        <f ca="1">IF(AND(ISNUMBER($I$184),$B$110=1),$I$184,HLOOKUP(INDIRECT(ADDRESS(2,COLUMN())),OFFSET($R$2,0,0,ROW()-1,12),ROW()-1,FALSE))</f>
        <v/>
      </c>
      <c r="J81" t="str">
        <f ca="1">IF(AND(ISNUMBER($J$184),$B$110=1),$J$184,HLOOKUP(INDIRECT(ADDRESS(2,COLUMN())),OFFSET($R$2,0,0,ROW()-1,12),ROW()-1,FALSE))</f>
        <v/>
      </c>
      <c r="K81" t="str">
        <f ca="1">IF(AND(ISNUMBER($K$184),$B$110=1),$K$184,HLOOKUP(INDIRECT(ADDRESS(2,COLUMN())),OFFSET($R$2,0,0,ROW()-1,12),ROW()-1,FALSE))</f>
        <v/>
      </c>
      <c r="L81" t="str">
        <f ca="1">IF(AND(ISNUMBER($L$184),$B$110=1),$L$184,HLOOKUP(INDIRECT(ADDRESS(2,COLUMN())),OFFSET($R$2,0,0,ROW()-1,12),ROW()-1,FALSE))</f>
        <v/>
      </c>
      <c r="M81" t="str">
        <f ca="1">IF(AND(ISNUMBER($M$184),$B$110=1),$M$184,HLOOKUP(INDIRECT(ADDRESS(2,COLUMN())),OFFSET($R$2,0,0,ROW()-1,12),ROW()-1,FALSE))</f>
        <v/>
      </c>
      <c r="N81" t="str">
        <f ca="1">IF(AND(ISNUMBER($N$184),$B$110=1),$N$184,HLOOKUP(INDIRECT(ADDRESS(2,COLUMN())),OFFSET($R$2,0,0,ROW()-1,12),ROW()-1,FALSE))</f>
        <v/>
      </c>
      <c r="O81" t="str">
        <f ca="1">IF(AND(ISNUMBER($O$184),$B$110=1),$O$184,HLOOKUP(INDIRECT(ADDRESS(2,COLUMN())),OFFSET($R$2,0,0,ROW()-1,12),ROW()-1,FALSE))</f>
        <v/>
      </c>
      <c r="P81" t="str">
        <f ca="1">IF(AND(ISNUMBER($P$184),$B$110=1),$P$184,HLOOKUP(INDIRECT(ADDRESS(2,COLUMN())),OFFSET($R$2,0,0,ROW()-1,12),ROW()-1,FALSE))</f>
        <v/>
      </c>
      <c r="Q81" t="str">
        <f ca="1">IF(AND(ISNUMBER($Q$184),$B$110=1),$Q$184,HLOOKUP(INDIRECT(ADDRESS(2,COLUMN())),OFFSET($R$2,0,0,ROW()-1,12),ROW()-1,FALSE))</f>
        <v/>
      </c>
      <c r="R81" t="str">
        <f>""</f>
        <v/>
      </c>
      <c r="S81" t="str">
        <f>""</f>
        <v/>
      </c>
      <c r="T81" t="str">
        <f>""</f>
        <v/>
      </c>
      <c r="U81" t="str">
        <f>""</f>
        <v/>
      </c>
      <c r="V81" t="str">
        <f>""</f>
        <v/>
      </c>
      <c r="W81" t="str">
        <f>""</f>
        <v/>
      </c>
      <c r="X81" t="str">
        <f>""</f>
        <v/>
      </c>
      <c r="Y81" t="str">
        <f>""</f>
        <v/>
      </c>
      <c r="Z81" t="str">
        <f>""</f>
        <v/>
      </c>
      <c r="AA81" t="str">
        <f>""</f>
        <v/>
      </c>
      <c r="AB81" t="str">
        <f>""</f>
        <v/>
      </c>
      <c r="AC81" t="str">
        <f>""</f>
        <v/>
      </c>
    </row>
    <row r="82" spans="1:29" x14ac:dyDescent="0.25">
      <c r="A82" t="str">
        <f>"    Cognizant Technology Solutions Corp"</f>
        <v xml:space="preserve">    Cognizant Technology Solutions Corp</v>
      </c>
      <c r="B82" t="str">
        <f>"CTSH US Equity"</f>
        <v>CTSH US Equity</v>
      </c>
      <c r="C82" t="str">
        <f t="shared" si="12"/>
        <v>IS148</v>
      </c>
      <c r="D82" t="str">
        <f t="shared" si="13"/>
        <v>IS_DIL_EPS_BEF_XO</v>
      </c>
      <c r="E82" t="str">
        <f t="shared" si="14"/>
        <v>Dynamic</v>
      </c>
      <c r="F82">
        <f ca="1">IF(AND(ISNUMBER($F$185),$B$110=1),$F$185,HLOOKUP(INDIRECT(ADDRESS(2,COLUMN())),OFFSET($R$2,0,0,ROW()-1,12),ROW()-1,FALSE))</f>
        <v>0.67</v>
      </c>
      <c r="G82">
        <f ca="1">IF(AND(ISNUMBER($G$185),$B$110=1),$G$185,HLOOKUP(INDIRECT(ADDRESS(2,COLUMN())),OFFSET($R$2,0,0,ROW()-1,12),ROW()-1,FALSE))</f>
        <v>0.72</v>
      </c>
      <c r="H82">
        <f ca="1">IF(AND(ISNUMBER($H$185),$B$110=1),$H$185,HLOOKUP(INDIRECT(ADDRESS(2,COLUMN())),OFFSET($R$2,0,0,ROW()-1,12),ROW()-1,FALSE))</f>
        <v>0.9</v>
      </c>
      <c r="I82">
        <f ca="1">IF(AND(ISNUMBER($I$185),$B$110=1),$I$185,HLOOKUP(INDIRECT(ADDRESS(2,COLUMN())),OFFSET($R$2,0,0,ROW()-1,12),ROW()-1,FALSE))</f>
        <v>0.9</v>
      </c>
      <c r="J82">
        <f ca="1">IF(AND(ISNUMBER($J$185),$B$110=1),$J$185,HLOOKUP(INDIRECT(ADDRESS(2,COLUMN())),OFFSET($R$2,0,0,ROW()-1,12),ROW()-1,FALSE))</f>
        <v>0.77</v>
      </c>
      <c r="K82">
        <f ca="1">IF(AND(ISNUMBER($K$185),$B$110=1),$K$185,HLOOKUP(INDIRECT(ADDRESS(2,COLUMN())),OFFSET($R$2,0,0,ROW()-1,12),ROW()-1,FALSE))</f>
        <v>1.1200000000000001</v>
      </c>
      <c r="L82">
        <f ca="1">IF(AND(ISNUMBER($L$185),$B$110=1),$L$185,HLOOKUP(INDIRECT(ADDRESS(2,COLUMN())),OFFSET($R$2,0,0,ROW()-1,12),ROW()-1,FALSE))</f>
        <v>0.82</v>
      </c>
      <c r="M82">
        <f ca="1">IF(AND(ISNUMBER($M$185),$B$110=1),$M$185,HLOOKUP(INDIRECT(ADDRESS(2,COLUMN())),OFFSET($R$2,0,0,ROW()-1,12),ROW()-1,FALSE))</f>
        <v>0.78</v>
      </c>
      <c r="N82">
        <f ca="1">IF(AND(ISNUMBER($N$185),$B$110=1),$N$185,HLOOKUP(INDIRECT(ADDRESS(2,COLUMN())),OFFSET($R$2,0,0,ROW()-1,12),ROW()-1,FALSE))</f>
        <v>0.88</v>
      </c>
      <c r="O82">
        <f ca="1">IF(AND(ISNUMBER($O$185),$B$110=1),$O$185,HLOOKUP(INDIRECT(ADDRESS(2,COLUMN())),OFFSET($R$2,0,0,ROW()-1,12),ROW()-1,FALSE))</f>
        <v>-0.03</v>
      </c>
      <c r="P82">
        <f ca="1">IF(AND(ISNUMBER($P$185),$B$110=1),$P$185,HLOOKUP(INDIRECT(ADDRESS(2,COLUMN())),OFFSET($R$2,0,0,ROW()-1,12),ROW()-1,FALSE))</f>
        <v>0.84</v>
      </c>
      <c r="Q82">
        <f ca="1">IF(AND(ISNUMBER($Q$185),$B$110=1),$Q$185,HLOOKUP(INDIRECT(ADDRESS(2,COLUMN())),OFFSET($R$2,0,0,ROW()-1,12),ROW()-1,FALSE))</f>
        <v>0.8</v>
      </c>
      <c r="R82">
        <f>0.67</f>
        <v>0.67</v>
      </c>
      <c r="S82">
        <f>0.72</f>
        <v>0.72</v>
      </c>
      <c r="T82">
        <f>0.9</f>
        <v>0.9</v>
      </c>
      <c r="U82">
        <f>0.9</f>
        <v>0.9</v>
      </c>
      <c r="V82">
        <f>0.77</f>
        <v>0.77</v>
      </c>
      <c r="W82">
        <f>1.12</f>
        <v>1.1200000000000001</v>
      </c>
      <c r="X82">
        <f>0.82</f>
        <v>0.82</v>
      </c>
      <c r="Y82">
        <f>0.78</f>
        <v>0.78</v>
      </c>
      <c r="Z82">
        <f>0.88</f>
        <v>0.88</v>
      </c>
      <c r="AA82">
        <f>-0.03</f>
        <v>-0.03</v>
      </c>
      <c r="AB82">
        <f>0.84</f>
        <v>0.84</v>
      </c>
      <c r="AC82">
        <f>0.8</f>
        <v>0.8</v>
      </c>
    </row>
    <row r="83" spans="1:29" x14ac:dyDescent="0.25">
      <c r="A83" t="str">
        <f>"    Conduent Inc"</f>
        <v xml:space="preserve">    Conduent Inc</v>
      </c>
      <c r="B83" t="str">
        <f>"CNDT US Equity"</f>
        <v>CNDT US Equity</v>
      </c>
      <c r="C83" t="str">
        <f t="shared" si="12"/>
        <v>IS148</v>
      </c>
      <c r="D83" t="str">
        <f t="shared" si="13"/>
        <v>IS_DIL_EPS_BEF_XO</v>
      </c>
      <c r="E83" t="str">
        <f t="shared" si="14"/>
        <v>Dynamic</v>
      </c>
      <c r="F83">
        <f ca="1">IF(AND(ISNUMBER($F$186),$B$110=1),$F$186,HLOOKUP(INDIRECT(ADDRESS(2,COLUMN())),OFFSET($R$2,0,0,ROW()-1,12),ROW()-1,FALSE))</f>
        <v>-0.24</v>
      </c>
      <c r="G83">
        <f ca="1">IF(AND(ISNUMBER($G$186),$B$110=1),$G$186,HLOOKUP(INDIRECT(ADDRESS(2,COLUMN())),OFFSET($R$2,0,0,ROW()-1,12),ROW()-1,FALSE))</f>
        <v>-2.76</v>
      </c>
      <c r="H83">
        <f ca="1">IF(AND(ISNUMBER($H$186),$B$110=1),$H$186,HLOOKUP(INDIRECT(ADDRESS(2,COLUMN())),OFFSET($R$2,0,0,ROW()-1,12),ROW()-1,FALSE))</f>
        <v>-0.09</v>
      </c>
      <c r="I83">
        <f ca="1">IF(AND(ISNUMBER($I$186),$B$110=1),$I$186,HLOOKUP(INDIRECT(ADDRESS(2,COLUMN())),OFFSET($R$2,0,0,ROW()-1,12),ROW()-1,FALSE))</f>
        <v>-4.9400000000000004</v>
      </c>
      <c r="J83">
        <f ca="1">IF(AND(ISNUMBER($J$186),$B$110=1),$J$186,HLOOKUP(INDIRECT(ADDRESS(2,COLUMN())),OFFSET($R$2,0,0,ROW()-1,12),ROW()-1,FALSE))</f>
        <v>-1.49</v>
      </c>
      <c r="K83">
        <f ca="1">IF(AND(ISNUMBER($K$186),$B$110=1),$K$186,HLOOKUP(INDIRECT(ADDRESS(2,COLUMN())),OFFSET($R$2,0,0,ROW()-1,12),ROW()-1,FALSE))</f>
        <v>-0.69</v>
      </c>
      <c r="L83">
        <f ca="1">IF(AND(ISNUMBER($L$186),$B$110=1),$L$186,HLOOKUP(INDIRECT(ADDRESS(2,COLUMN())),OFFSET($R$2,0,0,ROW()-1,12),ROW()-1,FALSE))</f>
        <v>-1.1599999999999999</v>
      </c>
      <c r="M83">
        <f ca="1">IF(AND(ISNUMBER($M$186),$B$110=1),$M$186,HLOOKUP(INDIRECT(ADDRESS(2,COLUMN())),OFFSET($R$2,0,0,ROW()-1,12),ROW()-1,FALSE))</f>
        <v>0.04</v>
      </c>
      <c r="N83">
        <f ca="1">IF(AND(ISNUMBER($N$186),$B$110=1),$N$186,HLOOKUP(INDIRECT(ADDRESS(2,COLUMN())),OFFSET($R$2,0,0,ROW()-1,12),ROW()-1,FALSE))</f>
        <v>-0.26</v>
      </c>
      <c r="O83">
        <f ca="1">IF(AND(ISNUMBER($O$186),$B$110=1),$O$186,HLOOKUP(INDIRECT(ADDRESS(2,COLUMN())),OFFSET($R$2,0,0,ROW()-1,12),ROW()-1,FALSE))</f>
        <v>0.98</v>
      </c>
      <c r="P83">
        <f ca="1">IF(AND(ISNUMBER($P$186),$B$110=1),$P$186,HLOOKUP(INDIRECT(ADDRESS(2,COLUMN())),OFFSET($R$2,0,0,ROW()-1,12),ROW()-1,FALSE))</f>
        <v>-0.09</v>
      </c>
      <c r="Q83">
        <f ca="1">IF(AND(ISNUMBER($Q$186),$B$110=1),$Q$186,HLOOKUP(INDIRECT(ADDRESS(2,COLUMN())),OFFSET($R$2,0,0,ROW()-1,12),ROW()-1,FALSE))</f>
        <v>-0.03</v>
      </c>
      <c r="R83">
        <f>-0.24</f>
        <v>-0.24</v>
      </c>
      <c r="S83">
        <f>-2.76</f>
        <v>-2.76</v>
      </c>
      <c r="T83">
        <f>-0.09</f>
        <v>-0.09</v>
      </c>
      <c r="U83">
        <f>-4.94</f>
        <v>-4.9400000000000004</v>
      </c>
      <c r="V83">
        <f>-1.49</f>
        <v>-1.49</v>
      </c>
      <c r="W83">
        <f>-0.69</f>
        <v>-0.69</v>
      </c>
      <c r="X83">
        <f>-1.16</f>
        <v>-1.1599999999999999</v>
      </c>
      <c r="Y83">
        <f>0.04</f>
        <v>0.04</v>
      </c>
      <c r="Z83">
        <f>-0.26</f>
        <v>-0.26</v>
      </c>
      <c r="AA83">
        <f>0.98</f>
        <v>0.98</v>
      </c>
      <c r="AB83">
        <f>-0.09</f>
        <v>-0.09</v>
      </c>
      <c r="AC83">
        <f>-0.03</f>
        <v>-0.03</v>
      </c>
    </row>
    <row r="84" spans="1:29" x14ac:dyDescent="0.25">
      <c r="A84" t="str">
        <f>"    DXC Technology Co"</f>
        <v xml:space="preserve">    DXC Technology Co</v>
      </c>
      <c r="B84" t="str">
        <f>"DXC US Equity"</f>
        <v>DXC US Equity</v>
      </c>
      <c r="C84" t="str">
        <f t="shared" si="12"/>
        <v>IS148</v>
      </c>
      <c r="D84" t="str">
        <f t="shared" si="13"/>
        <v>IS_DIL_EPS_BEF_XO</v>
      </c>
      <c r="E84" t="str">
        <f t="shared" si="14"/>
        <v>Dynamic</v>
      </c>
      <c r="F84">
        <f ca="1">IF(AND(ISNUMBER($F$187),$B$110=1),$F$187,HLOOKUP(INDIRECT(ADDRESS(2,COLUMN())),OFFSET($R$2,0,0,ROW()-1,12),ROW()-1,FALSE))</f>
        <v>-13.79</v>
      </c>
      <c r="G84">
        <f ca="1">IF(AND(ISNUMBER($G$187),$B$110=1),$G$187,HLOOKUP(INDIRECT(ADDRESS(2,COLUMN())),OFFSET($R$2,0,0,ROW()-1,12),ROW()-1,FALSE))</f>
        <v>0.32</v>
      </c>
      <c r="H84">
        <f ca="1">IF(AND(ISNUMBER($H$187),$B$110=1),$H$187,HLOOKUP(INDIRECT(ADDRESS(2,COLUMN())),OFFSET($R$2,0,0,ROW()-1,12),ROW()-1,FALSE))</f>
        <v>-8.19</v>
      </c>
      <c r="I84">
        <f ca="1">IF(AND(ISNUMBER($I$187),$B$110=1),$I$187,HLOOKUP(INDIRECT(ADDRESS(2,COLUMN())),OFFSET($R$2,0,0,ROW()-1,12),ROW()-1,FALSE))</f>
        <v>0.61</v>
      </c>
      <c r="J84">
        <f ca="1">IF(AND(ISNUMBER($J$187),$B$110=1),$J$187,HLOOKUP(INDIRECT(ADDRESS(2,COLUMN())),OFFSET($R$2,0,0,ROW()-1,12),ROW()-1,FALSE))</f>
        <v>1.01</v>
      </c>
      <c r="K84">
        <f ca="1">IF(AND(ISNUMBER($K$187),$B$110=1),$K$187,HLOOKUP(INDIRECT(ADDRESS(2,COLUMN())),OFFSET($R$2,0,0,ROW()-1,12),ROW()-1,FALSE))</f>
        <v>1.66</v>
      </c>
      <c r="L84">
        <f ca="1">IF(AND(ISNUMBER($L$187),$B$110=1),$L$187,HLOOKUP(INDIRECT(ADDRESS(2,COLUMN())),OFFSET($R$2,0,0,ROW()-1,12),ROW()-1,FALSE))</f>
        <v>0.92</v>
      </c>
      <c r="M84">
        <f ca="1">IF(AND(ISNUMBER($M$187),$B$110=1),$M$187,HLOOKUP(INDIRECT(ADDRESS(2,COLUMN())),OFFSET($R$2,0,0,ROW()-1,12),ROW()-1,FALSE))</f>
        <v>0.78</v>
      </c>
      <c r="N84">
        <f ca="1">IF(AND(ISNUMBER($N$187),$B$110=1),$N$187,HLOOKUP(INDIRECT(ADDRESS(2,COLUMN())),OFFSET($R$2,0,0,ROW()-1,12),ROW()-1,FALSE))</f>
        <v>1.8</v>
      </c>
      <c r="O84">
        <f ca="1">IF(AND(ISNUMBER($O$187),$B$110=1),$O$187,HLOOKUP(INDIRECT(ADDRESS(2,COLUMN())),OFFSET($R$2,0,0,ROW()-1,12),ROW()-1,FALSE))</f>
        <v>2.4300000000000002</v>
      </c>
      <c r="P84">
        <f ca="1">IF(AND(ISNUMBER($P$187),$B$110=1),$P$187,HLOOKUP(INDIRECT(ADDRESS(2,COLUMN())),OFFSET($R$2,0,0,ROW()-1,12),ROW()-1,FALSE))</f>
        <v>0.67</v>
      </c>
      <c r="Q84">
        <f ca="1">IF(AND(ISNUMBER($Q$187),$B$110=1),$Q$187,HLOOKUP(INDIRECT(ADDRESS(2,COLUMN())),OFFSET($R$2,0,0,ROW()-1,12),ROW()-1,FALSE))</f>
        <v>0.33</v>
      </c>
      <c r="R84">
        <f>-13.79</f>
        <v>-13.79</v>
      </c>
      <c r="S84">
        <f>0.32</f>
        <v>0.32</v>
      </c>
      <c r="T84">
        <f>-8.19</f>
        <v>-8.19</v>
      </c>
      <c r="U84">
        <f>0.61</f>
        <v>0.61</v>
      </c>
      <c r="V84">
        <f>1.01</f>
        <v>1.01</v>
      </c>
      <c r="W84">
        <f>1.66</f>
        <v>1.66</v>
      </c>
      <c r="X84">
        <f>0.92</f>
        <v>0.92</v>
      </c>
      <c r="Y84">
        <f>0.78</f>
        <v>0.78</v>
      </c>
      <c r="Z84">
        <f>1.8</f>
        <v>1.8</v>
      </c>
      <c r="AA84">
        <f>2.43</f>
        <v>2.4300000000000002</v>
      </c>
      <c r="AB84">
        <f>0.67</f>
        <v>0.67</v>
      </c>
      <c r="AC84">
        <f>0.33</f>
        <v>0.33</v>
      </c>
    </row>
    <row r="85" spans="1:29" x14ac:dyDescent="0.25">
      <c r="A85" t="str">
        <f>"    EPAM Systems Inc"</f>
        <v xml:space="preserve">    EPAM Systems Inc</v>
      </c>
      <c r="B85" t="str">
        <f>"EPAM US Equity"</f>
        <v>EPAM US Equity</v>
      </c>
      <c r="C85" t="str">
        <f t="shared" si="12"/>
        <v>IS148</v>
      </c>
      <c r="D85" t="str">
        <f t="shared" si="13"/>
        <v>IS_DIL_EPS_BEF_XO</v>
      </c>
      <c r="E85" t="str">
        <f t="shared" si="14"/>
        <v>Dynamic</v>
      </c>
      <c r="F85">
        <f ca="1">IF(AND(ISNUMBER($F$188),$B$110=1),$F$188,HLOOKUP(INDIRECT(ADDRESS(2,COLUMN())),OFFSET($R$2,0,0,ROW()-1,12),ROW()-1,FALSE))</f>
        <v>1.47</v>
      </c>
      <c r="G85">
        <f ca="1">IF(AND(ISNUMBER($G$188),$B$110=1),$G$188,HLOOKUP(INDIRECT(ADDRESS(2,COLUMN())),OFFSET($R$2,0,0,ROW()-1,12),ROW()-1,FALSE))</f>
        <v>1.29</v>
      </c>
      <c r="H85">
        <f ca="1">IF(AND(ISNUMBER($H$188),$B$110=1),$H$188,HLOOKUP(INDIRECT(ADDRESS(2,COLUMN())),OFFSET($R$2,0,0,ROW()-1,12),ROW()-1,FALSE))</f>
        <v>1.1599999999999999</v>
      </c>
      <c r="I85">
        <f ca="1">IF(AND(ISNUMBER($I$188),$B$110=1),$I$188,HLOOKUP(INDIRECT(ADDRESS(2,COLUMN())),OFFSET($R$2,0,0,ROW()-1,12),ROW()-1,FALSE))</f>
        <v>1.02</v>
      </c>
      <c r="J85">
        <f ca="1">IF(AND(ISNUMBER($J$188),$B$110=1),$J$188,HLOOKUP(INDIRECT(ADDRESS(2,COLUMN())),OFFSET($R$2,0,0,ROW()-1,12),ROW()-1,FALSE))</f>
        <v>1.06</v>
      </c>
      <c r="K85">
        <f ca="1">IF(AND(ISNUMBER($K$188),$B$110=1),$K$188,HLOOKUP(INDIRECT(ADDRESS(2,COLUMN())),OFFSET($R$2,0,0,ROW()-1,12),ROW()-1,FALSE))</f>
        <v>1.05</v>
      </c>
      <c r="L85">
        <f ca="1">IF(AND(ISNUMBER($L$188),$B$110=1),$L$188,HLOOKUP(INDIRECT(ADDRESS(2,COLUMN())),OFFSET($R$2,0,0,ROW()-1,12),ROW()-1,FALSE))</f>
        <v>1.1499999999999999</v>
      </c>
      <c r="M85">
        <f ca="1">IF(AND(ISNUMBER($M$188),$B$110=1),$M$188,HLOOKUP(INDIRECT(ADDRESS(2,COLUMN())),OFFSET($R$2,0,0,ROW()-1,12),ROW()-1,FALSE))</f>
        <v>0.89</v>
      </c>
      <c r="N85">
        <f ca="1">IF(AND(ISNUMBER($N$188),$B$110=1),$N$188,HLOOKUP(INDIRECT(ADDRESS(2,COLUMN())),OFFSET($R$2,0,0,ROW()-1,12),ROW()-1,FALSE))</f>
        <v>1.1499999999999999</v>
      </c>
      <c r="O85">
        <f ca="1">IF(AND(ISNUMBER($O$188),$B$110=1),$O$188,HLOOKUP(INDIRECT(ADDRESS(2,COLUMN())),OFFSET($R$2,0,0,ROW()-1,12),ROW()-1,FALSE))</f>
        <v>-0.57999999999999996</v>
      </c>
      <c r="P85">
        <f ca="1">IF(AND(ISNUMBER($P$188),$B$110=1),$P$188,HLOOKUP(INDIRECT(ADDRESS(2,COLUMN())),OFFSET($R$2,0,0,ROW()-1,12),ROW()-1,FALSE))</f>
        <v>0.77</v>
      </c>
      <c r="Q85">
        <f ca="1">IF(AND(ISNUMBER($Q$188),$B$110=1),$Q$188,HLOOKUP(INDIRECT(ADDRESS(2,COLUMN())),OFFSET($R$2,0,0,ROW()-1,12),ROW()-1,FALSE))</f>
        <v>0.68</v>
      </c>
      <c r="R85">
        <f>1.47</f>
        <v>1.47</v>
      </c>
      <c r="S85">
        <f>1.29</f>
        <v>1.29</v>
      </c>
      <c r="T85">
        <f>1.16</f>
        <v>1.1599999999999999</v>
      </c>
      <c r="U85">
        <f>1.02</f>
        <v>1.02</v>
      </c>
      <c r="V85">
        <f>1.06</f>
        <v>1.06</v>
      </c>
      <c r="W85">
        <f>1.05</f>
        <v>1.05</v>
      </c>
      <c r="X85">
        <f>1.15</f>
        <v>1.1499999999999999</v>
      </c>
      <c r="Y85">
        <f>0.89</f>
        <v>0.89</v>
      </c>
      <c r="Z85">
        <f>1.15</f>
        <v>1.1499999999999999</v>
      </c>
      <c r="AA85">
        <f>-0.58</f>
        <v>-0.57999999999999996</v>
      </c>
      <c r="AB85">
        <f>0.77</f>
        <v>0.77</v>
      </c>
      <c r="AC85">
        <f>0.68</f>
        <v>0.68</v>
      </c>
    </row>
    <row r="86" spans="1:29" x14ac:dyDescent="0.25">
      <c r="A86" t="str">
        <f>"    Genpact Ltd"</f>
        <v xml:space="preserve">    Genpact Ltd</v>
      </c>
      <c r="B86" t="str">
        <f>"G US Equity"</f>
        <v>G US Equity</v>
      </c>
      <c r="C86" t="str">
        <f t="shared" si="12"/>
        <v>IS148</v>
      </c>
      <c r="D86" t="str">
        <f t="shared" si="13"/>
        <v>IS_DIL_EPS_BEF_XO</v>
      </c>
      <c r="E86" t="str">
        <f t="shared" si="14"/>
        <v>Dynamic</v>
      </c>
      <c r="F86">
        <f ca="1">IF(AND(ISNUMBER($F$189),$B$110=1),$F$189,HLOOKUP(INDIRECT(ADDRESS(2,COLUMN())),OFFSET($R$2,0,0,ROW()-1,12),ROW()-1,FALSE))</f>
        <v>0.44</v>
      </c>
      <c r="G86">
        <f ca="1">IF(AND(ISNUMBER($G$189),$B$110=1),$G$189,HLOOKUP(INDIRECT(ADDRESS(2,COLUMN())),OFFSET($R$2,0,0,ROW()-1,12),ROW()-1,FALSE))</f>
        <v>0.42</v>
      </c>
      <c r="H86">
        <f ca="1">IF(AND(ISNUMBER($H$189),$B$110=1),$H$189,HLOOKUP(INDIRECT(ADDRESS(2,COLUMN())),OFFSET($R$2,0,0,ROW()-1,12),ROW()-1,FALSE))</f>
        <v>0.45</v>
      </c>
      <c r="I86">
        <f ca="1">IF(AND(ISNUMBER($I$189),$B$110=1),$I$189,HLOOKUP(INDIRECT(ADDRESS(2,COLUMN())),OFFSET($R$2,0,0,ROW()-1,12),ROW()-1,FALSE))</f>
        <v>0.38</v>
      </c>
      <c r="J86">
        <f ca="1">IF(AND(ISNUMBER($J$189),$B$110=1),$J$189,HLOOKUP(INDIRECT(ADDRESS(2,COLUMN())),OFFSET($R$2,0,0,ROW()-1,12),ROW()-1,FALSE))</f>
        <v>0.31</v>
      </c>
      <c r="K86">
        <f ca="1">IF(AND(ISNUMBER($K$189),$B$110=1),$K$189,HLOOKUP(INDIRECT(ADDRESS(2,COLUMN())),OFFSET($R$2,0,0,ROW()-1,12),ROW()-1,FALSE))</f>
        <v>0.41</v>
      </c>
      <c r="L86">
        <f ca="1">IF(AND(ISNUMBER($L$189),$B$110=1),$L$189,HLOOKUP(INDIRECT(ADDRESS(2,COLUMN())),OFFSET($R$2,0,0,ROW()-1,12),ROW()-1,FALSE))</f>
        <v>0.38</v>
      </c>
      <c r="M86">
        <f ca="1">IF(AND(ISNUMBER($M$189),$B$110=1),$M$189,HLOOKUP(INDIRECT(ADDRESS(2,COLUMN())),OFFSET($R$2,0,0,ROW()-1,12),ROW()-1,FALSE))</f>
        <v>0.33</v>
      </c>
      <c r="N86">
        <f ca="1">IF(AND(ISNUMBER($N$189),$B$110=1),$N$189,HLOOKUP(INDIRECT(ADDRESS(2,COLUMN())),OFFSET($R$2,0,0,ROW()-1,12),ROW()-1,FALSE))</f>
        <v>0.33</v>
      </c>
      <c r="O86">
        <f ca="1">IF(AND(ISNUMBER($O$189),$B$110=1),$O$189,HLOOKUP(INDIRECT(ADDRESS(2,COLUMN())),OFFSET($R$2,0,0,ROW()-1,12),ROW()-1,FALSE))</f>
        <v>0.34</v>
      </c>
      <c r="P86">
        <f ca="1">IF(AND(ISNUMBER($P$189),$B$110=1),$P$189,HLOOKUP(INDIRECT(ADDRESS(2,COLUMN())),OFFSET($R$2,0,0,ROW()-1,12),ROW()-1,FALSE))</f>
        <v>0.38</v>
      </c>
      <c r="Q86">
        <f ca="1">IF(AND(ISNUMBER($Q$189),$B$110=1),$Q$189,HLOOKUP(INDIRECT(ADDRESS(2,COLUMN())),OFFSET($R$2,0,0,ROW()-1,12),ROW()-1,FALSE))</f>
        <v>0.36</v>
      </c>
      <c r="R86">
        <f>0.44</f>
        <v>0.44</v>
      </c>
      <c r="S86">
        <f>0.42</f>
        <v>0.42</v>
      </c>
      <c r="T86">
        <f>0.45</f>
        <v>0.45</v>
      </c>
      <c r="U86">
        <f>0.38</f>
        <v>0.38</v>
      </c>
      <c r="V86">
        <f>0.31</f>
        <v>0.31</v>
      </c>
      <c r="W86">
        <f>0.41</f>
        <v>0.41</v>
      </c>
      <c r="X86">
        <f>0.38</f>
        <v>0.38</v>
      </c>
      <c r="Y86">
        <f>0.33</f>
        <v>0.33</v>
      </c>
      <c r="Z86">
        <f>0.33</f>
        <v>0.33</v>
      </c>
      <c r="AA86">
        <f>0.34</f>
        <v>0.34</v>
      </c>
      <c r="AB86">
        <f>0.38</f>
        <v>0.38</v>
      </c>
      <c r="AC86">
        <f>0.36</f>
        <v>0.36</v>
      </c>
    </row>
    <row r="87" spans="1:29" x14ac:dyDescent="0.25">
      <c r="A87" t="str">
        <f>"    HCL Technologies Ltd"</f>
        <v xml:space="preserve">    HCL Technologies Ltd</v>
      </c>
      <c r="B87" t="str">
        <f>"HCLT IN Equity"</f>
        <v>HCLT IN Equity</v>
      </c>
      <c r="C87" t="str">
        <f t="shared" si="12"/>
        <v>IS148</v>
      </c>
      <c r="D87" t="str">
        <f t="shared" si="13"/>
        <v>IS_DIL_EPS_BEF_XO</v>
      </c>
      <c r="E87" t="str">
        <f t="shared" si="14"/>
        <v>Dynamic</v>
      </c>
      <c r="F87">
        <f ca="1">IF(AND(ISNUMBER($F$190),$B$110=1),$F$190,HLOOKUP(INDIRECT(ADDRESS(2,COLUMN())),OFFSET($R$2,0,0,ROW()-1,12),ROW()-1,FALSE))</f>
        <v>0.158973</v>
      </c>
      <c r="G87">
        <f ca="1">IF(AND(ISNUMBER($G$190),$B$110=1),$G$190,HLOOKUP(INDIRECT(ADDRESS(2,COLUMN())),OFFSET($R$2,0,0,ROW()-1,12),ROW()-1,FALSE))</f>
        <v>0.157168</v>
      </c>
      <c r="H87">
        <f ca="1">IF(AND(ISNUMBER($H$190),$B$110=1),$H$190,HLOOKUP(INDIRECT(ADDRESS(2,COLUMN())),OFFSET($R$2,0,0,ROW()-1,12),ROW()-1,FALSE))</f>
        <v>0.1386415</v>
      </c>
      <c r="I87">
        <f ca="1">IF(AND(ISNUMBER($I$190),$B$110=1),$I$190,HLOOKUP(INDIRECT(ADDRESS(2,COLUMN())),OFFSET($R$2,0,0,ROW()-1,12),ROW()-1,FALSE))</f>
        <v>0.1178165</v>
      </c>
      <c r="J87">
        <f ca="1">IF(AND(ISNUMBER($J$190),$B$110=1),$J$190,HLOOKUP(INDIRECT(ADDRESS(2,COLUMN())),OFFSET($R$2,0,0,ROW()-1,12),ROW()-1,FALSE))</f>
        <v>0.13450000000000001</v>
      </c>
      <c r="K87">
        <f ca="1">IF(AND(ISNUMBER($K$190),$B$110=1),$K$190,HLOOKUP(INDIRECT(ADDRESS(2,COLUMN())),OFFSET($R$2,0,0,ROW()-1,12),ROW()-1,FALSE))</f>
        <v>0.13375799999999999</v>
      </c>
      <c r="L87">
        <f ca="1">IF(AND(ISNUMBER($L$190),$B$110=1),$L$190,HLOOKUP(INDIRECT(ADDRESS(2,COLUMN())),OFFSET($R$2,0,0,ROW()-1,12),ROW()-1,FALSE))</f>
        <v>0.12774650000000001</v>
      </c>
      <c r="M87">
        <f ca="1">IF(AND(ISNUMBER($M$190),$B$110=1),$M$190,HLOOKUP(INDIRECT(ADDRESS(2,COLUMN())),OFFSET($R$2,0,0,ROW()-1,12),ROW()-1,FALSE))</f>
        <v>0.12770599999999999</v>
      </c>
      <c r="N87">
        <f ca="1">IF(AND(ISNUMBER($N$190),$B$110=1),$N$190,HLOOKUP(INDIRECT(ADDRESS(2,COLUMN())),OFFSET($R$2,0,0,ROW()-1,12),ROW()-1,FALSE))</f>
        <v>0.124351533</v>
      </c>
      <c r="O87">
        <f ca="1">IF(AND(ISNUMBER($O$190),$B$110=1),$O$190,HLOOKUP(INDIRECT(ADDRESS(2,COLUMN())),OFFSET($R$2,0,0,ROW()-1,12),ROW()-1,FALSE))</f>
        <v>0.121949</v>
      </c>
      <c r="P87">
        <f ca="1">IF(AND(ISNUMBER($P$190),$B$110=1),$P$190,HLOOKUP(INDIRECT(ADDRESS(2,COLUMN())),OFFSET($R$2,0,0,ROW()-1,12),ROW()-1,FALSE))</f>
        <v>0.1188555</v>
      </c>
      <c r="Q87">
        <f ca="1">IF(AND(ISNUMBER($Q$190),$B$110=1),$Q$190,HLOOKUP(INDIRECT(ADDRESS(2,COLUMN())),OFFSET($R$2,0,0,ROW()-1,12),ROW()-1,FALSE))</f>
        <v>0.11736099999999999</v>
      </c>
      <c r="R87">
        <f>0.158973</f>
        <v>0.158973</v>
      </c>
      <c r="S87">
        <f>0.157168</f>
        <v>0.157168</v>
      </c>
      <c r="T87">
        <f>0.1386415</f>
        <v>0.1386415</v>
      </c>
      <c r="U87">
        <f>0.1178165</f>
        <v>0.1178165</v>
      </c>
      <c r="V87">
        <f>0.1345</f>
        <v>0.13450000000000001</v>
      </c>
      <c r="W87">
        <f>0.133758</f>
        <v>0.13375799999999999</v>
      </c>
      <c r="X87">
        <f>0.1277465</f>
        <v>0.12774650000000001</v>
      </c>
      <c r="Y87">
        <f>0.127706</f>
        <v>0.12770599999999999</v>
      </c>
      <c r="Z87">
        <f>0.124351533</f>
        <v>0.124351533</v>
      </c>
      <c r="AA87">
        <f>0.121949</f>
        <v>0.121949</v>
      </c>
      <c r="AB87">
        <f>0.1188555</f>
        <v>0.1188555</v>
      </c>
      <c r="AC87">
        <f>0.117361</f>
        <v>0.11736099999999999</v>
      </c>
    </row>
    <row r="88" spans="1:29" x14ac:dyDescent="0.25">
      <c r="A88" t="str">
        <f>"    Indra Sistemas SA"</f>
        <v xml:space="preserve">    Indra Sistemas SA</v>
      </c>
      <c r="B88" t="str">
        <f>"IDR SM Equity"</f>
        <v>IDR SM Equity</v>
      </c>
      <c r="C88" t="str">
        <f t="shared" si="12"/>
        <v>IS148</v>
      </c>
      <c r="D88" t="str">
        <f t="shared" si="13"/>
        <v>IS_DIL_EPS_BEF_XO</v>
      </c>
      <c r="E88" t="str">
        <f t="shared" si="14"/>
        <v>Dynamic</v>
      </c>
      <c r="F88">
        <f ca="1">IF(AND(ISNUMBER($F$191),$B$110=1),$F$191,HLOOKUP(INDIRECT(ADDRESS(2,COLUMN())),OFFSET($R$2,0,0,ROW()-1,12),ROW()-1,FALSE))</f>
        <v>3.9690092000000003E-2</v>
      </c>
      <c r="G88">
        <f ca="1">IF(AND(ISNUMBER($G$191),$B$110=1),$G$191,HLOOKUP(INDIRECT(ADDRESS(2,COLUMN())),OFFSET($R$2,0,0,ROW()-1,12),ROW()-1,FALSE))</f>
        <v>0.32433838599999998</v>
      </c>
      <c r="H88">
        <f ca="1">IF(AND(ISNUMBER($H$191),$B$110=1),$H$191,HLOOKUP(INDIRECT(ADDRESS(2,COLUMN())),OFFSET($R$2,0,0,ROW()-1,12),ROW()-1,FALSE))</f>
        <v>0.177093373</v>
      </c>
      <c r="I88">
        <f ca="1">IF(AND(ISNUMBER($I$191),$B$110=1),$I$191,HLOOKUP(INDIRECT(ADDRESS(2,COLUMN())),OFFSET($R$2,0,0,ROW()-1,12),ROW()-1,FALSE))</f>
        <v>9.0791726000000003E-2</v>
      </c>
      <c r="J88">
        <f ca="1">IF(AND(ISNUMBER($J$191),$B$110=1),$J$191,HLOOKUP(INDIRECT(ADDRESS(2,COLUMN())),OFFSET($R$2,0,0,ROW()-1,12),ROW()-1,FALSE))</f>
        <v>0.111295162</v>
      </c>
      <c r="K88">
        <f ca="1">IF(AND(ISNUMBER($K$191),$B$110=1),$K$191,HLOOKUP(INDIRECT(ADDRESS(2,COLUMN())),OFFSET($R$2,0,0,ROW()-1,12),ROW()-1,FALSE))</f>
        <v>0.42089701600000001</v>
      </c>
      <c r="L88">
        <f ca="1">IF(AND(ISNUMBER($L$191),$B$110=1),$L$191,HLOOKUP(INDIRECT(ADDRESS(2,COLUMN())),OFFSET($R$2,0,0,ROW()-1,12),ROW()-1,FALSE))</f>
        <v>0.10121275</v>
      </c>
      <c r="M88">
        <f ca="1">IF(AND(ISNUMBER($M$191),$B$110=1),$M$191,HLOOKUP(INDIRECT(ADDRESS(2,COLUMN())),OFFSET($R$2,0,0,ROW()-1,12),ROW()-1,FALSE))</f>
        <v>0.15211987699999999</v>
      </c>
      <c r="N88">
        <f ca="1">IF(AND(ISNUMBER($N$191),$B$110=1),$N$191,HLOOKUP(INDIRECT(ADDRESS(2,COLUMN())),OFFSET($R$2,0,0,ROW()-1,12),ROW()-1,FALSE))</f>
        <v>7.4966870000000005E-2</v>
      </c>
      <c r="O88">
        <f ca="1">IF(AND(ISNUMBER($O$191),$B$110=1),$O$191,HLOOKUP(INDIRECT(ADDRESS(2,COLUMN())),OFFSET($R$2,0,0,ROW()-1,12),ROW()-1,FALSE))</f>
        <v>0.24454309900000001</v>
      </c>
      <c r="P88">
        <f ca="1">IF(AND(ISNUMBER($P$191),$B$110=1),$P$191,HLOOKUP(INDIRECT(ADDRESS(2,COLUMN())),OFFSET($R$2,0,0,ROW()-1,12),ROW()-1,FALSE))</f>
        <v>0.27529899099999999</v>
      </c>
      <c r="Q88">
        <f ca="1">IF(AND(ISNUMBER($Q$191),$B$110=1),$Q$191,HLOOKUP(INDIRECT(ADDRESS(2,COLUMN())),OFFSET($R$2,0,0,ROW()-1,12),ROW()-1,FALSE))</f>
        <v>9.3500153000000003E-2</v>
      </c>
      <c r="R88">
        <f>0.039690092</f>
        <v>3.9690092000000003E-2</v>
      </c>
      <c r="S88">
        <f>0.324338386</f>
        <v>0.32433838599999998</v>
      </c>
      <c r="T88">
        <f>0.177093373</f>
        <v>0.177093373</v>
      </c>
      <c r="U88">
        <f>0.090791726</f>
        <v>9.0791726000000003E-2</v>
      </c>
      <c r="V88">
        <f>0.111295162</f>
        <v>0.111295162</v>
      </c>
      <c r="W88">
        <f>0.420897016</f>
        <v>0.42089701600000001</v>
      </c>
      <c r="X88">
        <f>0.10121275</f>
        <v>0.10121275</v>
      </c>
      <c r="Y88">
        <f>0.152119877</f>
        <v>0.15211987699999999</v>
      </c>
      <c r="Z88">
        <f>0.07496687</f>
        <v>7.4966870000000005E-2</v>
      </c>
      <c r="AA88">
        <f>0.244543099</f>
        <v>0.24454309900000001</v>
      </c>
      <c r="AB88">
        <f>0.275298991</f>
        <v>0.27529899099999999</v>
      </c>
      <c r="AC88">
        <f>0.093500153</f>
        <v>9.3500153000000003E-2</v>
      </c>
    </row>
    <row r="89" spans="1:29" x14ac:dyDescent="0.25">
      <c r="A89" t="str">
        <f>"    Infosys Ltd"</f>
        <v xml:space="preserve">    Infosys Ltd</v>
      </c>
      <c r="B89" t="str">
        <f>"INFY US Equity"</f>
        <v>INFY US Equity</v>
      </c>
      <c r="C89" t="str">
        <f t="shared" si="12"/>
        <v>IS148</v>
      </c>
      <c r="D89" t="str">
        <f t="shared" si="13"/>
        <v>IS_DIL_EPS_BEF_XO</v>
      </c>
      <c r="E89" t="str">
        <f t="shared" si="14"/>
        <v>Dynamic</v>
      </c>
      <c r="F89" t="str">
        <f ca="1">IF(AND(ISNUMBER($F$192),$B$110=1),$F$192,HLOOKUP(INDIRECT(ADDRESS(2,COLUMN())),OFFSET($R$2,0,0,ROW()-1,12),ROW()-1,FALSE))</f>
        <v/>
      </c>
      <c r="G89" t="str">
        <f ca="1">IF(AND(ISNUMBER($G$192),$B$110=1),$G$192,HLOOKUP(INDIRECT(ADDRESS(2,COLUMN())),OFFSET($R$2,0,0,ROW()-1,12),ROW()-1,FALSE))</f>
        <v/>
      </c>
      <c r="H89" t="str">
        <f ca="1">IF(AND(ISNUMBER($H$192),$B$110=1),$H$192,HLOOKUP(INDIRECT(ADDRESS(2,COLUMN())),OFFSET($R$2,0,0,ROW()-1,12),ROW()-1,FALSE))</f>
        <v/>
      </c>
      <c r="I89" t="str">
        <f ca="1">IF(AND(ISNUMBER($I$192),$B$110=1),$I$192,HLOOKUP(INDIRECT(ADDRESS(2,COLUMN())),OFFSET($R$2,0,0,ROW()-1,12),ROW()-1,FALSE))</f>
        <v/>
      </c>
      <c r="J89" t="str">
        <f ca="1">IF(AND(ISNUMBER($J$192),$B$110=1),$J$192,HLOOKUP(INDIRECT(ADDRESS(2,COLUMN())),OFFSET($R$2,0,0,ROW()-1,12),ROW()-1,FALSE))</f>
        <v/>
      </c>
      <c r="K89" t="str">
        <f ca="1">IF(AND(ISNUMBER($K$192),$B$110=1),$K$192,HLOOKUP(INDIRECT(ADDRESS(2,COLUMN())),OFFSET($R$2,0,0,ROW()-1,12),ROW()-1,FALSE))</f>
        <v/>
      </c>
      <c r="L89" t="str">
        <f ca="1">IF(AND(ISNUMBER($L$192),$B$110=1),$L$192,HLOOKUP(INDIRECT(ADDRESS(2,COLUMN())),OFFSET($R$2,0,0,ROW()-1,12),ROW()-1,FALSE))</f>
        <v/>
      </c>
      <c r="M89" t="str">
        <f ca="1">IF(AND(ISNUMBER($M$192),$B$110=1),$M$192,HLOOKUP(INDIRECT(ADDRESS(2,COLUMN())),OFFSET($R$2,0,0,ROW()-1,12),ROW()-1,FALSE))</f>
        <v/>
      </c>
      <c r="N89" t="str">
        <f ca="1">IF(AND(ISNUMBER($N$192),$B$110=1),$N$192,HLOOKUP(INDIRECT(ADDRESS(2,COLUMN())),OFFSET($R$2,0,0,ROW()-1,12),ROW()-1,FALSE))</f>
        <v/>
      </c>
      <c r="O89" t="str">
        <f ca="1">IF(AND(ISNUMBER($O$192),$B$110=1),$O$192,HLOOKUP(INDIRECT(ADDRESS(2,COLUMN())),OFFSET($R$2,0,0,ROW()-1,12),ROW()-1,FALSE))</f>
        <v/>
      </c>
      <c r="P89" t="str">
        <f ca="1">IF(AND(ISNUMBER($P$192),$B$110=1),$P$192,HLOOKUP(INDIRECT(ADDRESS(2,COLUMN())),OFFSET($R$2,0,0,ROW()-1,12),ROW()-1,FALSE))</f>
        <v/>
      </c>
      <c r="Q89" t="str">
        <f ca="1">IF(AND(ISNUMBER($Q$192),$B$110=1),$Q$192,HLOOKUP(INDIRECT(ADDRESS(2,COLUMN())),OFFSET($R$2,0,0,ROW()-1,12),ROW()-1,FALSE))</f>
        <v/>
      </c>
      <c r="R89" t="str">
        <f>""</f>
        <v/>
      </c>
      <c r="S89" t="str">
        <f>""</f>
        <v/>
      </c>
      <c r="T89" t="str">
        <f>""</f>
        <v/>
      </c>
      <c r="U89" t="str">
        <f>""</f>
        <v/>
      </c>
      <c r="V89" t="str">
        <f>""</f>
        <v/>
      </c>
      <c r="W89" t="str">
        <f>""</f>
        <v/>
      </c>
      <c r="X89" t="str">
        <f>""</f>
        <v/>
      </c>
      <c r="Y89" t="str">
        <f>""</f>
        <v/>
      </c>
      <c r="Z89" t="str">
        <f>""</f>
        <v/>
      </c>
      <c r="AA89" t="str">
        <f>""</f>
        <v/>
      </c>
      <c r="AB89" t="str">
        <f>""</f>
        <v/>
      </c>
      <c r="AC89" t="str">
        <f>""</f>
        <v/>
      </c>
    </row>
    <row r="90" spans="1:29" x14ac:dyDescent="0.25">
      <c r="A90" t="str">
        <f>"    International Business Machines Corp"</f>
        <v xml:space="preserve">    International Business Machines Corp</v>
      </c>
      <c r="B90" t="str">
        <f>"IBM US Equity"</f>
        <v>IBM US Equity</v>
      </c>
      <c r="C90" t="str">
        <f t="shared" si="12"/>
        <v>IS148</v>
      </c>
      <c r="D90" t="str">
        <f t="shared" si="13"/>
        <v>IS_DIL_EPS_BEF_XO</v>
      </c>
      <c r="E90" t="str">
        <f t="shared" si="14"/>
        <v>Dynamic</v>
      </c>
      <c r="F90">
        <f ca="1">IF(AND(ISNUMBER($F$193),$B$110=1),$F$193,HLOOKUP(INDIRECT(ADDRESS(2,COLUMN())),OFFSET($R$2,0,0,ROW()-1,12),ROW()-1,FALSE))</f>
        <v>1.31</v>
      </c>
      <c r="G90">
        <f ca="1">IF(AND(ISNUMBER($G$193),$B$110=1),$G$193,HLOOKUP(INDIRECT(ADDRESS(2,COLUMN())),OFFSET($R$2,0,0,ROW()-1,12),ROW()-1,FALSE))</f>
        <v>4.1100000000000003</v>
      </c>
      <c r="H90">
        <f ca="1">IF(AND(ISNUMBER($H$193),$B$110=1),$H$193,HLOOKUP(INDIRECT(ADDRESS(2,COLUMN())),OFFSET($R$2,0,0,ROW()-1,12),ROW()-1,FALSE))</f>
        <v>1.87</v>
      </c>
      <c r="I90">
        <f ca="1">IF(AND(ISNUMBER($I$193),$B$110=1),$I$193,HLOOKUP(INDIRECT(ADDRESS(2,COLUMN())),OFFSET($R$2,0,0,ROW()-1,12),ROW()-1,FALSE))</f>
        <v>2.81</v>
      </c>
      <c r="J90">
        <f ca="1">IF(AND(ISNUMBER($J$193),$B$110=1),$J$193,HLOOKUP(INDIRECT(ADDRESS(2,COLUMN())),OFFSET($R$2,0,0,ROW()-1,12),ROW()-1,FALSE))</f>
        <v>1.78</v>
      </c>
      <c r="K90">
        <f ca="1">IF(AND(ISNUMBER($K$193),$B$110=1),$K$193,HLOOKUP(INDIRECT(ADDRESS(2,COLUMN())),OFFSET($R$2,0,0,ROW()-1,12),ROW()-1,FALSE))</f>
        <v>2.15</v>
      </c>
      <c r="L90">
        <f ca="1">IF(AND(ISNUMBER($L$193),$B$110=1),$L$193,HLOOKUP(INDIRECT(ADDRESS(2,COLUMN())),OFFSET($R$2,0,0,ROW()-1,12),ROW()-1,FALSE))</f>
        <v>2.94</v>
      </c>
      <c r="M90">
        <f ca="1">IF(AND(ISNUMBER($M$193),$B$110=1),$M$193,HLOOKUP(INDIRECT(ADDRESS(2,COLUMN())),OFFSET($R$2,0,0,ROW()-1,12),ROW()-1,FALSE))</f>
        <v>2.61</v>
      </c>
      <c r="N90">
        <f ca="1">IF(AND(ISNUMBER($N$193),$B$110=1),$N$193,HLOOKUP(INDIRECT(ADDRESS(2,COLUMN())),OFFSET($R$2,0,0,ROW()-1,12),ROW()-1,FALSE))</f>
        <v>1.81</v>
      </c>
      <c r="O90">
        <f ca="1">IF(AND(ISNUMBER($O$193),$B$110=1),$O$193,HLOOKUP(INDIRECT(ADDRESS(2,COLUMN())),OFFSET($R$2,0,0,ROW()-1,12),ROW()-1,FALSE))</f>
        <v>-1.1399999999999999</v>
      </c>
      <c r="P90">
        <f ca="1">IF(AND(ISNUMBER($P$193),$B$110=1),$P$193,HLOOKUP(INDIRECT(ADDRESS(2,COLUMN())),OFFSET($R$2,0,0,ROW()-1,12),ROW()-1,FALSE))</f>
        <v>2.92</v>
      </c>
      <c r="Q90">
        <f ca="1">IF(AND(ISNUMBER($Q$193),$B$110=1),$Q$193,HLOOKUP(INDIRECT(ADDRESS(2,COLUMN())),OFFSET($R$2,0,0,ROW()-1,12),ROW()-1,FALSE))</f>
        <v>2.48</v>
      </c>
      <c r="R90">
        <f>1.31</f>
        <v>1.31</v>
      </c>
      <c r="S90">
        <f>4.11</f>
        <v>4.1100000000000003</v>
      </c>
      <c r="T90">
        <f>1.87</f>
        <v>1.87</v>
      </c>
      <c r="U90">
        <f>2.81</f>
        <v>2.81</v>
      </c>
      <c r="V90">
        <f>1.78</f>
        <v>1.78</v>
      </c>
      <c r="W90">
        <f>2.15</f>
        <v>2.15</v>
      </c>
      <c r="X90">
        <f>2.94</f>
        <v>2.94</v>
      </c>
      <c r="Y90">
        <f>2.61</f>
        <v>2.61</v>
      </c>
      <c r="Z90">
        <f>1.81</f>
        <v>1.81</v>
      </c>
      <c r="AA90">
        <f>-1.14</f>
        <v>-1.1399999999999999</v>
      </c>
      <c r="AB90">
        <f>2.92</f>
        <v>2.92</v>
      </c>
      <c r="AC90">
        <f>2.48</f>
        <v>2.48</v>
      </c>
    </row>
    <row r="91" spans="1:29" x14ac:dyDescent="0.25">
      <c r="A91" t="str">
        <f>"    Tata Consultancy Services Ltd"</f>
        <v xml:space="preserve">    Tata Consultancy Services Ltd</v>
      </c>
      <c r="B91" t="str">
        <f>"TCS IN Equity"</f>
        <v>TCS IN Equity</v>
      </c>
      <c r="C91" t="str">
        <f t="shared" si="12"/>
        <v>IS148</v>
      </c>
      <c r="D91" t="str">
        <f t="shared" si="13"/>
        <v>IS_DIL_EPS_BEF_XO</v>
      </c>
      <c r="E91" t="str">
        <f t="shared" si="14"/>
        <v>Dynamic</v>
      </c>
      <c r="F91">
        <f ca="1">IF(AND(ISNUMBER($F$194),$B$110=1),$F$194,HLOOKUP(INDIRECT(ADDRESS(2,COLUMN())),OFFSET($R$2,0,0,ROW()-1,12),ROW()-1,FALSE))</f>
        <v>0.29611310699999999</v>
      </c>
      <c r="G91">
        <f ca="1">IF(AND(ISNUMBER($G$194),$B$110=1),$G$194,HLOOKUP(INDIRECT(ADDRESS(2,COLUMN())),OFFSET($R$2,0,0,ROW()-1,12),ROW()-1,FALSE))</f>
        <v>0.30371811700000001</v>
      </c>
      <c r="H91">
        <f ca="1">IF(AND(ISNUMBER($H$194),$B$110=1),$H$194,HLOOKUP(INDIRECT(ADDRESS(2,COLUMN())),OFFSET($R$2,0,0,ROW()-1,12),ROW()-1,FALSE))</f>
        <v>0.30454087000000002</v>
      </c>
      <c r="I91">
        <f ca="1">IF(AND(ISNUMBER($I$194),$B$110=1),$I$194,HLOOKUP(INDIRECT(ADDRESS(2,COLUMN())),OFFSET($R$2,0,0,ROW()-1,12),ROW()-1,FALSE))</f>
        <v>0.311622593</v>
      </c>
      <c r="J91">
        <f ca="1">IF(AND(ISNUMBER($J$194),$B$110=1),$J$194,HLOOKUP(INDIRECT(ADDRESS(2,COLUMN())),OFFSET($R$2,0,0,ROW()-1,12),ROW()-1,FALSE))</f>
        <v>0.30734751100000002</v>
      </c>
      <c r="K91">
        <f ca="1">IF(AND(ISNUMBER($K$194),$B$110=1),$K$194,HLOOKUP(INDIRECT(ADDRESS(2,COLUMN())),OFFSET($R$2,0,0,ROW()-1,12),ROW()-1,FALSE))</f>
        <v>0.299772131</v>
      </c>
      <c r="L91">
        <f ca="1">IF(AND(ISNUMBER($L$194),$B$110=1),$L$194,HLOOKUP(INDIRECT(ADDRESS(2,COLUMN())),OFFSET($R$2,0,0,ROW()-1,12),ROW()-1,FALSE))</f>
        <v>0.29487991499999999</v>
      </c>
      <c r="M91">
        <f ca="1">IF(AND(ISNUMBER($M$194),$B$110=1),$M$194,HLOOKUP(INDIRECT(ADDRESS(2,COLUMN())),OFFSET($R$2,0,0,ROW()-1,12),ROW()-1,FALSE))</f>
        <v>0.28590157300000002</v>
      </c>
      <c r="N91">
        <f ca="1">IF(AND(ISNUMBER($N$194),$B$110=1),$N$194,HLOOKUP(INDIRECT(ADDRESS(2,COLUMN())),OFFSET($R$2,0,0,ROW()-1,12),ROW()-1,FALSE))</f>
        <v>0.28014256700000001</v>
      </c>
      <c r="O91">
        <f ca="1">IF(AND(ISNUMBER($O$194),$B$110=1),$O$194,HLOOKUP(INDIRECT(ADDRESS(2,COLUMN())),OFFSET($R$2,0,0,ROW()-1,12),ROW()-1,FALSE))</f>
        <v>0.26354174699999999</v>
      </c>
      <c r="P91">
        <f ca="1">IF(AND(ISNUMBER($P$194),$B$110=1),$P$194,HLOOKUP(INDIRECT(ADDRESS(2,COLUMN())),OFFSET($R$2,0,0,ROW()-1,12),ROW()-1,FALSE))</f>
        <v>0.26188763799999998</v>
      </c>
      <c r="Q91">
        <f ca="1">IF(AND(ISNUMBER($Q$194),$B$110=1),$Q$194,HLOOKUP(INDIRECT(ADDRESS(2,COLUMN())),OFFSET($R$2,0,0,ROW()-1,12),ROW()-1,FALSE))</f>
        <v>0.235704107</v>
      </c>
      <c r="R91">
        <f>0.296113107</f>
        <v>0.29611310699999999</v>
      </c>
      <c r="S91">
        <f>0.303718117</f>
        <v>0.30371811700000001</v>
      </c>
      <c r="T91">
        <f>0.30454087</f>
        <v>0.30454087000000002</v>
      </c>
      <c r="U91">
        <f>0.311622593</f>
        <v>0.311622593</v>
      </c>
      <c r="V91">
        <f>0.307347511</f>
        <v>0.30734751100000002</v>
      </c>
      <c r="W91">
        <f>0.299772131</f>
        <v>0.299772131</v>
      </c>
      <c r="X91">
        <f>0.294879915</f>
        <v>0.29487991499999999</v>
      </c>
      <c r="Y91">
        <f>0.285901573</f>
        <v>0.28590157300000002</v>
      </c>
      <c r="Z91">
        <f>0.280142567</f>
        <v>0.28014256700000001</v>
      </c>
      <c r="AA91">
        <f>0.263541747</f>
        <v>0.26354174699999999</v>
      </c>
      <c r="AB91">
        <f>0.261887638</f>
        <v>0.26188763799999998</v>
      </c>
      <c r="AC91">
        <f>0.235704107</f>
        <v>0.235704107</v>
      </c>
    </row>
    <row r="92" spans="1:29" x14ac:dyDescent="0.25">
      <c r="A92" t="str">
        <f>"    Tech Mahindra Ltd"</f>
        <v xml:space="preserve">    Tech Mahindra Ltd</v>
      </c>
      <c r="B92" t="str">
        <f>"TECHM IN Equity"</f>
        <v>TECHM IN Equity</v>
      </c>
      <c r="C92" t="str">
        <f t="shared" si="12"/>
        <v>IS148</v>
      </c>
      <c r="D92" t="str">
        <f t="shared" si="13"/>
        <v>IS_DIL_EPS_BEF_XO</v>
      </c>
      <c r="E92" t="str">
        <f t="shared" si="14"/>
        <v>Dynamic</v>
      </c>
      <c r="F92">
        <f ca="1">IF(AND(ISNUMBER($F$195),$B$110=1),$F$195,HLOOKUP(INDIRECT(ADDRESS(2,COLUMN())),OFFSET($R$2,0,0,ROW()-1,12),ROW()-1,FALSE))</f>
        <v>0.12616001800000001</v>
      </c>
      <c r="G92">
        <f ca="1">IF(AND(ISNUMBER($G$195),$B$110=1),$G$195,HLOOKUP(INDIRECT(ADDRESS(2,COLUMN())),OFFSET($R$2,0,0,ROW()-1,12),ROW()-1,FALSE))</f>
        <v>0.179012427</v>
      </c>
      <c r="H92">
        <f ca="1">IF(AND(ISNUMBER($H$195),$B$110=1),$H$195,HLOOKUP(INDIRECT(ADDRESS(2,COLUMN())),OFFSET($R$2,0,0,ROW()-1,12),ROW()-1,FALSE))</f>
        <v>0.16416083000000001</v>
      </c>
      <c r="I92">
        <f ca="1">IF(AND(ISNUMBER($I$195),$B$110=1),$I$195,HLOOKUP(INDIRECT(ADDRESS(2,COLUMN())),OFFSET($R$2,0,0,ROW()-1,12),ROW()-1,FALSE))</f>
        <v>0.15660221699999999</v>
      </c>
      <c r="J92">
        <f ca="1">IF(AND(ISNUMBER($J$195),$B$110=1),$J$195,HLOOKUP(INDIRECT(ADDRESS(2,COLUMN())),OFFSET($R$2,0,0,ROW()-1,12),ROW()-1,FALSE))</f>
        <v>0.17856076900000001</v>
      </c>
      <c r="K92">
        <f ca="1">IF(AND(ISNUMBER($K$195),$B$110=1),$K$195,HLOOKUP(INDIRECT(ADDRESS(2,COLUMN())),OFFSET($R$2,0,0,ROW()-1,12),ROW()-1,FALSE))</f>
        <v>0.18666366500000001</v>
      </c>
      <c r="L92">
        <f ca="1">IF(AND(ISNUMBER($L$195),$B$110=1),$L$195,HLOOKUP(INDIRECT(ADDRESS(2,COLUMN())),OFFSET($R$2,0,0,ROW()-1,12),ROW()-1,FALSE))</f>
        <v>0.17027673700000001</v>
      </c>
      <c r="M92">
        <f ca="1">IF(AND(ISNUMBER($M$195),$B$110=1),$M$195,HLOOKUP(INDIRECT(ADDRESS(2,COLUMN())),OFFSET($R$2,0,0,ROW()-1,12),ROW()-1,FALSE))</f>
        <v>0.150184081</v>
      </c>
      <c r="N92">
        <f ca="1">IF(AND(ISNUMBER($N$195),$B$110=1),$N$195,HLOOKUP(INDIRECT(ADDRESS(2,COLUMN())),OFFSET($R$2,0,0,ROW()-1,12),ROW()-1,FALSE))</f>
        <v>0.21312967399999999</v>
      </c>
      <c r="O92">
        <f ca="1">IF(AND(ISNUMBER($O$195),$B$110=1),$O$195,HLOOKUP(INDIRECT(ADDRESS(2,COLUMN())),OFFSET($R$2,0,0,ROW()-1,12),ROW()-1,FALSE))</f>
        <v>0.16390257499999999</v>
      </c>
      <c r="P92">
        <f ca="1">IF(AND(ISNUMBER($P$195),$B$110=1),$P$195,HLOOKUP(INDIRECT(ADDRESS(2,COLUMN())),OFFSET($R$2,0,0,ROW()-1,12),ROW()-1,FALSE))</f>
        <v>0.146227728</v>
      </c>
      <c r="Q92">
        <f ca="1">IF(AND(ISNUMBER($Q$195),$B$110=1),$Q$195,HLOOKUP(INDIRECT(ADDRESS(2,COLUMN())),OFFSET($R$2,0,0,ROW()-1,12),ROW()-1,FALSE))</f>
        <v>0.139251505</v>
      </c>
      <c r="R92">
        <f>0.126160018</f>
        <v>0.12616001800000001</v>
      </c>
      <c r="S92">
        <f>0.179012427</f>
        <v>0.179012427</v>
      </c>
      <c r="T92">
        <f>0.16416083</f>
        <v>0.16416083000000001</v>
      </c>
      <c r="U92">
        <f>0.156602217</f>
        <v>0.15660221699999999</v>
      </c>
      <c r="V92">
        <f>0.178560769</f>
        <v>0.17856076900000001</v>
      </c>
      <c r="W92">
        <f>0.186663665</f>
        <v>0.18666366500000001</v>
      </c>
      <c r="X92">
        <f>0.170276737</f>
        <v>0.17027673700000001</v>
      </c>
      <c r="Y92">
        <f>0.150184081</f>
        <v>0.150184081</v>
      </c>
      <c r="Z92">
        <f>0.213129674</f>
        <v>0.21312967399999999</v>
      </c>
      <c r="AA92">
        <f>0.163902575</f>
        <v>0.16390257499999999</v>
      </c>
      <c r="AB92">
        <f>0.146227728</f>
        <v>0.146227728</v>
      </c>
      <c r="AC92">
        <f>0.139251505</f>
        <v>0.139251505</v>
      </c>
    </row>
    <row r="93" spans="1:29" x14ac:dyDescent="0.25">
      <c r="A93" t="str">
        <f>"    Wipro Ltd"</f>
        <v xml:space="preserve">    Wipro Ltd</v>
      </c>
      <c r="B93" t="str">
        <f>"WIT US Equity"</f>
        <v>WIT US Equity</v>
      </c>
      <c r="C93" t="str">
        <f t="shared" si="12"/>
        <v>IS148</v>
      </c>
      <c r="D93" t="str">
        <f t="shared" si="13"/>
        <v>IS_DIL_EPS_BEF_XO</v>
      </c>
      <c r="E93" t="str">
        <f t="shared" si="14"/>
        <v>Dynamic</v>
      </c>
      <c r="F93" t="str">
        <f ca="1">IF(AND(ISNUMBER($F$196),$B$110=1),$F$196,HLOOKUP(INDIRECT(ADDRESS(2,COLUMN())),OFFSET($R$2,0,0,ROW()-1,12),ROW()-1,FALSE))</f>
        <v/>
      </c>
      <c r="G93" t="str">
        <f ca="1">IF(AND(ISNUMBER($G$196),$B$110=1),$G$196,HLOOKUP(INDIRECT(ADDRESS(2,COLUMN())),OFFSET($R$2,0,0,ROW()-1,12),ROW()-1,FALSE))</f>
        <v/>
      </c>
      <c r="H93" t="str">
        <f ca="1">IF(AND(ISNUMBER($H$196),$B$110=1),$H$196,HLOOKUP(INDIRECT(ADDRESS(2,COLUMN())),OFFSET($R$2,0,0,ROW()-1,12),ROW()-1,FALSE))</f>
        <v/>
      </c>
      <c r="I93" t="str">
        <f ca="1">IF(AND(ISNUMBER($I$196),$B$110=1),$I$196,HLOOKUP(INDIRECT(ADDRESS(2,COLUMN())),OFFSET($R$2,0,0,ROW()-1,12),ROW()-1,FALSE))</f>
        <v/>
      </c>
      <c r="J93" t="str">
        <f ca="1">IF(AND(ISNUMBER($J$196),$B$110=1),$J$196,HLOOKUP(INDIRECT(ADDRESS(2,COLUMN())),OFFSET($R$2,0,0,ROW()-1,12),ROW()-1,FALSE))</f>
        <v/>
      </c>
      <c r="K93" t="str">
        <f ca="1">IF(AND(ISNUMBER($K$196),$B$110=1),$K$196,HLOOKUP(INDIRECT(ADDRESS(2,COLUMN())),OFFSET($R$2,0,0,ROW()-1,12),ROW()-1,FALSE))</f>
        <v/>
      </c>
      <c r="L93" t="str">
        <f ca="1">IF(AND(ISNUMBER($L$196),$B$110=1),$L$196,HLOOKUP(INDIRECT(ADDRESS(2,COLUMN())),OFFSET($R$2,0,0,ROW()-1,12),ROW()-1,FALSE))</f>
        <v/>
      </c>
      <c r="M93" t="str">
        <f ca="1">IF(AND(ISNUMBER($M$196),$B$110=1),$M$196,HLOOKUP(INDIRECT(ADDRESS(2,COLUMN())),OFFSET($R$2,0,0,ROW()-1,12),ROW()-1,FALSE))</f>
        <v/>
      </c>
      <c r="N93" t="str">
        <f ca="1">IF(AND(ISNUMBER($N$196),$B$110=1),$N$196,HLOOKUP(INDIRECT(ADDRESS(2,COLUMN())),OFFSET($R$2,0,0,ROW()-1,12),ROW()-1,FALSE))</f>
        <v/>
      </c>
      <c r="O93" t="str">
        <f ca="1">IF(AND(ISNUMBER($O$196),$B$110=1),$O$196,HLOOKUP(INDIRECT(ADDRESS(2,COLUMN())),OFFSET($R$2,0,0,ROW()-1,12),ROW()-1,FALSE))</f>
        <v/>
      </c>
      <c r="P93" t="str">
        <f ca="1">IF(AND(ISNUMBER($P$196),$B$110=1),$P$196,HLOOKUP(INDIRECT(ADDRESS(2,COLUMN())),OFFSET($R$2,0,0,ROW()-1,12),ROW()-1,FALSE))</f>
        <v/>
      </c>
      <c r="Q93" t="str">
        <f ca="1">IF(AND(ISNUMBER($Q$196),$B$110=1),$Q$196,HLOOKUP(INDIRECT(ADDRESS(2,COLUMN())),OFFSET($R$2,0,0,ROW()-1,12),ROW()-1,FALSE))</f>
        <v/>
      </c>
      <c r="R93" t="str">
        <f>""</f>
        <v/>
      </c>
      <c r="S93" t="str">
        <f>""</f>
        <v/>
      </c>
      <c r="T93" t="str">
        <f>""</f>
        <v/>
      </c>
      <c r="U93" t="str">
        <f>""</f>
        <v/>
      </c>
      <c r="V93" t="str">
        <f>""</f>
        <v/>
      </c>
      <c r="W93" t="str">
        <f>""</f>
        <v/>
      </c>
      <c r="X93" t="str">
        <f>""</f>
        <v/>
      </c>
      <c r="Y93" t="str">
        <f>""</f>
        <v/>
      </c>
      <c r="Z93" t="str">
        <f>""</f>
        <v/>
      </c>
      <c r="AA93" t="str">
        <f>""</f>
        <v/>
      </c>
      <c r="AB93" t="str">
        <f>""</f>
        <v/>
      </c>
      <c r="AC93" t="str">
        <f>""</f>
        <v/>
      </c>
    </row>
    <row r="94" spans="1:29" x14ac:dyDescent="0.25">
      <c r="A94" t="str">
        <f>"Source: Company Filings"</f>
        <v>Source: Company Filings</v>
      </c>
      <c r="B94" t="str">
        <f>""</f>
        <v/>
      </c>
      <c r="E94" t="str">
        <f>"Heading"</f>
        <v>Heading</v>
      </c>
      <c r="R94" t="str">
        <f>""</f>
        <v/>
      </c>
      <c r="S94" t="str">
        <f>""</f>
        <v/>
      </c>
      <c r="T94" t="str">
        <f>""</f>
        <v/>
      </c>
      <c r="U94" t="str">
        <f>""</f>
        <v/>
      </c>
      <c r="V94" t="str">
        <f>""</f>
        <v/>
      </c>
      <c r="W94" t="str">
        <f>""</f>
        <v/>
      </c>
      <c r="X94" t="str">
        <f>""</f>
        <v/>
      </c>
      <c r="Y94" t="str">
        <f>""</f>
        <v/>
      </c>
      <c r="Z94" t="str">
        <f>""</f>
        <v/>
      </c>
      <c r="AA94" t="str">
        <f>""</f>
        <v/>
      </c>
      <c r="AB94" t="str">
        <f>""</f>
        <v/>
      </c>
      <c r="AC94" t="str">
        <f>""</f>
        <v/>
      </c>
    </row>
    <row r="95" spans="1:29" x14ac:dyDescent="0.25">
      <c r="R95" t="str">
        <f>""</f>
        <v/>
      </c>
      <c r="S95" t="str">
        <f>""</f>
        <v/>
      </c>
      <c r="T95" t="str">
        <f>""</f>
        <v/>
      </c>
      <c r="U95" t="str">
        <f>""</f>
        <v/>
      </c>
      <c r="V95" t="str">
        <f>""</f>
        <v/>
      </c>
      <c r="W95" t="str">
        <f>""</f>
        <v/>
      </c>
      <c r="X95" t="str">
        <f>""</f>
        <v/>
      </c>
      <c r="Y95" t="str">
        <f>""</f>
        <v/>
      </c>
      <c r="Z95" t="str">
        <f>""</f>
        <v/>
      </c>
      <c r="AA95" t="str">
        <f>""</f>
        <v/>
      </c>
      <c r="AB95" t="str">
        <f>""</f>
        <v/>
      </c>
      <c r="AC95" t="str">
        <f>""</f>
        <v/>
      </c>
    </row>
    <row r="96" spans="1:29" x14ac:dyDescent="0.25">
      <c r="R96" t="str">
        <f>""</f>
        <v/>
      </c>
      <c r="S96" t="str">
        <f>""</f>
        <v/>
      </c>
      <c r="T96" t="str">
        <f>""</f>
        <v/>
      </c>
      <c r="U96" t="str">
        <f>""</f>
        <v/>
      </c>
      <c r="V96" t="str">
        <f>""</f>
        <v/>
      </c>
      <c r="W96" t="str">
        <f>""</f>
        <v/>
      </c>
      <c r="X96" t="str">
        <f>""</f>
        <v/>
      </c>
      <c r="Y96" t="str">
        <f>""</f>
        <v/>
      </c>
      <c r="Z96" t="str">
        <f>""</f>
        <v/>
      </c>
      <c r="AA96" t="str">
        <f>""</f>
        <v/>
      </c>
      <c r="AB96" t="str">
        <f>""</f>
        <v/>
      </c>
      <c r="AC96" t="str">
        <f>""</f>
        <v/>
      </c>
    </row>
    <row r="97" spans="1:29" x14ac:dyDescent="0.25">
      <c r="R97" t="str">
        <f>""</f>
        <v/>
      </c>
      <c r="S97" t="str">
        <f>""</f>
        <v/>
      </c>
      <c r="T97" t="str">
        <f>""</f>
        <v/>
      </c>
      <c r="U97" t="str">
        <f>""</f>
        <v/>
      </c>
      <c r="V97" t="str">
        <f>""</f>
        <v/>
      </c>
      <c r="W97" t="str">
        <f>""</f>
        <v/>
      </c>
      <c r="X97" t="str">
        <f>""</f>
        <v/>
      </c>
      <c r="Y97" t="str">
        <f>""</f>
        <v/>
      </c>
      <c r="Z97" t="str">
        <f>""</f>
        <v/>
      </c>
      <c r="AA97" t="str">
        <f>""</f>
        <v/>
      </c>
      <c r="AB97" t="str">
        <f>""</f>
        <v/>
      </c>
      <c r="AC97" t="str">
        <f>""</f>
        <v/>
      </c>
    </row>
    <row r="98" spans="1:29" x14ac:dyDescent="0.25">
      <c r="R98" t="str">
        <f>""</f>
        <v/>
      </c>
      <c r="S98" t="str">
        <f>""</f>
        <v/>
      </c>
      <c r="T98" t="str">
        <f>""</f>
        <v/>
      </c>
      <c r="U98" t="str">
        <f>""</f>
        <v/>
      </c>
      <c r="V98" t="str">
        <f>""</f>
        <v/>
      </c>
      <c r="W98" t="str">
        <f>""</f>
        <v/>
      </c>
      <c r="X98" t="str">
        <f>""</f>
        <v/>
      </c>
      <c r="Y98" t="str">
        <f>""</f>
        <v/>
      </c>
      <c r="Z98" t="str">
        <f>""</f>
        <v/>
      </c>
      <c r="AA98" t="str">
        <f>""</f>
        <v/>
      </c>
      <c r="AB98" t="str">
        <f>""</f>
        <v/>
      </c>
      <c r="AC98" t="str">
        <f>""</f>
        <v/>
      </c>
    </row>
    <row r="99" spans="1:29" x14ac:dyDescent="0.25">
      <c r="R99" t="str">
        <f>""</f>
        <v/>
      </c>
      <c r="S99" t="str">
        <f>""</f>
        <v/>
      </c>
      <c r="T99" t="str">
        <f>""</f>
        <v/>
      </c>
      <c r="U99" t="str">
        <f>""</f>
        <v/>
      </c>
      <c r="V99" t="str">
        <f>""</f>
        <v/>
      </c>
      <c r="W99" t="str">
        <f>""</f>
        <v/>
      </c>
      <c r="X99" t="str">
        <f>""</f>
        <v/>
      </c>
      <c r="Y99" t="str">
        <f>""</f>
        <v/>
      </c>
      <c r="Z99" t="str">
        <f>""</f>
        <v/>
      </c>
      <c r="AA99" t="str">
        <f>""</f>
        <v/>
      </c>
      <c r="AB99" t="str">
        <f>""</f>
        <v/>
      </c>
      <c r="AC99" t="str">
        <f>""</f>
        <v/>
      </c>
    </row>
    <row r="100" spans="1:29" x14ac:dyDescent="0.25">
      <c r="R100" t="str">
        <f>""</f>
        <v/>
      </c>
      <c r="S100" t="str">
        <f>""</f>
        <v/>
      </c>
      <c r="T100" t="str">
        <f>""</f>
        <v/>
      </c>
      <c r="U100" t="str">
        <f>""</f>
        <v/>
      </c>
      <c r="V100" t="str">
        <f>""</f>
        <v/>
      </c>
      <c r="W100" t="str">
        <f>""</f>
        <v/>
      </c>
      <c r="X100" t="str">
        <f>""</f>
        <v/>
      </c>
      <c r="Y100" t="str">
        <f>""</f>
        <v/>
      </c>
      <c r="Z100" t="str">
        <f>""</f>
        <v/>
      </c>
      <c r="AA100" t="str">
        <f>""</f>
        <v/>
      </c>
      <c r="AB100" t="str">
        <f>""</f>
        <v/>
      </c>
      <c r="AC100" t="str">
        <f>""</f>
        <v/>
      </c>
    </row>
    <row r="101" spans="1:29" x14ac:dyDescent="0.25">
      <c r="R101" t="str">
        <f>""</f>
        <v/>
      </c>
      <c r="S101" t="str">
        <f>""</f>
        <v/>
      </c>
      <c r="T101" t="str">
        <f>""</f>
        <v/>
      </c>
      <c r="U101" t="str">
        <f>""</f>
        <v/>
      </c>
      <c r="V101" t="str">
        <f>""</f>
        <v/>
      </c>
      <c r="W101" t="str">
        <f>""</f>
        <v/>
      </c>
      <c r="X101" t="str">
        <f>""</f>
        <v/>
      </c>
      <c r="Y101" t="str">
        <f>""</f>
        <v/>
      </c>
      <c r="Z101" t="str">
        <f>""</f>
        <v/>
      </c>
      <c r="AA101" t="str">
        <f>""</f>
        <v/>
      </c>
      <c r="AB101" t="str">
        <f>""</f>
        <v/>
      </c>
      <c r="AC101" t="str">
        <f>""</f>
        <v/>
      </c>
    </row>
    <row r="102" spans="1:29" x14ac:dyDescent="0.25">
      <c r="A102" t="str">
        <f t="shared" ref="A102:Q102" si="15">"~~~~~~~~~~"</f>
        <v>~~~~~~~~~~</v>
      </c>
      <c r="B102" t="str">
        <f t="shared" si="15"/>
        <v>~~~~~~~~~~</v>
      </c>
      <c r="C102" t="str">
        <f t="shared" si="15"/>
        <v>~~~~~~~~~~</v>
      </c>
      <c r="D102" t="str">
        <f t="shared" si="15"/>
        <v>~~~~~~~~~~</v>
      </c>
      <c r="E102" t="str">
        <f t="shared" si="15"/>
        <v>~~~~~~~~~~</v>
      </c>
      <c r="F102" t="str">
        <f t="shared" si="15"/>
        <v>~~~~~~~~~~</v>
      </c>
      <c r="G102" t="str">
        <f t="shared" si="15"/>
        <v>~~~~~~~~~~</v>
      </c>
      <c r="H102" t="str">
        <f t="shared" si="15"/>
        <v>~~~~~~~~~~</v>
      </c>
      <c r="I102" t="str">
        <f t="shared" si="15"/>
        <v>~~~~~~~~~~</v>
      </c>
      <c r="J102" t="str">
        <f t="shared" si="15"/>
        <v>~~~~~~~~~~</v>
      </c>
      <c r="K102" t="str">
        <f t="shared" si="15"/>
        <v>~~~~~~~~~~</v>
      </c>
      <c r="L102" t="str">
        <f t="shared" si="15"/>
        <v>~~~~~~~~~~</v>
      </c>
      <c r="M102" t="str">
        <f t="shared" si="15"/>
        <v>~~~~~~~~~~</v>
      </c>
      <c r="N102" t="str">
        <f t="shared" si="15"/>
        <v>~~~~~~~~~~</v>
      </c>
      <c r="O102" t="str">
        <f t="shared" si="15"/>
        <v>~~~~~~~~~~</v>
      </c>
      <c r="P102" t="str">
        <f t="shared" si="15"/>
        <v>~~~~~~~~~~</v>
      </c>
      <c r="Q102" t="str">
        <f t="shared" si="15"/>
        <v>~~~~~~~~~~</v>
      </c>
      <c r="R102" t="str">
        <f>""</f>
        <v/>
      </c>
      <c r="S102" t="str">
        <f>""</f>
        <v/>
      </c>
      <c r="T102" t="str">
        <f>""</f>
        <v/>
      </c>
      <c r="U102" t="str">
        <f>""</f>
        <v/>
      </c>
      <c r="V102" t="str">
        <f>""</f>
        <v/>
      </c>
      <c r="W102" t="str">
        <f>""</f>
        <v/>
      </c>
      <c r="X102" t="str">
        <f>""</f>
        <v/>
      </c>
      <c r="Y102" t="str">
        <f>""</f>
        <v/>
      </c>
      <c r="Z102" t="str">
        <f>""</f>
        <v/>
      </c>
      <c r="AA102" t="str">
        <f>""</f>
        <v/>
      </c>
      <c r="AB102" t="str">
        <f>""</f>
        <v/>
      </c>
      <c r="AC102" t="str">
        <f>""</f>
        <v/>
      </c>
    </row>
    <row r="103" spans="1:29" x14ac:dyDescent="0.25">
      <c r="A103" t="str">
        <f>"All rows below have been added for reference by formula rows above."</f>
        <v>All rows below have been added for reference by formula rows above.</v>
      </c>
      <c r="R103" t="str">
        <f>""</f>
        <v/>
      </c>
      <c r="S103" t="str">
        <f>""</f>
        <v/>
      </c>
      <c r="T103" t="str">
        <f>""</f>
        <v/>
      </c>
      <c r="U103" t="str">
        <f>""</f>
        <v/>
      </c>
      <c r="V103" t="str">
        <f>""</f>
        <v/>
      </c>
      <c r="W103" t="str">
        <f>""</f>
        <v/>
      </c>
      <c r="X103" t="str">
        <f>""</f>
        <v/>
      </c>
      <c r="Y103" t="str">
        <f>""</f>
        <v/>
      </c>
      <c r="Z103" t="str">
        <f>""</f>
        <v/>
      </c>
      <c r="AA103" t="str">
        <f>""</f>
        <v/>
      </c>
      <c r="AB103" t="str">
        <f>""</f>
        <v/>
      </c>
      <c r="AC103" t="str">
        <f>""</f>
        <v/>
      </c>
    </row>
    <row r="104" spans="1:29" x14ac:dyDescent="0.25">
      <c r="A104">
        <f>RTD("bloomberg.ccyreader", "", "#track", "DBG", "BIHITX", "1.0","RepeatHit")</f>
        <v>0</v>
      </c>
      <c r="R104" t="str">
        <f>""</f>
        <v/>
      </c>
      <c r="S104" t="str">
        <f>""</f>
        <v/>
      </c>
      <c r="T104" t="str">
        <f>""</f>
        <v/>
      </c>
      <c r="U104" t="str">
        <f>""</f>
        <v/>
      </c>
      <c r="V104" t="str">
        <f>""</f>
        <v/>
      </c>
      <c r="W104" t="str">
        <f>""</f>
        <v/>
      </c>
      <c r="X104" t="str">
        <f>""</f>
        <v/>
      </c>
      <c r="Y104" t="str">
        <f>""</f>
        <v/>
      </c>
      <c r="Z104" t="str">
        <f>""</f>
        <v/>
      </c>
      <c r="AA104" t="str">
        <f>""</f>
        <v/>
      </c>
      <c r="AB104" t="str">
        <f>""</f>
        <v/>
      </c>
      <c r="AC104" t="str">
        <f>""</f>
        <v/>
      </c>
    </row>
    <row r="105" spans="1:29" x14ac:dyDescent="0.25">
      <c r="A105" t="str">
        <f>"Currency"</f>
        <v>Currency</v>
      </c>
      <c r="B105" t="str">
        <f>"USD"</f>
        <v>USD</v>
      </c>
      <c r="R105" t="str">
        <f>""</f>
        <v/>
      </c>
      <c r="S105" t="str">
        <f>""</f>
        <v/>
      </c>
      <c r="T105" t="str">
        <f>""</f>
        <v/>
      </c>
      <c r="U105" t="str">
        <f>""</f>
        <v/>
      </c>
      <c r="V105" t="str">
        <f>""</f>
        <v/>
      </c>
      <c r="W105" t="str">
        <f>""</f>
        <v/>
      </c>
      <c r="X105" t="str">
        <f>""</f>
        <v/>
      </c>
      <c r="Y105" t="str">
        <f>""</f>
        <v/>
      </c>
      <c r="Z105" t="str">
        <f>""</f>
        <v/>
      </c>
      <c r="AA105" t="str">
        <f>""</f>
        <v/>
      </c>
      <c r="AB105" t="str">
        <f>""</f>
        <v/>
      </c>
      <c r="AC105" t="str">
        <f>""</f>
        <v/>
      </c>
    </row>
    <row r="106" spans="1:29" x14ac:dyDescent="0.25">
      <c r="A106" t="str">
        <f>"Periodicity"</f>
        <v>Periodicity</v>
      </c>
      <c r="B106" t="str">
        <f>"CQ"</f>
        <v>CQ</v>
      </c>
      <c r="C106" t="str">
        <f>"AQ"</f>
        <v>AQ</v>
      </c>
      <c r="R106" t="str">
        <f>""</f>
        <v/>
      </c>
      <c r="S106" t="str">
        <f>""</f>
        <v/>
      </c>
      <c r="T106" t="str">
        <f>""</f>
        <v/>
      </c>
      <c r="U106" t="str">
        <f>""</f>
        <v/>
      </c>
      <c r="V106" t="str">
        <f>""</f>
        <v/>
      </c>
      <c r="W106" t="str">
        <f>""</f>
        <v/>
      </c>
      <c r="X106" t="str">
        <f>""</f>
        <v/>
      </c>
      <c r="Y106" t="str">
        <f>""</f>
        <v/>
      </c>
      <c r="Z106" t="str">
        <f>""</f>
        <v/>
      </c>
      <c r="AA106" t="str">
        <f>""</f>
        <v/>
      </c>
      <c r="AB106" t="str">
        <f>""</f>
        <v/>
      </c>
      <c r="AC106" t="str">
        <f>""</f>
        <v/>
      </c>
    </row>
    <row r="107" spans="1:29" x14ac:dyDescent="0.25">
      <c r="A107" t="str">
        <f>"Number of Periods"</f>
        <v>Number of Periods</v>
      </c>
      <c r="B107">
        <f>12</f>
        <v>12</v>
      </c>
      <c r="R107" t="str">
        <f>""</f>
        <v/>
      </c>
      <c r="S107" t="str">
        <f>""</f>
        <v/>
      </c>
      <c r="T107" t="str">
        <f>""</f>
        <v/>
      </c>
      <c r="U107" t="str">
        <f>""</f>
        <v/>
      </c>
      <c r="V107" t="str">
        <f>""</f>
        <v/>
      </c>
      <c r="W107" t="str">
        <f>""</f>
        <v/>
      </c>
      <c r="X107" t="str">
        <f>""</f>
        <v/>
      </c>
      <c r="Y107" t="str">
        <f>""</f>
        <v/>
      </c>
      <c r="Z107" t="str">
        <f>""</f>
        <v/>
      </c>
      <c r="AA107" t="str">
        <f>""</f>
        <v/>
      </c>
      <c r="AB107" t="str">
        <f>""</f>
        <v/>
      </c>
      <c r="AC107" t="str">
        <f>""</f>
        <v/>
      </c>
    </row>
    <row r="108" spans="1:29" x14ac:dyDescent="0.25">
      <c r="A108" t="str">
        <f>"Start Date"</f>
        <v>Start Date</v>
      </c>
      <c r="B108" t="str">
        <f>CONCATENATE("-",$B$107,$B$106)</f>
        <v>-12CQ</v>
      </c>
      <c r="C108" t="str">
        <f>CONCATENATE("-",$B$107,$C$106)</f>
        <v>-12AQ</v>
      </c>
      <c r="R108" t="str">
        <f>""</f>
        <v/>
      </c>
      <c r="S108" t="str">
        <f>""</f>
        <v/>
      </c>
      <c r="T108" t="str">
        <f>""</f>
        <v/>
      </c>
      <c r="U108" t="str">
        <f>""</f>
        <v/>
      </c>
      <c r="V108" t="str">
        <f>""</f>
        <v/>
      </c>
      <c r="W108" t="str">
        <f>""</f>
        <v/>
      </c>
      <c r="X108" t="str">
        <f>""</f>
        <v/>
      </c>
      <c r="Y108" t="str">
        <f>""</f>
        <v/>
      </c>
      <c r="Z108" t="str">
        <f>""</f>
        <v/>
      </c>
      <c r="AA108" t="str">
        <f>""</f>
        <v/>
      </c>
      <c r="AB108" t="str">
        <f>""</f>
        <v/>
      </c>
      <c r="AC108" t="str">
        <f>""</f>
        <v/>
      </c>
    </row>
    <row r="109" spans="1:29" x14ac:dyDescent="0.25">
      <c r="A109" t="str">
        <f>"End Date"</f>
        <v>End Date</v>
      </c>
      <c r="B109">
        <f ca="1">TODAY()</f>
        <v>43999</v>
      </c>
      <c r="R109" t="str">
        <f>""</f>
        <v/>
      </c>
      <c r="S109" t="str">
        <f>""</f>
        <v/>
      </c>
      <c r="T109" t="str">
        <f>""</f>
        <v/>
      </c>
      <c r="U109" t="str">
        <f>""</f>
        <v/>
      </c>
      <c r="V109" t="str">
        <f>""</f>
        <v/>
      </c>
      <c r="W109" t="str">
        <f>""</f>
        <v/>
      </c>
      <c r="X109" t="str">
        <f>""</f>
        <v/>
      </c>
      <c r="Y109" t="str">
        <f>""</f>
        <v/>
      </c>
      <c r="Z109" t="str">
        <f>""</f>
        <v/>
      </c>
      <c r="AA109" t="str">
        <f>""</f>
        <v/>
      </c>
      <c r="AB109" t="str">
        <f>""</f>
        <v/>
      </c>
      <c r="AC109" t="str">
        <f>""</f>
        <v/>
      </c>
    </row>
    <row r="110" spans="1:29" x14ac:dyDescent="0.25">
      <c r="A110" t="str">
        <f>"HeaderStatus"</f>
        <v>HeaderStatus</v>
      </c>
      <c r="B110">
        <f ca="1">$B$216*$B$224</f>
        <v>4</v>
      </c>
      <c r="R110" t="str">
        <f>""</f>
        <v/>
      </c>
      <c r="S110" t="str">
        <f>""</f>
        <v/>
      </c>
      <c r="T110" t="str">
        <f>""</f>
        <v/>
      </c>
      <c r="U110" t="str">
        <f>""</f>
        <v/>
      </c>
      <c r="V110" t="str">
        <f>""</f>
        <v/>
      </c>
      <c r="W110" t="str">
        <f>""</f>
        <v/>
      </c>
      <c r="X110" t="str">
        <f>""</f>
        <v/>
      </c>
      <c r="Y110" t="str">
        <f>""</f>
        <v/>
      </c>
      <c r="Z110" t="str">
        <f>""</f>
        <v/>
      </c>
      <c r="AA110" t="str">
        <f>""</f>
        <v/>
      </c>
      <c r="AB110" t="str">
        <f>""</f>
        <v/>
      </c>
      <c r="AC110" t="str">
        <f>""</f>
        <v/>
      </c>
    </row>
    <row r="111" spans="1:29" x14ac:dyDescent="0.25">
      <c r="R111" t="str">
        <f>""</f>
        <v/>
      </c>
      <c r="S111" t="str">
        <f>""</f>
        <v/>
      </c>
      <c r="T111" t="str">
        <f>""</f>
        <v/>
      </c>
      <c r="U111" t="str">
        <f>""</f>
        <v/>
      </c>
      <c r="V111" t="str">
        <f>""</f>
        <v/>
      </c>
      <c r="W111" t="str">
        <f>""</f>
        <v/>
      </c>
      <c r="X111" t="str">
        <f>""</f>
        <v/>
      </c>
      <c r="Y111" t="str">
        <f>""</f>
        <v/>
      </c>
      <c r="Z111" t="str">
        <f>""</f>
        <v/>
      </c>
      <c r="AA111" t="str">
        <f>""</f>
        <v/>
      </c>
      <c r="AB111" t="str">
        <f>""</f>
        <v/>
      </c>
      <c r="AC111" t="str">
        <f>""</f>
        <v/>
      </c>
    </row>
    <row r="112" spans="1:29" x14ac:dyDescent="0.25">
      <c r="A112" t="str">
        <f>$A$5</f>
        <v xml:space="preserve">    Accenture PLC</v>
      </c>
      <c r="B112" t="str">
        <f>$B$5</f>
        <v>ACN US Equity</v>
      </c>
      <c r="C112" t="str">
        <f>$C$5</f>
        <v>IS010</v>
      </c>
      <c r="D112" t="str">
        <f>$D$5</f>
        <v>SALES_REV_TURN</v>
      </c>
      <c r="E112" t="str">
        <f>$E$5</f>
        <v>Dynamic</v>
      </c>
      <c r="F112">
        <f ca="1">_xll.BDH($B$5,$C$5,$B$108,$B$109,CONCATENATE("Per=",$B$106),"Dts=H","Dir=H",CONCATENATE("Points=",$B$107),"Sort=R","Days=A","Fill=B",CONCATENATE("FX=", $B$105),"cols=12;rows=1")</f>
        <v>11141.504999999999</v>
      </c>
      <c r="G112">
        <v>11358.958000000001</v>
      </c>
      <c r="H112">
        <v>11055.65</v>
      </c>
      <c r="I112">
        <v>11099.688</v>
      </c>
      <c r="J112">
        <v>10454.129000000001</v>
      </c>
      <c r="K112">
        <v>10605.546</v>
      </c>
      <c r="L112">
        <v>10503.986999999999</v>
      </c>
      <c r="M112">
        <v>10694.995999999999</v>
      </c>
      <c r="N112">
        <v>9909.2379999999994</v>
      </c>
      <c r="O112">
        <v>9884.3130000000001</v>
      </c>
      <c r="P112">
        <v>9640.9060000000009</v>
      </c>
      <c r="Q112">
        <v>9356.7870000000003</v>
      </c>
      <c r="R112" t="str">
        <f>""</f>
        <v/>
      </c>
      <c r="S112" t="str">
        <f>""</f>
        <v/>
      </c>
      <c r="T112" t="str">
        <f>""</f>
        <v/>
      </c>
      <c r="U112" t="str">
        <f>""</f>
        <v/>
      </c>
      <c r="V112" t="str">
        <f>""</f>
        <v/>
      </c>
      <c r="W112" t="str">
        <f>""</f>
        <v/>
      </c>
      <c r="X112" t="str">
        <f>""</f>
        <v/>
      </c>
      <c r="Y112" t="str">
        <f>""</f>
        <v/>
      </c>
      <c r="Z112" t="str">
        <f>""</f>
        <v/>
      </c>
      <c r="AA112" t="str">
        <f>""</f>
        <v/>
      </c>
      <c r="AB112" t="str">
        <f>""</f>
        <v/>
      </c>
      <c r="AC112" t="str">
        <f>""</f>
        <v/>
      </c>
    </row>
    <row r="113" spans="1:29" x14ac:dyDescent="0.25">
      <c r="A113" t="str">
        <f>$A$6</f>
        <v xml:space="preserve">    Amdocs Ltd</v>
      </c>
      <c r="B113" t="str">
        <f>$B$6</f>
        <v>DOX US Equity</v>
      </c>
      <c r="C113" t="str">
        <f>$C$6</f>
        <v>IS010</v>
      </c>
      <c r="D113" t="str">
        <f>$D$6</f>
        <v>SALES_REV_TURN</v>
      </c>
      <c r="E113" t="str">
        <f>$E$6</f>
        <v>Dynamic</v>
      </c>
      <c r="F113">
        <f ca="1">_xll.BDH($B$6,$C$6,$B$108,$B$109,CONCATENATE("Per=",$B$106),"Dts=H","Dir=H",CONCATENATE("Points=",$B$107),"Sort=R","Days=A","Fill=B",CONCATENATE("FX=", $B$105),"cols=12;rows=1")</f>
        <v>1047.933</v>
      </c>
      <c r="G113">
        <v>1041.9570000000001</v>
      </c>
      <c r="H113">
        <v>1030.2529999999999</v>
      </c>
      <c r="I113">
        <v>1024.704</v>
      </c>
      <c r="J113">
        <v>1019.657</v>
      </c>
      <c r="K113">
        <v>1012.0549999999999</v>
      </c>
      <c r="L113">
        <v>1002.588</v>
      </c>
      <c r="M113">
        <v>1002.198</v>
      </c>
      <c r="N113">
        <v>992.34</v>
      </c>
      <c r="O113">
        <v>977.71100000000001</v>
      </c>
      <c r="P113">
        <v>979.72400000000005</v>
      </c>
      <c r="Q113">
        <v>966.69500000000005</v>
      </c>
      <c r="R113" t="str">
        <f>""</f>
        <v/>
      </c>
      <c r="S113" t="str">
        <f>""</f>
        <v/>
      </c>
      <c r="T113" t="str">
        <f>""</f>
        <v/>
      </c>
      <c r="U113" t="str">
        <f>""</f>
        <v/>
      </c>
      <c r="V113" t="str">
        <f>""</f>
        <v/>
      </c>
      <c r="W113" t="str">
        <f>""</f>
        <v/>
      </c>
      <c r="X113" t="str">
        <f>""</f>
        <v/>
      </c>
      <c r="Y113" t="str">
        <f>""</f>
        <v/>
      </c>
      <c r="Z113" t="str">
        <f>""</f>
        <v/>
      </c>
      <c r="AA113" t="str">
        <f>""</f>
        <v/>
      </c>
      <c r="AB113" t="str">
        <f>""</f>
        <v/>
      </c>
      <c r="AC113" t="str">
        <f>""</f>
        <v/>
      </c>
    </row>
    <row r="114" spans="1:29" x14ac:dyDescent="0.25">
      <c r="A114" t="str">
        <f>$A$7</f>
        <v xml:space="preserve">    Atos SE</v>
      </c>
      <c r="B114" t="str">
        <f>$B$7</f>
        <v>ATO FP Equity</v>
      </c>
      <c r="C114" t="str">
        <f>$C$7</f>
        <v>IS010</v>
      </c>
      <c r="D114" t="str">
        <f>$D$7</f>
        <v>SALES_REV_TURN</v>
      </c>
      <c r="E114" t="str">
        <f>$E$7</f>
        <v>Dynamic</v>
      </c>
      <c r="F114">
        <f ca="1">_xll.BDH($B$7,$C$7,$B$108,$B$109,CONCATENATE("Per=",$B$106),"Dts=H","Dir=H",CONCATENATE("Points=",$B$107),"Sort=R","Days=A","Fill=B",CONCATENATE("FX=", $B$105),"cols=12;rows=1")</f>
        <v>3124.4922000000001</v>
      </c>
      <c r="G114">
        <v>3403.6453000000001</v>
      </c>
      <c r="H114">
        <v>3080.3101999999999</v>
      </c>
      <c r="I114">
        <v>3287.5210000000002</v>
      </c>
      <c r="J114">
        <v>3200.7154</v>
      </c>
      <c r="K114">
        <v>3843.1831000000002</v>
      </c>
      <c r="L114">
        <v>3353.9290000000001</v>
      </c>
      <c r="M114">
        <v>2738.6759000000002</v>
      </c>
      <c r="N114">
        <v>3619.1325999999999</v>
      </c>
      <c r="O114">
        <v>3978.3978999999999</v>
      </c>
      <c r="P114">
        <v>3383.4886999999999</v>
      </c>
      <c r="Q114">
        <v>3188.6062999999999</v>
      </c>
      <c r="R114" t="str">
        <f>""</f>
        <v/>
      </c>
      <c r="S114" t="str">
        <f>""</f>
        <v/>
      </c>
      <c r="T114" t="str">
        <f>""</f>
        <v/>
      </c>
      <c r="U114" t="str">
        <f>""</f>
        <v/>
      </c>
      <c r="V114" t="str">
        <f>""</f>
        <v/>
      </c>
      <c r="W114" t="str">
        <f>""</f>
        <v/>
      </c>
      <c r="X114" t="str">
        <f>""</f>
        <v/>
      </c>
      <c r="Y114" t="str">
        <f>""</f>
        <v/>
      </c>
      <c r="Z114" t="str">
        <f>""</f>
        <v/>
      </c>
      <c r="AA114" t="str">
        <f>""</f>
        <v/>
      </c>
      <c r="AB114" t="str">
        <f>""</f>
        <v/>
      </c>
      <c r="AC114" t="str">
        <f>""</f>
        <v/>
      </c>
    </row>
    <row r="115" spans="1:29" x14ac:dyDescent="0.25">
      <c r="A115" t="str">
        <f>$A$8</f>
        <v xml:space="preserve">    Capgemini SE</v>
      </c>
      <c r="B115" t="str">
        <f>$B$8</f>
        <v>CAP FP Equity</v>
      </c>
      <c r="C115" t="str">
        <f>$C$8</f>
        <v>IS010</v>
      </c>
      <c r="D115" t="str">
        <f>$D$8</f>
        <v>SALES_REV_TURN</v>
      </c>
      <c r="E115" t="str">
        <f>$E$8</f>
        <v>Dynamic</v>
      </c>
      <c r="F115">
        <f ca="1">_xll.BDH($B$8,$C$8,$B$108,$B$109,CONCATENATE("Per=",$B$106),"Dts=H","Dir=H",CONCATENATE("Points=",$B$107),"Sort=R","Days=A","Fill=B",CONCATENATE("FX=", $B$105),"cols=12;rows=1")</f>
        <v>3910.5765999999999</v>
      </c>
      <c r="G115">
        <v>4041.4135999999999</v>
      </c>
      <c r="H115">
        <v>3856.5039000000002</v>
      </c>
      <c r="I115">
        <v>4006.596</v>
      </c>
      <c r="J115">
        <v>3908.3256999999999</v>
      </c>
      <c r="K115">
        <v>3996.0888</v>
      </c>
      <c r="L115">
        <v>3753.9816000000001</v>
      </c>
      <c r="M115">
        <v>3952.9495000000002</v>
      </c>
      <c r="N115">
        <v>3874.7453</v>
      </c>
      <c r="O115">
        <v>3826.4697999999999</v>
      </c>
      <c r="P115">
        <v>3577.2671999999998</v>
      </c>
      <c r="Q115">
        <v>3568.4643999999998</v>
      </c>
      <c r="R115" t="str">
        <f>""</f>
        <v/>
      </c>
      <c r="S115" t="str">
        <f>""</f>
        <v/>
      </c>
      <c r="T115" t="str">
        <f>""</f>
        <v/>
      </c>
      <c r="U115" t="str">
        <f>""</f>
        <v/>
      </c>
      <c r="V115" t="str">
        <f>""</f>
        <v/>
      </c>
      <c r="W115" t="str">
        <f>""</f>
        <v/>
      </c>
      <c r="X115" t="str">
        <f>""</f>
        <v/>
      </c>
      <c r="Y115" t="str">
        <f>""</f>
        <v/>
      </c>
      <c r="Z115" t="str">
        <f>""</f>
        <v/>
      </c>
      <c r="AA115" t="str">
        <f>""</f>
        <v/>
      </c>
      <c r="AB115" t="str">
        <f>""</f>
        <v/>
      </c>
      <c r="AC115" t="str">
        <f>""</f>
        <v/>
      </c>
    </row>
    <row r="116" spans="1:29" x14ac:dyDescent="0.25">
      <c r="A116" t="str">
        <f>$A$9</f>
        <v xml:space="preserve">    CGI Inc</v>
      </c>
      <c r="B116" t="str">
        <f>$B$9</f>
        <v>GIB US Equity</v>
      </c>
      <c r="C116" t="str">
        <f>$C$9</f>
        <v>IS010</v>
      </c>
      <c r="D116" t="str">
        <f>$D$9</f>
        <v>SALES_REV_TURN</v>
      </c>
      <c r="E116" t="str">
        <f>$E$9</f>
        <v>Dynamic</v>
      </c>
      <c r="F116">
        <f ca="1">_xll.BDH($B$9,$C$9,$B$108,$B$109,CONCATENATE("Per=",$B$106),"Dts=H","Dir=H",CONCATENATE("Points=",$B$107),"Sort=R","Days=A","Fill=B",CONCATENATE("FX=", $B$105),"cols=12;rows=1")</f>
        <v>2332.1932999999999</v>
      </c>
      <c r="G116">
        <v>2314.7656999999999</v>
      </c>
      <c r="H116">
        <v>2241.2734</v>
      </c>
      <c r="I116">
        <v>2331.9746</v>
      </c>
      <c r="J116">
        <v>2306.5073000000002</v>
      </c>
      <c r="K116">
        <v>2243.5911999999998</v>
      </c>
      <c r="L116">
        <v>2140.9802</v>
      </c>
      <c r="M116">
        <v>2278.7064999999998</v>
      </c>
      <c r="N116">
        <v>2333.6714999999999</v>
      </c>
      <c r="O116">
        <v>2216.2136999999998</v>
      </c>
      <c r="P116">
        <v>2080.0708</v>
      </c>
      <c r="Q116">
        <v>2109.3629999999998</v>
      </c>
      <c r="R116" t="str">
        <f>""</f>
        <v/>
      </c>
      <c r="S116" t="str">
        <f>""</f>
        <v/>
      </c>
      <c r="T116" t="str">
        <f>""</f>
        <v/>
      </c>
      <c r="U116" t="str">
        <f>""</f>
        <v/>
      </c>
      <c r="V116" t="str">
        <f>""</f>
        <v/>
      </c>
      <c r="W116" t="str">
        <f>""</f>
        <v/>
      </c>
      <c r="X116" t="str">
        <f>""</f>
        <v/>
      </c>
      <c r="Y116" t="str">
        <f>""</f>
        <v/>
      </c>
      <c r="Z116" t="str">
        <f>""</f>
        <v/>
      </c>
      <c r="AA116" t="str">
        <f>""</f>
        <v/>
      </c>
      <c r="AB116" t="str">
        <f>""</f>
        <v/>
      </c>
      <c r="AC116" t="str">
        <f>""</f>
        <v/>
      </c>
    </row>
    <row r="117" spans="1:29" x14ac:dyDescent="0.25">
      <c r="A117" t="str">
        <f>$A$10</f>
        <v xml:space="preserve">    Cognizant Technology Solutions Corp</v>
      </c>
      <c r="B117" t="str">
        <f>$B$10</f>
        <v>CTSH US Equity</v>
      </c>
      <c r="C117" t="str">
        <f>$C$10</f>
        <v>IS010</v>
      </c>
      <c r="D117" t="str">
        <f>$D$10</f>
        <v>SALES_REV_TURN</v>
      </c>
      <c r="E117" t="str">
        <f>$E$10</f>
        <v>Dynamic</v>
      </c>
      <c r="F117">
        <f ca="1">_xll.BDH($B$10,$C$10,$B$108,$B$109,CONCATENATE("Per=",$B$106),"Dts=H","Dir=H",CONCATENATE("Points=",$B$107),"Sort=R","Days=A","Fill=B",CONCATENATE("FX=", $B$105),"cols=12;rows=1")</f>
        <v>4225</v>
      </c>
      <c r="G117">
        <v>4284</v>
      </c>
      <c r="H117">
        <v>4248</v>
      </c>
      <c r="I117">
        <v>4141</v>
      </c>
      <c r="J117">
        <v>4110</v>
      </c>
      <c r="K117">
        <v>4129</v>
      </c>
      <c r="L117">
        <v>4078</v>
      </c>
      <c r="M117">
        <v>4006</v>
      </c>
      <c r="N117">
        <v>3912</v>
      </c>
      <c r="O117">
        <v>3828</v>
      </c>
      <c r="P117">
        <v>3766</v>
      </c>
      <c r="Q117">
        <v>3670</v>
      </c>
      <c r="R117" t="str">
        <f>""</f>
        <v/>
      </c>
      <c r="S117" t="str">
        <f>""</f>
        <v/>
      </c>
      <c r="T117" t="str">
        <f>""</f>
        <v/>
      </c>
      <c r="U117" t="str">
        <f>""</f>
        <v/>
      </c>
      <c r="V117" t="str">
        <f>""</f>
        <v/>
      </c>
      <c r="W117" t="str">
        <f>""</f>
        <v/>
      </c>
      <c r="X117" t="str">
        <f>""</f>
        <v/>
      </c>
      <c r="Y117" t="str">
        <f>""</f>
        <v/>
      </c>
      <c r="Z117" t="str">
        <f>""</f>
        <v/>
      </c>
      <c r="AA117" t="str">
        <f>""</f>
        <v/>
      </c>
      <c r="AB117" t="str">
        <f>""</f>
        <v/>
      </c>
      <c r="AC117" t="str">
        <f>""</f>
        <v/>
      </c>
    </row>
    <row r="118" spans="1:29" x14ac:dyDescent="0.25">
      <c r="A118" t="str">
        <f>$A$11</f>
        <v xml:space="preserve">    Conduent Inc</v>
      </c>
      <c r="B118" t="str">
        <f>$B$11</f>
        <v>CNDT US Equity</v>
      </c>
      <c r="C118" t="str">
        <f>$C$11</f>
        <v>IS010</v>
      </c>
      <c r="D118" t="str">
        <f>$D$11</f>
        <v>SALES_REV_TURN</v>
      </c>
      <c r="E118" t="str">
        <f>$E$11</f>
        <v>Dynamic</v>
      </c>
      <c r="F118">
        <f ca="1">_xll.BDH($B$11,$C$11,$B$108,$B$109,CONCATENATE("Per=",$B$106),"Dts=H","Dir=H",CONCATENATE("Points=",$B$107),"Sort=R","Days=A","Fill=B",CONCATENATE("FX=", $B$105),"cols=12;rows=1")</f>
        <v>1051</v>
      </c>
      <c r="G118">
        <v>1099</v>
      </c>
      <c r="H118">
        <v>1098</v>
      </c>
      <c r="I118">
        <v>1112</v>
      </c>
      <c r="J118">
        <v>1158</v>
      </c>
      <c r="K118">
        <v>1282</v>
      </c>
      <c r="L118">
        <v>1304</v>
      </c>
      <c r="M118">
        <v>1387</v>
      </c>
      <c r="N118">
        <v>1420</v>
      </c>
      <c r="O118">
        <v>1493</v>
      </c>
      <c r="P118">
        <v>1480</v>
      </c>
      <c r="Q118">
        <v>1496</v>
      </c>
      <c r="R118" t="str">
        <f>""</f>
        <v/>
      </c>
      <c r="S118" t="str">
        <f>""</f>
        <v/>
      </c>
      <c r="T118" t="str">
        <f>""</f>
        <v/>
      </c>
      <c r="U118" t="str">
        <f>""</f>
        <v/>
      </c>
      <c r="V118" t="str">
        <f>""</f>
        <v/>
      </c>
      <c r="W118" t="str">
        <f>""</f>
        <v/>
      </c>
      <c r="X118" t="str">
        <f>""</f>
        <v/>
      </c>
      <c r="Y118" t="str">
        <f>""</f>
        <v/>
      </c>
      <c r="Z118" t="str">
        <f>""</f>
        <v/>
      </c>
      <c r="AA118" t="str">
        <f>""</f>
        <v/>
      </c>
      <c r="AB118" t="str">
        <f>""</f>
        <v/>
      </c>
      <c r="AC118" t="str">
        <f>""</f>
        <v/>
      </c>
    </row>
    <row r="119" spans="1:29" x14ac:dyDescent="0.25">
      <c r="A119" t="str">
        <f>$A$12</f>
        <v xml:space="preserve">    DXC Technology Co</v>
      </c>
      <c r="B119" t="str">
        <f>$B$12</f>
        <v>DXC US Equity</v>
      </c>
      <c r="C119" t="str">
        <f>$C$12</f>
        <v>IS010</v>
      </c>
      <c r="D119" t="str">
        <f>$D$12</f>
        <v>SALES_REV_TURN</v>
      </c>
      <c r="E119" t="str">
        <f>$E$12</f>
        <v>Dynamic</v>
      </c>
      <c r="F119">
        <f ca="1">_xll.BDH($B$12,$C$12,$B$108,$B$109,CONCATENATE("Per=",$B$106),"Dts=H","Dir=H",CONCATENATE("Points=",$B$107),"Sort=R","Days=A","Fill=B",CONCATENATE("FX=", $B$105),"cols=12;rows=1")</f>
        <v>4815</v>
      </c>
      <c r="G119">
        <v>5021</v>
      </c>
      <c r="H119">
        <v>4851</v>
      </c>
      <c r="I119">
        <v>4890</v>
      </c>
      <c r="J119">
        <v>5280</v>
      </c>
      <c r="K119">
        <v>5178</v>
      </c>
      <c r="L119">
        <v>5013</v>
      </c>
      <c r="M119">
        <v>5282</v>
      </c>
      <c r="N119">
        <v>5584</v>
      </c>
      <c r="O119">
        <v>5460</v>
      </c>
      <c r="P119">
        <v>5453</v>
      </c>
      <c r="Q119">
        <v>5236</v>
      </c>
      <c r="R119" t="str">
        <f>""</f>
        <v/>
      </c>
      <c r="S119" t="str">
        <f>""</f>
        <v/>
      </c>
      <c r="T119" t="str">
        <f>""</f>
        <v/>
      </c>
      <c r="U119" t="str">
        <f>""</f>
        <v/>
      </c>
      <c r="V119" t="str">
        <f>""</f>
        <v/>
      </c>
      <c r="W119" t="str">
        <f>""</f>
        <v/>
      </c>
      <c r="X119" t="str">
        <f>""</f>
        <v/>
      </c>
      <c r="Y119" t="str">
        <f>""</f>
        <v/>
      </c>
      <c r="Z119" t="str">
        <f>""</f>
        <v/>
      </c>
      <c r="AA119" t="str">
        <f>""</f>
        <v/>
      </c>
      <c r="AB119" t="str">
        <f>""</f>
        <v/>
      </c>
      <c r="AC119" t="str">
        <f>""</f>
        <v/>
      </c>
    </row>
    <row r="120" spans="1:29" x14ac:dyDescent="0.25">
      <c r="A120" t="str">
        <f>$A$13</f>
        <v xml:space="preserve">    EPAM Systems Inc</v>
      </c>
      <c r="B120" t="str">
        <f>$B$13</f>
        <v>EPAM US Equity</v>
      </c>
      <c r="C120" t="str">
        <f>$C$13</f>
        <v>IS010</v>
      </c>
      <c r="D120" t="str">
        <f>$D$13</f>
        <v>SALES_REV_TURN</v>
      </c>
      <c r="E120" t="str">
        <f>$E$13</f>
        <v>Dynamic</v>
      </c>
      <c r="F120">
        <f ca="1">_xll.BDH($B$13,$C$13,$B$108,$B$109,CONCATENATE("Per=",$B$106),"Dts=H","Dir=H",CONCATENATE("Points=",$B$107),"Sort=R","Days=A","Fill=B",CONCATENATE("FX=", $B$105),"cols=12;rows=1")</f>
        <v>651.35900000000004</v>
      </c>
      <c r="G120">
        <v>632.77499999999998</v>
      </c>
      <c r="H120">
        <v>588.10299999999995</v>
      </c>
      <c r="I120">
        <v>551.58699999999999</v>
      </c>
      <c r="J120">
        <v>521.33299999999997</v>
      </c>
      <c r="K120">
        <v>504.93099999999998</v>
      </c>
      <c r="L120">
        <v>468.18599999999998</v>
      </c>
      <c r="M120">
        <v>445.64699999999999</v>
      </c>
      <c r="N120">
        <v>424.14800000000002</v>
      </c>
      <c r="O120">
        <v>399.29700000000003</v>
      </c>
      <c r="P120">
        <v>377.52300000000002</v>
      </c>
      <c r="Q120">
        <v>348.97699999999998</v>
      </c>
      <c r="R120" t="str">
        <f>""</f>
        <v/>
      </c>
      <c r="S120" t="str">
        <f>""</f>
        <v/>
      </c>
      <c r="T120" t="str">
        <f>""</f>
        <v/>
      </c>
      <c r="U120" t="str">
        <f>""</f>
        <v/>
      </c>
      <c r="V120" t="str">
        <f>""</f>
        <v/>
      </c>
      <c r="W120" t="str">
        <f>""</f>
        <v/>
      </c>
      <c r="X120" t="str">
        <f>""</f>
        <v/>
      </c>
      <c r="Y120" t="str">
        <f>""</f>
        <v/>
      </c>
      <c r="Z120" t="str">
        <f>""</f>
        <v/>
      </c>
      <c r="AA120" t="str">
        <f>""</f>
        <v/>
      </c>
      <c r="AB120" t="str">
        <f>""</f>
        <v/>
      </c>
      <c r="AC120" t="str">
        <f>""</f>
        <v/>
      </c>
    </row>
    <row r="121" spans="1:29" x14ac:dyDescent="0.25">
      <c r="A121" t="str">
        <f>$A$14</f>
        <v xml:space="preserve">    Genpact Ltd</v>
      </c>
      <c r="B121" t="str">
        <f>$B$14</f>
        <v>G US Equity</v>
      </c>
      <c r="C121" t="str">
        <f>$C$14</f>
        <v>IS010</v>
      </c>
      <c r="D121" t="str">
        <f>$D$14</f>
        <v>SALES_REV_TURN</v>
      </c>
      <c r="E121" t="str">
        <f>$E$14</f>
        <v>Dynamic</v>
      </c>
      <c r="F121">
        <f ca="1">_xll.BDH($B$14,$C$14,$B$108,$B$109,CONCATENATE("Per=",$B$106),"Dts=H","Dir=H",CONCATENATE("Points=",$B$107),"Sort=R","Days=A","Fill=B",CONCATENATE("FX=", $B$105),"cols=12;rows=1")</f>
        <v>923.19200000000001</v>
      </c>
      <c r="G121">
        <v>940.73900000000003</v>
      </c>
      <c r="H121">
        <v>888.79899999999998</v>
      </c>
      <c r="I121">
        <v>881.79899999999998</v>
      </c>
      <c r="J121">
        <v>809.20600000000002</v>
      </c>
      <c r="K121">
        <v>835.33900000000006</v>
      </c>
      <c r="L121">
        <v>747.97799999999995</v>
      </c>
      <c r="M121">
        <v>728.56100000000004</v>
      </c>
      <c r="N121">
        <v>688.91200000000003</v>
      </c>
      <c r="O121">
        <v>734.41300000000001</v>
      </c>
      <c r="P121">
        <v>708.82399999999996</v>
      </c>
      <c r="Q121">
        <v>670.697</v>
      </c>
      <c r="R121" t="str">
        <f>""</f>
        <v/>
      </c>
      <c r="S121" t="str">
        <f>""</f>
        <v/>
      </c>
      <c r="T121" t="str">
        <f>""</f>
        <v/>
      </c>
      <c r="U121" t="str">
        <f>""</f>
        <v/>
      </c>
      <c r="V121" t="str">
        <f>""</f>
        <v/>
      </c>
      <c r="W121" t="str">
        <f>""</f>
        <v/>
      </c>
      <c r="X121" t="str">
        <f>""</f>
        <v/>
      </c>
      <c r="Y121" t="str">
        <f>""</f>
        <v/>
      </c>
      <c r="Z121" t="str">
        <f>""</f>
        <v/>
      </c>
      <c r="AA121" t="str">
        <f>""</f>
        <v/>
      </c>
      <c r="AB121" t="str">
        <f>""</f>
        <v/>
      </c>
      <c r="AC121" t="str">
        <f>""</f>
        <v/>
      </c>
    </row>
    <row r="122" spans="1:29" x14ac:dyDescent="0.25">
      <c r="A122" t="str">
        <f>$A$15</f>
        <v xml:space="preserve">    HCL Technologies Ltd</v>
      </c>
      <c r="B122" t="str">
        <f>$B$15</f>
        <v>HCLT IN Equity</v>
      </c>
      <c r="C122" t="str">
        <f>$C$15</f>
        <v>IS010</v>
      </c>
      <c r="D122" t="str">
        <f>$D$15</f>
        <v>SALES_REV_TURN</v>
      </c>
      <c r="E122" t="str">
        <f>$E$15</f>
        <v>Dynamic</v>
      </c>
      <c r="F122">
        <f ca="1">_xll.BDH($B$15,$C$15,$B$108,$B$109,CONCATENATE("Per=",$B$106),"Dts=H","Dir=H",CONCATENATE("Points=",$B$107),"Sort=R","Days=A","Fill=B",CONCATENATE("FX=", $B$105),"cols=12;rows=1")</f>
        <v>2543.4</v>
      </c>
      <c r="G122">
        <v>2543.4</v>
      </c>
      <c r="H122">
        <v>2485.6</v>
      </c>
      <c r="I122">
        <v>2363.6</v>
      </c>
      <c r="J122">
        <v>2277.8000000000002</v>
      </c>
      <c r="K122">
        <v>2201.5</v>
      </c>
      <c r="L122">
        <v>2098.6</v>
      </c>
      <c r="M122">
        <v>2054.5</v>
      </c>
      <c r="N122">
        <v>2047.7704000000001</v>
      </c>
      <c r="O122">
        <v>1987.5</v>
      </c>
      <c r="P122">
        <v>1928</v>
      </c>
      <c r="Q122">
        <v>1884.2</v>
      </c>
      <c r="R122" t="str">
        <f>""</f>
        <v/>
      </c>
      <c r="S122" t="str">
        <f>""</f>
        <v/>
      </c>
      <c r="T122" t="str">
        <f>""</f>
        <v/>
      </c>
      <c r="U122" t="str">
        <f>""</f>
        <v/>
      </c>
      <c r="V122" t="str">
        <f>""</f>
        <v/>
      </c>
      <c r="W122" t="str">
        <f>""</f>
        <v/>
      </c>
      <c r="X122" t="str">
        <f>""</f>
        <v/>
      </c>
      <c r="Y122" t="str">
        <f>""</f>
        <v/>
      </c>
      <c r="Z122" t="str">
        <f>""</f>
        <v/>
      </c>
      <c r="AA122" t="str">
        <f>""</f>
        <v/>
      </c>
      <c r="AB122" t="str">
        <f>""</f>
        <v/>
      </c>
      <c r="AC122" t="str">
        <f>""</f>
        <v/>
      </c>
    </row>
    <row r="123" spans="1:29" x14ac:dyDescent="0.25">
      <c r="A123" t="str">
        <f>$A$16</f>
        <v xml:space="preserve">    Indra Sistemas SA</v>
      </c>
      <c r="B123" t="str">
        <f>$B$16</f>
        <v>IDR SM Equity</v>
      </c>
      <c r="C123" t="str">
        <f>$C$16</f>
        <v>IS010</v>
      </c>
      <c r="D123" t="str">
        <f>$D$16</f>
        <v>SALES_REV_TURN</v>
      </c>
      <c r="E123" t="str">
        <f>$E$16</f>
        <v>Dynamic</v>
      </c>
      <c r="F123">
        <f ca="1">_xll.BDH($B$16,$C$16,$B$108,$B$109,CONCATENATE("Per=",$B$106),"Dts=H","Dir=H",CONCATENATE("Points=",$B$107),"Sort=R","Days=A","Fill=B",CONCATENATE("FX=", $B$105),"cols=12;rows=1")</f>
        <v>810.44960000000003</v>
      </c>
      <c r="G123">
        <v>1014.7148</v>
      </c>
      <c r="H123">
        <v>824.34439999999995</v>
      </c>
      <c r="I123">
        <v>910.81640000000004</v>
      </c>
      <c r="J123">
        <v>835.50260000000003</v>
      </c>
      <c r="K123">
        <v>1061.2514000000001</v>
      </c>
      <c r="L123">
        <v>826.38760000000002</v>
      </c>
      <c r="M123">
        <v>893.78290000000004</v>
      </c>
      <c r="N123">
        <v>877.07129999999995</v>
      </c>
      <c r="O123">
        <v>1054.3803</v>
      </c>
      <c r="P123">
        <v>865.19129999999996</v>
      </c>
      <c r="Q123">
        <v>815.44200000000001</v>
      </c>
      <c r="R123" t="str">
        <f>""</f>
        <v/>
      </c>
      <c r="S123" t="str">
        <f>""</f>
        <v/>
      </c>
      <c r="T123" t="str">
        <f>""</f>
        <v/>
      </c>
      <c r="U123" t="str">
        <f>""</f>
        <v/>
      </c>
      <c r="V123" t="str">
        <f>""</f>
        <v/>
      </c>
      <c r="W123" t="str">
        <f>""</f>
        <v/>
      </c>
      <c r="X123" t="str">
        <f>""</f>
        <v/>
      </c>
      <c r="Y123" t="str">
        <f>""</f>
        <v/>
      </c>
      <c r="Z123" t="str">
        <f>""</f>
        <v/>
      </c>
      <c r="AA123" t="str">
        <f>""</f>
        <v/>
      </c>
      <c r="AB123" t="str">
        <f>""</f>
        <v/>
      </c>
      <c r="AC123" t="str">
        <f>""</f>
        <v/>
      </c>
    </row>
    <row r="124" spans="1:29" x14ac:dyDescent="0.25">
      <c r="A124" t="str">
        <f>$A$17</f>
        <v xml:space="preserve">    Infosys Ltd</v>
      </c>
      <c r="B124" t="str">
        <f>$B$17</f>
        <v>INFY US Equity</v>
      </c>
      <c r="C124" t="str">
        <f>$C$17</f>
        <v>IS010</v>
      </c>
      <c r="D124" t="str">
        <f>$D$17</f>
        <v>SALES_REV_TURN</v>
      </c>
      <c r="E124" t="str">
        <f>$E$17</f>
        <v>Dynamic</v>
      </c>
      <c r="F124">
        <f ca="1">_xll.BDH($B$17,$C$17,$B$108,$B$109,CONCATENATE("Per=",$B$106),"Dts=H","Dir=H",CONCATENATE("Points=",$B$107),"Sort=R","Days=A","Fill=B",CONCATENATE("FX=", $B$105),"cols=12;rows=1")</f>
        <v>3211.9106999999999</v>
      </c>
      <c r="G124">
        <v>3242.4681999999998</v>
      </c>
      <c r="H124">
        <v>3215.7981</v>
      </c>
      <c r="I124">
        <v>3135.4998000000001</v>
      </c>
      <c r="J124">
        <v>3057.7644</v>
      </c>
      <c r="K124">
        <v>2969.9645999999998</v>
      </c>
      <c r="L124">
        <v>2942.5531999999998</v>
      </c>
      <c r="M124">
        <v>2852.7518</v>
      </c>
      <c r="N124">
        <v>2809.9737</v>
      </c>
      <c r="O124">
        <v>2748.8053</v>
      </c>
      <c r="P124">
        <v>2732.5317</v>
      </c>
      <c r="Q124">
        <v>2648.2597000000001</v>
      </c>
      <c r="R124" t="str">
        <f>""</f>
        <v/>
      </c>
      <c r="S124" t="str">
        <f>""</f>
        <v/>
      </c>
      <c r="T124" t="str">
        <f>""</f>
        <v/>
      </c>
      <c r="U124" t="str">
        <f>""</f>
        <v/>
      </c>
      <c r="V124" t="str">
        <f>""</f>
        <v/>
      </c>
      <c r="W124" t="str">
        <f>""</f>
        <v/>
      </c>
      <c r="X124" t="str">
        <f>""</f>
        <v/>
      </c>
      <c r="Y124" t="str">
        <f>""</f>
        <v/>
      </c>
      <c r="Z124" t="str">
        <f>""</f>
        <v/>
      </c>
      <c r="AA124" t="str">
        <f>""</f>
        <v/>
      </c>
      <c r="AB124" t="str">
        <f>""</f>
        <v/>
      </c>
      <c r="AC124" t="str">
        <f>""</f>
        <v/>
      </c>
    </row>
    <row r="125" spans="1:29" x14ac:dyDescent="0.25">
      <c r="A125" t="str">
        <f>$A$18</f>
        <v xml:space="preserve">    International Business Machines Corp</v>
      </c>
      <c r="B125" t="str">
        <f>$B$18</f>
        <v>IBM US Equity</v>
      </c>
      <c r="C125" t="str">
        <f>$C$18</f>
        <v>IS010</v>
      </c>
      <c r="D125" t="str">
        <f>$D$18</f>
        <v>SALES_REV_TURN</v>
      </c>
      <c r="E125" t="str">
        <f>$E$18</f>
        <v>Dynamic</v>
      </c>
      <c r="F125">
        <f ca="1">_xll.BDH($B$18,$C$18,$B$108,$B$109,CONCATENATE("Per=",$B$106),"Dts=H","Dir=H",CONCATENATE("Points=",$B$107),"Sort=R","Days=A","Fill=B",CONCATENATE("FX=", $B$105),"cols=12;rows=1")</f>
        <v>17571</v>
      </c>
      <c r="G125">
        <v>21777</v>
      </c>
      <c r="H125">
        <v>18028</v>
      </c>
      <c r="I125">
        <v>19161</v>
      </c>
      <c r="J125">
        <v>18182</v>
      </c>
      <c r="K125">
        <v>21760</v>
      </c>
      <c r="L125">
        <v>18756</v>
      </c>
      <c r="M125">
        <v>20003</v>
      </c>
      <c r="N125">
        <v>19072</v>
      </c>
      <c r="O125">
        <v>22543</v>
      </c>
      <c r="P125">
        <v>19153</v>
      </c>
      <c r="Q125">
        <v>19289</v>
      </c>
      <c r="R125" t="str">
        <f>""</f>
        <v/>
      </c>
      <c r="S125" t="str">
        <f>""</f>
        <v/>
      </c>
      <c r="T125" t="str">
        <f>""</f>
        <v/>
      </c>
      <c r="U125" t="str">
        <f>""</f>
        <v/>
      </c>
      <c r="V125" t="str">
        <f>""</f>
        <v/>
      </c>
      <c r="W125" t="str">
        <f>""</f>
        <v/>
      </c>
      <c r="X125" t="str">
        <f>""</f>
        <v/>
      </c>
      <c r="Y125" t="str">
        <f>""</f>
        <v/>
      </c>
      <c r="Z125" t="str">
        <f>""</f>
        <v/>
      </c>
      <c r="AA125" t="str">
        <f>""</f>
        <v/>
      </c>
      <c r="AB125" t="str">
        <f>""</f>
        <v/>
      </c>
      <c r="AC125" t="str">
        <f>""</f>
        <v/>
      </c>
    </row>
    <row r="126" spans="1:29" x14ac:dyDescent="0.25">
      <c r="A126" t="str">
        <f>$A$19</f>
        <v xml:space="preserve">    Tata Consultancy Services Ltd</v>
      </c>
      <c r="B126" t="str">
        <f>$B$19</f>
        <v>TCS IN Equity</v>
      </c>
      <c r="C126" t="str">
        <f>$C$19</f>
        <v>IS010</v>
      </c>
      <c r="D126" t="str">
        <f>$D$19</f>
        <v>SALES_REV_TURN</v>
      </c>
      <c r="E126" t="str">
        <f>$E$19</f>
        <v>Dynamic</v>
      </c>
      <c r="F126">
        <f ca="1">_xll.BDH($B$19,$C$19,$B$108,$B$109,CONCATENATE("Per=",$B$106),"Dts=H","Dir=H",CONCATENATE("Points=",$B$107),"Sort=R","Days=A","Fill=B",CONCATENATE("FX=", $B$105),"cols=12;rows=1")</f>
        <v>5514.3759</v>
      </c>
      <c r="G126">
        <v>5596.1081000000004</v>
      </c>
      <c r="H126">
        <v>5539.0057999999999</v>
      </c>
      <c r="I126">
        <v>5489.5334999999995</v>
      </c>
      <c r="J126">
        <v>5396.0547999999999</v>
      </c>
      <c r="K126">
        <v>5181.8944000000001</v>
      </c>
      <c r="L126">
        <v>5262.0144</v>
      </c>
      <c r="M126">
        <v>5109.6890000000003</v>
      </c>
      <c r="N126">
        <v>4984.2340999999997</v>
      </c>
      <c r="O126">
        <v>4774.0294000000004</v>
      </c>
      <c r="P126">
        <v>4750.6261000000004</v>
      </c>
      <c r="Q126">
        <v>4587.5463</v>
      </c>
      <c r="R126" t="str">
        <f>""</f>
        <v/>
      </c>
      <c r="S126" t="str">
        <f>""</f>
        <v/>
      </c>
      <c r="T126" t="str">
        <f>""</f>
        <v/>
      </c>
      <c r="U126" t="str">
        <f>""</f>
        <v/>
      </c>
      <c r="V126" t="str">
        <f>""</f>
        <v/>
      </c>
      <c r="W126" t="str">
        <f>""</f>
        <v/>
      </c>
      <c r="X126" t="str">
        <f>""</f>
        <v/>
      </c>
      <c r="Y126" t="str">
        <f>""</f>
        <v/>
      </c>
      <c r="Z126" t="str">
        <f>""</f>
        <v/>
      </c>
      <c r="AA126" t="str">
        <f>""</f>
        <v/>
      </c>
      <c r="AB126" t="str">
        <f>""</f>
        <v/>
      </c>
      <c r="AC126" t="str">
        <f>""</f>
        <v/>
      </c>
    </row>
    <row r="127" spans="1:29" x14ac:dyDescent="0.25">
      <c r="A127" t="str">
        <f>$A$20</f>
        <v xml:space="preserve">    Tech Mahindra Ltd</v>
      </c>
      <c r="B127" t="str">
        <f>$B$20</f>
        <v>TECHM IN Equity</v>
      </c>
      <c r="C127" t="str">
        <f>$C$20</f>
        <v>IS010</v>
      </c>
      <c r="D127" t="str">
        <f>$D$20</f>
        <v>SALES_REV_TURN</v>
      </c>
      <c r="E127" t="str">
        <f>$E$20</f>
        <v>Dynamic</v>
      </c>
      <c r="F127">
        <f ca="1">_xll.BDH($B$20,$C$20,$B$108,$B$109,CONCATENATE("Per=",$B$106),"Dts=H","Dir=H",CONCATENATE("Points=",$B$107),"Sort=R","Days=A","Fill=B",CONCATENATE("FX=", $B$105),"cols=12;rows=1")</f>
        <v>1310.0794000000001</v>
      </c>
      <c r="G127">
        <v>1355.6503</v>
      </c>
      <c r="H127">
        <v>1288.9178999999999</v>
      </c>
      <c r="I127">
        <v>1244.3920000000001</v>
      </c>
      <c r="J127">
        <v>1262.3871999999999</v>
      </c>
      <c r="K127">
        <v>1241.2370000000001</v>
      </c>
      <c r="L127">
        <v>1232.17</v>
      </c>
      <c r="M127">
        <v>1234.3252</v>
      </c>
      <c r="N127">
        <v>1251.6138000000001</v>
      </c>
      <c r="O127">
        <v>1201.2251000000001</v>
      </c>
      <c r="P127">
        <v>1183.1658</v>
      </c>
      <c r="Q127">
        <v>1137.598</v>
      </c>
      <c r="R127" t="str">
        <f>""</f>
        <v/>
      </c>
      <c r="S127" t="str">
        <f>""</f>
        <v/>
      </c>
      <c r="T127" t="str">
        <f>""</f>
        <v/>
      </c>
      <c r="U127" t="str">
        <f>""</f>
        <v/>
      </c>
      <c r="V127" t="str">
        <f>""</f>
        <v/>
      </c>
      <c r="W127" t="str">
        <f>""</f>
        <v/>
      </c>
      <c r="X127" t="str">
        <f>""</f>
        <v/>
      </c>
      <c r="Y127" t="str">
        <f>""</f>
        <v/>
      </c>
      <c r="Z127" t="str">
        <f>""</f>
        <v/>
      </c>
      <c r="AA127" t="str">
        <f>""</f>
        <v/>
      </c>
      <c r="AB127" t="str">
        <f>""</f>
        <v/>
      </c>
      <c r="AC127" t="str">
        <f>""</f>
        <v/>
      </c>
    </row>
    <row r="128" spans="1:29" x14ac:dyDescent="0.25">
      <c r="A128" t="str">
        <f>$A$21</f>
        <v xml:space="preserve">    Wipro Ltd</v>
      </c>
      <c r="B128" t="str">
        <f>$B$21</f>
        <v>WIT US Equity</v>
      </c>
      <c r="C128" t="str">
        <f>$C$21</f>
        <v>IS010</v>
      </c>
      <c r="D128" t="str">
        <f>$D$21</f>
        <v>SALES_REV_TURN</v>
      </c>
      <c r="E128" t="str">
        <f>$E$21</f>
        <v>Dynamic</v>
      </c>
      <c r="F128">
        <f ca="1">_xll.BDH($B$21,$C$21,$B$108,$B$109,CONCATENATE("Per=",$B$106),"Dts=H","Dir=H",CONCATENATE("Points=",$B$107),"Sort=R","Days=A","Fill=B",CONCATENATE("FX=", $B$105),"cols=12;rows=1")</f>
        <v>2168.8368999999998</v>
      </c>
      <c r="G128">
        <v>2172.2936</v>
      </c>
      <c r="H128">
        <v>2149.4929000000002</v>
      </c>
      <c r="I128">
        <v>2116.3292999999999</v>
      </c>
      <c r="J128">
        <v>2130.3555999999999</v>
      </c>
      <c r="K128">
        <v>2090.0084999999999</v>
      </c>
      <c r="L128">
        <v>2076.1641</v>
      </c>
      <c r="M128">
        <v>2084.6356000000001</v>
      </c>
      <c r="N128">
        <v>2139.5455999999999</v>
      </c>
      <c r="O128">
        <v>2111.578</v>
      </c>
      <c r="P128">
        <v>2087.9983000000002</v>
      </c>
      <c r="Q128">
        <v>2112.9787999999999</v>
      </c>
      <c r="R128" t="str">
        <f>""</f>
        <v/>
      </c>
      <c r="S128" t="str">
        <f>""</f>
        <v/>
      </c>
      <c r="T128" t="str">
        <f>""</f>
        <v/>
      </c>
      <c r="U128" t="str">
        <f>""</f>
        <v/>
      </c>
      <c r="V128" t="str">
        <f>""</f>
        <v/>
      </c>
      <c r="W128" t="str">
        <f>""</f>
        <v/>
      </c>
      <c r="X128" t="str">
        <f>""</f>
        <v/>
      </c>
      <c r="Y128" t="str">
        <f>""</f>
        <v/>
      </c>
      <c r="Z128" t="str">
        <f>""</f>
        <v/>
      </c>
      <c r="AA128" t="str">
        <f>""</f>
        <v/>
      </c>
      <c r="AB128" t="str">
        <f>""</f>
        <v/>
      </c>
      <c r="AC128" t="str">
        <f>""</f>
        <v/>
      </c>
    </row>
    <row r="129" spans="1:29" x14ac:dyDescent="0.25">
      <c r="A129" t="str">
        <f>$A$23</f>
        <v xml:space="preserve">    Accenture PLC</v>
      </c>
      <c r="B129" t="str">
        <f>$B$23</f>
        <v>ACN US Equity</v>
      </c>
      <c r="C129" t="str">
        <f>$C$23</f>
        <v>RR861</v>
      </c>
      <c r="D129" t="str">
        <f>$D$23</f>
        <v>GROSS_PROFIT</v>
      </c>
      <c r="E129" t="str">
        <f>$E$23</f>
        <v>Dynamic</v>
      </c>
      <c r="F129">
        <f ca="1">_xll.BDH($B$23,$C$23,$B$108,$B$109,CONCATENATE("Per=",$B$106),"Dts=H","Dir=H",CONCATENATE("Points=",$B$107),"Sort=R","Days=A","Fill=B",CONCATENATE("FX=", $B$105),"cols=12;rows=1")</f>
        <v>3359.1709999999998</v>
      </c>
      <c r="G129">
        <v>3647.759</v>
      </c>
      <c r="H129">
        <v>3434.616</v>
      </c>
      <c r="I129">
        <v>3528.2979999999998</v>
      </c>
      <c r="J129">
        <v>3054.3490000000002</v>
      </c>
      <c r="K129">
        <v>3297.4250000000002</v>
      </c>
      <c r="L129">
        <v>3237.6559999999999</v>
      </c>
      <c r="M129">
        <v>3332.0149999999999</v>
      </c>
      <c r="N129">
        <v>2859.54</v>
      </c>
      <c r="O129">
        <v>3064.1529999999998</v>
      </c>
      <c r="P129">
        <v>2886.6729999999998</v>
      </c>
      <c r="Q129">
        <v>2909.6309999999999</v>
      </c>
      <c r="R129" t="str">
        <f>""</f>
        <v/>
      </c>
      <c r="S129" t="str">
        <f>""</f>
        <v/>
      </c>
      <c r="T129" t="str">
        <f>""</f>
        <v/>
      </c>
      <c r="U129" t="str">
        <f>""</f>
        <v/>
      </c>
      <c r="V129" t="str">
        <f>""</f>
        <v/>
      </c>
      <c r="W129" t="str">
        <f>""</f>
        <v/>
      </c>
      <c r="X129" t="str">
        <f>""</f>
        <v/>
      </c>
      <c r="Y129" t="str">
        <f>""</f>
        <v/>
      </c>
      <c r="Z129" t="str">
        <f>""</f>
        <v/>
      </c>
      <c r="AA129" t="str">
        <f>""</f>
        <v/>
      </c>
      <c r="AB129" t="str">
        <f>""</f>
        <v/>
      </c>
      <c r="AC129" t="str">
        <f>""</f>
        <v/>
      </c>
    </row>
    <row r="130" spans="1:29" x14ac:dyDescent="0.25">
      <c r="A130" t="str">
        <f>$A$24</f>
        <v xml:space="preserve">    Amdocs Ltd</v>
      </c>
      <c r="B130" t="str">
        <f>$B$24</f>
        <v>DOX US Equity</v>
      </c>
      <c r="C130" t="str">
        <f>$C$24</f>
        <v>RR861</v>
      </c>
      <c r="D130" t="str">
        <f>$D$24</f>
        <v>GROSS_PROFIT</v>
      </c>
      <c r="E130" t="str">
        <f>$E$24</f>
        <v>Dynamic</v>
      </c>
      <c r="F130">
        <f ca="1">_xll.BDH($B$24,$C$24,$B$108,$B$109,CONCATENATE("Per=",$B$106),"Dts=H","Dir=H",CONCATENATE("Points=",$B$107),"Sort=R","Days=A","Fill=B",CONCATENATE("FX=", $B$105),"cols=12;rows=1")</f>
        <v>363.96300000000002</v>
      </c>
      <c r="G130">
        <v>355.64499999999998</v>
      </c>
      <c r="H130">
        <v>363.12400000000002</v>
      </c>
      <c r="I130">
        <v>359.84199999999998</v>
      </c>
      <c r="J130">
        <v>361.04399999999998</v>
      </c>
      <c r="K130">
        <v>349.48700000000002</v>
      </c>
      <c r="L130">
        <v>347.66500000000002</v>
      </c>
      <c r="M130">
        <v>351.62900000000002</v>
      </c>
      <c r="N130">
        <v>345.75299999999999</v>
      </c>
      <c r="O130">
        <v>334.51400000000001</v>
      </c>
      <c r="P130">
        <v>343.279</v>
      </c>
      <c r="Q130">
        <v>338.05500000000001</v>
      </c>
      <c r="R130" t="str">
        <f>""</f>
        <v/>
      </c>
      <c r="S130" t="str">
        <f>""</f>
        <v/>
      </c>
      <c r="T130" t="str">
        <f>""</f>
        <v/>
      </c>
      <c r="U130" t="str">
        <f>""</f>
        <v/>
      </c>
      <c r="V130" t="str">
        <f>""</f>
        <v/>
      </c>
      <c r="W130" t="str">
        <f>""</f>
        <v/>
      </c>
      <c r="X130" t="str">
        <f>""</f>
        <v/>
      </c>
      <c r="Y130" t="str">
        <f>""</f>
        <v/>
      </c>
      <c r="Z130" t="str">
        <f>""</f>
        <v/>
      </c>
      <c r="AA130" t="str">
        <f>""</f>
        <v/>
      </c>
      <c r="AB130" t="str">
        <f>""</f>
        <v/>
      </c>
      <c r="AC130" t="str">
        <f>""</f>
        <v/>
      </c>
    </row>
    <row r="131" spans="1:29" x14ac:dyDescent="0.25">
      <c r="A131" t="str">
        <f>$A$25</f>
        <v xml:space="preserve">    Atos SE</v>
      </c>
      <c r="B131" t="str">
        <f>$B$25</f>
        <v>ATO FP Equity</v>
      </c>
      <c r="C131" t="str">
        <f>$C$25</f>
        <v>RR861</v>
      </c>
      <c r="D131" t="str">
        <f>$D$25</f>
        <v>GROSS_PROFIT</v>
      </c>
      <c r="E131" t="str">
        <f>$E$25</f>
        <v>Dynamic</v>
      </c>
      <c r="F131" t="str">
        <f ca="1">_xll.BDH($B$25,$C$25,$B$108,$B$109,CONCATENATE("Per=",$B$106),"Dts=H","Dir=H",CONCATENATE("Points=",$B$107),"Sort=R","Days=A","Fill=B",CONCATENATE("FX=", $B$105) )</f>
        <v/>
      </c>
      <c r="R131" t="str">
        <f>""</f>
        <v/>
      </c>
      <c r="S131" t="str">
        <f>""</f>
        <v/>
      </c>
      <c r="T131" t="str">
        <f>""</f>
        <v/>
      </c>
      <c r="U131" t="str">
        <f>""</f>
        <v/>
      </c>
      <c r="V131" t="str">
        <f>""</f>
        <v/>
      </c>
      <c r="W131" t="str">
        <f>""</f>
        <v/>
      </c>
      <c r="X131" t="str">
        <f>""</f>
        <v/>
      </c>
      <c r="Y131" t="str">
        <f>""</f>
        <v/>
      </c>
      <c r="Z131" t="str">
        <f>""</f>
        <v/>
      </c>
      <c r="AA131" t="str">
        <f>""</f>
        <v/>
      </c>
      <c r="AB131" t="str">
        <f>""</f>
        <v/>
      </c>
      <c r="AC131" t="str">
        <f>""</f>
        <v/>
      </c>
    </row>
    <row r="132" spans="1:29" x14ac:dyDescent="0.25">
      <c r="A132" t="str">
        <f>$A$26</f>
        <v xml:space="preserve">    Capgemini SE</v>
      </c>
      <c r="B132" t="str">
        <f>$B$26</f>
        <v>CAP FP Equity</v>
      </c>
      <c r="C132" t="str">
        <f>$C$26</f>
        <v>RR861</v>
      </c>
      <c r="D132" t="str">
        <f>$D$26</f>
        <v>GROSS_PROFIT</v>
      </c>
      <c r="E132" t="str">
        <f>$E$26</f>
        <v>Dynamic</v>
      </c>
      <c r="F132" t="str">
        <f ca="1">_xll.BDH($B$26,$C$26,$B$108,$B$109,CONCATENATE("Per=",$B$106),"Dts=H","Dir=H",CONCATENATE("Points=",$B$107),"Sort=R","Days=A","Fill=B",CONCATENATE("FX=", $B$105) )</f>
        <v/>
      </c>
      <c r="R132" t="str">
        <f>""</f>
        <v/>
      </c>
      <c r="S132" t="str">
        <f>""</f>
        <v/>
      </c>
      <c r="T132" t="str">
        <f>""</f>
        <v/>
      </c>
      <c r="U132" t="str">
        <f>""</f>
        <v/>
      </c>
      <c r="V132" t="str">
        <f>""</f>
        <v/>
      </c>
      <c r="W132" t="str">
        <f>""</f>
        <v/>
      </c>
      <c r="X132" t="str">
        <f>""</f>
        <v/>
      </c>
      <c r="Y132" t="str">
        <f>""</f>
        <v/>
      </c>
      <c r="Z132" t="str">
        <f>""</f>
        <v/>
      </c>
      <c r="AA132" t="str">
        <f>""</f>
        <v/>
      </c>
      <c r="AB132" t="str">
        <f>""</f>
        <v/>
      </c>
      <c r="AC132" t="str">
        <f>""</f>
        <v/>
      </c>
    </row>
    <row r="133" spans="1:29" x14ac:dyDescent="0.25">
      <c r="A133" t="str">
        <f>$A$27</f>
        <v xml:space="preserve">    CGI Inc</v>
      </c>
      <c r="B133" t="str">
        <f>$B$27</f>
        <v>GIB US Equity</v>
      </c>
      <c r="C133" t="str">
        <f>$C$27</f>
        <v>RR861</v>
      </c>
      <c r="D133" t="str">
        <f>$D$27</f>
        <v>GROSS_PROFIT</v>
      </c>
      <c r="E133" t="str">
        <f>$E$27</f>
        <v>Dynamic</v>
      </c>
      <c r="F133">
        <f ca="1">_xll.BDH($B$27,$C$27,$B$108,$B$109,CONCATENATE("Per=",$B$106),"Dts=H","Dir=H",CONCATENATE("Points=",$B$107),"Sort=R","Days=A","Fill=B",CONCATENATE("FX=", $B$105),"cols=12;rows=1")</f>
        <v>361.64949999999999</v>
      </c>
      <c r="G133">
        <v>359.91559999999998</v>
      </c>
      <c r="H133">
        <v>346.31610000000001</v>
      </c>
      <c r="I133">
        <v>355.37639999999999</v>
      </c>
      <c r="J133">
        <v>343.82960000000003</v>
      </c>
      <c r="K133">
        <v>330.91079999999999</v>
      </c>
      <c r="L133">
        <v>334.57670000000002</v>
      </c>
      <c r="M133">
        <v>338.6268</v>
      </c>
      <c r="N133">
        <v>335.67599999999999</v>
      </c>
      <c r="O133">
        <v>319.63049999999998</v>
      </c>
      <c r="P133">
        <v>313.38490000000002</v>
      </c>
      <c r="Q133">
        <v>297.40809999999999</v>
      </c>
      <c r="R133" t="str">
        <f>""</f>
        <v/>
      </c>
      <c r="S133" t="str">
        <f>""</f>
        <v/>
      </c>
      <c r="T133" t="str">
        <f>""</f>
        <v/>
      </c>
      <c r="U133" t="str">
        <f>""</f>
        <v/>
      </c>
      <c r="V133" t="str">
        <f>""</f>
        <v/>
      </c>
      <c r="W133" t="str">
        <f>""</f>
        <v/>
      </c>
      <c r="X133" t="str">
        <f>""</f>
        <v/>
      </c>
      <c r="Y133" t="str">
        <f>""</f>
        <v/>
      </c>
      <c r="Z133" t="str">
        <f>""</f>
        <v/>
      </c>
      <c r="AA133" t="str">
        <f>""</f>
        <v/>
      </c>
      <c r="AB133" t="str">
        <f>""</f>
        <v/>
      </c>
      <c r="AC133" t="str">
        <f>""</f>
        <v/>
      </c>
    </row>
    <row r="134" spans="1:29" x14ac:dyDescent="0.25">
      <c r="A134" t="str">
        <f>$A$28</f>
        <v xml:space="preserve">    Cognizant Technology Solutions Corp</v>
      </c>
      <c r="B134" t="str">
        <f>$B$28</f>
        <v>CTSH US Equity</v>
      </c>
      <c r="C134" t="str">
        <f>$C$28</f>
        <v>RR861</v>
      </c>
      <c r="D134" t="str">
        <f>$D$28</f>
        <v>GROSS_PROFIT</v>
      </c>
      <c r="E134" t="str">
        <f>$E$28</f>
        <v>Dynamic</v>
      </c>
      <c r="F134">
        <f ca="1">_xll.BDH($B$28,$C$28,$B$108,$B$109,CONCATENATE("Per=",$B$106),"Dts=H","Dir=H",CONCATENATE("Points=",$B$107),"Sort=R","Days=A","Fill=B",CONCATENATE("FX=", $B$105),"cols=12;rows=1")</f>
        <v>1478</v>
      </c>
      <c r="G134">
        <v>1535</v>
      </c>
      <c r="H134">
        <v>1567</v>
      </c>
      <c r="I134">
        <v>1512</v>
      </c>
      <c r="J134">
        <v>1535</v>
      </c>
      <c r="K134">
        <v>1589</v>
      </c>
      <c r="L134">
        <v>1598</v>
      </c>
      <c r="M134">
        <v>1589</v>
      </c>
      <c r="N134">
        <v>1511</v>
      </c>
      <c r="O134">
        <v>1468</v>
      </c>
      <c r="P134">
        <v>1429</v>
      </c>
      <c r="Q134">
        <v>1409</v>
      </c>
      <c r="R134" t="str">
        <f>""</f>
        <v/>
      </c>
      <c r="S134" t="str">
        <f>""</f>
        <v/>
      </c>
      <c r="T134" t="str">
        <f>""</f>
        <v/>
      </c>
      <c r="U134" t="str">
        <f>""</f>
        <v/>
      </c>
      <c r="V134" t="str">
        <f>""</f>
        <v/>
      </c>
      <c r="W134" t="str">
        <f>""</f>
        <v/>
      </c>
      <c r="X134" t="str">
        <f>""</f>
        <v/>
      </c>
      <c r="Y134" t="str">
        <f>""</f>
        <v/>
      </c>
      <c r="Z134" t="str">
        <f>""</f>
        <v/>
      </c>
      <c r="AA134" t="str">
        <f>""</f>
        <v/>
      </c>
      <c r="AB134" t="str">
        <f>""</f>
        <v/>
      </c>
      <c r="AC134" t="str">
        <f>""</f>
        <v/>
      </c>
    </row>
    <row r="135" spans="1:29" x14ac:dyDescent="0.25">
      <c r="A135" t="str">
        <f>$A$29</f>
        <v xml:space="preserve">    Conduent Inc</v>
      </c>
      <c r="B135" t="str">
        <f>$B$29</f>
        <v>CNDT US Equity</v>
      </c>
      <c r="C135" t="str">
        <f>$C$29</f>
        <v>RR861</v>
      </c>
      <c r="D135" t="str">
        <f>$D$29</f>
        <v>GROSS_PROFIT</v>
      </c>
      <c r="E135" t="str">
        <f>$E$29</f>
        <v>Dynamic</v>
      </c>
      <c r="F135">
        <f ca="1">_xll.BDH($B$29,$C$29,$B$108,$B$109,CONCATENATE("Per=",$B$106),"Dts=H","Dir=H",CONCATENATE("Points=",$B$107),"Sort=R","Days=A","Fill=B",CONCATENATE("FX=", $B$105),"cols=12;rows=1")</f>
        <v>219</v>
      </c>
      <c r="G135">
        <v>249</v>
      </c>
      <c r="H135">
        <v>239</v>
      </c>
      <c r="I135">
        <v>233</v>
      </c>
      <c r="J135">
        <v>252</v>
      </c>
      <c r="K135">
        <v>293</v>
      </c>
      <c r="L135">
        <v>299</v>
      </c>
      <c r="M135">
        <v>314</v>
      </c>
      <c r="N135">
        <v>305</v>
      </c>
      <c r="O135">
        <v>339</v>
      </c>
      <c r="P135">
        <v>261</v>
      </c>
      <c r="Q135">
        <v>243</v>
      </c>
      <c r="R135" t="str">
        <f>""</f>
        <v/>
      </c>
      <c r="S135" t="str">
        <f>""</f>
        <v/>
      </c>
      <c r="T135" t="str">
        <f>""</f>
        <v/>
      </c>
      <c r="U135" t="str">
        <f>""</f>
        <v/>
      </c>
      <c r="V135" t="str">
        <f>""</f>
        <v/>
      </c>
      <c r="W135" t="str">
        <f>""</f>
        <v/>
      </c>
      <c r="X135" t="str">
        <f>""</f>
        <v/>
      </c>
      <c r="Y135" t="str">
        <f>""</f>
        <v/>
      </c>
      <c r="Z135" t="str">
        <f>""</f>
        <v/>
      </c>
      <c r="AA135" t="str">
        <f>""</f>
        <v/>
      </c>
      <c r="AB135" t="str">
        <f>""</f>
        <v/>
      </c>
      <c r="AC135" t="str">
        <f>""</f>
        <v/>
      </c>
    </row>
    <row r="136" spans="1:29" x14ac:dyDescent="0.25">
      <c r="A136" t="str">
        <f>$A$30</f>
        <v xml:space="preserve">    DXC Technology Co</v>
      </c>
      <c r="B136" t="str">
        <f>$B$30</f>
        <v>DXC US Equity</v>
      </c>
      <c r="C136" t="str">
        <f>$C$30</f>
        <v>RR861</v>
      </c>
      <c r="D136" t="str">
        <f>$D$30</f>
        <v>GROSS_PROFIT</v>
      </c>
      <c r="E136" t="str">
        <f>$E$30</f>
        <v>Dynamic</v>
      </c>
      <c r="F136">
        <f ca="1">_xll.BDH($B$30,$C$30,$B$108,$B$109,CONCATENATE("Per=",$B$106),"Dts=H","Dir=H",CONCATENATE("Points=",$B$107),"Sort=R","Days=A","Fill=B",CONCATENATE("FX=", $B$105),"cols=12;rows=1")</f>
        <v>1042</v>
      </c>
      <c r="G136">
        <v>1194</v>
      </c>
      <c r="H136">
        <v>1172</v>
      </c>
      <c r="I136">
        <v>1268</v>
      </c>
      <c r="J136">
        <v>1444</v>
      </c>
      <c r="K136">
        <v>1453</v>
      </c>
      <c r="L136">
        <v>1495</v>
      </c>
      <c r="M136">
        <v>1415</v>
      </c>
      <c r="N136">
        <v>1497</v>
      </c>
      <c r="O136">
        <v>1409</v>
      </c>
      <c r="P136">
        <v>1583</v>
      </c>
      <c r="Q136">
        <v>927</v>
      </c>
      <c r="R136" t="str">
        <f>""</f>
        <v/>
      </c>
      <c r="S136" t="str">
        <f>""</f>
        <v/>
      </c>
      <c r="T136" t="str">
        <f>""</f>
        <v/>
      </c>
      <c r="U136" t="str">
        <f>""</f>
        <v/>
      </c>
      <c r="V136" t="str">
        <f>""</f>
        <v/>
      </c>
      <c r="W136" t="str">
        <f>""</f>
        <v/>
      </c>
      <c r="X136" t="str">
        <f>""</f>
        <v/>
      </c>
      <c r="Y136" t="str">
        <f>""</f>
        <v/>
      </c>
      <c r="Z136" t="str">
        <f>""</f>
        <v/>
      </c>
      <c r="AA136" t="str">
        <f>""</f>
        <v/>
      </c>
      <c r="AB136" t="str">
        <f>""</f>
        <v/>
      </c>
      <c r="AC136" t="str">
        <f>""</f>
        <v/>
      </c>
    </row>
    <row r="137" spans="1:29" x14ac:dyDescent="0.25">
      <c r="A137" t="str">
        <f>$A$31</f>
        <v xml:space="preserve">    EPAM Systems Inc</v>
      </c>
      <c r="B137" t="str">
        <f>$B$31</f>
        <v>EPAM US Equity</v>
      </c>
      <c r="C137" t="str">
        <f>$C$31</f>
        <v>RR861</v>
      </c>
      <c r="D137" t="str">
        <f>$D$31</f>
        <v>GROSS_PROFIT</v>
      </c>
      <c r="E137" t="str">
        <f>$E$31</f>
        <v>Dynamic</v>
      </c>
      <c r="F137">
        <f ca="1">_xll.BDH($B$31,$C$31,$B$108,$B$109,CONCATENATE("Per=",$B$106),"Dts=H","Dir=H",CONCATENATE("Points=",$B$107),"Sort=R","Days=A","Fill=B",CONCATENATE("FX=", $B$105),"cols=12;rows=1")</f>
        <v>227.55699999999999</v>
      </c>
      <c r="G137">
        <v>222.70599999999999</v>
      </c>
      <c r="H137">
        <v>210.578</v>
      </c>
      <c r="I137">
        <v>195.672</v>
      </c>
      <c r="J137">
        <v>176.64400000000001</v>
      </c>
      <c r="K137">
        <v>185.9</v>
      </c>
      <c r="L137">
        <v>167.10499999999999</v>
      </c>
      <c r="M137">
        <v>156.47200000000001</v>
      </c>
      <c r="N137">
        <v>146.51400000000001</v>
      </c>
      <c r="O137">
        <v>145.17599999999999</v>
      </c>
      <c r="P137">
        <v>138.154</v>
      </c>
      <c r="Q137">
        <v>128.845</v>
      </c>
      <c r="R137" t="str">
        <f>""</f>
        <v/>
      </c>
      <c r="S137" t="str">
        <f>""</f>
        <v/>
      </c>
      <c r="T137" t="str">
        <f>""</f>
        <v/>
      </c>
      <c r="U137" t="str">
        <f>""</f>
        <v/>
      </c>
      <c r="V137" t="str">
        <f>""</f>
        <v/>
      </c>
      <c r="W137" t="str">
        <f>""</f>
        <v/>
      </c>
      <c r="X137" t="str">
        <f>""</f>
        <v/>
      </c>
      <c r="Y137" t="str">
        <f>""</f>
        <v/>
      </c>
      <c r="Z137" t="str">
        <f>""</f>
        <v/>
      </c>
      <c r="AA137" t="str">
        <f>""</f>
        <v/>
      </c>
      <c r="AB137" t="str">
        <f>""</f>
        <v/>
      </c>
      <c r="AC137" t="str">
        <f>""</f>
        <v/>
      </c>
    </row>
    <row r="138" spans="1:29" x14ac:dyDescent="0.25">
      <c r="A138" t="str">
        <f>$A$32</f>
        <v xml:space="preserve">    Genpact Ltd</v>
      </c>
      <c r="B138" t="str">
        <f>$B$32</f>
        <v>G US Equity</v>
      </c>
      <c r="C138" t="str">
        <f>$C$32</f>
        <v>RR861</v>
      </c>
      <c r="D138" t="str">
        <f>$D$32</f>
        <v>GROSS_PROFIT</v>
      </c>
      <c r="E138" t="str">
        <f>$E$32</f>
        <v>Dynamic</v>
      </c>
      <c r="F138">
        <f ca="1">_xll.BDH($B$32,$C$32,$B$108,$B$109,CONCATENATE("Per=",$B$106),"Dts=H","Dir=H",CONCATENATE("Points=",$B$107),"Sort=R","Days=A","Fill=B",CONCATENATE("FX=", $B$105),"cols=12;rows=1")</f>
        <v>318.42099999999999</v>
      </c>
      <c r="G138">
        <v>310.09100000000001</v>
      </c>
      <c r="H138">
        <v>315.14</v>
      </c>
      <c r="I138">
        <v>310.55500000000001</v>
      </c>
      <c r="J138">
        <v>290.06900000000002</v>
      </c>
      <c r="K138">
        <v>302.20499999999998</v>
      </c>
      <c r="L138">
        <v>266.56599999999997</v>
      </c>
      <c r="M138">
        <v>265.66300000000001</v>
      </c>
      <c r="N138">
        <v>244.58799999999999</v>
      </c>
      <c r="O138">
        <v>279.61</v>
      </c>
      <c r="P138">
        <v>280.03399999999999</v>
      </c>
      <c r="Q138">
        <v>256.18900000000002</v>
      </c>
      <c r="R138" t="str">
        <f>""</f>
        <v/>
      </c>
      <c r="S138" t="str">
        <f>""</f>
        <v/>
      </c>
      <c r="T138" t="str">
        <f>""</f>
        <v/>
      </c>
      <c r="U138" t="str">
        <f>""</f>
        <v/>
      </c>
      <c r="V138" t="str">
        <f>""</f>
        <v/>
      </c>
      <c r="W138" t="str">
        <f>""</f>
        <v/>
      </c>
      <c r="X138" t="str">
        <f>""</f>
        <v/>
      </c>
      <c r="Y138" t="str">
        <f>""</f>
        <v/>
      </c>
      <c r="Z138" t="str">
        <f>""</f>
        <v/>
      </c>
      <c r="AA138" t="str">
        <f>""</f>
        <v/>
      </c>
      <c r="AB138" t="str">
        <f>""</f>
        <v/>
      </c>
      <c r="AC138" t="str">
        <f>""</f>
        <v/>
      </c>
    </row>
    <row r="139" spans="1:29" x14ac:dyDescent="0.25">
      <c r="A139" t="str">
        <f>$A$33</f>
        <v xml:space="preserve">    HCL Technologies Ltd</v>
      </c>
      <c r="B139" t="str">
        <f>$B$33</f>
        <v>HCLT IN Equity</v>
      </c>
      <c r="C139" t="str">
        <f>$C$33</f>
        <v>RR861</v>
      </c>
      <c r="D139" t="str">
        <f>$D$33</f>
        <v>GROSS_PROFIT</v>
      </c>
      <c r="E139" t="str">
        <f>$E$33</f>
        <v>Dynamic</v>
      </c>
      <c r="F139">
        <f ca="1">_xll.BDH($B$33,$C$33,$B$108,$B$109,CONCATENATE("Per=",$B$106),"Dts=H","Dir=H",CONCATENATE("Points=",$B$107),"Sort=R","Days=A","Fill=B",CONCATENATE("FX=", $B$105),"cols=12;rows=1")</f>
        <v>1020.2</v>
      </c>
      <c r="G139">
        <v>976.7</v>
      </c>
      <c r="H139">
        <v>917.1</v>
      </c>
      <c r="I139">
        <v>792.3</v>
      </c>
      <c r="J139">
        <v>791.9</v>
      </c>
      <c r="K139">
        <v>776.5</v>
      </c>
      <c r="L139">
        <v>775.5</v>
      </c>
      <c r="M139">
        <v>706.5</v>
      </c>
      <c r="O139">
        <v>682.1</v>
      </c>
      <c r="P139">
        <v>655.4</v>
      </c>
      <c r="Q139">
        <v>634.6</v>
      </c>
      <c r="R139" t="str">
        <f>""</f>
        <v/>
      </c>
      <c r="S139" t="str">
        <f>""</f>
        <v/>
      </c>
      <c r="T139" t="str">
        <f>""</f>
        <v/>
      </c>
      <c r="U139" t="str">
        <f>""</f>
        <v/>
      </c>
      <c r="V139" t="str">
        <f>""</f>
        <v/>
      </c>
      <c r="W139" t="str">
        <f>""</f>
        <v/>
      </c>
      <c r="X139" t="str">
        <f>""</f>
        <v/>
      </c>
      <c r="Y139" t="str">
        <f>""</f>
        <v/>
      </c>
      <c r="Z139" t="str">
        <f>""</f>
        <v/>
      </c>
      <c r="AA139" t="str">
        <f>""</f>
        <v/>
      </c>
      <c r="AB139" t="str">
        <f>""</f>
        <v/>
      </c>
      <c r="AC139" t="str">
        <f>""</f>
        <v/>
      </c>
    </row>
    <row r="140" spans="1:29" x14ac:dyDescent="0.25">
      <c r="A140" t="str">
        <f>$A$34</f>
        <v xml:space="preserve">    Indra Sistemas SA</v>
      </c>
      <c r="B140" t="str">
        <f>$B$34</f>
        <v>IDR SM Equity</v>
      </c>
      <c r="C140" t="str">
        <f>$C$34</f>
        <v>RR861</v>
      </c>
      <c r="D140" t="str">
        <f>$D$34</f>
        <v>GROSS_PROFIT</v>
      </c>
      <c r="E140" t="str">
        <f>$E$34</f>
        <v>Dynamic</v>
      </c>
      <c r="F140" t="str">
        <f ca="1">_xll.BDH($B$34,$C$34,$B$108,$B$109,CONCATENATE("Per=",$B$106),"Dts=H","Dir=H",CONCATENATE("Points=",$B$107),"Sort=R","Days=A","Fill=B",CONCATENATE("FX=", $B$105) )</f>
        <v/>
      </c>
      <c r="R140" t="str">
        <f>""</f>
        <v/>
      </c>
      <c r="S140" t="str">
        <f>""</f>
        <v/>
      </c>
      <c r="T140" t="str">
        <f>""</f>
        <v/>
      </c>
      <c r="U140" t="str">
        <f>""</f>
        <v/>
      </c>
      <c r="V140" t="str">
        <f>""</f>
        <v/>
      </c>
      <c r="W140" t="str">
        <f>""</f>
        <v/>
      </c>
      <c r="X140" t="str">
        <f>""</f>
        <v/>
      </c>
      <c r="Y140" t="str">
        <f>""</f>
        <v/>
      </c>
      <c r="Z140" t="str">
        <f>""</f>
        <v/>
      </c>
      <c r="AA140" t="str">
        <f>""</f>
        <v/>
      </c>
      <c r="AB140" t="str">
        <f>""</f>
        <v/>
      </c>
      <c r="AC140" t="str">
        <f>""</f>
        <v/>
      </c>
    </row>
    <row r="141" spans="1:29" x14ac:dyDescent="0.25">
      <c r="A141" t="str">
        <f>$A$35</f>
        <v xml:space="preserve">    Infosys Ltd</v>
      </c>
      <c r="B141" t="str">
        <f>$B$35</f>
        <v>INFY US Equity</v>
      </c>
      <c r="C141" t="str">
        <f>$C$35</f>
        <v>RR861</v>
      </c>
      <c r="D141" t="str">
        <f>$D$35</f>
        <v>GROSS_PROFIT</v>
      </c>
      <c r="E141" t="str">
        <f>$E$35</f>
        <v>Dynamic</v>
      </c>
      <c r="F141">
        <f ca="1">_xll.BDH($B$35,$C$35,$B$108,$B$109,CONCATENATE("Per=",$B$106),"Dts=H","Dir=H",CONCATENATE("Points=",$B$107),"Sort=R","Days=A","Fill=B",CONCATENATE("FX=", $B$105),"cols=12;rows=1")</f>
        <v>1072.0634</v>
      </c>
      <c r="G141">
        <v>1083.8651</v>
      </c>
      <c r="H141">
        <v>1072.9275</v>
      </c>
      <c r="I141">
        <v>1010.1248000000001</v>
      </c>
      <c r="J141">
        <v>1030.0914</v>
      </c>
      <c r="K141">
        <v>1024.7765999999999</v>
      </c>
      <c r="L141">
        <v>1046.2918999999999</v>
      </c>
      <c r="M141">
        <v>1020.1183</v>
      </c>
      <c r="N141">
        <v>1014.5616</v>
      </c>
      <c r="O141">
        <v>980.01689999999996</v>
      </c>
      <c r="P141">
        <v>986.18150000000003</v>
      </c>
      <c r="Q141">
        <v>958.01310000000001</v>
      </c>
      <c r="R141" t="str">
        <f>""</f>
        <v/>
      </c>
      <c r="S141" t="str">
        <f>""</f>
        <v/>
      </c>
      <c r="T141" t="str">
        <f>""</f>
        <v/>
      </c>
      <c r="U141" t="str">
        <f>""</f>
        <v/>
      </c>
      <c r="V141" t="str">
        <f>""</f>
        <v/>
      </c>
      <c r="W141" t="str">
        <f>""</f>
        <v/>
      </c>
      <c r="X141" t="str">
        <f>""</f>
        <v/>
      </c>
      <c r="Y141" t="str">
        <f>""</f>
        <v/>
      </c>
      <c r="Z141" t="str">
        <f>""</f>
        <v/>
      </c>
      <c r="AA141" t="str">
        <f>""</f>
        <v/>
      </c>
      <c r="AB141" t="str">
        <f>""</f>
        <v/>
      </c>
      <c r="AC141" t="str">
        <f>""</f>
        <v/>
      </c>
    </row>
    <row r="142" spans="1:29" x14ac:dyDescent="0.25">
      <c r="A142" t="str">
        <f>$A$36</f>
        <v xml:space="preserve">    International Business Machines Corp</v>
      </c>
      <c r="B142" t="str">
        <f>$B$36</f>
        <v>IBM US Equity</v>
      </c>
      <c r="C142" t="str">
        <f>$C$36</f>
        <v>RR861</v>
      </c>
      <c r="D142" t="str">
        <f>$D$36</f>
        <v>GROSS_PROFIT</v>
      </c>
      <c r="E142" t="str">
        <f>$E$36</f>
        <v>Dynamic</v>
      </c>
      <c r="F142">
        <f ca="1">_xll.BDH($B$36,$C$36,$B$108,$B$109,CONCATENATE("Per=",$B$106),"Dts=H","Dir=H",CONCATENATE("Points=",$B$107),"Sort=R","Days=A","Fill=B",CONCATENATE("FX=", $B$105),"cols=12;rows=1")</f>
        <v>7922</v>
      </c>
      <c r="G142">
        <v>11100</v>
      </c>
      <c r="H142">
        <v>8336</v>
      </c>
      <c r="I142">
        <v>9010</v>
      </c>
      <c r="J142">
        <v>8043</v>
      </c>
      <c r="K142">
        <v>10687</v>
      </c>
      <c r="L142">
        <v>8803</v>
      </c>
      <c r="M142">
        <v>9199</v>
      </c>
      <c r="N142">
        <v>8247</v>
      </c>
      <c r="O142">
        <v>11049</v>
      </c>
      <c r="P142">
        <v>8800</v>
      </c>
      <c r="Q142">
        <v>8968</v>
      </c>
      <c r="R142" t="str">
        <f>""</f>
        <v/>
      </c>
      <c r="S142" t="str">
        <f>""</f>
        <v/>
      </c>
      <c r="T142" t="str">
        <f>""</f>
        <v/>
      </c>
      <c r="U142" t="str">
        <f>""</f>
        <v/>
      </c>
      <c r="V142" t="str">
        <f>""</f>
        <v/>
      </c>
      <c r="W142" t="str">
        <f>""</f>
        <v/>
      </c>
      <c r="X142" t="str">
        <f>""</f>
        <v/>
      </c>
      <c r="Y142" t="str">
        <f>""</f>
        <v/>
      </c>
      <c r="Z142" t="str">
        <f>""</f>
        <v/>
      </c>
      <c r="AA142" t="str">
        <f>""</f>
        <v/>
      </c>
      <c r="AB142" t="str">
        <f>""</f>
        <v/>
      </c>
      <c r="AC142" t="str">
        <f>""</f>
        <v/>
      </c>
    </row>
    <row r="143" spans="1:29" x14ac:dyDescent="0.25">
      <c r="A143" t="str">
        <f>$A$37</f>
        <v xml:space="preserve">    Tata Consultancy Services Ltd</v>
      </c>
      <c r="B143" t="str">
        <f>$B$37</f>
        <v>TCS IN Equity</v>
      </c>
      <c r="C143" t="str">
        <f>$C$37</f>
        <v>RR861</v>
      </c>
      <c r="D143" t="str">
        <f>$D$37</f>
        <v>GROSS_PROFIT</v>
      </c>
      <c r="E143" t="str">
        <f>$E$37</f>
        <v>Dynamic</v>
      </c>
      <c r="F143">
        <f ca="1">_xll.BDH($B$37,$C$37,$B$108,$B$109,CONCATENATE("Per=",$B$106),"Dts=H","Dir=H",CONCATENATE("Points=",$B$107),"Sort=R","Days=A","Fill=B",CONCATENATE("FX=", $B$105),"cols=12;rows=1")</f>
        <v>2315.9937</v>
      </c>
      <c r="G143">
        <v>2314.7449000000001</v>
      </c>
      <c r="H143">
        <v>2261.5322000000001</v>
      </c>
      <c r="I143">
        <v>2222.0156999999999</v>
      </c>
      <c r="J143">
        <v>2252.9699999999998</v>
      </c>
      <c r="K143">
        <v>2165.4373000000001</v>
      </c>
      <c r="L143">
        <v>2235.0781999999999</v>
      </c>
      <c r="M143">
        <v>2114.5083</v>
      </c>
      <c r="N143">
        <v>2105.7321000000002</v>
      </c>
      <c r="O143">
        <v>2014.7194999999999</v>
      </c>
      <c r="P143">
        <v>2011.2502999999999</v>
      </c>
      <c r="Q143">
        <v>1906.2570000000001</v>
      </c>
      <c r="R143" t="str">
        <f>""</f>
        <v/>
      </c>
      <c r="S143" t="str">
        <f>""</f>
        <v/>
      </c>
      <c r="T143" t="str">
        <f>""</f>
        <v/>
      </c>
      <c r="U143" t="str">
        <f>""</f>
        <v/>
      </c>
      <c r="V143" t="str">
        <f>""</f>
        <v/>
      </c>
      <c r="W143" t="str">
        <f>""</f>
        <v/>
      </c>
      <c r="X143" t="str">
        <f>""</f>
        <v/>
      </c>
      <c r="Y143" t="str">
        <f>""</f>
        <v/>
      </c>
      <c r="Z143" t="str">
        <f>""</f>
        <v/>
      </c>
      <c r="AA143" t="str">
        <f>""</f>
        <v/>
      </c>
      <c r="AB143" t="str">
        <f>""</f>
        <v/>
      </c>
      <c r="AC143" t="str">
        <f>""</f>
        <v/>
      </c>
    </row>
    <row r="144" spans="1:29" x14ac:dyDescent="0.25">
      <c r="A144" t="str">
        <f>$A$38</f>
        <v xml:space="preserve">    Tech Mahindra Ltd</v>
      </c>
      <c r="B144" t="str">
        <f>$B$38</f>
        <v>TECHM IN Equity</v>
      </c>
      <c r="C144" t="str">
        <f>$C$38</f>
        <v>RR861</v>
      </c>
      <c r="D144" t="str">
        <f>$D$38</f>
        <v>GROSS_PROFIT</v>
      </c>
      <c r="E144" t="str">
        <f>$E$38</f>
        <v>Dynamic</v>
      </c>
      <c r="F144" t="str">
        <f ca="1">_xll.BDH($B$38,$C$38,$B$108,$B$109,CONCATENATE("Per=",$B$106),"Dts=H","Dir=H",CONCATENATE("Points=",$B$107),"Sort=R","Days=A","Fill=B",CONCATENATE("FX=", $B$105) )</f>
        <v/>
      </c>
      <c r="R144" t="str">
        <f>""</f>
        <v/>
      </c>
      <c r="S144" t="str">
        <f>""</f>
        <v/>
      </c>
      <c r="T144" t="str">
        <f>""</f>
        <v/>
      </c>
      <c r="U144" t="str">
        <f>""</f>
        <v/>
      </c>
      <c r="V144" t="str">
        <f>""</f>
        <v/>
      </c>
      <c r="W144" t="str">
        <f>""</f>
        <v/>
      </c>
      <c r="X144" t="str">
        <f>""</f>
        <v/>
      </c>
      <c r="Y144" t="str">
        <f>""</f>
        <v/>
      </c>
      <c r="Z144" t="str">
        <f>""</f>
        <v/>
      </c>
      <c r="AA144" t="str">
        <f>""</f>
        <v/>
      </c>
      <c r="AB144" t="str">
        <f>""</f>
        <v/>
      </c>
      <c r="AC144" t="str">
        <f>""</f>
        <v/>
      </c>
    </row>
    <row r="145" spans="1:29" x14ac:dyDescent="0.25">
      <c r="A145" t="str">
        <f>$A$39</f>
        <v xml:space="preserve">    Wipro Ltd</v>
      </c>
      <c r="B145" t="str">
        <f>$B$39</f>
        <v>WIT US Equity</v>
      </c>
      <c r="C145" t="str">
        <f>$C$39</f>
        <v>RR861</v>
      </c>
      <c r="D145" t="str">
        <f>$D$39</f>
        <v>GROSS_PROFIT</v>
      </c>
      <c r="E145" t="str">
        <f>$E$39</f>
        <v>Dynamic</v>
      </c>
      <c r="F145">
        <f ca="1">_xll.BDH($B$39,$C$39,$B$108,$B$109,CONCATENATE("Per=",$B$106),"Dts=H","Dir=H",CONCATENATE("Points=",$B$107),"Sort=R","Days=A","Fill=B",CONCATENATE("FX=", $B$105),"cols=12;rows=1")</f>
        <v>593.27930000000003</v>
      </c>
      <c r="G145">
        <v>632.31780000000003</v>
      </c>
      <c r="H145">
        <v>614.62400000000002</v>
      </c>
      <c r="I145">
        <v>616.77440000000001</v>
      </c>
      <c r="J145">
        <v>612.16330000000005</v>
      </c>
      <c r="K145">
        <v>647.06370000000004</v>
      </c>
      <c r="L145">
        <v>623.09199999999998</v>
      </c>
      <c r="M145">
        <v>588.01469999999995</v>
      </c>
      <c r="N145">
        <v>619.89419999999996</v>
      </c>
      <c r="O145">
        <v>628.94719999999995</v>
      </c>
      <c r="P145">
        <v>615.04129999999998</v>
      </c>
      <c r="Q145">
        <v>607.09310000000005</v>
      </c>
      <c r="R145" t="str">
        <f>""</f>
        <v/>
      </c>
      <c r="S145" t="str">
        <f>""</f>
        <v/>
      </c>
      <c r="T145" t="str">
        <f>""</f>
        <v/>
      </c>
      <c r="U145" t="str">
        <f>""</f>
        <v/>
      </c>
      <c r="V145" t="str">
        <f>""</f>
        <v/>
      </c>
      <c r="W145" t="str">
        <f>""</f>
        <v/>
      </c>
      <c r="X145" t="str">
        <f>""</f>
        <v/>
      </c>
      <c r="Y145" t="str">
        <f>""</f>
        <v/>
      </c>
      <c r="Z145" t="str">
        <f>""</f>
        <v/>
      </c>
      <c r="AA145" t="str">
        <f>""</f>
        <v/>
      </c>
      <c r="AB145" t="str">
        <f>""</f>
        <v/>
      </c>
      <c r="AC145" t="str">
        <f>""</f>
        <v/>
      </c>
    </row>
    <row r="146" spans="1:29" x14ac:dyDescent="0.25">
      <c r="A146" t="str">
        <f>$A$41</f>
        <v xml:space="preserve">    Accenture PLC</v>
      </c>
      <c r="B146" t="str">
        <f>$B$41</f>
        <v>ACN US Equity</v>
      </c>
      <c r="C146" t="str">
        <f>$C$41</f>
        <v>RR009</v>
      </c>
      <c r="D146" t="str">
        <f>$D$41</f>
        <v>EBITDA</v>
      </c>
      <c r="E146" t="str">
        <f>$E$41</f>
        <v>Dynamic</v>
      </c>
      <c r="F146">
        <f ca="1">_xll.BDH($B$41,$C$41,$B$108,$B$109,CONCATENATE("Per=",$B$106),"Dts=H","Dir=H",CONCATENATE("Points=",$B$107),"Sort=R","Days=A","Fill=B",CONCATENATE("FX=", $B$105),"cols=12;rows=1")</f>
        <v>2110.0100000000002</v>
      </c>
      <c r="G146">
        <v>2341.2649999999999</v>
      </c>
      <c r="H146">
        <v>1838.8240000000001</v>
      </c>
      <c r="I146">
        <v>1939.252</v>
      </c>
      <c r="J146">
        <v>1606.2239999999999</v>
      </c>
      <c r="K146">
        <v>1840.6969999999999</v>
      </c>
      <c r="L146">
        <v>1783.425</v>
      </c>
      <c r="M146">
        <v>1873.2639999999999</v>
      </c>
      <c r="N146">
        <v>1516.7080000000001</v>
      </c>
      <c r="O146">
        <v>1730.809</v>
      </c>
      <c r="P146">
        <v>1528.6310000000001</v>
      </c>
      <c r="Q146">
        <v>1059.915</v>
      </c>
      <c r="R146" t="str">
        <f>""</f>
        <v/>
      </c>
      <c r="S146" t="str">
        <f>""</f>
        <v/>
      </c>
      <c r="T146" t="str">
        <f>""</f>
        <v/>
      </c>
      <c r="U146" t="str">
        <f>""</f>
        <v/>
      </c>
      <c r="V146" t="str">
        <f>""</f>
        <v/>
      </c>
      <c r="W146" t="str">
        <f>""</f>
        <v/>
      </c>
      <c r="X146" t="str">
        <f>""</f>
        <v/>
      </c>
      <c r="Y146" t="str">
        <f>""</f>
        <v/>
      </c>
      <c r="Z146" t="str">
        <f>""</f>
        <v/>
      </c>
      <c r="AA146" t="str">
        <f>""</f>
        <v/>
      </c>
      <c r="AB146" t="str">
        <f>""</f>
        <v/>
      </c>
      <c r="AC146" t="str">
        <f>""</f>
        <v/>
      </c>
    </row>
    <row r="147" spans="1:29" x14ac:dyDescent="0.25">
      <c r="A147" t="str">
        <f>$A$42</f>
        <v xml:space="preserve">    Amdocs Ltd</v>
      </c>
      <c r="B147" t="str">
        <f>$B$42</f>
        <v>DOX US Equity</v>
      </c>
      <c r="C147" t="str">
        <f>$C$42</f>
        <v>RR009</v>
      </c>
      <c r="D147" t="str">
        <f>$D$42</f>
        <v>EBITDA</v>
      </c>
      <c r="E147" t="str">
        <f>$E$42</f>
        <v>Dynamic</v>
      </c>
      <c r="F147">
        <f ca="1">_xll.BDH($B$42,$C$42,$B$108,$B$109,CONCATENATE("Per=",$B$106),"Dts=H","Dir=H",CONCATENATE("Points=",$B$107),"Sort=R","Days=A","Fill=B",CONCATENATE("FX=", $B$105),"cols=12;rows=1")</f>
        <v>205.82</v>
      </c>
      <c r="G147">
        <v>192.57599999999999</v>
      </c>
      <c r="H147">
        <v>194.66800000000001</v>
      </c>
      <c r="I147">
        <v>195.72499999999999</v>
      </c>
      <c r="J147">
        <v>200.55099999999999</v>
      </c>
      <c r="K147">
        <v>184.57400000000001</v>
      </c>
      <c r="L147">
        <v>122.622</v>
      </c>
      <c r="M147">
        <v>160.03899999999999</v>
      </c>
      <c r="N147">
        <v>185.49</v>
      </c>
      <c r="O147">
        <v>171.38</v>
      </c>
      <c r="P147">
        <v>183.399</v>
      </c>
      <c r="Q147">
        <v>184.40700000000001</v>
      </c>
      <c r="R147" t="str">
        <f>""</f>
        <v/>
      </c>
      <c r="S147" t="str">
        <f>""</f>
        <v/>
      </c>
      <c r="T147" t="str">
        <f>""</f>
        <v/>
      </c>
      <c r="U147" t="str">
        <f>""</f>
        <v/>
      </c>
      <c r="V147" t="str">
        <f>""</f>
        <v/>
      </c>
      <c r="W147" t="str">
        <f>""</f>
        <v/>
      </c>
      <c r="X147" t="str">
        <f>""</f>
        <v/>
      </c>
      <c r="Y147" t="str">
        <f>""</f>
        <v/>
      </c>
      <c r="Z147" t="str">
        <f>""</f>
        <v/>
      </c>
      <c r="AA147" t="str">
        <f>""</f>
        <v/>
      </c>
      <c r="AB147" t="str">
        <f>""</f>
        <v/>
      </c>
      <c r="AC147" t="str">
        <f>""</f>
        <v/>
      </c>
    </row>
    <row r="148" spans="1:29" x14ac:dyDescent="0.25">
      <c r="A148" t="str">
        <f>$A$43</f>
        <v xml:space="preserve">    Atos SE</v>
      </c>
      <c r="B148" t="str">
        <f>$B$43</f>
        <v>ATO FP Equity</v>
      </c>
      <c r="C148" t="str">
        <f>$C$43</f>
        <v>RR009</v>
      </c>
      <c r="D148" t="str">
        <f>$D$43</f>
        <v>EBITDA</v>
      </c>
      <c r="E148" t="str">
        <f>$E$43</f>
        <v>Dynamic</v>
      </c>
      <c r="F148" t="str">
        <f ca="1">_xll.BDH($B$43,$C$43,$B$108,$B$109,CONCATENATE("Per=",$B$106),"Dts=H","Dir=H",CONCATENATE("Points=",$B$107),"Sort=R","Days=A","Fill=B",CONCATENATE("FX=", $B$105) )</f>
        <v/>
      </c>
      <c r="R148" t="str">
        <f>""</f>
        <v/>
      </c>
      <c r="S148" t="str">
        <f>""</f>
        <v/>
      </c>
      <c r="T148" t="str">
        <f>""</f>
        <v/>
      </c>
      <c r="U148" t="str">
        <f>""</f>
        <v/>
      </c>
      <c r="V148" t="str">
        <f>""</f>
        <v/>
      </c>
      <c r="W148" t="str">
        <f>""</f>
        <v/>
      </c>
      <c r="X148" t="str">
        <f>""</f>
        <v/>
      </c>
      <c r="Y148" t="str">
        <f>""</f>
        <v/>
      </c>
      <c r="Z148" t="str">
        <f>""</f>
        <v/>
      </c>
      <c r="AA148" t="str">
        <f>""</f>
        <v/>
      </c>
      <c r="AB148" t="str">
        <f>""</f>
        <v/>
      </c>
      <c r="AC148" t="str">
        <f>""</f>
        <v/>
      </c>
    </row>
    <row r="149" spans="1:29" x14ac:dyDescent="0.25">
      <c r="A149" t="str">
        <f>$A$44</f>
        <v xml:space="preserve">    Capgemini SE</v>
      </c>
      <c r="B149" t="str">
        <f>$B$44</f>
        <v>CAP FP Equity</v>
      </c>
      <c r="C149" t="str">
        <f>$C$44</f>
        <v>RR009</v>
      </c>
      <c r="D149" t="str">
        <f>$D$44</f>
        <v>EBITDA</v>
      </c>
      <c r="E149" t="str">
        <f>$E$44</f>
        <v>Dynamic</v>
      </c>
      <c r="F149" t="str">
        <f ca="1">_xll.BDH($B$44,$C$44,$B$108,$B$109,CONCATENATE("Per=",$B$106),"Dts=H","Dir=H",CONCATENATE("Points=",$B$107),"Sort=R","Days=A","Fill=B",CONCATENATE("FX=", $B$105) )</f>
        <v/>
      </c>
      <c r="R149" t="str">
        <f>""</f>
        <v/>
      </c>
      <c r="S149" t="str">
        <f>""</f>
        <v/>
      </c>
      <c r="T149" t="str">
        <f>""</f>
        <v/>
      </c>
      <c r="U149" t="str">
        <f>""</f>
        <v/>
      </c>
      <c r="V149" t="str">
        <f>""</f>
        <v/>
      </c>
      <c r="W149" t="str">
        <f>""</f>
        <v/>
      </c>
      <c r="X149" t="str">
        <f>""</f>
        <v/>
      </c>
      <c r="Y149" t="str">
        <f>""</f>
        <v/>
      </c>
      <c r="Z149" t="str">
        <f>""</f>
        <v/>
      </c>
      <c r="AA149" t="str">
        <f>""</f>
        <v/>
      </c>
      <c r="AB149" t="str">
        <f>""</f>
        <v/>
      </c>
      <c r="AC149" t="str">
        <f>""</f>
        <v/>
      </c>
    </row>
    <row r="150" spans="1:29" x14ac:dyDescent="0.25">
      <c r="A150" t="str">
        <f>$A$45</f>
        <v xml:space="preserve">    CGI Inc</v>
      </c>
      <c r="B150" t="str">
        <f>$B$45</f>
        <v>GIB US Equity</v>
      </c>
      <c r="C150" t="str">
        <f>$C$45</f>
        <v>RR009</v>
      </c>
      <c r="D150" t="str">
        <f>$D$45</f>
        <v>EBITDA</v>
      </c>
      <c r="E150" t="str">
        <f>$E$45</f>
        <v>Dynamic</v>
      </c>
      <c r="F150">
        <f ca="1">_xll.BDH($B$45,$C$45,$B$108,$B$109,CONCATENATE("Per=",$B$106),"Dts=H","Dir=H",CONCATENATE("Points=",$B$107),"Sort=R","Days=A","Fill=B",CONCATENATE("FX=", $B$105),"cols=12;rows=1")</f>
        <v>435.50310000000002</v>
      </c>
      <c r="G150">
        <v>421.27069999999998</v>
      </c>
      <c r="H150">
        <v>399.23</v>
      </c>
      <c r="I150">
        <v>403.4735</v>
      </c>
      <c r="J150">
        <v>411.04329999999999</v>
      </c>
      <c r="K150">
        <v>399.99250000000001</v>
      </c>
      <c r="L150">
        <v>395.23489999999998</v>
      </c>
      <c r="M150">
        <v>394.6361</v>
      </c>
      <c r="N150">
        <v>381.9135</v>
      </c>
      <c r="O150">
        <v>354.85449999999997</v>
      </c>
      <c r="P150">
        <v>320.24540000000002</v>
      </c>
      <c r="Q150">
        <v>365.63409999999999</v>
      </c>
      <c r="R150" t="str">
        <f>""</f>
        <v/>
      </c>
      <c r="S150" t="str">
        <f>""</f>
        <v/>
      </c>
      <c r="T150" t="str">
        <f>""</f>
        <v/>
      </c>
      <c r="U150" t="str">
        <f>""</f>
        <v/>
      </c>
      <c r="V150" t="str">
        <f>""</f>
        <v/>
      </c>
      <c r="W150" t="str">
        <f>""</f>
        <v/>
      </c>
      <c r="X150" t="str">
        <f>""</f>
        <v/>
      </c>
      <c r="Y150" t="str">
        <f>""</f>
        <v/>
      </c>
      <c r="Z150" t="str">
        <f>""</f>
        <v/>
      </c>
      <c r="AA150" t="str">
        <f>""</f>
        <v/>
      </c>
      <c r="AB150" t="str">
        <f>""</f>
        <v/>
      </c>
      <c r="AC150" t="str">
        <f>""</f>
        <v/>
      </c>
    </row>
    <row r="151" spans="1:29" x14ac:dyDescent="0.25">
      <c r="A151" t="str">
        <f>$A$46</f>
        <v xml:space="preserve">    Cognizant Technology Solutions Corp</v>
      </c>
      <c r="B151" t="str">
        <f>$B$46</f>
        <v>CTSH US Equity</v>
      </c>
      <c r="C151" t="str">
        <f>$C$46</f>
        <v>RR009</v>
      </c>
      <c r="D151" t="str">
        <f>$D$46</f>
        <v>EBITDA</v>
      </c>
      <c r="E151" t="str">
        <f>$E$46</f>
        <v>Dynamic</v>
      </c>
      <c r="F151">
        <f ca="1">_xll.BDH($B$46,$C$46,$B$108,$B$109,CONCATENATE("Per=",$B$106),"Dts=H","Dir=H",CONCATENATE("Points=",$B$107),"Sort=R","Days=A","Fill=B",CONCATENATE("FX=", $B$105),"cols=12;rows=1")</f>
        <v>715</v>
      </c>
      <c r="G151">
        <v>818</v>
      </c>
      <c r="H151">
        <v>859</v>
      </c>
      <c r="I151">
        <v>816</v>
      </c>
      <c r="J151">
        <v>672</v>
      </c>
      <c r="K151">
        <v>824</v>
      </c>
      <c r="L151">
        <v>872</v>
      </c>
      <c r="M151">
        <v>793</v>
      </c>
      <c r="N151">
        <v>810</v>
      </c>
      <c r="O151">
        <v>779</v>
      </c>
      <c r="P151">
        <v>762</v>
      </c>
      <c r="Q151">
        <v>813</v>
      </c>
      <c r="R151" t="str">
        <f>""</f>
        <v/>
      </c>
      <c r="S151" t="str">
        <f>""</f>
        <v/>
      </c>
      <c r="T151" t="str">
        <f>""</f>
        <v/>
      </c>
      <c r="U151" t="str">
        <f>""</f>
        <v/>
      </c>
      <c r="V151" t="str">
        <f>""</f>
        <v/>
      </c>
      <c r="W151" t="str">
        <f>""</f>
        <v/>
      </c>
      <c r="X151" t="str">
        <f>""</f>
        <v/>
      </c>
      <c r="Y151" t="str">
        <f>""</f>
        <v/>
      </c>
      <c r="Z151" t="str">
        <f>""</f>
        <v/>
      </c>
      <c r="AA151" t="str">
        <f>""</f>
        <v/>
      </c>
      <c r="AB151" t="str">
        <f>""</f>
        <v/>
      </c>
      <c r="AC151" t="str">
        <f>""</f>
        <v/>
      </c>
    </row>
    <row r="152" spans="1:29" x14ac:dyDescent="0.25">
      <c r="A152" t="str">
        <f>$A$47</f>
        <v xml:space="preserve">    Conduent Inc</v>
      </c>
      <c r="B152" t="str">
        <f>$B$47</f>
        <v>CNDT US Equity</v>
      </c>
      <c r="C152" t="str">
        <f>$C$47</f>
        <v>RR009</v>
      </c>
      <c r="D152" t="str">
        <f>$D$47</f>
        <v>EBITDA</v>
      </c>
      <c r="E152" t="str">
        <f>$E$47</f>
        <v>Dynamic</v>
      </c>
      <c r="F152">
        <f ca="1">_xll.BDH($B$47,$C$47,$B$108,$B$109,CONCATENATE("Per=",$B$106),"Dts=H","Dir=H",CONCATENATE("Points=",$B$107),"Sort=R","Days=A","Fill=B",CONCATENATE("FX=", $B$105),"cols=12;rows=1")</f>
        <v>83</v>
      </c>
      <c r="G152">
        <v>-503</v>
      </c>
      <c r="H152">
        <v>119</v>
      </c>
      <c r="I152">
        <v>-987</v>
      </c>
      <c r="J152">
        <v>-205</v>
      </c>
      <c r="K152">
        <v>-4</v>
      </c>
      <c r="L152">
        <v>-117</v>
      </c>
      <c r="M152">
        <v>204</v>
      </c>
      <c r="N152">
        <v>95</v>
      </c>
      <c r="O152">
        <v>156</v>
      </c>
      <c r="P152">
        <v>171</v>
      </c>
      <c r="Q152">
        <v>143</v>
      </c>
      <c r="R152" t="str">
        <f>""</f>
        <v/>
      </c>
      <c r="S152" t="str">
        <f>""</f>
        <v/>
      </c>
      <c r="T152" t="str">
        <f>""</f>
        <v/>
      </c>
      <c r="U152" t="str">
        <f>""</f>
        <v/>
      </c>
      <c r="V152" t="str">
        <f>""</f>
        <v/>
      </c>
      <c r="W152" t="str">
        <f>""</f>
        <v/>
      </c>
      <c r="X152" t="str">
        <f>""</f>
        <v/>
      </c>
      <c r="Y152" t="str">
        <f>""</f>
        <v/>
      </c>
      <c r="Z152" t="str">
        <f>""</f>
        <v/>
      </c>
      <c r="AA152" t="str">
        <f>""</f>
        <v/>
      </c>
      <c r="AB152" t="str">
        <f>""</f>
        <v/>
      </c>
      <c r="AC152" t="str">
        <f>""</f>
        <v/>
      </c>
    </row>
    <row r="153" spans="1:29" x14ac:dyDescent="0.25">
      <c r="A153" t="str">
        <f>$A$48</f>
        <v xml:space="preserve">    DXC Technology Co</v>
      </c>
      <c r="B153" t="str">
        <f>$B$48</f>
        <v>DXC US Equity</v>
      </c>
      <c r="C153" t="str">
        <f>$C$48</f>
        <v>RR009</v>
      </c>
      <c r="D153" t="str">
        <f>$D$48</f>
        <v>EBITDA</v>
      </c>
      <c r="E153" t="str">
        <f>$E$48</f>
        <v>Dynamic</v>
      </c>
      <c r="F153">
        <f ca="1">_xll.BDH($B$48,$C$48,$B$108,$B$109,CONCATENATE("Per=",$B$106),"Dts=H","Dir=H",CONCATENATE("Points=",$B$107),"Sort=R","Days=A","Fill=B",CONCATENATE("FX=", $B$105),"cols=12;rows=1")</f>
        <v>-3172</v>
      </c>
      <c r="G153">
        <v>710</v>
      </c>
      <c r="H153">
        <v>-1445</v>
      </c>
      <c r="I153">
        <v>790</v>
      </c>
      <c r="J153">
        <v>912</v>
      </c>
      <c r="K153">
        <v>890</v>
      </c>
      <c r="L153">
        <v>778</v>
      </c>
      <c r="M153">
        <v>828</v>
      </c>
      <c r="N153">
        <v>1285</v>
      </c>
      <c r="O153">
        <v>795</v>
      </c>
      <c r="P153">
        <v>1173</v>
      </c>
      <c r="Q153">
        <v>368</v>
      </c>
      <c r="R153" t="str">
        <f>""</f>
        <v/>
      </c>
      <c r="S153" t="str">
        <f>""</f>
        <v/>
      </c>
      <c r="T153" t="str">
        <f>""</f>
        <v/>
      </c>
      <c r="U153" t="str">
        <f>""</f>
        <v/>
      </c>
      <c r="V153" t="str">
        <f>""</f>
        <v/>
      </c>
      <c r="W153" t="str">
        <f>""</f>
        <v/>
      </c>
      <c r="X153" t="str">
        <f>""</f>
        <v/>
      </c>
      <c r="Y153" t="str">
        <f>""</f>
        <v/>
      </c>
      <c r="Z153" t="str">
        <f>""</f>
        <v/>
      </c>
      <c r="AA153" t="str">
        <f>""</f>
        <v/>
      </c>
      <c r="AB153" t="str">
        <f>""</f>
        <v/>
      </c>
      <c r="AC153" t="str">
        <f>""</f>
        <v/>
      </c>
    </row>
    <row r="154" spans="1:29" x14ac:dyDescent="0.25">
      <c r="A154" t="str">
        <f>$A$49</f>
        <v xml:space="preserve">    EPAM Systems Inc</v>
      </c>
      <c r="B154" t="str">
        <f>$B$49</f>
        <v>EPAM US Equity</v>
      </c>
      <c r="C154" t="str">
        <f>$C$49</f>
        <v>RR009</v>
      </c>
      <c r="D154" t="str">
        <f>$D$49</f>
        <v>EBITDA</v>
      </c>
      <c r="E154" t="str">
        <f>$E$49</f>
        <v>Dynamic</v>
      </c>
      <c r="F154">
        <f ca="1">_xll.BDH($B$49,$C$49,$B$108,$B$109,CONCATENATE("Per=",$B$106),"Dts=H","Dir=H",CONCATENATE("Points=",$B$107),"Sort=R","Days=A","Fill=B",CONCATENATE("FX=", $B$105),"cols=12;rows=1")</f>
        <v>121.312</v>
      </c>
      <c r="G154">
        <v>115.322</v>
      </c>
      <c r="H154">
        <v>107.238</v>
      </c>
      <c r="I154">
        <v>98.629000000000005</v>
      </c>
      <c r="J154">
        <v>88.122</v>
      </c>
      <c r="K154">
        <v>88.453000000000003</v>
      </c>
      <c r="L154">
        <v>73.879000000000005</v>
      </c>
      <c r="M154">
        <v>63.198999999999998</v>
      </c>
      <c r="N154">
        <v>56.872999999999998</v>
      </c>
      <c r="O154">
        <v>59.746000000000002</v>
      </c>
      <c r="P154">
        <v>56.421999999999997</v>
      </c>
      <c r="Q154">
        <v>47.701999999999998</v>
      </c>
      <c r="R154" t="str">
        <f>""</f>
        <v/>
      </c>
      <c r="S154" t="str">
        <f>""</f>
        <v/>
      </c>
      <c r="T154" t="str">
        <f>""</f>
        <v/>
      </c>
      <c r="U154" t="str">
        <f>""</f>
        <v/>
      </c>
      <c r="V154" t="str">
        <f>""</f>
        <v/>
      </c>
      <c r="W154" t="str">
        <f>""</f>
        <v/>
      </c>
      <c r="X154" t="str">
        <f>""</f>
        <v/>
      </c>
      <c r="Y154" t="str">
        <f>""</f>
        <v/>
      </c>
      <c r="Z154" t="str">
        <f>""</f>
        <v/>
      </c>
      <c r="AA154" t="str">
        <f>""</f>
        <v/>
      </c>
      <c r="AB154" t="str">
        <f>""</f>
        <v/>
      </c>
      <c r="AC154" t="str">
        <f>""</f>
        <v/>
      </c>
    </row>
    <row r="155" spans="1:29" x14ac:dyDescent="0.25">
      <c r="A155" t="str">
        <f>$A$50</f>
        <v xml:space="preserve">    Genpact Ltd</v>
      </c>
      <c r="B155" t="str">
        <f>$B$50</f>
        <v>G US Equity</v>
      </c>
      <c r="C155" t="str">
        <f>$C$50</f>
        <v>RR009</v>
      </c>
      <c r="D155" t="str">
        <f>$D$50</f>
        <v>EBITDA</v>
      </c>
      <c r="E155" t="str">
        <f>$E$50</f>
        <v>Dynamic</v>
      </c>
      <c r="F155">
        <f ca="1">_xll.BDH($B$50,$C$50,$B$108,$B$109,CONCATENATE("Per=",$B$106),"Dts=H","Dir=H",CONCATENATE("Points=",$B$107),"Sort=R","Days=A","Fill=B",CONCATENATE("FX=", $B$105),"cols=12;rows=1")</f>
        <v>149.893</v>
      </c>
      <c r="G155">
        <v>178.33</v>
      </c>
      <c r="H155">
        <v>163.58000000000001</v>
      </c>
      <c r="I155">
        <v>156.006</v>
      </c>
      <c r="J155">
        <v>134.60900000000001</v>
      </c>
      <c r="K155">
        <v>137.81299999999999</v>
      </c>
      <c r="L155">
        <v>119.399</v>
      </c>
      <c r="M155">
        <v>105.125</v>
      </c>
      <c r="N155">
        <v>89.533000000000001</v>
      </c>
      <c r="O155">
        <v>100.169</v>
      </c>
      <c r="P155">
        <v>123.029</v>
      </c>
      <c r="Q155">
        <v>102.51900000000001</v>
      </c>
      <c r="R155" t="str">
        <f>""</f>
        <v/>
      </c>
      <c r="S155" t="str">
        <f>""</f>
        <v/>
      </c>
      <c r="T155" t="str">
        <f>""</f>
        <v/>
      </c>
      <c r="U155" t="str">
        <f>""</f>
        <v/>
      </c>
      <c r="V155" t="str">
        <f>""</f>
        <v/>
      </c>
      <c r="W155" t="str">
        <f>""</f>
        <v/>
      </c>
      <c r="X155" t="str">
        <f>""</f>
        <v/>
      </c>
      <c r="Y155" t="str">
        <f>""</f>
        <v/>
      </c>
      <c r="Z155" t="str">
        <f>""</f>
        <v/>
      </c>
      <c r="AA155" t="str">
        <f>""</f>
        <v/>
      </c>
      <c r="AB155" t="str">
        <f>""</f>
        <v/>
      </c>
      <c r="AC155" t="str">
        <f>""</f>
        <v/>
      </c>
    </row>
    <row r="156" spans="1:29" x14ac:dyDescent="0.25">
      <c r="A156" t="str">
        <f>$A$51</f>
        <v xml:space="preserve">    HCL Technologies Ltd</v>
      </c>
      <c r="B156" t="str">
        <f>$B$51</f>
        <v>HCLT IN Equity</v>
      </c>
      <c r="C156" t="str">
        <f>$C$51</f>
        <v>RR009</v>
      </c>
      <c r="D156" t="str">
        <f>$D$51</f>
        <v>EBITDA</v>
      </c>
      <c r="E156" t="str">
        <f>$E$51</f>
        <v>Dynamic</v>
      </c>
      <c r="F156">
        <f ca="1">_xll.BDH($B$51,$C$51,$B$108,$B$109,CONCATENATE("Per=",$B$106),"Dts=H","Dir=H",CONCATENATE("Points=",$B$107),"Sort=R","Days=A","Fill=B",CONCATENATE("FX=", $B$105),"cols=12;rows=1")</f>
        <v>646.20000000000005</v>
      </c>
      <c r="G156">
        <v>627.1</v>
      </c>
      <c r="H156">
        <v>582</v>
      </c>
      <c r="I156">
        <v>489.4</v>
      </c>
      <c r="J156">
        <v>510.6</v>
      </c>
      <c r="K156">
        <v>509.3</v>
      </c>
      <c r="L156">
        <v>492.5</v>
      </c>
      <c r="M156">
        <v>477.6</v>
      </c>
      <c r="N156">
        <v>469.59800000000001</v>
      </c>
      <c r="O156">
        <v>459.9</v>
      </c>
      <c r="P156">
        <v>427.8</v>
      </c>
      <c r="Q156">
        <v>415.7</v>
      </c>
      <c r="R156" t="str">
        <f>""</f>
        <v/>
      </c>
      <c r="S156" t="str">
        <f>""</f>
        <v/>
      </c>
      <c r="T156" t="str">
        <f>""</f>
        <v/>
      </c>
      <c r="U156" t="str">
        <f>""</f>
        <v/>
      </c>
      <c r="V156" t="str">
        <f>""</f>
        <v/>
      </c>
      <c r="W156" t="str">
        <f>""</f>
        <v/>
      </c>
      <c r="X156" t="str">
        <f>""</f>
        <v/>
      </c>
      <c r="Y156" t="str">
        <f>""</f>
        <v/>
      </c>
      <c r="Z156" t="str">
        <f>""</f>
        <v/>
      </c>
      <c r="AA156" t="str">
        <f>""</f>
        <v/>
      </c>
      <c r="AB156" t="str">
        <f>""</f>
        <v/>
      </c>
      <c r="AC156" t="str">
        <f>""</f>
        <v/>
      </c>
    </row>
    <row r="157" spans="1:29" x14ac:dyDescent="0.25">
      <c r="A157" t="str">
        <f>$A$52</f>
        <v xml:space="preserve">    Indra Sistemas SA</v>
      </c>
      <c r="B157" t="str">
        <f>$B$52</f>
        <v>IDR SM Equity</v>
      </c>
      <c r="C157" t="str">
        <f>$C$52</f>
        <v>RR009</v>
      </c>
      <c r="D157" t="str">
        <f>$D$52</f>
        <v>EBITDA</v>
      </c>
      <c r="E157" t="str">
        <f>$E$52</f>
        <v>Dynamic</v>
      </c>
      <c r="F157">
        <f ca="1">_xll.BDH($B$52,$C$52,$B$108,$B$109,CONCATENATE("Per=",$B$106),"Dts=H","Dir=H",CONCATENATE("Points=",$B$107),"Sort=R","Days=A","Fill=B",CONCATENATE("FX=", $B$105),"cols=12;rows=1")</f>
        <v>56.007100000000001</v>
      </c>
      <c r="G157">
        <v>136.68389999999999</v>
      </c>
      <c r="H157">
        <v>89.851600000000005</v>
      </c>
      <c r="I157">
        <v>80.711699999999993</v>
      </c>
      <c r="J157">
        <v>79.733900000000006</v>
      </c>
      <c r="K157">
        <v>125.45</v>
      </c>
      <c r="L157">
        <v>77.451999999999998</v>
      </c>
      <c r="M157">
        <v>81.828699999999998</v>
      </c>
      <c r="N157">
        <v>58.864699999999999</v>
      </c>
      <c r="O157">
        <v>112.6553</v>
      </c>
      <c r="P157">
        <v>73.747399999999999</v>
      </c>
      <c r="Q157">
        <v>66.102999999999994</v>
      </c>
      <c r="R157" t="str">
        <f>""</f>
        <v/>
      </c>
      <c r="S157" t="str">
        <f>""</f>
        <v/>
      </c>
      <c r="T157" t="str">
        <f>""</f>
        <v/>
      </c>
      <c r="U157" t="str">
        <f>""</f>
        <v/>
      </c>
      <c r="V157" t="str">
        <f>""</f>
        <v/>
      </c>
      <c r="W157" t="str">
        <f>""</f>
        <v/>
      </c>
      <c r="X157" t="str">
        <f>""</f>
        <v/>
      </c>
      <c r="Y157" t="str">
        <f>""</f>
        <v/>
      </c>
      <c r="Z157" t="str">
        <f>""</f>
        <v/>
      </c>
      <c r="AA157" t="str">
        <f>""</f>
        <v/>
      </c>
      <c r="AB157" t="str">
        <f>""</f>
        <v/>
      </c>
      <c r="AC157" t="str">
        <f>""</f>
        <v/>
      </c>
    </row>
    <row r="158" spans="1:29" x14ac:dyDescent="0.25">
      <c r="A158" t="str">
        <f>$A$53</f>
        <v xml:space="preserve">    Infosys Ltd</v>
      </c>
      <c r="B158" t="str">
        <f>$B$53</f>
        <v>INFY US Equity</v>
      </c>
      <c r="C158" t="str">
        <f>$C$53</f>
        <v>RR009</v>
      </c>
      <c r="D158" t="str">
        <f>$D$53</f>
        <v>EBITDA</v>
      </c>
      <c r="E158" t="str">
        <f>$E$53</f>
        <v>Dynamic</v>
      </c>
      <c r="F158">
        <f ca="1">_xll.BDH($B$53,$C$53,$B$108,$B$109,CONCATENATE("Per=",$B$106),"Dts=H","Dir=H",CONCATENATE("Points=",$B$107),"Sort=R","Days=A","Fill=B",CONCATENATE("FX=", $B$105),"cols=12;rows=1")</f>
        <v>783.54769999999996</v>
      </c>
      <c r="G158">
        <v>814.40830000000005</v>
      </c>
      <c r="H158">
        <v>801.35599999999999</v>
      </c>
      <c r="I158">
        <v>740.91160000000002</v>
      </c>
      <c r="J158">
        <v>730.97310000000004</v>
      </c>
      <c r="K158">
        <v>750.81820000000005</v>
      </c>
      <c r="L158">
        <v>765.01530000000002</v>
      </c>
      <c r="M158">
        <v>741.67370000000005</v>
      </c>
      <c r="N158">
        <v>766.24339999999995</v>
      </c>
      <c r="O158">
        <v>744.12699999999995</v>
      </c>
      <c r="P158">
        <v>731.39200000000005</v>
      </c>
      <c r="Q158">
        <v>707.26739999999995</v>
      </c>
      <c r="R158" t="str">
        <f>""</f>
        <v/>
      </c>
      <c r="S158" t="str">
        <f>""</f>
        <v/>
      </c>
      <c r="T158" t="str">
        <f>""</f>
        <v/>
      </c>
      <c r="U158" t="str">
        <f>""</f>
        <v/>
      </c>
      <c r="V158" t="str">
        <f>""</f>
        <v/>
      </c>
      <c r="W158" t="str">
        <f>""</f>
        <v/>
      </c>
      <c r="X158" t="str">
        <f>""</f>
        <v/>
      </c>
      <c r="Y158" t="str">
        <f>""</f>
        <v/>
      </c>
      <c r="Z158" t="str">
        <f>""</f>
        <v/>
      </c>
      <c r="AA158" t="str">
        <f>""</f>
        <v/>
      </c>
      <c r="AB158" t="str">
        <f>""</f>
        <v/>
      </c>
      <c r="AC158" t="str">
        <f>""</f>
        <v/>
      </c>
    </row>
    <row r="159" spans="1:29" x14ac:dyDescent="0.25">
      <c r="A159" t="str">
        <f>$A$54</f>
        <v xml:space="preserve">    International Business Machines Corp</v>
      </c>
      <c r="B159" t="str">
        <f>$B$54</f>
        <v>IBM US Equity</v>
      </c>
      <c r="C159" t="str">
        <f>$C$54</f>
        <v>RR009</v>
      </c>
      <c r="D159" t="str">
        <f>$D$54</f>
        <v>EBITDA</v>
      </c>
      <c r="E159" t="str">
        <f>$E$54</f>
        <v>Dynamic</v>
      </c>
      <c r="F159">
        <f ca="1">_xll.BDH($B$54,$C$54,$B$108,$B$109,CONCATENATE("Per=",$B$106),"Dts=H","Dir=H",CONCATENATE("Points=",$B$107),"Sort=R","Days=A","Fill=B",CONCATENATE("FX=", $B$105),"cols=12;rows=1")</f>
        <v>1977</v>
      </c>
      <c r="G159">
        <v>6117</v>
      </c>
      <c r="H159">
        <v>3844</v>
      </c>
      <c r="I159">
        <v>3869</v>
      </c>
      <c r="J159">
        <v>3749</v>
      </c>
      <c r="K159">
        <v>5740</v>
      </c>
      <c r="L159">
        <v>4326</v>
      </c>
      <c r="M159">
        <v>5208</v>
      </c>
      <c r="N159">
        <v>2511</v>
      </c>
      <c r="O159">
        <v>5807</v>
      </c>
      <c r="P159">
        <v>3986</v>
      </c>
      <c r="Q159">
        <v>3616</v>
      </c>
      <c r="R159" t="str">
        <f>""</f>
        <v/>
      </c>
      <c r="S159" t="str">
        <f>""</f>
        <v/>
      </c>
      <c r="T159" t="str">
        <f>""</f>
        <v/>
      </c>
      <c r="U159" t="str">
        <f>""</f>
        <v/>
      </c>
      <c r="V159" t="str">
        <f>""</f>
        <v/>
      </c>
      <c r="W159" t="str">
        <f>""</f>
        <v/>
      </c>
      <c r="X159" t="str">
        <f>""</f>
        <v/>
      </c>
      <c r="Y159" t="str">
        <f>""</f>
        <v/>
      </c>
      <c r="Z159" t="str">
        <f>""</f>
        <v/>
      </c>
      <c r="AA159" t="str">
        <f>""</f>
        <v/>
      </c>
      <c r="AB159" t="str">
        <f>""</f>
        <v/>
      </c>
      <c r="AC159" t="str">
        <f>""</f>
        <v/>
      </c>
    </row>
    <row r="160" spans="1:29" x14ac:dyDescent="0.25">
      <c r="A160" t="str">
        <f>$A$55</f>
        <v xml:space="preserve">    Tata Consultancy Services Ltd</v>
      </c>
      <c r="B160" t="str">
        <f>$B$55</f>
        <v>TCS IN Equity</v>
      </c>
      <c r="C160" t="str">
        <f>$C$55</f>
        <v>RR009</v>
      </c>
      <c r="D160" t="str">
        <f>$D$55</f>
        <v>EBITDA</v>
      </c>
      <c r="E160" t="str">
        <f>$E$55</f>
        <v>Dynamic</v>
      </c>
      <c r="F160">
        <f ca="1">_xll.BDH($B$55,$C$55,$B$108,$B$109,CONCATENATE("Per=",$B$106),"Dts=H","Dir=H",CONCATENATE("Points=",$B$107),"Sort=R","Days=A","Fill=B",CONCATENATE("FX=", $B$105),"cols=12;rows=1")</f>
        <v>1515.1902</v>
      </c>
      <c r="G160">
        <v>1526.4538</v>
      </c>
      <c r="H160">
        <v>1453.0706</v>
      </c>
      <c r="I160">
        <v>1443.4257</v>
      </c>
      <c r="J160">
        <v>1430.1461999999999</v>
      </c>
      <c r="K160">
        <v>1399.3530000000001</v>
      </c>
      <c r="L160">
        <v>1467.4929</v>
      </c>
      <c r="M160">
        <v>1352.8498999999999</v>
      </c>
      <c r="N160">
        <v>1344.4612</v>
      </c>
      <c r="O160">
        <v>1280.1703</v>
      </c>
      <c r="P160">
        <v>1269.9031</v>
      </c>
      <c r="Q160">
        <v>1149.5227</v>
      </c>
      <c r="R160" t="str">
        <f>""</f>
        <v/>
      </c>
      <c r="S160" t="str">
        <f>""</f>
        <v/>
      </c>
      <c r="T160" t="str">
        <f>""</f>
        <v/>
      </c>
      <c r="U160" t="str">
        <f>""</f>
        <v/>
      </c>
      <c r="V160" t="str">
        <f>""</f>
        <v/>
      </c>
      <c r="W160" t="str">
        <f>""</f>
        <v/>
      </c>
      <c r="X160" t="str">
        <f>""</f>
        <v/>
      </c>
      <c r="Y160" t="str">
        <f>""</f>
        <v/>
      </c>
      <c r="Z160" t="str">
        <f>""</f>
        <v/>
      </c>
      <c r="AA160" t="str">
        <f>""</f>
        <v/>
      </c>
      <c r="AB160" t="str">
        <f>""</f>
        <v/>
      </c>
      <c r="AC160" t="str">
        <f>""</f>
        <v/>
      </c>
    </row>
    <row r="161" spans="1:29" x14ac:dyDescent="0.25">
      <c r="A161" t="str">
        <f>$A$56</f>
        <v xml:space="preserve">    Tech Mahindra Ltd</v>
      </c>
      <c r="B161" t="str">
        <f>$B$56</f>
        <v>TECHM IN Equity</v>
      </c>
      <c r="C161" t="str">
        <f>$C$56</f>
        <v>RR009</v>
      </c>
      <c r="D161" t="str">
        <f>$D$56</f>
        <v>EBITDA</v>
      </c>
      <c r="E161" t="str">
        <f>$E$56</f>
        <v>Dynamic</v>
      </c>
      <c r="F161">
        <f ca="1">_xll.BDH($B$56,$C$56,$B$108,$B$109,CONCATENATE("Per=",$B$106),"Dts=H","Dir=H",CONCATENATE("Points=",$B$107),"Sort=R","Days=A","Fill=B",CONCATENATE("FX=", $B$105),"cols=12;rows=1")</f>
        <v>156.03059999999999</v>
      </c>
      <c r="G161">
        <v>219.5086</v>
      </c>
      <c r="H161">
        <v>213.2903</v>
      </c>
      <c r="I161">
        <v>188.9813</v>
      </c>
      <c r="J161">
        <v>232.63650000000001</v>
      </c>
      <c r="K161">
        <v>239.06829999999999</v>
      </c>
      <c r="L161">
        <v>231.12090000000001</v>
      </c>
      <c r="M161">
        <v>164.68199999999999</v>
      </c>
      <c r="N161">
        <v>219.40729999999999</v>
      </c>
      <c r="O161">
        <v>195.3561</v>
      </c>
      <c r="P161">
        <v>171.99379999999999</v>
      </c>
      <c r="Q161">
        <v>144.9348</v>
      </c>
      <c r="R161" t="str">
        <f>""</f>
        <v/>
      </c>
      <c r="S161" t="str">
        <f>""</f>
        <v/>
      </c>
      <c r="T161" t="str">
        <f>""</f>
        <v/>
      </c>
      <c r="U161" t="str">
        <f>""</f>
        <v/>
      </c>
      <c r="V161" t="str">
        <f>""</f>
        <v/>
      </c>
      <c r="W161" t="str">
        <f>""</f>
        <v/>
      </c>
      <c r="X161" t="str">
        <f>""</f>
        <v/>
      </c>
      <c r="Y161" t="str">
        <f>""</f>
        <v/>
      </c>
      <c r="Z161" t="str">
        <f>""</f>
        <v/>
      </c>
      <c r="AA161" t="str">
        <f>""</f>
        <v/>
      </c>
      <c r="AB161" t="str">
        <f>""</f>
        <v/>
      </c>
      <c r="AC161" t="str">
        <f>""</f>
        <v/>
      </c>
    </row>
    <row r="162" spans="1:29" x14ac:dyDescent="0.25">
      <c r="A162" t="str">
        <f>$A$57</f>
        <v xml:space="preserve">    Wipro Ltd</v>
      </c>
      <c r="B162" t="str">
        <f>$B$57</f>
        <v>WIT US Equity</v>
      </c>
      <c r="C162" t="str">
        <f>$C$57</f>
        <v>RR009</v>
      </c>
      <c r="D162" t="str">
        <f>$D$57</f>
        <v>EBITDA</v>
      </c>
      <c r="E162" t="str">
        <f>$E$57</f>
        <v>Dynamic</v>
      </c>
      <c r="F162">
        <f ca="1">_xll.BDH($B$57,$C$57,$B$108,$B$109,CONCATENATE("Per=",$B$106),"Dts=H","Dir=H",CONCATENATE("Points=",$B$107),"Sort=R","Days=A","Fill=B",CONCATENATE("FX=", $B$105),"cols=12;rows=1")</f>
        <v>430.61989999999997</v>
      </c>
      <c r="G162">
        <v>446.53440000000001</v>
      </c>
      <c r="H162">
        <v>439.94290000000001</v>
      </c>
      <c r="I162">
        <v>423.80950000000001</v>
      </c>
      <c r="J162">
        <v>452.42529999999999</v>
      </c>
      <c r="K162">
        <v>467.14490000000001</v>
      </c>
      <c r="L162">
        <v>339.35950000000003</v>
      </c>
      <c r="M162">
        <v>400.76929999999999</v>
      </c>
      <c r="N162">
        <v>381.17930000000001</v>
      </c>
      <c r="O162">
        <v>385.10149999999999</v>
      </c>
      <c r="P162">
        <v>432.23989999999998</v>
      </c>
      <c r="Q162">
        <v>413.76929999999999</v>
      </c>
      <c r="R162" t="str">
        <f>""</f>
        <v/>
      </c>
      <c r="S162" t="str">
        <f>""</f>
        <v/>
      </c>
      <c r="T162" t="str">
        <f>""</f>
        <v/>
      </c>
      <c r="U162" t="str">
        <f>""</f>
        <v/>
      </c>
      <c r="V162" t="str">
        <f>""</f>
        <v/>
      </c>
      <c r="W162" t="str">
        <f>""</f>
        <v/>
      </c>
      <c r="X162" t="str">
        <f>""</f>
        <v/>
      </c>
      <c r="Y162" t="str">
        <f>""</f>
        <v/>
      </c>
      <c r="Z162" t="str">
        <f>""</f>
        <v/>
      </c>
      <c r="AA162" t="str">
        <f>""</f>
        <v/>
      </c>
      <c r="AB162" t="str">
        <f>""</f>
        <v/>
      </c>
      <c r="AC162" t="str">
        <f>""</f>
        <v/>
      </c>
    </row>
    <row r="163" spans="1:29" x14ac:dyDescent="0.25">
      <c r="A163" t="str">
        <f>$A$59</f>
        <v xml:space="preserve">    Accenture PLC</v>
      </c>
      <c r="B163" t="str">
        <f>$B$59</f>
        <v>ACN US Equity</v>
      </c>
      <c r="C163" t="str">
        <f>$C$59</f>
        <v>IS033</v>
      </c>
      <c r="D163" t="str">
        <f>$D$59</f>
        <v>IS_OPER_INC</v>
      </c>
      <c r="E163" t="str">
        <f>$E$59</f>
        <v>Dynamic</v>
      </c>
      <c r="F163">
        <f ca="1">_xll.BDH($B$59,$C$59,$B$108,$B$109,CONCATENATE("Per=",$B$106),"Dts=H","Dir=H",CONCATENATE("Points=",$B$107),"Sort=R","Days=A","Fill=B",CONCATENATE("FX=", $B$105),"cols=12;rows=1")</f>
        <v>1488.9449999999999</v>
      </c>
      <c r="G163">
        <v>1767.2629999999999</v>
      </c>
      <c r="H163">
        <v>1571.4929999999999</v>
      </c>
      <c r="I163">
        <v>1717.943</v>
      </c>
      <c r="J163">
        <v>1386.626</v>
      </c>
      <c r="K163">
        <v>1629.0119999999999</v>
      </c>
      <c r="L163">
        <v>1469.684</v>
      </c>
      <c r="M163">
        <v>1634.875</v>
      </c>
      <c r="N163">
        <v>1296.0440000000001</v>
      </c>
      <c r="O163">
        <v>1498.1759999999999</v>
      </c>
      <c r="P163">
        <v>1296.5619999999999</v>
      </c>
      <c r="Q163">
        <v>865.43499999999995</v>
      </c>
      <c r="R163" t="str">
        <f>""</f>
        <v/>
      </c>
      <c r="S163" t="str">
        <f>""</f>
        <v/>
      </c>
      <c r="T163" t="str">
        <f>""</f>
        <v/>
      </c>
      <c r="U163" t="str">
        <f>""</f>
        <v/>
      </c>
      <c r="V163" t="str">
        <f>""</f>
        <v/>
      </c>
      <c r="W163" t="str">
        <f>""</f>
        <v/>
      </c>
      <c r="X163" t="str">
        <f>""</f>
        <v/>
      </c>
      <c r="Y163" t="str">
        <f>""</f>
        <v/>
      </c>
      <c r="Z163" t="str">
        <f>""</f>
        <v/>
      </c>
      <c r="AA163" t="str">
        <f>""</f>
        <v/>
      </c>
      <c r="AB163" t="str">
        <f>""</f>
        <v/>
      </c>
      <c r="AC163" t="str">
        <f>""</f>
        <v/>
      </c>
    </row>
    <row r="164" spans="1:29" x14ac:dyDescent="0.25">
      <c r="A164" t="str">
        <f>$A$60</f>
        <v xml:space="preserve">    Amdocs Ltd</v>
      </c>
      <c r="B164" t="str">
        <f>$B$60</f>
        <v>DOX US Equity</v>
      </c>
      <c r="C164" t="str">
        <f>$C$60</f>
        <v>IS033</v>
      </c>
      <c r="D164" t="str">
        <f>$D$60</f>
        <v>IS_OPER_INC</v>
      </c>
      <c r="E164" t="str">
        <f>$E$60</f>
        <v>Dynamic</v>
      </c>
      <c r="F164">
        <f ca="1">_xll.BDH($B$60,$C$60,$B$108,$B$109,CONCATENATE("Per=",$B$106),"Dts=H","Dir=H",CONCATENATE("Points=",$B$107),"Sort=R","Days=A","Fill=B",CONCATENATE("FX=", $B$105),"cols=12;rows=1")</f>
        <v>156.71199999999999</v>
      </c>
      <c r="G164">
        <v>143.577</v>
      </c>
      <c r="H164">
        <v>144.154</v>
      </c>
      <c r="I164">
        <v>142.32</v>
      </c>
      <c r="J164">
        <v>150.17500000000001</v>
      </c>
      <c r="K164">
        <v>133.09700000000001</v>
      </c>
      <c r="L164">
        <v>68.819000000000003</v>
      </c>
      <c r="M164">
        <v>105.518</v>
      </c>
      <c r="N164">
        <v>131.827</v>
      </c>
      <c r="O164">
        <v>122.143</v>
      </c>
      <c r="P164">
        <v>132.047</v>
      </c>
      <c r="Q164">
        <v>129.91200000000001</v>
      </c>
      <c r="R164" t="str">
        <f>""</f>
        <v/>
      </c>
      <c r="S164" t="str">
        <f>""</f>
        <v/>
      </c>
      <c r="T164" t="str">
        <f>""</f>
        <v/>
      </c>
      <c r="U164" t="str">
        <f>""</f>
        <v/>
      </c>
      <c r="V164" t="str">
        <f>""</f>
        <v/>
      </c>
      <c r="W164" t="str">
        <f>""</f>
        <v/>
      </c>
      <c r="X164" t="str">
        <f>""</f>
        <v/>
      </c>
      <c r="Y164" t="str">
        <f>""</f>
        <v/>
      </c>
      <c r="Z164" t="str">
        <f>""</f>
        <v/>
      </c>
      <c r="AA164" t="str">
        <f>""</f>
        <v/>
      </c>
      <c r="AB164" t="str">
        <f>""</f>
        <v/>
      </c>
      <c r="AC164" t="str">
        <f>""</f>
        <v/>
      </c>
    </row>
    <row r="165" spans="1:29" x14ac:dyDescent="0.25">
      <c r="A165" t="str">
        <f>$A$61</f>
        <v xml:space="preserve">    Atos SE</v>
      </c>
      <c r="B165" t="str">
        <f>$B$61</f>
        <v>ATO FP Equity</v>
      </c>
      <c r="C165" t="str">
        <f>$C$61</f>
        <v>IS033</v>
      </c>
      <c r="D165" t="str">
        <f>$D$61</f>
        <v>IS_OPER_INC</v>
      </c>
      <c r="E165" t="str">
        <f>$E$61</f>
        <v>Dynamic</v>
      </c>
      <c r="F165" t="str">
        <f ca="1">_xll.BDH($B$61,$C$61,$B$108,$B$109,CONCATENATE("Per=",$B$106),"Dts=H","Dir=H",CONCATENATE("Points=",$B$107),"Sort=R","Days=A","Fill=B",CONCATENATE("FX=", $B$105) )</f>
        <v/>
      </c>
      <c r="R165" t="str">
        <f>""</f>
        <v/>
      </c>
      <c r="S165" t="str">
        <f>""</f>
        <v/>
      </c>
      <c r="T165" t="str">
        <f>""</f>
        <v/>
      </c>
      <c r="U165" t="str">
        <f>""</f>
        <v/>
      </c>
      <c r="V165" t="str">
        <f>""</f>
        <v/>
      </c>
      <c r="W165" t="str">
        <f>""</f>
        <v/>
      </c>
      <c r="X165" t="str">
        <f>""</f>
        <v/>
      </c>
      <c r="Y165" t="str">
        <f>""</f>
        <v/>
      </c>
      <c r="Z165" t="str">
        <f>""</f>
        <v/>
      </c>
      <c r="AA165" t="str">
        <f>""</f>
        <v/>
      </c>
      <c r="AB165" t="str">
        <f>""</f>
        <v/>
      </c>
      <c r="AC165" t="str">
        <f>""</f>
        <v/>
      </c>
    </row>
    <row r="166" spans="1:29" x14ac:dyDescent="0.25">
      <c r="A166" t="str">
        <f>$A$62</f>
        <v xml:space="preserve">    Capgemini SE</v>
      </c>
      <c r="B166" t="str">
        <f>$B$62</f>
        <v>CAP FP Equity</v>
      </c>
      <c r="C166" t="str">
        <f>$C$62</f>
        <v>IS033</v>
      </c>
      <c r="D166" t="str">
        <f>$D$62</f>
        <v>IS_OPER_INC</v>
      </c>
      <c r="E166" t="str">
        <f>$E$62</f>
        <v>Dynamic</v>
      </c>
      <c r="F166" t="str">
        <f ca="1">_xll.BDH($B$62,$C$62,$B$108,$B$109,CONCATENATE("Per=",$B$106),"Dts=H","Dir=H",CONCATENATE("Points=",$B$107),"Sort=R","Days=A","Fill=B",CONCATENATE("FX=", $B$105) )</f>
        <v/>
      </c>
      <c r="R166" t="str">
        <f>""</f>
        <v/>
      </c>
      <c r="S166" t="str">
        <f>""</f>
        <v/>
      </c>
      <c r="T166" t="str">
        <f>""</f>
        <v/>
      </c>
      <c r="U166" t="str">
        <f>""</f>
        <v/>
      </c>
      <c r="V166" t="str">
        <f>""</f>
        <v/>
      </c>
      <c r="W166" t="str">
        <f>""</f>
        <v/>
      </c>
      <c r="X166" t="str">
        <f>""</f>
        <v/>
      </c>
      <c r="Y166" t="str">
        <f>""</f>
        <v/>
      </c>
      <c r="Z166" t="str">
        <f>""</f>
        <v/>
      </c>
      <c r="AA166" t="str">
        <f>""</f>
        <v/>
      </c>
      <c r="AB166" t="str">
        <f>""</f>
        <v/>
      </c>
      <c r="AC166" t="str">
        <f>""</f>
        <v/>
      </c>
    </row>
    <row r="167" spans="1:29" x14ac:dyDescent="0.25">
      <c r="A167" t="str">
        <f>$A$63</f>
        <v xml:space="preserve">    CGI Inc</v>
      </c>
      <c r="B167" t="str">
        <f>$B$63</f>
        <v>GIB US Equity</v>
      </c>
      <c r="C167" t="str">
        <f>$C$63</f>
        <v>IS033</v>
      </c>
      <c r="D167" t="str">
        <f>$D$63</f>
        <v>IS_OPER_INC</v>
      </c>
      <c r="E167" t="str">
        <f>$E$63</f>
        <v>Dynamic</v>
      </c>
      <c r="F167">
        <f ca="1">_xll.BDH($B$63,$C$63,$B$108,$B$109,CONCATENATE("Per=",$B$106),"Dts=H","Dir=H",CONCATENATE("Points=",$B$107),"Sort=R","Days=A","Fill=B",CONCATENATE("FX=", $B$105),"cols=12;rows=1")</f>
        <v>338.15730000000002</v>
      </c>
      <c r="G167">
        <v>320.95769999999999</v>
      </c>
      <c r="H167">
        <v>325.6463</v>
      </c>
      <c r="I167">
        <v>327.61959999999999</v>
      </c>
      <c r="J167">
        <v>337.39929999999998</v>
      </c>
      <c r="K167">
        <v>327.5514</v>
      </c>
      <c r="L167">
        <v>317.61770000000001</v>
      </c>
      <c r="M167">
        <v>316.52019999999999</v>
      </c>
      <c r="N167">
        <v>305.10359999999997</v>
      </c>
      <c r="O167">
        <v>281.45780000000002</v>
      </c>
      <c r="P167">
        <v>240.3236</v>
      </c>
      <c r="Q167">
        <v>295.22500000000002</v>
      </c>
      <c r="R167" t="str">
        <f>""</f>
        <v/>
      </c>
      <c r="S167" t="str">
        <f>""</f>
        <v/>
      </c>
      <c r="T167" t="str">
        <f>""</f>
        <v/>
      </c>
      <c r="U167" t="str">
        <f>""</f>
        <v/>
      </c>
      <c r="V167" t="str">
        <f>""</f>
        <v/>
      </c>
      <c r="W167" t="str">
        <f>""</f>
        <v/>
      </c>
      <c r="X167" t="str">
        <f>""</f>
        <v/>
      </c>
      <c r="Y167" t="str">
        <f>""</f>
        <v/>
      </c>
      <c r="Z167" t="str">
        <f>""</f>
        <v/>
      </c>
      <c r="AA167" t="str">
        <f>""</f>
        <v/>
      </c>
      <c r="AB167" t="str">
        <f>""</f>
        <v/>
      </c>
      <c r="AC167" t="str">
        <f>""</f>
        <v/>
      </c>
    </row>
    <row r="168" spans="1:29" x14ac:dyDescent="0.25">
      <c r="A168" t="str">
        <f>$A$64</f>
        <v xml:space="preserve">    Cognizant Technology Solutions Corp</v>
      </c>
      <c r="B168" t="str">
        <f>$B$64</f>
        <v>CTSH US Equity</v>
      </c>
      <c r="C168" t="str">
        <f>$C$64</f>
        <v>IS033</v>
      </c>
      <c r="D168" t="str">
        <f>$D$64</f>
        <v>IS_OPER_INC</v>
      </c>
      <c r="E168" t="str">
        <f>$E$64</f>
        <v>Dynamic</v>
      </c>
      <c r="F168">
        <f ca="1">_xll.BDH($B$64,$C$64,$B$108,$B$109,CONCATENATE("Per=",$B$106),"Dts=H","Dir=H",CONCATENATE("Points=",$B$107),"Sort=R","Days=A","Fill=B",CONCATENATE("FX=", $B$105),"cols=12;rows=1")</f>
        <v>579</v>
      </c>
      <c r="G168">
        <v>626</v>
      </c>
      <c r="H168">
        <v>669</v>
      </c>
      <c r="I168">
        <v>619</v>
      </c>
      <c r="J168">
        <v>539</v>
      </c>
      <c r="K168">
        <v>693</v>
      </c>
      <c r="L168">
        <v>745</v>
      </c>
      <c r="M168">
        <v>670</v>
      </c>
      <c r="N168">
        <v>693</v>
      </c>
      <c r="O168">
        <v>657</v>
      </c>
      <c r="P168">
        <v>648</v>
      </c>
      <c r="Q168">
        <v>606</v>
      </c>
      <c r="R168" t="str">
        <f>""</f>
        <v/>
      </c>
      <c r="S168" t="str">
        <f>""</f>
        <v/>
      </c>
      <c r="T168" t="str">
        <f>""</f>
        <v/>
      </c>
      <c r="U168" t="str">
        <f>""</f>
        <v/>
      </c>
      <c r="V168" t="str">
        <f>""</f>
        <v/>
      </c>
      <c r="W168" t="str">
        <f>""</f>
        <v/>
      </c>
      <c r="X168" t="str">
        <f>""</f>
        <v/>
      </c>
      <c r="Y168" t="str">
        <f>""</f>
        <v/>
      </c>
      <c r="Z168" t="str">
        <f>""</f>
        <v/>
      </c>
      <c r="AA168" t="str">
        <f>""</f>
        <v/>
      </c>
      <c r="AB168" t="str">
        <f>""</f>
        <v/>
      </c>
      <c r="AC168" t="str">
        <f>""</f>
        <v/>
      </c>
    </row>
    <row r="169" spans="1:29" x14ac:dyDescent="0.25">
      <c r="A169" t="str">
        <f>$A$65</f>
        <v xml:space="preserve">    Conduent Inc</v>
      </c>
      <c r="B169" t="str">
        <f>$B$65</f>
        <v>CNDT US Equity</v>
      </c>
      <c r="C169" t="str">
        <f>$C$65</f>
        <v>IS033</v>
      </c>
      <c r="D169" t="str">
        <f>$D$65</f>
        <v>IS_OPER_INC</v>
      </c>
      <c r="E169" t="str">
        <f>$E$65</f>
        <v>Dynamic</v>
      </c>
      <c r="F169">
        <f ca="1">_xll.BDH($B$65,$C$65,$B$108,$B$109,CONCATENATE("Per=",$B$106),"Dts=H","Dir=H",CONCATENATE("Points=",$B$107),"Sort=R","Days=A","Fill=B",CONCATENATE("FX=", $B$105),"cols=12;rows=1")</f>
        <v>-34</v>
      </c>
      <c r="G169">
        <v>-617</v>
      </c>
      <c r="H169">
        <v>6</v>
      </c>
      <c r="I169">
        <v>-1098</v>
      </c>
      <c r="J169">
        <v>-319</v>
      </c>
      <c r="K169">
        <v>-119</v>
      </c>
      <c r="L169">
        <v>-230</v>
      </c>
      <c r="M169">
        <v>89</v>
      </c>
      <c r="N169">
        <v>-22</v>
      </c>
      <c r="O169">
        <v>39</v>
      </c>
      <c r="P169">
        <v>48</v>
      </c>
      <c r="Q169">
        <v>13</v>
      </c>
      <c r="R169" t="str">
        <f>""</f>
        <v/>
      </c>
      <c r="S169" t="str">
        <f>""</f>
        <v/>
      </c>
      <c r="T169" t="str">
        <f>""</f>
        <v/>
      </c>
      <c r="U169" t="str">
        <f>""</f>
        <v/>
      </c>
      <c r="V169" t="str">
        <f>""</f>
        <v/>
      </c>
      <c r="W169" t="str">
        <f>""</f>
        <v/>
      </c>
      <c r="X169" t="str">
        <f>""</f>
        <v/>
      </c>
      <c r="Y169" t="str">
        <f>""</f>
        <v/>
      </c>
      <c r="Z169" t="str">
        <f>""</f>
        <v/>
      </c>
      <c r="AA169" t="str">
        <f>""</f>
        <v/>
      </c>
      <c r="AB169" t="str">
        <f>""</f>
        <v/>
      </c>
      <c r="AC169" t="str">
        <f>""</f>
        <v/>
      </c>
    </row>
    <row r="170" spans="1:29" x14ac:dyDescent="0.25">
      <c r="A170" t="str">
        <f>$A$66</f>
        <v xml:space="preserve">    DXC Technology Co</v>
      </c>
      <c r="B170" t="str">
        <f>$B$66</f>
        <v>DXC US Equity</v>
      </c>
      <c r="C170" t="str">
        <f>$C$66</f>
        <v>IS033</v>
      </c>
      <c r="D170" t="str">
        <f>$D$66</f>
        <v>IS_OPER_INC</v>
      </c>
      <c r="E170" t="str">
        <f>$E$66</f>
        <v>Dynamic</v>
      </c>
      <c r="F170">
        <f ca="1">_xll.BDH($B$66,$C$66,$B$108,$B$109,CONCATENATE("Per=",$B$106),"Dts=H","Dir=H",CONCATENATE("Points=",$B$107),"Sort=R","Days=A","Fill=B",CONCATENATE("FX=", $B$105),"cols=12;rows=1")</f>
        <v>-3878</v>
      </c>
      <c r="G170">
        <v>70</v>
      </c>
      <c r="H170">
        <v>-2071</v>
      </c>
      <c r="I170">
        <v>149</v>
      </c>
      <c r="J170">
        <v>403</v>
      </c>
      <c r="K170">
        <v>378</v>
      </c>
      <c r="L170">
        <v>285</v>
      </c>
      <c r="M170">
        <v>319</v>
      </c>
      <c r="N170">
        <v>658</v>
      </c>
      <c r="O170">
        <v>312</v>
      </c>
      <c r="P170">
        <v>269</v>
      </c>
      <c r="Q170">
        <v>5</v>
      </c>
      <c r="R170" t="str">
        <f>""</f>
        <v/>
      </c>
      <c r="S170" t="str">
        <f>""</f>
        <v/>
      </c>
      <c r="T170" t="str">
        <f>""</f>
        <v/>
      </c>
      <c r="U170" t="str">
        <f>""</f>
        <v/>
      </c>
      <c r="V170" t="str">
        <f>""</f>
        <v/>
      </c>
      <c r="W170" t="str">
        <f>""</f>
        <v/>
      </c>
      <c r="X170" t="str">
        <f>""</f>
        <v/>
      </c>
      <c r="Y170" t="str">
        <f>""</f>
        <v/>
      </c>
      <c r="Z170" t="str">
        <f>""</f>
        <v/>
      </c>
      <c r="AA170" t="str">
        <f>""</f>
        <v/>
      </c>
      <c r="AB170" t="str">
        <f>""</f>
        <v/>
      </c>
      <c r="AC170" t="str">
        <f>""</f>
        <v/>
      </c>
    </row>
    <row r="171" spans="1:29" x14ac:dyDescent="0.25">
      <c r="A171" t="str">
        <f>$A$67</f>
        <v xml:space="preserve">    EPAM Systems Inc</v>
      </c>
      <c r="B171" t="str">
        <f>$B$67</f>
        <v>EPAM US Equity</v>
      </c>
      <c r="C171" t="str">
        <f>$C$67</f>
        <v>IS033</v>
      </c>
      <c r="D171" t="str">
        <f>$D$67</f>
        <v>IS_OPER_INC</v>
      </c>
      <c r="E171" t="str">
        <f>$E$67</f>
        <v>Dynamic</v>
      </c>
      <c r="F171">
        <f ca="1">_xll.BDH($B$67,$C$67,$B$108,$B$109,CONCATENATE("Per=",$B$106),"Dts=H","Dir=H",CONCATENATE("Points=",$B$107),"Sort=R","Days=A","Fill=B",CONCATENATE("FX=", $B$105),"cols=12;rows=1")</f>
        <v>87.509</v>
      </c>
      <c r="G171">
        <v>84.745000000000005</v>
      </c>
      <c r="H171">
        <v>80.564999999999998</v>
      </c>
      <c r="I171">
        <v>72.882000000000005</v>
      </c>
      <c r="J171">
        <v>64.658000000000001</v>
      </c>
      <c r="K171">
        <v>78.27</v>
      </c>
      <c r="L171">
        <v>64.56</v>
      </c>
      <c r="M171">
        <v>54.237000000000002</v>
      </c>
      <c r="N171">
        <v>48.697000000000003</v>
      </c>
      <c r="O171">
        <v>52.05</v>
      </c>
      <c r="P171">
        <v>49.247999999999998</v>
      </c>
      <c r="Q171">
        <v>40.682000000000002</v>
      </c>
      <c r="R171" t="str">
        <f>""</f>
        <v/>
      </c>
      <c r="S171" t="str">
        <f>""</f>
        <v/>
      </c>
      <c r="T171" t="str">
        <f>""</f>
        <v/>
      </c>
      <c r="U171" t="str">
        <f>""</f>
        <v/>
      </c>
      <c r="V171" t="str">
        <f>""</f>
        <v/>
      </c>
      <c r="W171" t="str">
        <f>""</f>
        <v/>
      </c>
      <c r="X171" t="str">
        <f>""</f>
        <v/>
      </c>
      <c r="Y171" t="str">
        <f>""</f>
        <v/>
      </c>
      <c r="Z171" t="str">
        <f>""</f>
        <v/>
      </c>
      <c r="AA171" t="str">
        <f>""</f>
        <v/>
      </c>
      <c r="AB171" t="str">
        <f>""</f>
        <v/>
      </c>
      <c r="AC171" t="str">
        <f>""</f>
        <v/>
      </c>
    </row>
    <row r="172" spans="1:29" x14ac:dyDescent="0.25">
      <c r="A172" t="str">
        <f>$A$68</f>
        <v xml:space="preserve">    Genpact Ltd</v>
      </c>
      <c r="B172" t="str">
        <f>$B$68</f>
        <v>G US Equity</v>
      </c>
      <c r="C172" t="str">
        <f>$C$68</f>
        <v>IS033</v>
      </c>
      <c r="D172" t="str">
        <f>$D$68</f>
        <v>IS_OPER_INC</v>
      </c>
      <c r="E172" t="str">
        <f>$E$68</f>
        <v>Dynamic</v>
      </c>
      <c r="F172">
        <f ca="1">_xll.BDH($B$68,$C$68,$B$108,$B$109,CONCATENATE("Per=",$B$106),"Dts=H","Dir=H",CONCATENATE("Points=",$B$107),"Sort=R","Days=A","Fill=B",CONCATENATE("FX=", $B$105),"cols=12;rows=1")</f>
        <v>110.658</v>
      </c>
      <c r="G172">
        <v>119.518</v>
      </c>
      <c r="H172">
        <v>113.584</v>
      </c>
      <c r="I172">
        <v>106.202</v>
      </c>
      <c r="J172">
        <v>90.072000000000003</v>
      </c>
      <c r="K172">
        <v>110.84099999999999</v>
      </c>
      <c r="L172">
        <v>94.028000000000006</v>
      </c>
      <c r="M172">
        <v>79.522000000000006</v>
      </c>
      <c r="N172">
        <v>63.761000000000003</v>
      </c>
      <c r="O172">
        <v>73.305000000000007</v>
      </c>
      <c r="P172">
        <v>97.918999999999997</v>
      </c>
      <c r="Q172">
        <v>80.959000000000003</v>
      </c>
      <c r="R172" t="str">
        <f>""</f>
        <v/>
      </c>
      <c r="S172" t="str">
        <f>""</f>
        <v/>
      </c>
      <c r="T172" t="str">
        <f>""</f>
        <v/>
      </c>
      <c r="U172" t="str">
        <f>""</f>
        <v/>
      </c>
      <c r="V172" t="str">
        <f>""</f>
        <v/>
      </c>
      <c r="W172" t="str">
        <f>""</f>
        <v/>
      </c>
      <c r="X172" t="str">
        <f>""</f>
        <v/>
      </c>
      <c r="Y172" t="str">
        <f>""</f>
        <v/>
      </c>
      <c r="Z172" t="str">
        <f>""</f>
        <v/>
      </c>
      <c r="AA172" t="str">
        <f>""</f>
        <v/>
      </c>
      <c r="AB172" t="str">
        <f>""</f>
        <v/>
      </c>
      <c r="AC172" t="str">
        <f>""</f>
        <v/>
      </c>
    </row>
    <row r="173" spans="1:29" x14ac:dyDescent="0.25">
      <c r="A173" t="str">
        <f>$A$69</f>
        <v xml:space="preserve">    HCL Technologies Ltd</v>
      </c>
      <c r="B173" t="str">
        <f>$B$69</f>
        <v>HCLT IN Equity</v>
      </c>
      <c r="C173" t="str">
        <f>$C$69</f>
        <v>IS033</v>
      </c>
      <c r="D173" t="str">
        <f>$D$69</f>
        <v>IS_OPER_INC</v>
      </c>
      <c r="E173" t="str">
        <f>$E$69</f>
        <v>Dynamic</v>
      </c>
      <c r="F173">
        <f ca="1">_xll.BDH($B$69,$C$69,$B$108,$B$109,CONCATENATE("Per=",$B$106),"Dts=H","Dir=H",CONCATENATE("Points=",$B$107),"Sort=R","Days=A","Fill=B",CONCATENATE("FX=", $B$105),"cols=12;rows=1")</f>
        <v>530.79999999999995</v>
      </c>
      <c r="G173">
        <v>514.79999999999995</v>
      </c>
      <c r="H173">
        <v>496.1</v>
      </c>
      <c r="I173">
        <v>403.8</v>
      </c>
      <c r="J173">
        <v>431.1</v>
      </c>
      <c r="K173">
        <v>430.6</v>
      </c>
      <c r="L173">
        <v>417.5</v>
      </c>
      <c r="M173">
        <v>404.1</v>
      </c>
      <c r="N173">
        <v>402.93430000000001</v>
      </c>
      <c r="O173">
        <v>389.3</v>
      </c>
      <c r="P173">
        <v>380</v>
      </c>
      <c r="Q173">
        <v>379</v>
      </c>
      <c r="R173" t="str">
        <f>""</f>
        <v/>
      </c>
      <c r="S173" t="str">
        <f>""</f>
        <v/>
      </c>
      <c r="T173" t="str">
        <f>""</f>
        <v/>
      </c>
      <c r="U173" t="str">
        <f>""</f>
        <v/>
      </c>
      <c r="V173" t="str">
        <f>""</f>
        <v/>
      </c>
      <c r="W173" t="str">
        <f>""</f>
        <v/>
      </c>
      <c r="X173" t="str">
        <f>""</f>
        <v/>
      </c>
      <c r="Y173" t="str">
        <f>""</f>
        <v/>
      </c>
      <c r="Z173" t="str">
        <f>""</f>
        <v/>
      </c>
      <c r="AA173" t="str">
        <f>""</f>
        <v/>
      </c>
      <c r="AB173" t="str">
        <f>""</f>
        <v/>
      </c>
      <c r="AC173" t="str">
        <f>""</f>
        <v/>
      </c>
    </row>
    <row r="174" spans="1:29" x14ac:dyDescent="0.25">
      <c r="A174" t="str">
        <f>$A$70</f>
        <v xml:space="preserve">    Indra Sistemas SA</v>
      </c>
      <c r="B174" t="str">
        <f>$B$70</f>
        <v>IDR SM Equity</v>
      </c>
      <c r="C174" t="str">
        <f>$C$70</f>
        <v>IS033</v>
      </c>
      <c r="D174" t="str">
        <f>$D$70</f>
        <v>IS_OPER_INC</v>
      </c>
      <c r="E174" t="str">
        <f>$E$70</f>
        <v>Dynamic</v>
      </c>
      <c r="F174">
        <f ca="1">_xll.BDH($B$70,$C$70,$B$108,$B$109,CONCATENATE("Per=",$B$106),"Dts=H","Dir=H",CONCATENATE("Points=",$B$107),"Sort=R","Days=A","Fill=B",CONCATENATE("FX=", $B$105),"cols=12;rows=1")</f>
        <v>21.167999999999999</v>
      </c>
      <c r="G174">
        <v>104.32599999999999</v>
      </c>
      <c r="H174">
        <v>53.377200000000002</v>
      </c>
      <c r="I174">
        <v>45.186</v>
      </c>
      <c r="J174">
        <v>43.842300000000002</v>
      </c>
      <c r="K174">
        <v>96.125200000000007</v>
      </c>
      <c r="L174">
        <v>49.308799999999998</v>
      </c>
      <c r="M174">
        <v>55.784999999999997</v>
      </c>
      <c r="N174">
        <v>31.828700000000001</v>
      </c>
      <c r="O174">
        <v>84.713499999999996</v>
      </c>
      <c r="P174">
        <v>54.258000000000003</v>
      </c>
      <c r="Q174">
        <v>48.480899999999998</v>
      </c>
      <c r="R174" t="str">
        <f>""</f>
        <v/>
      </c>
      <c r="S174" t="str">
        <f>""</f>
        <v/>
      </c>
      <c r="T174" t="str">
        <f>""</f>
        <v/>
      </c>
      <c r="U174" t="str">
        <f>""</f>
        <v/>
      </c>
      <c r="V174" t="str">
        <f>""</f>
        <v/>
      </c>
      <c r="W174" t="str">
        <f>""</f>
        <v/>
      </c>
      <c r="X174" t="str">
        <f>""</f>
        <v/>
      </c>
      <c r="Y174" t="str">
        <f>""</f>
        <v/>
      </c>
      <c r="Z174" t="str">
        <f>""</f>
        <v/>
      </c>
      <c r="AA174" t="str">
        <f>""</f>
        <v/>
      </c>
      <c r="AB174" t="str">
        <f>""</f>
        <v/>
      </c>
      <c r="AC174" t="str">
        <f>""</f>
        <v/>
      </c>
    </row>
    <row r="175" spans="1:29" x14ac:dyDescent="0.25">
      <c r="A175" t="str">
        <f>$A$71</f>
        <v xml:space="preserve">    Infosys Ltd</v>
      </c>
      <c r="B175" t="str">
        <f>$B$71</f>
        <v>INFY US Equity</v>
      </c>
      <c r="C175" t="str">
        <f>$C$71</f>
        <v>IS033</v>
      </c>
      <c r="D175" t="str">
        <f>$D$71</f>
        <v>IS_OPER_INC</v>
      </c>
      <c r="E175" t="str">
        <f>$E$71</f>
        <v>Dynamic</v>
      </c>
      <c r="F175">
        <f ca="1">_xll.BDH($B$71,$C$71,$B$108,$B$109,CONCATENATE("Per=",$B$106),"Dts=H","Dir=H",CONCATENATE("Points=",$B$107),"Sort=R","Days=A","Fill=B",CONCATENATE("FX=", $B$105),"cols=12;rows=1")</f>
        <v>680.15150000000006</v>
      </c>
      <c r="G175">
        <v>711.06269999999995</v>
      </c>
      <c r="H175">
        <v>698.04229999999995</v>
      </c>
      <c r="I175">
        <v>642.97659999999996</v>
      </c>
      <c r="J175">
        <v>655.59010000000001</v>
      </c>
      <c r="K175">
        <v>670.32380000000001</v>
      </c>
      <c r="L175">
        <v>698.7654</v>
      </c>
      <c r="M175">
        <v>676.64859999999999</v>
      </c>
      <c r="N175">
        <v>694.91800000000001</v>
      </c>
      <c r="O175">
        <v>667.19629999999995</v>
      </c>
      <c r="P175">
        <v>660.46159999999998</v>
      </c>
      <c r="Q175">
        <v>637.48659999999995</v>
      </c>
      <c r="R175" t="str">
        <f>""</f>
        <v/>
      </c>
      <c r="S175" t="str">
        <f>""</f>
        <v/>
      </c>
      <c r="T175" t="str">
        <f>""</f>
        <v/>
      </c>
      <c r="U175" t="str">
        <f>""</f>
        <v/>
      </c>
      <c r="V175" t="str">
        <f>""</f>
        <v/>
      </c>
      <c r="W175" t="str">
        <f>""</f>
        <v/>
      </c>
      <c r="X175" t="str">
        <f>""</f>
        <v/>
      </c>
      <c r="Y175" t="str">
        <f>""</f>
        <v/>
      </c>
      <c r="Z175" t="str">
        <f>""</f>
        <v/>
      </c>
      <c r="AA175" t="str">
        <f>""</f>
        <v/>
      </c>
      <c r="AB175" t="str">
        <f>""</f>
        <v/>
      </c>
      <c r="AC175" t="str">
        <f>""</f>
        <v/>
      </c>
    </row>
    <row r="176" spans="1:29" x14ac:dyDescent="0.25">
      <c r="A176" t="str">
        <f>$A$72</f>
        <v xml:space="preserve">    International Business Machines Corp</v>
      </c>
      <c r="B176" t="str">
        <f>$B$72</f>
        <v>IBM US Equity</v>
      </c>
      <c r="C176" t="str">
        <f>$C$72</f>
        <v>IS033</v>
      </c>
      <c r="D176" t="str">
        <f>$D$72</f>
        <v>IS_OPER_INC</v>
      </c>
      <c r="E176" t="str">
        <f>$E$72</f>
        <v>Dynamic</v>
      </c>
      <c r="F176">
        <f ca="1">_xll.BDH($B$72,$C$72,$B$108,$B$109,CONCATENATE("Per=",$B$106),"Dts=H","Dir=H",CONCATENATE("Points=",$B$107),"Sort=R","Days=A","Fill=B",CONCATENATE("FX=", $B$105),"cols=12;rows=1")</f>
        <v>343</v>
      </c>
      <c r="G176">
        <v>4071</v>
      </c>
      <c r="H176">
        <v>1759</v>
      </c>
      <c r="I176">
        <v>2147</v>
      </c>
      <c r="J176">
        <v>1919</v>
      </c>
      <c r="K176">
        <v>4628</v>
      </c>
      <c r="L176">
        <v>3188</v>
      </c>
      <c r="M176">
        <v>2978</v>
      </c>
      <c r="N176">
        <v>1397</v>
      </c>
      <c r="O176">
        <v>4658</v>
      </c>
      <c r="P176">
        <v>2810</v>
      </c>
      <c r="Q176">
        <v>2499</v>
      </c>
      <c r="R176" t="str">
        <f>""</f>
        <v/>
      </c>
      <c r="S176" t="str">
        <f>""</f>
        <v/>
      </c>
      <c r="T176" t="str">
        <f>""</f>
        <v/>
      </c>
      <c r="U176" t="str">
        <f>""</f>
        <v/>
      </c>
      <c r="V176" t="str">
        <f>""</f>
        <v/>
      </c>
      <c r="W176" t="str">
        <f>""</f>
        <v/>
      </c>
      <c r="X176" t="str">
        <f>""</f>
        <v/>
      </c>
      <c r="Y176" t="str">
        <f>""</f>
        <v/>
      </c>
      <c r="Z176" t="str">
        <f>""</f>
        <v/>
      </c>
      <c r="AA176" t="str">
        <f>""</f>
        <v/>
      </c>
      <c r="AB176" t="str">
        <f>""</f>
        <v/>
      </c>
      <c r="AC176" t="str">
        <f>""</f>
        <v/>
      </c>
    </row>
    <row r="177" spans="1:29" x14ac:dyDescent="0.25">
      <c r="A177" t="str">
        <f>$A$73</f>
        <v xml:space="preserve">    Tata Consultancy Services Ltd</v>
      </c>
      <c r="B177" t="str">
        <f>$B$73</f>
        <v>TCS IN Equity</v>
      </c>
      <c r="C177" t="str">
        <f>$C$73</f>
        <v>IS033</v>
      </c>
      <c r="D177" t="str">
        <f>$D$73</f>
        <v>IS_OPER_INC</v>
      </c>
      <c r="E177" t="str">
        <f>$E$73</f>
        <v>Dynamic</v>
      </c>
      <c r="F177">
        <f ca="1">_xll.BDH($B$73,$C$73,$B$108,$B$109,CONCATENATE("Per=",$B$106),"Dts=H","Dir=H",CONCATENATE("Points=",$B$107),"Sort=R","Days=A","Fill=B",CONCATENATE("FX=", $B$105),"cols=12;rows=1")</f>
        <v>1383.9087</v>
      </c>
      <c r="G177">
        <v>1400.5014000000001</v>
      </c>
      <c r="H177">
        <v>1330.288</v>
      </c>
      <c r="I177">
        <v>1325.9326000000001</v>
      </c>
      <c r="J177">
        <v>1353.9114999999999</v>
      </c>
      <c r="K177">
        <v>1327.3244</v>
      </c>
      <c r="L177">
        <v>1395.1034999999999</v>
      </c>
      <c r="M177">
        <v>1279.3237999999999</v>
      </c>
      <c r="N177">
        <v>1265.9876999999999</v>
      </c>
      <c r="O177">
        <v>1202.0037</v>
      </c>
      <c r="P177">
        <v>1191.5064</v>
      </c>
      <c r="Q177">
        <v>1072.1434999999999</v>
      </c>
      <c r="R177" t="str">
        <f>""</f>
        <v/>
      </c>
      <c r="S177" t="str">
        <f>""</f>
        <v/>
      </c>
      <c r="T177" t="str">
        <f>""</f>
        <v/>
      </c>
      <c r="U177" t="str">
        <f>""</f>
        <v/>
      </c>
      <c r="V177" t="str">
        <f>""</f>
        <v/>
      </c>
      <c r="W177" t="str">
        <f>""</f>
        <v/>
      </c>
      <c r="X177" t="str">
        <f>""</f>
        <v/>
      </c>
      <c r="Y177" t="str">
        <f>""</f>
        <v/>
      </c>
      <c r="Z177" t="str">
        <f>""</f>
        <v/>
      </c>
      <c r="AA177" t="str">
        <f>""</f>
        <v/>
      </c>
      <c r="AB177" t="str">
        <f>""</f>
        <v/>
      </c>
      <c r="AC177" t="str">
        <f>""</f>
        <v/>
      </c>
    </row>
    <row r="178" spans="1:29" x14ac:dyDescent="0.25">
      <c r="A178" t="str">
        <f>$A$74</f>
        <v xml:space="preserve">    Tech Mahindra Ltd</v>
      </c>
      <c r="B178" t="str">
        <f>$B$74</f>
        <v>TECHM IN Equity</v>
      </c>
      <c r="C178" t="str">
        <f>$C$74</f>
        <v>IS033</v>
      </c>
      <c r="D178" t="str">
        <f>$D$74</f>
        <v>IS_OPER_INC</v>
      </c>
      <c r="E178" t="str">
        <f>$E$74</f>
        <v>Dynamic</v>
      </c>
      <c r="F178">
        <f ca="1">_xll.BDH($B$74,$C$74,$B$108,$B$109,CONCATENATE("Per=",$B$106),"Dts=H","Dir=H",CONCATENATE("Points=",$B$107),"Sort=R","Days=A","Fill=B",CONCATENATE("FX=", $B$105),"cols=12;rows=1")</f>
        <v>101.0608</v>
      </c>
      <c r="G178">
        <v>165.4768</v>
      </c>
      <c r="H178">
        <v>164.75989999999999</v>
      </c>
      <c r="I178">
        <v>142.77500000000001</v>
      </c>
      <c r="J178">
        <v>194.24950000000001</v>
      </c>
      <c r="K178">
        <v>199.70930000000001</v>
      </c>
      <c r="L178">
        <v>189.0864</v>
      </c>
      <c r="M178">
        <v>160.4941</v>
      </c>
      <c r="N178">
        <v>172.9914</v>
      </c>
      <c r="O178">
        <v>152.99789999999999</v>
      </c>
      <c r="P178">
        <v>130.72659999999999</v>
      </c>
      <c r="Q178">
        <v>106.6639</v>
      </c>
      <c r="R178" t="str">
        <f>""</f>
        <v/>
      </c>
      <c r="S178" t="str">
        <f>""</f>
        <v/>
      </c>
      <c r="T178" t="str">
        <f>""</f>
        <v/>
      </c>
      <c r="U178" t="str">
        <f>""</f>
        <v/>
      </c>
      <c r="V178" t="str">
        <f>""</f>
        <v/>
      </c>
      <c r="W178" t="str">
        <f>""</f>
        <v/>
      </c>
      <c r="X178" t="str">
        <f>""</f>
        <v/>
      </c>
      <c r="Y178" t="str">
        <f>""</f>
        <v/>
      </c>
      <c r="Z178" t="str">
        <f>""</f>
        <v/>
      </c>
      <c r="AA178" t="str">
        <f>""</f>
        <v/>
      </c>
      <c r="AB178" t="str">
        <f>""</f>
        <v/>
      </c>
      <c r="AC178" t="str">
        <f>""</f>
        <v/>
      </c>
    </row>
    <row r="179" spans="1:29" x14ac:dyDescent="0.25">
      <c r="A179" t="str">
        <f>$A$75</f>
        <v xml:space="preserve">    Wipro Ltd</v>
      </c>
      <c r="B179" t="str">
        <f>$B$75</f>
        <v>WIT US Equity</v>
      </c>
      <c r="C179" t="str">
        <f>$C$75</f>
        <v>IS033</v>
      </c>
      <c r="D179" t="str">
        <f>$D$75</f>
        <v>IS_OPER_INC</v>
      </c>
      <c r="E179" t="str">
        <f>$E$75</f>
        <v>Dynamic</v>
      </c>
      <c r="F179">
        <f ca="1">_xll.BDH($B$75,$C$75,$B$108,$B$109,CONCATENATE("Per=",$B$106),"Dts=H","Dir=H",CONCATENATE("Points=",$B$107),"Sort=R","Days=A","Fill=B",CONCATENATE("FX=", $B$105),"cols=12;rows=1")</f>
        <v>350.58100000000002</v>
      </c>
      <c r="G179">
        <v>372.18459999999999</v>
      </c>
      <c r="H179">
        <v>371.53129999999999</v>
      </c>
      <c r="I179">
        <v>352.5514</v>
      </c>
      <c r="J179">
        <v>383.35980000000001</v>
      </c>
      <c r="K179">
        <v>385.22109999999998</v>
      </c>
      <c r="L179">
        <v>276.97890000000001</v>
      </c>
      <c r="M179">
        <v>336.0872</v>
      </c>
      <c r="N179">
        <v>292.57420000000002</v>
      </c>
      <c r="O179">
        <v>303.55189999999999</v>
      </c>
      <c r="P179">
        <v>351.3544</v>
      </c>
      <c r="Q179">
        <v>337.1189</v>
      </c>
      <c r="R179" t="str">
        <f>""</f>
        <v/>
      </c>
      <c r="S179" t="str">
        <f>""</f>
        <v/>
      </c>
      <c r="T179" t="str">
        <f>""</f>
        <v/>
      </c>
      <c r="U179" t="str">
        <f>""</f>
        <v/>
      </c>
      <c r="V179" t="str">
        <f>""</f>
        <v/>
      </c>
      <c r="W179" t="str">
        <f>""</f>
        <v/>
      </c>
      <c r="X179" t="str">
        <f>""</f>
        <v/>
      </c>
      <c r="Y179" t="str">
        <f>""</f>
        <v/>
      </c>
      <c r="Z179" t="str">
        <f>""</f>
        <v/>
      </c>
      <c r="AA179" t="str">
        <f>""</f>
        <v/>
      </c>
      <c r="AB179" t="str">
        <f>""</f>
        <v/>
      </c>
      <c r="AC179" t="str">
        <f>""</f>
        <v/>
      </c>
    </row>
    <row r="180" spans="1:29" x14ac:dyDescent="0.25">
      <c r="A180" t="str">
        <f>$A$77</f>
        <v xml:space="preserve">    Accenture PLC</v>
      </c>
      <c r="B180" t="str">
        <f>$B$77</f>
        <v>ACN US Equity</v>
      </c>
      <c r="C180" t="str">
        <f>$C$77</f>
        <v>IS148</v>
      </c>
      <c r="D180" t="str">
        <f>$D$77</f>
        <v>IS_DIL_EPS_BEF_XO</v>
      </c>
      <c r="E180" t="str">
        <f>$E$77</f>
        <v>Dynamic</v>
      </c>
      <c r="F180">
        <f ca="1">_xll.BDH($B$77,$C$77,$B$108,$B$109,CONCATENATE("Per=",$B$106),"Dts=H","Dir=H",CONCATENATE("Points=",$B$107),"Sort=R","Days=A","Fill=B",CONCATENATE("FX=", $B$105),"cols=12;rows=1")</f>
        <v>1.9100000000000001</v>
      </c>
      <c r="G180">
        <v>2.09</v>
      </c>
      <c r="H180">
        <v>1.74</v>
      </c>
      <c r="I180">
        <v>1.9300000000000002</v>
      </c>
      <c r="J180">
        <v>1.73</v>
      </c>
      <c r="K180">
        <v>1.96</v>
      </c>
      <c r="L180">
        <v>1.58</v>
      </c>
      <c r="M180">
        <v>1.6</v>
      </c>
      <c r="N180">
        <v>1.37</v>
      </c>
      <c r="O180">
        <v>1.79</v>
      </c>
      <c r="P180">
        <v>1.48</v>
      </c>
      <c r="Q180">
        <v>1.05</v>
      </c>
      <c r="R180" t="str">
        <f>""</f>
        <v/>
      </c>
      <c r="S180" t="str">
        <f>""</f>
        <v/>
      </c>
      <c r="T180" t="str">
        <f>""</f>
        <v/>
      </c>
      <c r="U180" t="str">
        <f>""</f>
        <v/>
      </c>
      <c r="V180" t="str">
        <f>""</f>
        <v/>
      </c>
      <c r="W180" t="str">
        <f>""</f>
        <v/>
      </c>
      <c r="X180" t="str">
        <f>""</f>
        <v/>
      </c>
      <c r="Y180" t="str">
        <f>""</f>
        <v/>
      </c>
      <c r="Z180" t="str">
        <f>""</f>
        <v/>
      </c>
      <c r="AA180" t="str">
        <f>""</f>
        <v/>
      </c>
      <c r="AB180" t="str">
        <f>""</f>
        <v/>
      </c>
      <c r="AC180" t="str">
        <f>""</f>
        <v/>
      </c>
    </row>
    <row r="181" spans="1:29" x14ac:dyDescent="0.25">
      <c r="A181" t="str">
        <f>$A$78</f>
        <v xml:space="preserve">    Amdocs Ltd</v>
      </c>
      <c r="B181" t="str">
        <f>$B$78</f>
        <v>DOX US Equity</v>
      </c>
      <c r="C181" t="str">
        <f>$C$78</f>
        <v>IS148</v>
      </c>
      <c r="D181" t="str">
        <f>$D$78</f>
        <v>IS_DIL_EPS_BEF_XO</v>
      </c>
      <c r="E181" t="str">
        <f>$E$78</f>
        <v>Dynamic</v>
      </c>
      <c r="F181">
        <f ca="1">_xll.BDH($B$78,$C$78,$B$108,$B$109,CONCATENATE("Per=",$B$106),"Dts=H","Dir=H",CONCATENATE("Points=",$B$107),"Sort=R","Days=A","Fill=B",CONCATENATE("FX=", $B$105),"cols=12;rows=1")</f>
        <v>0.94</v>
      </c>
      <c r="G181">
        <v>0.85</v>
      </c>
      <c r="H181">
        <v>0.9</v>
      </c>
      <c r="I181">
        <v>0.96</v>
      </c>
      <c r="J181">
        <v>0.9</v>
      </c>
      <c r="K181">
        <v>0.72</v>
      </c>
      <c r="L181">
        <v>0.31</v>
      </c>
      <c r="M181">
        <v>0.64</v>
      </c>
      <c r="N181">
        <v>0.7</v>
      </c>
      <c r="O181">
        <v>0.8</v>
      </c>
      <c r="P181">
        <v>0.73</v>
      </c>
      <c r="Q181">
        <v>0.81</v>
      </c>
      <c r="R181" t="str">
        <f>""</f>
        <v/>
      </c>
      <c r="S181" t="str">
        <f>""</f>
        <v/>
      </c>
      <c r="T181" t="str">
        <f>""</f>
        <v/>
      </c>
      <c r="U181" t="str">
        <f>""</f>
        <v/>
      </c>
      <c r="V181" t="str">
        <f>""</f>
        <v/>
      </c>
      <c r="W181" t="str">
        <f>""</f>
        <v/>
      </c>
      <c r="X181" t="str">
        <f>""</f>
        <v/>
      </c>
      <c r="Y181" t="str">
        <f>""</f>
        <v/>
      </c>
      <c r="Z181" t="str">
        <f>""</f>
        <v/>
      </c>
      <c r="AA181" t="str">
        <f>""</f>
        <v/>
      </c>
      <c r="AB181" t="str">
        <f>""</f>
        <v/>
      </c>
      <c r="AC181" t="str">
        <f>""</f>
        <v/>
      </c>
    </row>
    <row r="182" spans="1:29" x14ac:dyDescent="0.25">
      <c r="A182" t="str">
        <f>$A$79</f>
        <v xml:space="preserve">    Atos SE</v>
      </c>
      <c r="B182" t="str">
        <f>$B$79</f>
        <v>ATO FP Equity</v>
      </c>
      <c r="C182" t="str">
        <f>$C$79</f>
        <v>IS148</v>
      </c>
      <c r="D182" t="str">
        <f>$D$79</f>
        <v>IS_DIL_EPS_BEF_XO</v>
      </c>
      <c r="E182" t="str">
        <f>$E$79</f>
        <v>Dynamic</v>
      </c>
      <c r="F182" t="str">
        <f ca="1">_xll.BDH($B$79,$C$79,$B$108,$B$109,CONCATENATE("Per=",$B$106),"Dts=H","Dir=H",CONCATENATE("Points=",$B$107),"Sort=R","Days=A","Fill=B",CONCATENATE("FX=", $B$105) )</f>
        <v/>
      </c>
      <c r="R182" t="str">
        <f>""</f>
        <v/>
      </c>
      <c r="S182" t="str">
        <f>""</f>
        <v/>
      </c>
      <c r="T182" t="str">
        <f>""</f>
        <v/>
      </c>
      <c r="U182" t="str">
        <f>""</f>
        <v/>
      </c>
      <c r="V182" t="str">
        <f>""</f>
        <v/>
      </c>
      <c r="W182" t="str">
        <f>""</f>
        <v/>
      </c>
      <c r="X182" t="str">
        <f>""</f>
        <v/>
      </c>
      <c r="Y182" t="str">
        <f>""</f>
        <v/>
      </c>
      <c r="Z182" t="str">
        <f>""</f>
        <v/>
      </c>
      <c r="AA182" t="str">
        <f>""</f>
        <v/>
      </c>
      <c r="AB182" t="str">
        <f>""</f>
        <v/>
      </c>
      <c r="AC182" t="str">
        <f>""</f>
        <v/>
      </c>
    </row>
    <row r="183" spans="1:29" x14ac:dyDescent="0.25">
      <c r="A183" t="str">
        <f>$A$80</f>
        <v xml:space="preserve">    Capgemini SE</v>
      </c>
      <c r="B183" t="str">
        <f>$B$80</f>
        <v>CAP FP Equity</v>
      </c>
      <c r="C183" t="str">
        <f>$C$80</f>
        <v>IS148</v>
      </c>
      <c r="D183" t="str">
        <f>$D$80</f>
        <v>IS_DIL_EPS_BEF_XO</v>
      </c>
      <c r="E183" t="str">
        <f>$E$80</f>
        <v>Dynamic</v>
      </c>
      <c r="F183" t="str">
        <f ca="1">_xll.BDH($B$80,$C$80,$B$108,$B$109,CONCATENATE("Per=",$B$106),"Dts=H","Dir=H",CONCATENATE("Points=",$B$107),"Sort=R","Days=A","Fill=B",CONCATENATE("FX=", $B$105) )</f>
        <v/>
      </c>
      <c r="R183" t="str">
        <f>""</f>
        <v/>
      </c>
      <c r="S183" t="str">
        <f>""</f>
        <v/>
      </c>
      <c r="T183" t="str">
        <f>""</f>
        <v/>
      </c>
      <c r="U183" t="str">
        <f>""</f>
        <v/>
      </c>
      <c r="V183" t="str">
        <f>""</f>
        <v/>
      </c>
      <c r="W183" t="str">
        <f>""</f>
        <v/>
      </c>
      <c r="X183" t="str">
        <f>""</f>
        <v/>
      </c>
      <c r="Y183" t="str">
        <f>""</f>
        <v/>
      </c>
      <c r="Z183" t="str">
        <f>""</f>
        <v/>
      </c>
      <c r="AA183" t="str">
        <f>""</f>
        <v/>
      </c>
      <c r="AB183" t="str">
        <f>""</f>
        <v/>
      </c>
      <c r="AC183" t="str">
        <f>""</f>
        <v/>
      </c>
    </row>
    <row r="184" spans="1:29" x14ac:dyDescent="0.25">
      <c r="A184" t="str">
        <f>$A$81</f>
        <v xml:space="preserve">    CGI Inc</v>
      </c>
      <c r="B184" t="str">
        <f>$B$81</f>
        <v>GIB US Equity</v>
      </c>
      <c r="C184" t="str">
        <f>$C$81</f>
        <v>IS148</v>
      </c>
      <c r="D184" t="str">
        <f>$D$81</f>
        <v>IS_DIL_EPS_BEF_XO</v>
      </c>
      <c r="E184" t="str">
        <f>$E$81</f>
        <v>Dynamic</v>
      </c>
      <c r="F184" t="str">
        <f ca="1">_xll.BDH($B$81,$C$81,$B$108,$B$109,CONCATENATE("Per=",$B$106),"Dts=H","Dir=H",CONCATENATE("Points=",$B$107),"Sort=R","Days=A","Fill=B",CONCATENATE("FX=", $B$105) )</f>
        <v/>
      </c>
      <c r="R184" t="str">
        <f>""</f>
        <v/>
      </c>
      <c r="S184" t="str">
        <f>""</f>
        <v/>
      </c>
      <c r="T184" t="str">
        <f>""</f>
        <v/>
      </c>
      <c r="U184" t="str">
        <f>""</f>
        <v/>
      </c>
      <c r="V184" t="str">
        <f>""</f>
        <v/>
      </c>
      <c r="W184" t="str">
        <f>""</f>
        <v/>
      </c>
      <c r="X184" t="str">
        <f>""</f>
        <v/>
      </c>
      <c r="Y184" t="str">
        <f>""</f>
        <v/>
      </c>
      <c r="Z184" t="str">
        <f>""</f>
        <v/>
      </c>
      <c r="AA184" t="str">
        <f>""</f>
        <v/>
      </c>
      <c r="AB184" t="str">
        <f>""</f>
        <v/>
      </c>
      <c r="AC184" t="str">
        <f>""</f>
        <v/>
      </c>
    </row>
    <row r="185" spans="1:29" x14ac:dyDescent="0.25">
      <c r="A185" t="str">
        <f>$A$82</f>
        <v xml:space="preserve">    Cognizant Technology Solutions Corp</v>
      </c>
      <c r="B185" t="str">
        <f>$B$82</f>
        <v>CTSH US Equity</v>
      </c>
      <c r="C185" t="str">
        <f>$C$82</f>
        <v>IS148</v>
      </c>
      <c r="D185" t="str">
        <f>$D$82</f>
        <v>IS_DIL_EPS_BEF_XO</v>
      </c>
      <c r="E185" t="str">
        <f>$E$82</f>
        <v>Dynamic</v>
      </c>
      <c r="F185">
        <f ca="1">_xll.BDH($B$82,$C$82,$B$108,$B$109,CONCATENATE("Per=",$B$106),"Dts=H","Dir=H",CONCATENATE("Points=",$B$107),"Sort=R","Days=A","Fill=B",CONCATENATE("FX=", $B$105),"cols=12;rows=1")</f>
        <v>0.67</v>
      </c>
      <c r="G185">
        <v>0.72</v>
      </c>
      <c r="H185">
        <v>0.9</v>
      </c>
      <c r="I185">
        <v>0.9</v>
      </c>
      <c r="J185">
        <v>0.77</v>
      </c>
      <c r="K185">
        <v>1.1200000000000001</v>
      </c>
      <c r="L185">
        <v>0.82</v>
      </c>
      <c r="M185">
        <v>0.78</v>
      </c>
      <c r="N185">
        <v>0.88</v>
      </c>
      <c r="O185">
        <v>-0.03</v>
      </c>
      <c r="P185">
        <v>0.84</v>
      </c>
      <c r="Q185">
        <v>0.8</v>
      </c>
      <c r="R185" t="str">
        <f>""</f>
        <v/>
      </c>
      <c r="S185" t="str">
        <f>""</f>
        <v/>
      </c>
      <c r="T185" t="str">
        <f>""</f>
        <v/>
      </c>
      <c r="U185" t="str">
        <f>""</f>
        <v/>
      </c>
      <c r="V185" t="str">
        <f>""</f>
        <v/>
      </c>
      <c r="W185" t="str">
        <f>""</f>
        <v/>
      </c>
      <c r="X185" t="str">
        <f>""</f>
        <v/>
      </c>
      <c r="Y185" t="str">
        <f>""</f>
        <v/>
      </c>
      <c r="Z185" t="str">
        <f>""</f>
        <v/>
      </c>
      <c r="AA185" t="str">
        <f>""</f>
        <v/>
      </c>
      <c r="AB185" t="str">
        <f>""</f>
        <v/>
      </c>
      <c r="AC185" t="str">
        <f>""</f>
        <v/>
      </c>
    </row>
    <row r="186" spans="1:29" x14ac:dyDescent="0.25">
      <c r="A186" t="str">
        <f>$A$83</f>
        <v xml:space="preserve">    Conduent Inc</v>
      </c>
      <c r="B186" t="str">
        <f>$B$83</f>
        <v>CNDT US Equity</v>
      </c>
      <c r="C186" t="str">
        <f>$C$83</f>
        <v>IS148</v>
      </c>
      <c r="D186" t="str">
        <f>$D$83</f>
        <v>IS_DIL_EPS_BEF_XO</v>
      </c>
      <c r="E186" t="str">
        <f>$E$83</f>
        <v>Dynamic</v>
      </c>
      <c r="F186">
        <f ca="1">_xll.BDH($B$83,$C$83,$B$108,$B$109,CONCATENATE("Per=",$B$106),"Dts=H","Dir=H",CONCATENATE("Points=",$B$107),"Sort=R","Days=A","Fill=B",CONCATENATE("FX=", $B$105),"cols=12;rows=1")</f>
        <v>-0.24</v>
      </c>
      <c r="G186">
        <v>-2.76</v>
      </c>
      <c r="H186">
        <v>-0.09</v>
      </c>
      <c r="I186">
        <v>-4.9399999999999995</v>
      </c>
      <c r="J186">
        <v>-1.49</v>
      </c>
      <c r="K186">
        <v>-0.69</v>
      </c>
      <c r="L186">
        <v>-1.1599999999999999</v>
      </c>
      <c r="M186">
        <v>0.04</v>
      </c>
      <c r="N186">
        <v>-0.26</v>
      </c>
      <c r="O186">
        <v>0.98</v>
      </c>
      <c r="P186">
        <v>-0.09</v>
      </c>
      <c r="Q186">
        <v>-0.03</v>
      </c>
      <c r="R186" t="str">
        <f>""</f>
        <v/>
      </c>
      <c r="S186" t="str">
        <f>""</f>
        <v/>
      </c>
      <c r="T186" t="str">
        <f>""</f>
        <v/>
      </c>
      <c r="U186" t="str">
        <f>""</f>
        <v/>
      </c>
      <c r="V186" t="str">
        <f>""</f>
        <v/>
      </c>
      <c r="W186" t="str">
        <f>""</f>
        <v/>
      </c>
      <c r="X186" t="str">
        <f>""</f>
        <v/>
      </c>
      <c r="Y186" t="str">
        <f>""</f>
        <v/>
      </c>
      <c r="Z186" t="str">
        <f>""</f>
        <v/>
      </c>
      <c r="AA186" t="str">
        <f>""</f>
        <v/>
      </c>
      <c r="AB186" t="str">
        <f>""</f>
        <v/>
      </c>
      <c r="AC186" t="str">
        <f>""</f>
        <v/>
      </c>
    </row>
    <row r="187" spans="1:29" x14ac:dyDescent="0.25">
      <c r="A187" t="str">
        <f>$A$84</f>
        <v xml:space="preserve">    DXC Technology Co</v>
      </c>
      <c r="B187" t="str">
        <f>$B$84</f>
        <v>DXC US Equity</v>
      </c>
      <c r="C187" t="str">
        <f>$C$84</f>
        <v>IS148</v>
      </c>
      <c r="D187" t="str">
        <f>$D$84</f>
        <v>IS_DIL_EPS_BEF_XO</v>
      </c>
      <c r="E187" t="str">
        <f>$E$84</f>
        <v>Dynamic</v>
      </c>
      <c r="F187">
        <f ca="1">_xll.BDH($B$84,$C$84,$B$108,$B$109,CONCATENATE("Per=",$B$106),"Dts=H","Dir=H",CONCATENATE("Points=",$B$107),"Sort=R","Days=A","Fill=B",CONCATENATE("FX=", $B$105),"cols=12;rows=1")</f>
        <v>-13.79</v>
      </c>
      <c r="G187">
        <v>0.32</v>
      </c>
      <c r="H187">
        <v>-8.19</v>
      </c>
      <c r="I187">
        <v>0.61</v>
      </c>
      <c r="J187">
        <v>1.01</v>
      </c>
      <c r="K187">
        <v>1.6600000000000001</v>
      </c>
      <c r="L187">
        <v>0.92</v>
      </c>
      <c r="M187">
        <v>0.78</v>
      </c>
      <c r="N187">
        <v>1.8</v>
      </c>
      <c r="O187">
        <v>2.4300000000000002</v>
      </c>
      <c r="P187">
        <v>0.67</v>
      </c>
      <c r="Q187">
        <v>0.33</v>
      </c>
      <c r="R187" t="str">
        <f>""</f>
        <v/>
      </c>
      <c r="S187" t="str">
        <f>""</f>
        <v/>
      </c>
      <c r="T187" t="str">
        <f>""</f>
        <v/>
      </c>
      <c r="U187" t="str">
        <f>""</f>
        <v/>
      </c>
      <c r="V187" t="str">
        <f>""</f>
        <v/>
      </c>
      <c r="W187" t="str">
        <f>""</f>
        <v/>
      </c>
      <c r="X187" t="str">
        <f>""</f>
        <v/>
      </c>
      <c r="Y187" t="str">
        <f>""</f>
        <v/>
      </c>
      <c r="Z187" t="str">
        <f>""</f>
        <v/>
      </c>
      <c r="AA187" t="str">
        <f>""</f>
        <v/>
      </c>
      <c r="AB187" t="str">
        <f>""</f>
        <v/>
      </c>
      <c r="AC187" t="str">
        <f>""</f>
        <v/>
      </c>
    </row>
    <row r="188" spans="1:29" x14ac:dyDescent="0.25">
      <c r="A188" t="str">
        <f>$A$85</f>
        <v xml:space="preserve">    EPAM Systems Inc</v>
      </c>
      <c r="B188" t="str">
        <f>$B$85</f>
        <v>EPAM US Equity</v>
      </c>
      <c r="C188" t="str">
        <f>$C$85</f>
        <v>IS148</v>
      </c>
      <c r="D188" t="str">
        <f>$D$85</f>
        <v>IS_DIL_EPS_BEF_XO</v>
      </c>
      <c r="E188" t="str">
        <f>$E$85</f>
        <v>Dynamic</v>
      </c>
      <c r="F188">
        <f ca="1">_xll.BDH($B$85,$C$85,$B$108,$B$109,CONCATENATE("Per=",$B$106),"Dts=H","Dir=H",CONCATENATE("Points=",$B$107),"Sort=R","Days=A","Fill=B",CONCATENATE("FX=", $B$105),"cols=12;rows=1")</f>
        <v>1.47</v>
      </c>
      <c r="G188">
        <v>1.29</v>
      </c>
      <c r="H188">
        <v>1.1599999999999999</v>
      </c>
      <c r="I188">
        <v>1.02</v>
      </c>
      <c r="J188">
        <v>1.06</v>
      </c>
      <c r="K188">
        <v>1.05</v>
      </c>
      <c r="L188">
        <v>1.1499999999999999</v>
      </c>
      <c r="M188">
        <v>0.89</v>
      </c>
      <c r="N188">
        <v>1.1499999999999999</v>
      </c>
      <c r="O188">
        <v>-0.57999999999999996</v>
      </c>
      <c r="P188">
        <v>0.77</v>
      </c>
      <c r="Q188">
        <v>0.68</v>
      </c>
      <c r="R188" t="str">
        <f>""</f>
        <v/>
      </c>
      <c r="S188" t="str">
        <f>""</f>
        <v/>
      </c>
      <c r="T188" t="str">
        <f>""</f>
        <v/>
      </c>
      <c r="U188" t="str">
        <f>""</f>
        <v/>
      </c>
      <c r="V188" t="str">
        <f>""</f>
        <v/>
      </c>
      <c r="W188" t="str">
        <f>""</f>
        <v/>
      </c>
      <c r="X188" t="str">
        <f>""</f>
        <v/>
      </c>
      <c r="Y188" t="str">
        <f>""</f>
        <v/>
      </c>
      <c r="Z188" t="str">
        <f>""</f>
        <v/>
      </c>
      <c r="AA188" t="str">
        <f>""</f>
        <v/>
      </c>
      <c r="AB188" t="str">
        <f>""</f>
        <v/>
      </c>
      <c r="AC188" t="str">
        <f>""</f>
        <v/>
      </c>
    </row>
    <row r="189" spans="1:29" x14ac:dyDescent="0.25">
      <c r="A189" t="str">
        <f>$A$86</f>
        <v xml:space="preserve">    Genpact Ltd</v>
      </c>
      <c r="B189" t="str">
        <f>$B$86</f>
        <v>G US Equity</v>
      </c>
      <c r="C189" t="str">
        <f>$C$86</f>
        <v>IS148</v>
      </c>
      <c r="D189" t="str">
        <f>$D$86</f>
        <v>IS_DIL_EPS_BEF_XO</v>
      </c>
      <c r="E189" t="str">
        <f>$E$86</f>
        <v>Dynamic</v>
      </c>
      <c r="F189">
        <f ca="1">_xll.BDH($B$86,$C$86,$B$108,$B$109,CONCATENATE("Per=",$B$106),"Dts=H","Dir=H",CONCATENATE("Points=",$B$107),"Sort=R","Days=A","Fill=B",CONCATENATE("FX=", $B$105),"cols=12;rows=1")</f>
        <v>0.44</v>
      </c>
      <c r="G189">
        <v>0.42</v>
      </c>
      <c r="H189">
        <v>0.45</v>
      </c>
      <c r="I189">
        <v>0.38</v>
      </c>
      <c r="J189">
        <v>0.31</v>
      </c>
      <c r="K189">
        <v>0.41</v>
      </c>
      <c r="L189">
        <v>0.38</v>
      </c>
      <c r="M189">
        <v>0.33</v>
      </c>
      <c r="N189">
        <v>0.33</v>
      </c>
      <c r="O189">
        <v>0.34</v>
      </c>
      <c r="P189">
        <v>0.38</v>
      </c>
      <c r="Q189">
        <v>0.36</v>
      </c>
      <c r="R189" t="str">
        <f>""</f>
        <v/>
      </c>
      <c r="S189" t="str">
        <f>""</f>
        <v/>
      </c>
      <c r="T189" t="str">
        <f>""</f>
        <v/>
      </c>
      <c r="U189" t="str">
        <f>""</f>
        <v/>
      </c>
      <c r="V189" t="str">
        <f>""</f>
        <v/>
      </c>
      <c r="W189" t="str">
        <f>""</f>
        <v/>
      </c>
      <c r="X189" t="str">
        <f>""</f>
        <v/>
      </c>
      <c r="Y189" t="str">
        <f>""</f>
        <v/>
      </c>
      <c r="Z189" t="str">
        <f>""</f>
        <v/>
      </c>
      <c r="AA189" t="str">
        <f>""</f>
        <v/>
      </c>
      <c r="AB189" t="str">
        <f>""</f>
        <v/>
      </c>
      <c r="AC189" t="str">
        <f>""</f>
        <v/>
      </c>
    </row>
    <row r="190" spans="1:29" x14ac:dyDescent="0.25">
      <c r="A190" t="str">
        <f>$A$87</f>
        <v xml:space="preserve">    HCL Technologies Ltd</v>
      </c>
      <c r="B190" t="str">
        <f>$B$87</f>
        <v>HCLT IN Equity</v>
      </c>
      <c r="C190" t="str">
        <f>$C$87</f>
        <v>IS148</v>
      </c>
      <c r="D190" t="str">
        <f>$D$87</f>
        <v>IS_DIL_EPS_BEF_XO</v>
      </c>
      <c r="E190" t="str">
        <f>$E$87</f>
        <v>Dynamic</v>
      </c>
      <c r="F190">
        <f ca="1">_xll.BDH($B$87,$C$87,$B$108,$B$109,CONCATENATE("Per=",$B$106),"Dts=H","Dir=H",CONCATENATE("Points=",$B$107),"Sort=R","Days=A","Fill=B",CONCATENATE("FX=", $B$105),"cols=12;rows=1")</f>
        <v>0.159</v>
      </c>
      <c r="G190">
        <v>0.15720000000000001</v>
      </c>
      <c r="H190">
        <v>0.1386</v>
      </c>
      <c r="I190">
        <v>0.1178</v>
      </c>
      <c r="J190">
        <v>0.13450000000000001</v>
      </c>
      <c r="K190">
        <v>0.1338</v>
      </c>
      <c r="L190">
        <v>0.12770000000000001</v>
      </c>
      <c r="M190">
        <v>0.12770000000000001</v>
      </c>
      <c r="N190">
        <v>0.1244</v>
      </c>
      <c r="O190">
        <v>0.12189999999999999</v>
      </c>
      <c r="P190">
        <v>0.11890000000000001</v>
      </c>
      <c r="Q190">
        <v>0.1174</v>
      </c>
      <c r="R190" t="str">
        <f>""</f>
        <v/>
      </c>
      <c r="S190" t="str">
        <f>""</f>
        <v/>
      </c>
      <c r="T190" t="str">
        <f>""</f>
        <v/>
      </c>
      <c r="U190" t="str">
        <f>""</f>
        <v/>
      </c>
      <c r="V190" t="str">
        <f>""</f>
        <v/>
      </c>
      <c r="W190" t="str">
        <f>""</f>
        <v/>
      </c>
      <c r="X190" t="str">
        <f>""</f>
        <v/>
      </c>
      <c r="Y190" t="str">
        <f>""</f>
        <v/>
      </c>
      <c r="Z190" t="str">
        <f>""</f>
        <v/>
      </c>
      <c r="AA190" t="str">
        <f>""</f>
        <v/>
      </c>
      <c r="AB190" t="str">
        <f>""</f>
        <v/>
      </c>
      <c r="AC190" t="str">
        <f>""</f>
        <v/>
      </c>
    </row>
    <row r="191" spans="1:29" x14ac:dyDescent="0.25">
      <c r="A191" t="str">
        <f>$A$88</f>
        <v xml:space="preserve">    Indra Sistemas SA</v>
      </c>
      <c r="B191" t="str">
        <f>$B$88</f>
        <v>IDR SM Equity</v>
      </c>
      <c r="C191" t="str">
        <f>$C$88</f>
        <v>IS148</v>
      </c>
      <c r="D191" t="str">
        <f>$D$88</f>
        <v>IS_DIL_EPS_BEF_XO</v>
      </c>
      <c r="E191" t="str">
        <f>$E$88</f>
        <v>Dynamic</v>
      </c>
      <c r="F191">
        <f ca="1">_xll.BDH($B$88,$C$88,$B$108,$B$109,CONCATENATE("Per=",$B$106),"Dts=H","Dir=H",CONCATENATE("Points=",$B$107),"Sort=R","Days=A","Fill=B",CONCATENATE("FX=", $B$105),"cols=12;rows=1")</f>
        <v>3.9699999999999999E-2</v>
      </c>
      <c r="G191">
        <v>0.32429999999999998</v>
      </c>
      <c r="H191">
        <v>0.17710000000000001</v>
      </c>
      <c r="I191">
        <v>9.0800000000000006E-2</v>
      </c>
      <c r="J191">
        <v>0.1113</v>
      </c>
      <c r="K191">
        <v>0.4209</v>
      </c>
      <c r="L191">
        <v>0.1012</v>
      </c>
      <c r="M191">
        <v>0.1522</v>
      </c>
      <c r="N191">
        <v>7.4999999999999997E-2</v>
      </c>
      <c r="O191">
        <v>0.2445</v>
      </c>
      <c r="P191">
        <v>0.2752</v>
      </c>
      <c r="Q191">
        <v>9.35E-2</v>
      </c>
      <c r="R191" t="str">
        <f>""</f>
        <v/>
      </c>
      <c r="S191" t="str">
        <f>""</f>
        <v/>
      </c>
      <c r="T191" t="str">
        <f>""</f>
        <v/>
      </c>
      <c r="U191" t="str">
        <f>""</f>
        <v/>
      </c>
      <c r="V191" t="str">
        <f>""</f>
        <v/>
      </c>
      <c r="W191" t="str">
        <f>""</f>
        <v/>
      </c>
      <c r="X191" t="str">
        <f>""</f>
        <v/>
      </c>
      <c r="Y191" t="str">
        <f>""</f>
        <v/>
      </c>
      <c r="Z191" t="str">
        <f>""</f>
        <v/>
      </c>
      <c r="AA191" t="str">
        <f>""</f>
        <v/>
      </c>
      <c r="AB191" t="str">
        <f>""</f>
        <v/>
      </c>
      <c r="AC191" t="str">
        <f>""</f>
        <v/>
      </c>
    </row>
    <row r="192" spans="1:29" x14ac:dyDescent="0.25">
      <c r="A192" t="str">
        <f>$A$89</f>
        <v xml:space="preserve">    Infosys Ltd</v>
      </c>
      <c r="B192" t="str">
        <f>$B$89</f>
        <v>INFY US Equity</v>
      </c>
      <c r="C192" t="str">
        <f>$C$89</f>
        <v>IS148</v>
      </c>
      <c r="D192" t="str">
        <f>$D$89</f>
        <v>IS_DIL_EPS_BEF_XO</v>
      </c>
      <c r="E192" t="str">
        <f>$E$89</f>
        <v>Dynamic</v>
      </c>
      <c r="F192" t="str">
        <f ca="1">_xll.BDH($B$89,$C$89,$B$108,$B$109,CONCATENATE("Per=",$B$106),"Dts=H","Dir=H",CONCATENATE("Points=",$B$107),"Sort=R","Days=A","Fill=B",CONCATENATE("FX=", $B$105) )</f>
        <v/>
      </c>
      <c r="R192" t="str">
        <f>""</f>
        <v/>
      </c>
      <c r="S192" t="str">
        <f>""</f>
        <v/>
      </c>
      <c r="T192" t="str">
        <f>""</f>
        <v/>
      </c>
      <c r="U192" t="str">
        <f>""</f>
        <v/>
      </c>
      <c r="V192" t="str">
        <f>""</f>
        <v/>
      </c>
      <c r="W192" t="str">
        <f>""</f>
        <v/>
      </c>
      <c r="X192" t="str">
        <f>""</f>
        <v/>
      </c>
      <c r="Y192" t="str">
        <f>""</f>
        <v/>
      </c>
      <c r="Z192" t="str">
        <f>""</f>
        <v/>
      </c>
      <c r="AA192" t="str">
        <f>""</f>
        <v/>
      </c>
      <c r="AB192" t="str">
        <f>""</f>
        <v/>
      </c>
      <c r="AC192" t="str">
        <f>""</f>
        <v/>
      </c>
    </row>
    <row r="193" spans="1:29" x14ac:dyDescent="0.25">
      <c r="A193" t="str">
        <f>$A$90</f>
        <v xml:space="preserve">    International Business Machines Corp</v>
      </c>
      <c r="B193" t="str">
        <f>$B$90</f>
        <v>IBM US Equity</v>
      </c>
      <c r="C193" t="str">
        <f>$C$90</f>
        <v>IS148</v>
      </c>
      <c r="D193" t="str">
        <f>$D$90</f>
        <v>IS_DIL_EPS_BEF_XO</v>
      </c>
      <c r="E193" t="str">
        <f>$E$90</f>
        <v>Dynamic</v>
      </c>
      <c r="F193">
        <f ca="1">_xll.BDH($B$90,$C$90,$B$108,$B$109,CONCATENATE("Per=",$B$106),"Dts=H","Dir=H",CONCATENATE("Points=",$B$107),"Sort=R","Days=A","Fill=B",CONCATENATE("FX=", $B$105),"cols=12;rows=1")</f>
        <v>1.31</v>
      </c>
      <c r="G193">
        <v>4.1100000000000003</v>
      </c>
      <c r="H193">
        <v>1.87</v>
      </c>
      <c r="I193">
        <v>2.81</v>
      </c>
      <c r="J193">
        <v>1.78</v>
      </c>
      <c r="K193">
        <v>2.15</v>
      </c>
      <c r="L193">
        <v>2.94</v>
      </c>
      <c r="M193">
        <v>2.61</v>
      </c>
      <c r="N193">
        <v>1.81</v>
      </c>
      <c r="O193">
        <v>-1.1400000000000001</v>
      </c>
      <c r="P193">
        <v>2.92</v>
      </c>
      <c r="Q193">
        <v>2.48</v>
      </c>
      <c r="R193" t="str">
        <f>""</f>
        <v/>
      </c>
      <c r="S193" t="str">
        <f>""</f>
        <v/>
      </c>
      <c r="T193" t="str">
        <f>""</f>
        <v/>
      </c>
      <c r="U193" t="str">
        <f>""</f>
        <v/>
      </c>
      <c r="V193" t="str">
        <f>""</f>
        <v/>
      </c>
      <c r="W193" t="str">
        <f>""</f>
        <v/>
      </c>
      <c r="X193" t="str">
        <f>""</f>
        <v/>
      </c>
      <c r="Y193" t="str">
        <f>""</f>
        <v/>
      </c>
      <c r="Z193" t="str">
        <f>""</f>
        <v/>
      </c>
      <c r="AA193" t="str">
        <f>""</f>
        <v/>
      </c>
      <c r="AB193" t="str">
        <f>""</f>
        <v/>
      </c>
      <c r="AC193" t="str">
        <f>""</f>
        <v/>
      </c>
    </row>
    <row r="194" spans="1:29" x14ac:dyDescent="0.25">
      <c r="A194" t="str">
        <f>$A$91</f>
        <v xml:space="preserve">    Tata Consultancy Services Ltd</v>
      </c>
      <c r="B194" t="str">
        <f>$B$91</f>
        <v>TCS IN Equity</v>
      </c>
      <c r="C194" t="str">
        <f>$C$91</f>
        <v>IS148</v>
      </c>
      <c r="D194" t="str">
        <f>$D$91</f>
        <v>IS_DIL_EPS_BEF_XO</v>
      </c>
      <c r="E194" t="str">
        <f>$E$91</f>
        <v>Dynamic</v>
      </c>
      <c r="F194">
        <f ca="1">_xll.BDH($B$91,$C$91,$B$108,$B$109,CONCATENATE("Per=",$B$106),"Dts=H","Dir=H",CONCATENATE("Points=",$B$107),"Sort=R","Days=A","Fill=B",CONCATENATE("FX=", $B$105),"cols=12;rows=1")</f>
        <v>0.29609999999999997</v>
      </c>
      <c r="G194">
        <v>0.30370000000000003</v>
      </c>
      <c r="H194">
        <v>0.30449999999999999</v>
      </c>
      <c r="I194">
        <v>0.31159999999999999</v>
      </c>
      <c r="J194">
        <v>0.30740000000000001</v>
      </c>
      <c r="K194">
        <v>0.29980000000000001</v>
      </c>
      <c r="L194">
        <v>0.29499999999999998</v>
      </c>
      <c r="M194">
        <v>0.28589999999999999</v>
      </c>
      <c r="N194">
        <v>0.2802</v>
      </c>
      <c r="O194">
        <v>0.26350000000000001</v>
      </c>
      <c r="P194">
        <v>0.26190000000000002</v>
      </c>
      <c r="Q194">
        <v>0.23569999999999999</v>
      </c>
      <c r="R194" t="str">
        <f>""</f>
        <v/>
      </c>
      <c r="S194" t="str">
        <f>""</f>
        <v/>
      </c>
      <c r="T194" t="str">
        <f>""</f>
        <v/>
      </c>
      <c r="U194" t="str">
        <f>""</f>
        <v/>
      </c>
      <c r="V194" t="str">
        <f>""</f>
        <v/>
      </c>
      <c r="W194" t="str">
        <f>""</f>
        <v/>
      </c>
      <c r="X194" t="str">
        <f>""</f>
        <v/>
      </c>
      <c r="Y194" t="str">
        <f>""</f>
        <v/>
      </c>
      <c r="Z194" t="str">
        <f>""</f>
        <v/>
      </c>
      <c r="AA194" t="str">
        <f>""</f>
        <v/>
      </c>
      <c r="AB194" t="str">
        <f>""</f>
        <v/>
      </c>
      <c r="AC194" t="str">
        <f>""</f>
        <v/>
      </c>
    </row>
    <row r="195" spans="1:29" x14ac:dyDescent="0.25">
      <c r="A195" t="str">
        <f>$A$92</f>
        <v xml:space="preserve">    Tech Mahindra Ltd</v>
      </c>
      <c r="B195" t="str">
        <f>$B$92</f>
        <v>TECHM IN Equity</v>
      </c>
      <c r="C195" t="str">
        <f>$C$92</f>
        <v>IS148</v>
      </c>
      <c r="D195" t="str">
        <f>$D$92</f>
        <v>IS_DIL_EPS_BEF_XO</v>
      </c>
      <c r="E195" t="str">
        <f>$E$92</f>
        <v>Dynamic</v>
      </c>
      <c r="F195">
        <f ca="1">_xll.BDH($B$92,$C$92,$B$108,$B$109,CONCATENATE("Per=",$B$106),"Dts=H","Dir=H",CONCATENATE("Points=",$B$107),"Sort=R","Days=A","Fill=B",CONCATENATE("FX=", $B$105),"cols=12;rows=1")</f>
        <v>0.12620000000000001</v>
      </c>
      <c r="G195">
        <v>0.17899999999999999</v>
      </c>
      <c r="H195">
        <v>0.16420000000000001</v>
      </c>
      <c r="I195">
        <v>0.15659999999999999</v>
      </c>
      <c r="J195">
        <v>0.17860000000000001</v>
      </c>
      <c r="K195">
        <v>0.1867</v>
      </c>
      <c r="L195">
        <v>0.17030000000000001</v>
      </c>
      <c r="M195">
        <v>0.1502</v>
      </c>
      <c r="N195">
        <v>0.2132</v>
      </c>
      <c r="O195">
        <v>0.16389999999999999</v>
      </c>
      <c r="P195">
        <v>0.1462</v>
      </c>
      <c r="Q195">
        <v>0.13930000000000001</v>
      </c>
      <c r="R195" t="str">
        <f>""</f>
        <v/>
      </c>
      <c r="S195" t="str">
        <f>""</f>
        <v/>
      </c>
      <c r="T195" t="str">
        <f>""</f>
        <v/>
      </c>
      <c r="U195" t="str">
        <f>""</f>
        <v/>
      </c>
      <c r="V195" t="str">
        <f>""</f>
        <v/>
      </c>
      <c r="W195" t="str">
        <f>""</f>
        <v/>
      </c>
      <c r="X195" t="str">
        <f>""</f>
        <v/>
      </c>
      <c r="Y195" t="str">
        <f>""</f>
        <v/>
      </c>
      <c r="Z195" t="str">
        <f>""</f>
        <v/>
      </c>
      <c r="AA195" t="str">
        <f>""</f>
        <v/>
      </c>
      <c r="AB195" t="str">
        <f>""</f>
        <v/>
      </c>
      <c r="AC195" t="str">
        <f>""</f>
        <v/>
      </c>
    </row>
    <row r="196" spans="1:29" x14ac:dyDescent="0.25">
      <c r="A196" t="str">
        <f>$A$93</f>
        <v xml:space="preserve">    Wipro Ltd</v>
      </c>
      <c r="B196" t="str">
        <f>$B$93</f>
        <v>WIT US Equity</v>
      </c>
      <c r="C196" t="str">
        <f>$C$93</f>
        <v>IS148</v>
      </c>
      <c r="D196" t="str">
        <f>$D$93</f>
        <v>IS_DIL_EPS_BEF_XO</v>
      </c>
      <c r="E196" t="str">
        <f>$E$93</f>
        <v>Dynamic</v>
      </c>
      <c r="F196" t="str">
        <f ca="1">_xll.BDH($B$93,$C$93,$B$108,$B$109,CONCATENATE("Per=",$B$106),"Dts=H","Dir=H",CONCATENATE("Points=",$B$107),"Sort=R","Days=A","Fill=B",CONCATENATE("FX=", $B$105) )</f>
        <v/>
      </c>
      <c r="R196" t="str">
        <f>""</f>
        <v/>
      </c>
      <c r="S196" t="str">
        <f>""</f>
        <v/>
      </c>
      <c r="T196" t="str">
        <f>""</f>
        <v/>
      </c>
      <c r="U196" t="str">
        <f>""</f>
        <v/>
      </c>
      <c r="V196" t="str">
        <f>""</f>
        <v/>
      </c>
      <c r="W196" t="str">
        <f>""</f>
        <v/>
      </c>
      <c r="X196" t="str">
        <f>""</f>
        <v/>
      </c>
      <c r="Y196" t="str">
        <f>""</f>
        <v/>
      </c>
      <c r="Z196" t="str">
        <f>""</f>
        <v/>
      </c>
      <c r="AA196" t="str">
        <f>""</f>
        <v/>
      </c>
      <c r="AB196" t="str">
        <f>""</f>
        <v/>
      </c>
      <c r="AC196" t="str">
        <f>""</f>
        <v/>
      </c>
    </row>
    <row r="197" spans="1:29" x14ac:dyDescent="0.25">
      <c r="A197" t="str">
        <f>""</f>
        <v/>
      </c>
      <c r="B197" t="str">
        <f>""</f>
        <v/>
      </c>
      <c r="C197" t="str">
        <f>""</f>
        <v/>
      </c>
      <c r="D197" t="str">
        <f>""</f>
        <v/>
      </c>
      <c r="E197" t="str">
        <f>""</f>
        <v/>
      </c>
      <c r="R197" t="str">
        <f>""</f>
        <v/>
      </c>
      <c r="S197" t="str">
        <f>""</f>
        <v/>
      </c>
      <c r="T197" t="str">
        <f>""</f>
        <v/>
      </c>
      <c r="U197" t="str">
        <f>""</f>
        <v/>
      </c>
      <c r="V197" t="str">
        <f>""</f>
        <v/>
      </c>
      <c r="W197" t="str">
        <f>""</f>
        <v/>
      </c>
      <c r="X197" t="str">
        <f>""</f>
        <v/>
      </c>
      <c r="Y197" t="str">
        <f>""</f>
        <v/>
      </c>
      <c r="Z197" t="str">
        <f>""</f>
        <v/>
      </c>
      <c r="AA197" t="str">
        <f>""</f>
        <v/>
      </c>
      <c r="AB197" t="str">
        <f>""</f>
        <v/>
      </c>
      <c r="AC197" t="str">
        <f>""</f>
        <v/>
      </c>
    </row>
    <row r="198" spans="1:29" x14ac:dyDescent="0.25">
      <c r="A198" t="str">
        <f>""</f>
        <v/>
      </c>
      <c r="B198" t="str">
        <f>""</f>
        <v/>
      </c>
      <c r="C198" t="str">
        <f>""</f>
        <v/>
      </c>
      <c r="D198" t="str">
        <f>""</f>
        <v/>
      </c>
      <c r="E198" t="str">
        <f>""</f>
        <v/>
      </c>
      <c r="R198" t="str">
        <f>""</f>
        <v/>
      </c>
      <c r="S198" t="str">
        <f>""</f>
        <v/>
      </c>
      <c r="T198" t="str">
        <f>""</f>
        <v/>
      </c>
      <c r="U198" t="str">
        <f>""</f>
        <v/>
      </c>
      <c r="V198" t="str">
        <f>""</f>
        <v/>
      </c>
      <c r="W198" t="str">
        <f>""</f>
        <v/>
      </c>
      <c r="X198" t="str">
        <f>""</f>
        <v/>
      </c>
      <c r="Y198" t="str">
        <f>""</f>
        <v/>
      </c>
      <c r="Z198" t="str">
        <f>""</f>
        <v/>
      </c>
      <c r="AA198" t="str">
        <f>""</f>
        <v/>
      </c>
      <c r="AB198" t="str">
        <f>""</f>
        <v/>
      </c>
      <c r="AC198" t="str">
        <f>""</f>
        <v/>
      </c>
    </row>
    <row r="199" spans="1:29" x14ac:dyDescent="0.25">
      <c r="A199" t="str">
        <f>""</f>
        <v/>
      </c>
      <c r="B199" t="str">
        <f>""</f>
        <v/>
      </c>
      <c r="C199" t="str">
        <f>""</f>
        <v/>
      </c>
      <c r="D199" t="str">
        <f>""</f>
        <v/>
      </c>
      <c r="E199" t="str">
        <f>""</f>
        <v/>
      </c>
      <c r="R199" t="str">
        <f>""</f>
        <v/>
      </c>
      <c r="S199" t="str">
        <f>""</f>
        <v/>
      </c>
      <c r="T199" t="str">
        <f>""</f>
        <v/>
      </c>
      <c r="U199" t="str">
        <f>""</f>
        <v/>
      </c>
      <c r="V199" t="str">
        <f>""</f>
        <v/>
      </c>
      <c r="W199" t="str">
        <f>""</f>
        <v/>
      </c>
      <c r="X199" t="str">
        <f>""</f>
        <v/>
      </c>
      <c r="Y199" t="str">
        <f>""</f>
        <v/>
      </c>
      <c r="Z199" t="str">
        <f>""</f>
        <v/>
      </c>
      <c r="AA199" t="str">
        <f>""</f>
        <v/>
      </c>
      <c r="AB199" t="str">
        <f>""</f>
        <v/>
      </c>
      <c r="AC199" t="str">
        <f>""</f>
        <v/>
      </c>
    </row>
    <row r="200" spans="1:29" x14ac:dyDescent="0.25">
      <c r="A200" t="str">
        <f>""</f>
        <v/>
      </c>
      <c r="B200" t="str">
        <f>""</f>
        <v/>
      </c>
      <c r="C200" t="str">
        <f>""</f>
        <v/>
      </c>
      <c r="D200" t="str">
        <f>""</f>
        <v/>
      </c>
      <c r="E200" t="str">
        <f>""</f>
        <v/>
      </c>
      <c r="R200" t="str">
        <f>""</f>
        <v/>
      </c>
      <c r="S200" t="str">
        <f>""</f>
        <v/>
      </c>
      <c r="T200" t="str">
        <f>""</f>
        <v/>
      </c>
      <c r="U200" t="str">
        <f>""</f>
        <v/>
      </c>
      <c r="V200" t="str">
        <f>""</f>
        <v/>
      </c>
      <c r="W200" t="str">
        <f>""</f>
        <v/>
      </c>
      <c r="X200" t="str">
        <f>""</f>
        <v/>
      </c>
      <c r="Y200" t="str">
        <f>""</f>
        <v/>
      </c>
      <c r="Z200" t="str">
        <f>""</f>
        <v/>
      </c>
      <c r="AA200" t="str">
        <f>""</f>
        <v/>
      </c>
      <c r="AB200" t="str">
        <f>""</f>
        <v/>
      </c>
      <c r="AC200" t="str">
        <f>""</f>
        <v/>
      </c>
    </row>
    <row r="201" spans="1:29" x14ac:dyDescent="0.25">
      <c r="A201" t="str">
        <f>""</f>
        <v/>
      </c>
      <c r="B201" t="str">
        <f>""</f>
        <v/>
      </c>
      <c r="C201" t="str">
        <f>""</f>
        <v/>
      </c>
      <c r="D201" t="str">
        <f>""</f>
        <v/>
      </c>
      <c r="E201" t="str">
        <f>""</f>
        <v/>
      </c>
      <c r="R201" t="str">
        <f>""</f>
        <v/>
      </c>
      <c r="S201" t="str">
        <f>""</f>
        <v/>
      </c>
      <c r="T201" t="str">
        <f>""</f>
        <v/>
      </c>
      <c r="U201" t="str">
        <f>""</f>
        <v/>
      </c>
      <c r="V201" t="str">
        <f>""</f>
        <v/>
      </c>
      <c r="W201" t="str">
        <f>""</f>
        <v/>
      </c>
      <c r="X201" t="str">
        <f>""</f>
        <v/>
      </c>
      <c r="Y201" t="str">
        <f>""</f>
        <v/>
      </c>
      <c r="Z201" t="str">
        <f>""</f>
        <v/>
      </c>
      <c r="AA201" t="str">
        <f>""</f>
        <v/>
      </c>
      <c r="AB201" t="str">
        <f>""</f>
        <v/>
      </c>
      <c r="AC201" t="str">
        <f>""</f>
        <v/>
      </c>
    </row>
    <row r="202" spans="1:29" x14ac:dyDescent="0.25">
      <c r="A202" t="str">
        <f>"~~~~~~~~~~~~~~~~~~~~~"</f>
        <v>~~~~~~~~~~~~~~~~~~~~~</v>
      </c>
      <c r="B202" t="str">
        <f>"~~~~~~~~~~~~~~~~~~~~~"</f>
        <v>~~~~~~~~~~~~~~~~~~~~~</v>
      </c>
      <c r="C202" t="str">
        <f>"~~~~~~~~~~~~~~~~~~~~~"</f>
        <v>~~~~~~~~~~~~~~~~~~~~~</v>
      </c>
      <c r="D202" t="str">
        <f>"~~~~~~~~~~~~~~~~~~~~~"</f>
        <v>~~~~~~~~~~~~~~~~~~~~~</v>
      </c>
      <c r="E202" t="str">
        <f>"~~~~~~~~~~~~~~~~~~~~~"</f>
        <v>~~~~~~~~~~~~~~~~~~~~~</v>
      </c>
      <c r="R202" t="str">
        <f>""</f>
        <v/>
      </c>
      <c r="S202" t="str">
        <f>""</f>
        <v/>
      </c>
      <c r="T202" t="str">
        <f>""</f>
        <v/>
      </c>
      <c r="U202" t="str">
        <f>""</f>
        <v/>
      </c>
      <c r="V202" t="str">
        <f>""</f>
        <v/>
      </c>
      <c r="W202" t="str">
        <f>""</f>
        <v/>
      </c>
      <c r="X202" t="str">
        <f>""</f>
        <v/>
      </c>
      <c r="Y202" t="str">
        <f>""</f>
        <v/>
      </c>
      <c r="Z202" t="str">
        <f>""</f>
        <v/>
      </c>
      <c r="AA202" t="str">
        <f>""</f>
        <v/>
      </c>
      <c r="AB202" t="str">
        <f>""</f>
        <v/>
      </c>
      <c r="AC202" t="str">
        <f>""</f>
        <v/>
      </c>
    </row>
    <row r="203" spans="1:29" x14ac:dyDescent="0.25">
      <c r="A203" t="str">
        <f>"Rows below for column date calculation"</f>
        <v>Rows below for column date calculation</v>
      </c>
      <c r="R203" t="str">
        <f>""</f>
        <v/>
      </c>
      <c r="S203" t="str">
        <f>""</f>
        <v/>
      </c>
      <c r="T203" t="str">
        <f>""</f>
        <v/>
      </c>
      <c r="U203" t="str">
        <f>""</f>
        <v/>
      </c>
      <c r="V203" t="str">
        <f>""</f>
        <v/>
      </c>
      <c r="W203" t="str">
        <f>""</f>
        <v/>
      </c>
      <c r="X203" t="str">
        <f>""</f>
        <v/>
      </c>
      <c r="Y203" t="str">
        <f>""</f>
        <v/>
      </c>
      <c r="Z203" t="str">
        <f>""</f>
        <v/>
      </c>
      <c r="AA203" t="str">
        <f>""</f>
        <v/>
      </c>
      <c r="AB203" t="str">
        <f>""</f>
        <v/>
      </c>
      <c r="AC203" t="str">
        <f>""</f>
        <v/>
      </c>
    </row>
    <row r="204" spans="1:29" x14ac:dyDescent="0.25">
      <c r="A204" t="str">
        <f>"Downloaded at"</f>
        <v>Downloaded at</v>
      </c>
      <c r="B204">
        <f>DATE(2020, 6,17)</f>
        <v>43999</v>
      </c>
      <c r="C204" t="str">
        <f>""</f>
        <v/>
      </c>
      <c r="D204" t="str">
        <f>""</f>
        <v/>
      </c>
      <c r="E204" t="str">
        <f>""</f>
        <v/>
      </c>
      <c r="R204" t="str">
        <f>""</f>
        <v/>
      </c>
      <c r="S204" t="str">
        <f>""</f>
        <v/>
      </c>
      <c r="T204" t="str">
        <f>""</f>
        <v/>
      </c>
      <c r="U204" t="str">
        <f>""</f>
        <v/>
      </c>
      <c r="V204" t="str">
        <f>""</f>
        <v/>
      </c>
      <c r="W204" t="str">
        <f>""</f>
        <v/>
      </c>
      <c r="X204" t="str">
        <f>""</f>
        <v/>
      </c>
      <c r="Y204" t="str">
        <f>""</f>
        <v/>
      </c>
      <c r="Z204" t="str">
        <f>""</f>
        <v/>
      </c>
      <c r="AA204" t="str">
        <f>""</f>
        <v/>
      </c>
      <c r="AB204" t="str">
        <f>""</f>
        <v/>
      </c>
      <c r="AC204" t="str">
        <f>""</f>
        <v/>
      </c>
    </row>
    <row r="205" spans="1:29" x14ac:dyDescent="0.25">
      <c r="A205" t="str">
        <f>"This is End Date"</f>
        <v>This is End Date</v>
      </c>
      <c r="B205">
        <f ca="1">$B$109</f>
        <v>43999</v>
      </c>
      <c r="C205" t="str">
        <f>""</f>
        <v/>
      </c>
      <c r="D205" t="str">
        <f>""</f>
        <v/>
      </c>
      <c r="E205" t="str">
        <f>""</f>
        <v/>
      </c>
      <c r="R205" t="str">
        <f>""</f>
        <v/>
      </c>
      <c r="S205" t="str">
        <f>""</f>
        <v/>
      </c>
      <c r="T205" t="str">
        <f>""</f>
        <v/>
      </c>
      <c r="U205" t="str">
        <f>""</f>
        <v/>
      </c>
      <c r="V205" t="str">
        <f>""</f>
        <v/>
      </c>
      <c r="W205" t="str">
        <f>""</f>
        <v/>
      </c>
      <c r="X205" t="str">
        <f>""</f>
        <v/>
      </c>
      <c r="Y205" t="str">
        <f>""</f>
        <v/>
      </c>
      <c r="Z205" t="str">
        <f>""</f>
        <v/>
      </c>
      <c r="AA205" t="str">
        <f>""</f>
        <v/>
      </c>
      <c r="AB205" t="str">
        <f>""</f>
        <v/>
      </c>
      <c r="AC205" t="str">
        <f>""</f>
        <v/>
      </c>
    </row>
    <row r="206" spans="1:29" x14ac:dyDescent="0.25">
      <c r="A206" t="str">
        <f>"Description"</f>
        <v>Description</v>
      </c>
      <c r="B206" t="str">
        <f>"Ticker"</f>
        <v>Ticker</v>
      </c>
      <c r="C206" t="str">
        <f>"Field ID"</f>
        <v>Field ID</v>
      </c>
      <c r="D206" t="str">
        <f>"Field Mnemonic"</f>
        <v>Field Mnemonic</v>
      </c>
      <c r="E206" t="str">
        <f>"Data State"</f>
        <v>Data State</v>
      </c>
      <c r="R206" t="str">
        <f>""</f>
        <v/>
      </c>
      <c r="S206" t="str">
        <f>""</f>
        <v/>
      </c>
      <c r="T206" t="str">
        <f>""</f>
        <v/>
      </c>
      <c r="U206" t="str">
        <f>""</f>
        <v/>
      </c>
      <c r="V206" t="str">
        <f>""</f>
        <v/>
      </c>
      <c r="W206" t="str">
        <f>""</f>
        <v/>
      </c>
      <c r="X206" t="str">
        <f>""</f>
        <v/>
      </c>
      <c r="Y206" t="str">
        <f>""</f>
        <v/>
      </c>
      <c r="Z206" t="str">
        <f>""</f>
        <v/>
      </c>
      <c r="AA206" t="str">
        <f>""</f>
        <v/>
      </c>
      <c r="AB206" t="str">
        <f>""</f>
        <v/>
      </c>
      <c r="AC206" t="str">
        <f>""</f>
        <v/>
      </c>
    </row>
    <row r="207" spans="1:29" x14ac:dyDescent="0.25">
      <c r="A207" t="str">
        <f>"Snapshot Date"</f>
        <v>Snapshot Date</v>
      </c>
      <c r="B207">
        <f>DATE(2020, 6,17)</f>
        <v>43999</v>
      </c>
      <c r="C207" t="str">
        <f>""</f>
        <v/>
      </c>
      <c r="D207" t="str">
        <f>""</f>
        <v/>
      </c>
      <c r="E207" t="str">
        <f>""</f>
        <v/>
      </c>
      <c r="R207" t="str">
        <f>""</f>
        <v/>
      </c>
      <c r="S207" t="str">
        <f>""</f>
        <v/>
      </c>
      <c r="T207" t="str">
        <f>""</f>
        <v/>
      </c>
      <c r="U207" t="str">
        <f>""</f>
        <v/>
      </c>
      <c r="V207" t="str">
        <f>""</f>
        <v/>
      </c>
      <c r="W207" t="str">
        <f>""</f>
        <v/>
      </c>
      <c r="X207" t="str">
        <f>""</f>
        <v/>
      </c>
      <c r="Y207" t="str">
        <f>""</f>
        <v/>
      </c>
      <c r="Z207" t="str">
        <f>""</f>
        <v/>
      </c>
      <c r="AA207" t="str">
        <f>""</f>
        <v/>
      </c>
      <c r="AB207" t="str">
        <f>""</f>
        <v/>
      </c>
      <c r="AC207" t="str">
        <f>""</f>
        <v/>
      </c>
    </row>
    <row r="208" spans="1:29" x14ac:dyDescent="0.25">
      <c r="A208" t="str">
        <f>"Snapshot header"</f>
        <v>Snapshot header</v>
      </c>
      <c r="B208">
        <f>2</f>
        <v>2</v>
      </c>
      <c r="C208" t="str">
        <f>"2020 Q1"</f>
        <v>2020 Q1</v>
      </c>
      <c r="D208" t="str">
        <f>"2019 Q4"</f>
        <v>2019 Q4</v>
      </c>
      <c r="E208" t="str">
        <f>"2019 Q3"</f>
        <v>2019 Q3</v>
      </c>
      <c r="F208" t="str">
        <f>"2019 Q2"</f>
        <v>2019 Q2</v>
      </c>
      <c r="G208" t="str">
        <f>"2019 Q1"</f>
        <v>2019 Q1</v>
      </c>
      <c r="H208" t="str">
        <f>"2018 Q4"</f>
        <v>2018 Q4</v>
      </c>
      <c r="I208" t="str">
        <f>"2018 Q3"</f>
        <v>2018 Q3</v>
      </c>
      <c r="J208" t="str">
        <f>"2018 Q2"</f>
        <v>2018 Q2</v>
      </c>
      <c r="K208" t="str">
        <f>"2018 Q1"</f>
        <v>2018 Q1</v>
      </c>
      <c r="L208" t="str">
        <f>"2017 Q4"</f>
        <v>2017 Q4</v>
      </c>
      <c r="M208" t="str">
        <f>"2017 Q3"</f>
        <v>2017 Q3</v>
      </c>
      <c r="N208" t="str">
        <f>"2017 Q2"</f>
        <v>2017 Q2</v>
      </c>
      <c r="R208" t="str">
        <f>""</f>
        <v/>
      </c>
      <c r="S208" t="str">
        <f>""</f>
        <v/>
      </c>
      <c r="T208" t="str">
        <f>""</f>
        <v/>
      </c>
      <c r="U208" t="str">
        <f>""</f>
        <v/>
      </c>
      <c r="V208" t="str">
        <f>""</f>
        <v/>
      </c>
      <c r="W208" t="str">
        <f>""</f>
        <v/>
      </c>
      <c r="X208" t="str">
        <f>""</f>
        <v/>
      </c>
      <c r="Y208" t="str">
        <f>""</f>
        <v/>
      </c>
      <c r="Z208" t="str">
        <f>""</f>
        <v/>
      </c>
      <c r="AA208" t="str">
        <f>""</f>
        <v/>
      </c>
      <c r="AB208" t="str">
        <f>""</f>
        <v/>
      </c>
      <c r="AC208" t="str">
        <f>""</f>
        <v/>
      </c>
    </row>
    <row r="209" spans="1:29" x14ac:dyDescent="0.25">
      <c r="A209" t="str">
        <f>"BDH snapshot header0"</f>
        <v>BDH snapshot header0</v>
      </c>
      <c r="B209">
        <f>IF(OR(ISERROR($C$209),ISBLANK($C$209),ISNUMBER(SEARCH("N/A",$C$209) ),ISERROR($C$210),ISBLANK($C$210)),0,1)</f>
        <v>0</v>
      </c>
      <c r="C209" t="str">
        <f>_xll.BDH($B$5,$C$5,$B$108,$B$207,"PER=CQ","Dts=S","DtFmt=FI", "rows=2","Dir=H","Points=12","Sort=R","Days=A","Fill=B","FX=USD" )</f>
        <v>#N/A Invalid Parameter: Invalid override field id specified</v>
      </c>
      <c r="R209" t="str">
        <f>""</f>
        <v/>
      </c>
      <c r="S209" t="str">
        <f>""</f>
        <v/>
      </c>
      <c r="T209" t="str">
        <f>""</f>
        <v/>
      </c>
      <c r="U209" t="str">
        <f>""</f>
        <v/>
      </c>
      <c r="V209" t="str">
        <f>""</f>
        <v/>
      </c>
      <c r="W209" t="str">
        <f>""</f>
        <v/>
      </c>
      <c r="X209" t="str">
        <f>""</f>
        <v/>
      </c>
      <c r="Y209" t="str">
        <f>""</f>
        <v/>
      </c>
      <c r="Z209" t="str">
        <f>""</f>
        <v/>
      </c>
      <c r="AA209" t="str">
        <f>""</f>
        <v/>
      </c>
      <c r="AB209" t="str">
        <f>""</f>
        <v/>
      </c>
      <c r="AC209" t="str">
        <f>""</f>
        <v/>
      </c>
    </row>
    <row r="210" spans="1:29" x14ac:dyDescent="0.25">
      <c r="A210" t="str">
        <f>"BDH snapshot result0"</f>
        <v>BDH snapshot result0</v>
      </c>
      <c r="R210" t="str">
        <f>""</f>
        <v/>
      </c>
      <c r="S210" t="str">
        <f>""</f>
        <v/>
      </c>
      <c r="T210" t="str">
        <f>""</f>
        <v/>
      </c>
      <c r="U210" t="str">
        <f>""</f>
        <v/>
      </c>
      <c r="V210" t="str">
        <f>""</f>
        <v/>
      </c>
      <c r="W210" t="str">
        <f>""</f>
        <v/>
      </c>
      <c r="X210" t="str">
        <f>""</f>
        <v/>
      </c>
      <c r="Y210" t="str">
        <f>""</f>
        <v/>
      </c>
      <c r="Z210" t="str">
        <f>""</f>
        <v/>
      </c>
      <c r="AA210" t="str">
        <f>""</f>
        <v/>
      </c>
      <c r="AB210" t="str">
        <f>""</f>
        <v/>
      </c>
      <c r="AC210" t="str">
        <f>""</f>
        <v/>
      </c>
    </row>
    <row r="211" spans="1:29" x14ac:dyDescent="0.25">
      <c r="A211" t="str">
        <f>"BDH snapshot header1"</f>
        <v>BDH snapshot header1</v>
      </c>
      <c r="B211">
        <f>IF(OR(ISERROR($C$211),ISBLANK($C$211),ISNUMBER(SEARCH("N/A",$C$211) ),ISERROR($C$212),ISBLANK($C$212)),0,1)</f>
        <v>0</v>
      </c>
      <c r="C211" t="str">
        <f>_xll.BDH($B$6,$C$6,$B$108,$B$207,"PER=CQ","Dts=S","DtFmt=FI", "rows=2","Dir=H","Points=12","Sort=R","Days=A","Fill=B","FX=USD" )</f>
        <v>#N/A Invalid Parameter: Invalid override field id specified</v>
      </c>
      <c r="R211" t="str">
        <f>""</f>
        <v/>
      </c>
      <c r="S211" t="str">
        <f>""</f>
        <v/>
      </c>
      <c r="T211" t="str">
        <f>""</f>
        <v/>
      </c>
      <c r="U211" t="str">
        <f>""</f>
        <v/>
      </c>
      <c r="V211" t="str">
        <f>""</f>
        <v/>
      </c>
      <c r="W211" t="str">
        <f>""</f>
        <v/>
      </c>
      <c r="X211" t="str">
        <f>""</f>
        <v/>
      </c>
      <c r="Y211" t="str">
        <f>""</f>
        <v/>
      </c>
      <c r="Z211" t="str">
        <f>""</f>
        <v/>
      </c>
      <c r="AA211" t="str">
        <f>""</f>
        <v/>
      </c>
      <c r="AB211" t="str">
        <f>""</f>
        <v/>
      </c>
      <c r="AC211" t="str">
        <f>""</f>
        <v/>
      </c>
    </row>
    <row r="212" spans="1:29" x14ac:dyDescent="0.25">
      <c r="A212" t="str">
        <f>"BDH snapshot result1"</f>
        <v>BDH snapshot result1</v>
      </c>
      <c r="R212" t="str">
        <f>""</f>
        <v/>
      </c>
      <c r="S212" t="str">
        <f>""</f>
        <v/>
      </c>
      <c r="T212" t="str">
        <f>""</f>
        <v/>
      </c>
      <c r="U212" t="str">
        <f>""</f>
        <v/>
      </c>
      <c r="V212" t="str">
        <f>""</f>
        <v/>
      </c>
      <c r="W212" t="str">
        <f>""</f>
        <v/>
      </c>
      <c r="X212" t="str">
        <f>""</f>
        <v/>
      </c>
      <c r="Y212" t="str">
        <f>""</f>
        <v/>
      </c>
      <c r="Z212" t="str">
        <f>""</f>
        <v/>
      </c>
      <c r="AA212" t="str">
        <f>""</f>
        <v/>
      </c>
      <c r="AB212" t="str">
        <f>""</f>
        <v/>
      </c>
      <c r="AC212" t="str">
        <f>""</f>
        <v/>
      </c>
    </row>
    <row r="213" spans="1:29" x14ac:dyDescent="0.25">
      <c r="A213" t="str">
        <f>"BDH snapshot header2"</f>
        <v>BDH snapshot header2</v>
      </c>
      <c r="B213">
        <f>IF(OR(ISERROR($C$213),ISBLANK($C$213),ISNUMBER(SEARCH("N/A",$C$213) ),ISERROR($C$214),ISBLANK($C$214)),0,1)</f>
        <v>0</v>
      </c>
      <c r="C213" t="str">
        <f>_xll.BDH($B$7,$C$7,$B$108,$B$207,"PER=CQ","Dts=S","DtFmt=FI", "rows=2","Dir=H","Points=12","Sort=R","Days=A","Fill=B","FX=USD" )</f>
        <v>#N/A Invalid Parameter: Invalid override field id specified</v>
      </c>
      <c r="R213" t="str">
        <f>""</f>
        <v/>
      </c>
      <c r="S213" t="str">
        <f>""</f>
        <v/>
      </c>
      <c r="T213" t="str">
        <f>""</f>
        <v/>
      </c>
      <c r="U213" t="str">
        <f>""</f>
        <v/>
      </c>
      <c r="V213" t="str">
        <f>""</f>
        <v/>
      </c>
      <c r="W213" t="str">
        <f>""</f>
        <v/>
      </c>
      <c r="X213" t="str">
        <f>""</f>
        <v/>
      </c>
      <c r="Y213" t="str">
        <f>""</f>
        <v/>
      </c>
      <c r="Z213" t="str">
        <f>""</f>
        <v/>
      </c>
      <c r="AA213" t="str">
        <f>""</f>
        <v/>
      </c>
      <c r="AB213" t="str">
        <f>""</f>
        <v/>
      </c>
      <c r="AC213" t="str">
        <f>""</f>
        <v/>
      </c>
    </row>
    <row r="214" spans="1:29" x14ac:dyDescent="0.25">
      <c r="A214" t="str">
        <f>"BDH snapshot result2"</f>
        <v>BDH snapshot result2</v>
      </c>
      <c r="R214" t="str">
        <f>""</f>
        <v/>
      </c>
      <c r="S214" t="str">
        <f>""</f>
        <v/>
      </c>
      <c r="T214" t="str">
        <f>""</f>
        <v/>
      </c>
      <c r="U214" t="str">
        <f>""</f>
        <v/>
      </c>
      <c r="V214" t="str">
        <f>""</f>
        <v/>
      </c>
      <c r="W214" t="str">
        <f>""</f>
        <v/>
      </c>
      <c r="X214" t="str">
        <f>""</f>
        <v/>
      </c>
      <c r="Y214" t="str">
        <f>""</f>
        <v/>
      </c>
      <c r="Z214" t="str">
        <f>""</f>
        <v/>
      </c>
      <c r="AA214" t="str">
        <f>""</f>
        <v/>
      </c>
      <c r="AB214" t="str">
        <f>""</f>
        <v/>
      </c>
      <c r="AC214" t="str">
        <f>""</f>
        <v/>
      </c>
    </row>
    <row r="215" spans="1:29" x14ac:dyDescent="0.25">
      <c r="A215" t="str">
        <f>"BDH snapshot"</f>
        <v>BDH snapshot</v>
      </c>
      <c r="B215">
        <f>IF($B$209&gt;=1,$B$209,IF($B$211&gt;=1,$B$211,IF($B$213&gt;=1,$B$213,$B$208)))</f>
        <v>2</v>
      </c>
      <c r="C215" t="str">
        <f>IF($B$209&gt;=1,$C$209,IF($B$211&gt;=1,$C$211,IF($B$213&gt;=1,$C$213,$C$208)))</f>
        <v>2020 Q1</v>
      </c>
      <c r="D215" t="str">
        <f>IF($B$209&gt;=1,$D$209,IF($B$211&gt;=1,$D$211,IF($B$213&gt;=1,$D$213,$D$208)))</f>
        <v>2019 Q4</v>
      </c>
      <c r="E215" t="str">
        <f>IF($B$209&gt;=1,$E$209,IF($B$211&gt;=1,$E$211,IF($B$213&gt;=1,$E$213,$E$208)))</f>
        <v>2019 Q3</v>
      </c>
      <c r="F215" t="str">
        <f>IF($B$209&gt;=1,$F$209,IF($B$211&gt;=1,$F$211,IF($B$213&gt;=1,$F$213,$F$208)))</f>
        <v>2019 Q2</v>
      </c>
      <c r="G215" t="str">
        <f>IF($B$209&gt;=1,$G$209,IF($B$211&gt;=1,$G$211,IF($B$213&gt;=1,$G$213,$G$208)))</f>
        <v>2019 Q1</v>
      </c>
      <c r="H215" t="str">
        <f>IF($B$209&gt;=1,$H$209,IF($B$211&gt;=1,$H$211,IF($B$213&gt;=1,$H$213,$H$208)))</f>
        <v>2018 Q4</v>
      </c>
      <c r="I215" t="str">
        <f>IF($B$209&gt;=1,$I$209,IF($B$211&gt;=1,$I$211,IF($B$213&gt;=1,$I$213,$I$208)))</f>
        <v>2018 Q3</v>
      </c>
      <c r="J215" t="str">
        <f>IF($B$209&gt;=1,$J$209,IF($B$211&gt;=1,$J$211,IF($B$213&gt;=1,$J$213,$J$208)))</f>
        <v>2018 Q2</v>
      </c>
      <c r="K215" t="str">
        <f>IF($B$209&gt;=1,$K$209,IF($B$211&gt;=1,$K$211,IF($B$213&gt;=1,$K$213,$K$208)))</f>
        <v>2018 Q1</v>
      </c>
      <c r="L215" t="str">
        <f>IF($B$209&gt;=1,$L$209,IF($B$211&gt;=1,$L$211,IF($B$213&gt;=1,$L$213,$L$208)))</f>
        <v>2017 Q4</v>
      </c>
      <c r="M215" t="str">
        <f>IF($B$209&gt;=1,$M$209,IF($B$211&gt;=1,$M$211,IF($B$213&gt;=1,$M$213,$M$208)))</f>
        <v>2017 Q3</v>
      </c>
      <c r="N215" t="str">
        <f>IF($B$209&gt;=1,$N$209,IF($B$211&gt;=1,$N$211,IF($B$213&gt;=1,$N$213,$N$208)))</f>
        <v>2017 Q2</v>
      </c>
      <c r="R215" t="str">
        <f>""</f>
        <v/>
      </c>
      <c r="S215" t="str">
        <f>""</f>
        <v/>
      </c>
      <c r="T215" t="str">
        <f>""</f>
        <v/>
      </c>
      <c r="U215" t="str">
        <f>""</f>
        <v/>
      </c>
      <c r="V215" t="str">
        <f>""</f>
        <v/>
      </c>
      <c r="W215" t="str">
        <f>""</f>
        <v/>
      </c>
      <c r="X215" t="str">
        <f>""</f>
        <v/>
      </c>
      <c r="Y215" t="str">
        <f>""</f>
        <v/>
      </c>
      <c r="Z215" t="str">
        <f>""</f>
        <v/>
      </c>
      <c r="AA215" t="str">
        <f>""</f>
        <v/>
      </c>
      <c r="AB215" t="str">
        <f>""</f>
        <v/>
      </c>
      <c r="AC215" t="str">
        <f>""</f>
        <v/>
      </c>
    </row>
    <row r="216" spans="1:29" x14ac:dyDescent="0.25">
      <c r="A216" t="str">
        <f>"BDH snapshot title"</f>
        <v>BDH snapshot title</v>
      </c>
      <c r="B216">
        <f>$B$215</f>
        <v>2</v>
      </c>
      <c r="C216" t="str">
        <f>IF(LEN($C$215)&lt;&gt;8,$C$215,RIGHT($C$215,4)&amp;" "&amp;MID($C$215,3,1)&amp;LEFT($C$215,1))</f>
        <v>2020 Q1</v>
      </c>
      <c r="D216" t="str">
        <f>IF(LEN($D$215)&lt;&gt;8,$D$215,RIGHT($D$215,4)&amp;" "&amp;MID($D$215,3,1)&amp;LEFT($D$215,1))</f>
        <v>2019 Q4</v>
      </c>
      <c r="E216" t="str">
        <f>IF(LEN($E$215)&lt;&gt;8,$E$215,RIGHT($E$215,4)&amp;" "&amp;MID($E$215,3,1)&amp;LEFT($E$215,1))</f>
        <v>2019 Q3</v>
      </c>
      <c r="F216" t="str">
        <f>IF(LEN($F$215)&lt;&gt;8,$F$215,RIGHT($F$215,4)&amp;" "&amp;MID($F$215,3,1)&amp;LEFT($F$215,1))</f>
        <v>2019 Q2</v>
      </c>
      <c r="G216" t="str">
        <f>IF(LEN($G$215)&lt;&gt;8,$G$215,RIGHT($G$215,4)&amp;" "&amp;MID($G$215,3,1)&amp;LEFT($G$215,1))</f>
        <v>2019 Q1</v>
      </c>
      <c r="H216" t="str">
        <f>IF(LEN($H$215)&lt;&gt;8,$H$215,RIGHT($H$215,4)&amp;" "&amp;MID($H$215,3,1)&amp;LEFT($H$215,1))</f>
        <v>2018 Q4</v>
      </c>
      <c r="I216" t="str">
        <f>IF(LEN($I$215)&lt;&gt;8,$I$215,RIGHT($I$215,4)&amp;" "&amp;MID($I$215,3,1)&amp;LEFT($I$215,1))</f>
        <v>2018 Q3</v>
      </c>
      <c r="J216" t="str">
        <f>IF(LEN($J$215)&lt;&gt;8,$J$215,RIGHT($J$215,4)&amp;" "&amp;MID($J$215,3,1)&amp;LEFT($J$215,1))</f>
        <v>2018 Q2</v>
      </c>
      <c r="K216" t="str">
        <f>IF(LEN($K$215)&lt;&gt;8,$K$215,RIGHT($K$215,4)&amp;" "&amp;MID($K$215,3,1)&amp;LEFT($K$215,1))</f>
        <v>2018 Q1</v>
      </c>
      <c r="L216" t="str">
        <f>IF(LEN($L$215)&lt;&gt;8,$L$215,RIGHT($L$215,4)&amp;" "&amp;MID($L$215,3,1)&amp;LEFT($L$215,1))</f>
        <v>2017 Q4</v>
      </c>
      <c r="M216" t="str">
        <f>IF(LEN($M$215)&lt;&gt;8,$M$215,RIGHT($M$215,4)&amp;" "&amp;MID($M$215,3,1)&amp;LEFT($M$215,1))</f>
        <v>2017 Q3</v>
      </c>
      <c r="N216" t="str">
        <f>IF(LEN($N$215)&lt;&gt;8,$N$215,RIGHT($N$215,4)&amp;" "&amp;MID($N$215,3,1)&amp;LEFT($N$215,1))</f>
        <v>2017 Q2</v>
      </c>
      <c r="R216" t="str">
        <f>""</f>
        <v/>
      </c>
      <c r="S216" t="str">
        <f>""</f>
        <v/>
      </c>
      <c r="T216" t="str">
        <f>""</f>
        <v/>
      </c>
      <c r="U216" t="str">
        <f>""</f>
        <v/>
      </c>
      <c r="V216" t="str">
        <f>""</f>
        <v/>
      </c>
      <c r="W216" t="str">
        <f>""</f>
        <v/>
      </c>
      <c r="X216" t="str">
        <f>""</f>
        <v/>
      </c>
      <c r="Y216" t="str">
        <f>""</f>
        <v/>
      </c>
      <c r="Z216" t="str">
        <f>""</f>
        <v/>
      </c>
      <c r="AA216" t="str">
        <f>""</f>
        <v/>
      </c>
      <c r="AB216" t="str">
        <f>""</f>
        <v/>
      </c>
      <c r="AC216" t="str">
        <f>""</f>
        <v/>
      </c>
    </row>
    <row r="217" spans="1:29" x14ac:dyDescent="0.25">
      <c r="A217" t="str">
        <f>"BDH dynamic header0"</f>
        <v>BDH dynamic header0</v>
      </c>
      <c r="B217">
        <f ca="1">IF(OR(ISERROR($C$217),ISBLANK($C$217),ISNUMBER(SEARCH("N/A",$C$217) ),ISERROR($C$218),ISBLANK($C$218)),0,1)</f>
        <v>0</v>
      </c>
      <c r="C217" t="str">
        <f ca="1">_xll.BDH($B$5,$C$5,$B$108,$B$109,"PER=CQ","Dts=S","DtFmt=FI", "rows=2","Dir=H","Points=12","Sort=R","Days=A","Fill=B","FX=USD" )</f>
        <v>#N/A Invalid Parameter: Invalid override field id specified</v>
      </c>
      <c r="R217" t="str">
        <f>""</f>
        <v/>
      </c>
      <c r="S217" t="str">
        <f>""</f>
        <v/>
      </c>
      <c r="T217" t="str">
        <f>""</f>
        <v/>
      </c>
      <c r="U217" t="str">
        <f>""</f>
        <v/>
      </c>
      <c r="V217" t="str">
        <f>""</f>
        <v/>
      </c>
      <c r="W217" t="str">
        <f>""</f>
        <v/>
      </c>
      <c r="X217" t="str">
        <f>""</f>
        <v/>
      </c>
      <c r="Y217" t="str">
        <f>""</f>
        <v/>
      </c>
      <c r="Z217" t="str">
        <f>""</f>
        <v/>
      </c>
      <c r="AA217" t="str">
        <f>""</f>
        <v/>
      </c>
      <c r="AB217" t="str">
        <f>""</f>
        <v/>
      </c>
      <c r="AC217" t="str">
        <f>""</f>
        <v/>
      </c>
    </row>
    <row r="218" spans="1:29" x14ac:dyDescent="0.25">
      <c r="A218" t="str">
        <f>"BDH dynamic result0"</f>
        <v>BDH dynamic result0</v>
      </c>
      <c r="R218" t="str">
        <f>""</f>
        <v/>
      </c>
      <c r="S218" t="str">
        <f>""</f>
        <v/>
      </c>
      <c r="T218" t="str">
        <f>""</f>
        <v/>
      </c>
      <c r="U218" t="str">
        <f>""</f>
        <v/>
      </c>
      <c r="V218" t="str">
        <f>""</f>
        <v/>
      </c>
      <c r="W218" t="str">
        <f>""</f>
        <v/>
      </c>
      <c r="X218" t="str">
        <f>""</f>
        <v/>
      </c>
      <c r="Y218" t="str">
        <f>""</f>
        <v/>
      </c>
      <c r="Z218" t="str">
        <f>""</f>
        <v/>
      </c>
      <c r="AA218" t="str">
        <f>""</f>
        <v/>
      </c>
      <c r="AB218" t="str">
        <f>""</f>
        <v/>
      </c>
      <c r="AC218" t="str">
        <f>""</f>
        <v/>
      </c>
    </row>
    <row r="219" spans="1:29" x14ac:dyDescent="0.25">
      <c r="A219" t="str">
        <f>"BDH dynamic header1"</f>
        <v>BDH dynamic header1</v>
      </c>
      <c r="B219">
        <f ca="1">IF(OR(ISERROR($C$219),ISBLANK($C$219),ISNUMBER(SEARCH("N/A",$C$219) ),ISERROR($C$220),ISBLANK($C$220)),0,1)</f>
        <v>0</v>
      </c>
      <c r="C219" t="str">
        <f ca="1">_xll.BDH($B$6,$C$6,$B$108,$B$109,"PER=CQ","Dts=S","DtFmt=FI", "rows=2","Dir=H","Points=12","Sort=R","Days=A","Fill=B","FX=USD" )</f>
        <v>#N/A Invalid Parameter: Invalid override field id specified</v>
      </c>
      <c r="R219" t="str">
        <f>""</f>
        <v/>
      </c>
      <c r="S219" t="str">
        <f>""</f>
        <v/>
      </c>
      <c r="T219" t="str">
        <f>""</f>
        <v/>
      </c>
      <c r="U219" t="str">
        <f>""</f>
        <v/>
      </c>
      <c r="V219" t="str">
        <f>""</f>
        <v/>
      </c>
      <c r="W219" t="str">
        <f>""</f>
        <v/>
      </c>
      <c r="X219" t="str">
        <f>""</f>
        <v/>
      </c>
      <c r="Y219" t="str">
        <f>""</f>
        <v/>
      </c>
      <c r="Z219" t="str">
        <f>""</f>
        <v/>
      </c>
      <c r="AA219" t="str">
        <f>""</f>
        <v/>
      </c>
      <c r="AB219" t="str">
        <f>""</f>
        <v/>
      </c>
      <c r="AC219" t="str">
        <f>""</f>
        <v/>
      </c>
    </row>
    <row r="220" spans="1:29" x14ac:dyDescent="0.25">
      <c r="A220" t="str">
        <f>"BDH dynamic result1"</f>
        <v>BDH dynamic result1</v>
      </c>
      <c r="R220" t="str">
        <f>""</f>
        <v/>
      </c>
      <c r="S220" t="str">
        <f>""</f>
        <v/>
      </c>
      <c r="T220" t="str">
        <f>""</f>
        <v/>
      </c>
      <c r="U220" t="str">
        <f>""</f>
        <v/>
      </c>
      <c r="V220" t="str">
        <f>""</f>
        <v/>
      </c>
      <c r="W220" t="str">
        <f>""</f>
        <v/>
      </c>
      <c r="X220" t="str">
        <f>""</f>
        <v/>
      </c>
      <c r="Y220" t="str">
        <f>""</f>
        <v/>
      </c>
      <c r="Z220" t="str">
        <f>""</f>
        <v/>
      </c>
      <c r="AA220" t="str">
        <f>""</f>
        <v/>
      </c>
      <c r="AB220" t="str">
        <f>""</f>
        <v/>
      </c>
      <c r="AC220" t="str">
        <f>""</f>
        <v/>
      </c>
    </row>
    <row r="221" spans="1:29" x14ac:dyDescent="0.25">
      <c r="A221" t="str">
        <f>"BDH dynamic header2"</f>
        <v>BDH dynamic header2</v>
      </c>
      <c r="B221">
        <f ca="1">IF(OR(ISERROR($C$221),ISBLANK($C$221),ISNUMBER(SEARCH("N/A",$C$221) ),ISERROR($C$222),ISBLANK($C$222)),0,1)</f>
        <v>0</v>
      </c>
      <c r="C221" t="str">
        <f ca="1">_xll.BDH($B$7,$C$7,$B$108,$B$109,"PER=CQ","Dts=S","DtFmt=FI", "rows=2","Dir=H","Points=12","Sort=R","Days=A","Fill=B","FX=USD" )</f>
        <v>#N/A Invalid Parameter: Invalid override field id specified</v>
      </c>
      <c r="R221" t="str">
        <f>""</f>
        <v/>
      </c>
      <c r="S221" t="str">
        <f>""</f>
        <v/>
      </c>
      <c r="T221" t="str">
        <f>""</f>
        <v/>
      </c>
      <c r="U221" t="str">
        <f>""</f>
        <v/>
      </c>
      <c r="V221" t="str">
        <f>""</f>
        <v/>
      </c>
      <c r="W221" t="str">
        <f>""</f>
        <v/>
      </c>
      <c r="X221" t="str">
        <f>""</f>
        <v/>
      </c>
      <c r="Y221" t="str">
        <f>""</f>
        <v/>
      </c>
      <c r="Z221" t="str">
        <f>""</f>
        <v/>
      </c>
      <c r="AA221" t="str">
        <f>""</f>
        <v/>
      </c>
      <c r="AB221" t="str">
        <f>""</f>
        <v/>
      </c>
      <c r="AC221" t="str">
        <f>""</f>
        <v/>
      </c>
    </row>
    <row r="222" spans="1:29" x14ac:dyDescent="0.25">
      <c r="A222" t="str">
        <f>"BDH dynamic result2"</f>
        <v>BDH dynamic result2</v>
      </c>
      <c r="R222" t="str">
        <f>""</f>
        <v/>
      </c>
      <c r="S222" t="str">
        <f>""</f>
        <v/>
      </c>
      <c r="T222" t="str">
        <f>""</f>
        <v/>
      </c>
      <c r="U222" t="str">
        <f>""</f>
        <v/>
      </c>
      <c r="V222" t="str">
        <f>""</f>
        <v/>
      </c>
      <c r="W222" t="str">
        <f>""</f>
        <v/>
      </c>
      <c r="X222" t="str">
        <f>""</f>
        <v/>
      </c>
      <c r="Y222" t="str">
        <f>""</f>
        <v/>
      </c>
      <c r="Z222" t="str">
        <f>""</f>
        <v/>
      </c>
      <c r="AA222" t="str">
        <f>""</f>
        <v/>
      </c>
      <c r="AB222" t="str">
        <f>""</f>
        <v/>
      </c>
      <c r="AC222" t="str">
        <f>""</f>
        <v/>
      </c>
    </row>
    <row r="223" spans="1:29" x14ac:dyDescent="0.25">
      <c r="A223" t="str">
        <f>"BDH dynamic"</f>
        <v>BDH dynamic</v>
      </c>
      <c r="B223">
        <f ca="1">IF($B$217&gt;=1,$B$217,IF($B$219&gt;=1,$B$219,IF($B$221&gt;=1,$B$221,$B$208)))</f>
        <v>2</v>
      </c>
      <c r="C223" t="str">
        <f ca="1">IF($B$217&gt;=1,$C$217,IF($B$219&gt;=1,$C$219,IF($B$221&gt;=1,$C$221,$C$208)))</f>
        <v>2020 Q1</v>
      </c>
      <c r="D223" t="str">
        <f ca="1">IF($B$217&gt;=1,$D$217,IF($B$219&gt;=1,$D$219,IF($B$221&gt;=1,$D$221,$D$208)))</f>
        <v>2019 Q4</v>
      </c>
      <c r="E223" t="str">
        <f ca="1">IF($B$217&gt;=1,$E$217,IF($B$219&gt;=1,$E$219,IF($B$221&gt;=1,$E$221,$E$208)))</f>
        <v>2019 Q3</v>
      </c>
      <c r="F223" t="str">
        <f ca="1">IF($B$217&gt;=1,$F$217,IF($B$219&gt;=1,$F$219,IF($B$221&gt;=1,$F$221,$F$208)))</f>
        <v>2019 Q2</v>
      </c>
      <c r="G223" t="str">
        <f ca="1">IF($B$217&gt;=1,$G$217,IF($B$219&gt;=1,$G$219,IF($B$221&gt;=1,$G$221,$G$208)))</f>
        <v>2019 Q1</v>
      </c>
      <c r="H223" t="str">
        <f ca="1">IF($B$217&gt;=1,$H$217,IF($B$219&gt;=1,$H$219,IF($B$221&gt;=1,$H$221,$H$208)))</f>
        <v>2018 Q4</v>
      </c>
      <c r="I223" t="str">
        <f ca="1">IF($B$217&gt;=1,$I$217,IF($B$219&gt;=1,$I$219,IF($B$221&gt;=1,$I$221,$I$208)))</f>
        <v>2018 Q3</v>
      </c>
      <c r="J223" t="str">
        <f ca="1">IF($B$217&gt;=1,$J$217,IF($B$219&gt;=1,$J$219,IF($B$221&gt;=1,$J$221,$J$208)))</f>
        <v>2018 Q2</v>
      </c>
      <c r="K223" t="str">
        <f ca="1">IF($B$217&gt;=1,$K$217,IF($B$219&gt;=1,$K$219,IF($B$221&gt;=1,$K$221,$K$208)))</f>
        <v>2018 Q1</v>
      </c>
      <c r="L223" t="str">
        <f ca="1">IF($B$217&gt;=1,$L$217,IF($B$219&gt;=1,$L$219,IF($B$221&gt;=1,$L$221,$L$208)))</f>
        <v>2017 Q4</v>
      </c>
      <c r="M223" t="str">
        <f ca="1">IF($B$217&gt;=1,$M$217,IF($B$219&gt;=1,$M$219,IF($B$221&gt;=1,$M$221,$M$208)))</f>
        <v>2017 Q3</v>
      </c>
      <c r="N223" t="str">
        <f ca="1">IF($B$217&gt;=1,$N$217,IF($B$219&gt;=1,$N$219,IF($B$221&gt;=1,$N$221,$N$208)))</f>
        <v>2017 Q2</v>
      </c>
      <c r="R223" t="str">
        <f>""</f>
        <v/>
      </c>
      <c r="S223" t="str">
        <f>""</f>
        <v/>
      </c>
      <c r="T223" t="str">
        <f>""</f>
        <v/>
      </c>
      <c r="U223" t="str">
        <f>""</f>
        <v/>
      </c>
      <c r="V223" t="str">
        <f>""</f>
        <v/>
      </c>
      <c r="W223" t="str">
        <f>""</f>
        <v/>
      </c>
      <c r="X223" t="str">
        <f>""</f>
        <v/>
      </c>
      <c r="Y223" t="str">
        <f>""</f>
        <v/>
      </c>
      <c r="Z223" t="str">
        <f>""</f>
        <v/>
      </c>
      <c r="AA223" t="str">
        <f>""</f>
        <v/>
      </c>
      <c r="AB223" t="str">
        <f>""</f>
        <v/>
      </c>
      <c r="AC223" t="str">
        <f>""</f>
        <v/>
      </c>
    </row>
    <row r="224" spans="1:29" x14ac:dyDescent="0.25">
      <c r="A224" t="str">
        <f>"BDH dynamic title"</f>
        <v>BDH dynamic title</v>
      </c>
      <c r="B224">
        <f ca="1">$B$223</f>
        <v>2</v>
      </c>
      <c r="C224" t="str">
        <f ca="1">IF(LEN($C$223)&lt;&gt;8,$C$223,RIGHT($C$223,4)&amp;" "&amp;MID($C$223,3,1)&amp;LEFT($C$223,1))</f>
        <v>2020 Q1</v>
      </c>
      <c r="D224" t="str">
        <f ca="1">IF(LEN($D$223)&lt;&gt;8,$D$223,RIGHT($D$223,4)&amp;" "&amp;MID($D$223,3,1)&amp;LEFT($D$223,1))</f>
        <v>2019 Q4</v>
      </c>
      <c r="E224" t="str">
        <f ca="1">IF(LEN($E$223)&lt;&gt;8,$E$223,RIGHT($E$223,4)&amp;" "&amp;MID($E$223,3,1)&amp;LEFT($E$223,1))</f>
        <v>2019 Q3</v>
      </c>
      <c r="F224" t="str">
        <f ca="1">IF(LEN($F$223)&lt;&gt;8,$F$223,RIGHT($F$223,4)&amp;" "&amp;MID($F$223,3,1)&amp;LEFT($F$223,1))</f>
        <v>2019 Q2</v>
      </c>
      <c r="G224" t="str">
        <f ca="1">IF(LEN($G$223)&lt;&gt;8,$G$223,RIGHT($G$223,4)&amp;" "&amp;MID($G$223,3,1)&amp;LEFT($G$223,1))</f>
        <v>2019 Q1</v>
      </c>
      <c r="H224" t="str">
        <f ca="1">IF(LEN($H$223)&lt;&gt;8,$H$223,RIGHT($H$223,4)&amp;" "&amp;MID($H$223,3,1)&amp;LEFT($H$223,1))</f>
        <v>2018 Q4</v>
      </c>
      <c r="I224" t="str">
        <f ca="1">IF(LEN($I$223)&lt;&gt;8,$I$223,RIGHT($I$223,4)&amp;" "&amp;MID($I$223,3,1)&amp;LEFT($I$223,1))</f>
        <v>2018 Q3</v>
      </c>
      <c r="J224" t="str">
        <f ca="1">IF(LEN($J$223)&lt;&gt;8,$J$223,RIGHT($J$223,4)&amp;" "&amp;MID($J$223,3,1)&amp;LEFT($J$223,1))</f>
        <v>2018 Q2</v>
      </c>
      <c r="K224" t="str">
        <f ca="1">IF(LEN($K$223)&lt;&gt;8,$K$223,RIGHT($K$223,4)&amp;" "&amp;MID($K$223,3,1)&amp;LEFT($K$223,1))</f>
        <v>2018 Q1</v>
      </c>
      <c r="L224" t="str">
        <f ca="1">IF(LEN($L$223)&lt;&gt;8,$L$223,RIGHT($L$223,4)&amp;" "&amp;MID($L$223,3,1)&amp;LEFT($L$223,1))</f>
        <v>2017 Q4</v>
      </c>
      <c r="M224" t="str">
        <f ca="1">IF(LEN($M$223)&lt;&gt;8,$M$223,RIGHT($M$223,4)&amp;" "&amp;MID($M$223,3,1)&amp;LEFT($M$223,1))</f>
        <v>2017 Q3</v>
      </c>
      <c r="N224" t="str">
        <f ca="1">IF(LEN($N$223)&lt;&gt;8,$N$223,RIGHT($N$223,4)&amp;" "&amp;MID($N$223,3,1)&amp;LEFT($N$223,1))</f>
        <v>2017 Q2</v>
      </c>
      <c r="R224" t="str">
        <f>""</f>
        <v/>
      </c>
      <c r="S224" t="str">
        <f>""</f>
        <v/>
      </c>
      <c r="T224" t="str">
        <f>""</f>
        <v/>
      </c>
      <c r="U224" t="str">
        <f>""</f>
        <v/>
      </c>
      <c r="V224" t="str">
        <f>""</f>
        <v/>
      </c>
      <c r="W224" t="str">
        <f>""</f>
        <v/>
      </c>
      <c r="X224" t="str">
        <f>""</f>
        <v/>
      </c>
      <c r="Y224" t="str">
        <f>""</f>
        <v/>
      </c>
      <c r="Z224" t="str">
        <f>""</f>
        <v/>
      </c>
      <c r="AA224" t="str">
        <f>""</f>
        <v/>
      </c>
      <c r="AB224" t="str">
        <f>""</f>
        <v/>
      </c>
      <c r="AC224" t="str">
        <f>""</f>
        <v/>
      </c>
    </row>
    <row r="225" spans="1:29" x14ac:dyDescent="0.25">
      <c r="A225" t="str">
        <f>"No error found"</f>
        <v>No error found</v>
      </c>
      <c r="B225" t="str">
        <f>""</f>
        <v/>
      </c>
      <c r="C225" t="str">
        <f>""</f>
        <v/>
      </c>
      <c r="D225" t="str">
        <f>""</f>
        <v/>
      </c>
      <c r="E225" t="str">
        <f>""</f>
        <v/>
      </c>
      <c r="R225" t="str">
        <f>""</f>
        <v/>
      </c>
      <c r="S225" t="str">
        <f>""</f>
        <v/>
      </c>
      <c r="T225" t="str">
        <f>""</f>
        <v/>
      </c>
      <c r="U225" t="str">
        <f>""</f>
        <v/>
      </c>
      <c r="V225" t="str">
        <f>""</f>
        <v/>
      </c>
      <c r="W225" t="str">
        <f>""</f>
        <v/>
      </c>
      <c r="X225" t="str">
        <f>""</f>
        <v/>
      </c>
      <c r="Y225" t="str">
        <f>""</f>
        <v/>
      </c>
      <c r="Z225" t="str">
        <f>""</f>
        <v/>
      </c>
      <c r="AA225" t="str">
        <f>""</f>
        <v/>
      </c>
      <c r="AB225" t="str">
        <f>""</f>
        <v/>
      </c>
      <c r="AC225" t="str">
        <f>""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39750-7D70-4CFA-8D9A-5788F03C1C30}">
  <dimension ref="A2:AC225"/>
  <sheetViews>
    <sheetView tabSelected="1" workbookViewId="0">
      <selection activeCell="L16" sqref="L16"/>
    </sheetView>
  </sheetViews>
  <sheetFormatPr defaultRowHeight="15" x14ac:dyDescent="0.25"/>
  <sheetData>
    <row r="2" spans="1:29" x14ac:dyDescent="0.25">
      <c r="A2" t="s">
        <v>29</v>
      </c>
      <c r="B2" t="s">
        <v>30</v>
      </c>
      <c r="C2" t="s">
        <v>31</v>
      </c>
      <c r="D2" t="s">
        <v>32</v>
      </c>
      <c r="E2" t="s">
        <v>33</v>
      </c>
      <c r="F2" t="s">
        <v>45</v>
      </c>
      <c r="G2" t="s">
        <v>44</v>
      </c>
      <c r="H2" t="s">
        <v>43</v>
      </c>
      <c r="I2" t="s">
        <v>42</v>
      </c>
      <c r="J2" t="s">
        <v>41</v>
      </c>
      <c r="K2" t="s">
        <v>40</v>
      </c>
      <c r="L2" t="s">
        <v>39</v>
      </c>
      <c r="M2" t="s">
        <v>38</v>
      </c>
      <c r="N2" t="s">
        <v>37</v>
      </c>
      <c r="O2" t="s">
        <v>36</v>
      </c>
      <c r="P2" t="s">
        <v>35</v>
      </c>
      <c r="Q2" t="s">
        <v>34</v>
      </c>
      <c r="R2" t="s">
        <v>45</v>
      </c>
      <c r="S2" t="s">
        <v>44</v>
      </c>
      <c r="T2" t="s">
        <v>43</v>
      </c>
      <c r="U2" t="s">
        <v>42</v>
      </c>
      <c r="V2" t="s">
        <v>41</v>
      </c>
      <c r="W2" t="s">
        <v>40</v>
      </c>
      <c r="X2" t="s">
        <v>39</v>
      </c>
      <c r="Y2" t="s">
        <v>38</v>
      </c>
      <c r="Z2" t="s">
        <v>37</v>
      </c>
      <c r="AA2" t="s">
        <v>36</v>
      </c>
      <c r="AB2" t="s">
        <v>35</v>
      </c>
      <c r="AC2" t="s">
        <v>34</v>
      </c>
    </row>
    <row r="3" spans="1:29" x14ac:dyDescent="0.25">
      <c r="A3" t="s">
        <v>46</v>
      </c>
      <c r="B3" t="s">
        <v>47</v>
      </c>
      <c r="E3" t="s">
        <v>48</v>
      </c>
      <c r="R3" t="s">
        <v>47</v>
      </c>
      <c r="S3" t="s">
        <v>47</v>
      </c>
      <c r="T3" t="s">
        <v>47</v>
      </c>
      <c r="U3" t="s">
        <v>47</v>
      </c>
      <c r="V3" t="s">
        <v>47</v>
      </c>
      <c r="W3" t="s">
        <v>47</v>
      </c>
      <c r="X3" t="s">
        <v>47</v>
      </c>
      <c r="Y3" t="s">
        <v>47</v>
      </c>
      <c r="Z3" t="s">
        <v>47</v>
      </c>
      <c r="AA3" t="s">
        <v>47</v>
      </c>
      <c r="AB3" t="s">
        <v>47</v>
      </c>
      <c r="AC3" t="s">
        <v>47</v>
      </c>
    </row>
    <row r="4" spans="1:29" x14ac:dyDescent="0.25">
      <c r="A4" t="s">
        <v>49</v>
      </c>
      <c r="B4" t="s">
        <v>50</v>
      </c>
      <c r="E4" t="s">
        <v>51</v>
      </c>
      <c r="F4">
        <v>66352.303479299997</v>
      </c>
      <c r="G4">
        <v>71839.888519000015</v>
      </c>
      <c r="H4">
        <v>66469.051619799997</v>
      </c>
      <c r="I4">
        <v>67747.602970399996</v>
      </c>
      <c r="J4">
        <v>65907.573663499992</v>
      </c>
      <c r="K4">
        <v>70135.590173999997</v>
      </c>
      <c r="L4">
        <v>65556.1584783</v>
      </c>
      <c r="M4">
        <v>66745.474788100008</v>
      </c>
      <c r="N4">
        <v>65935.777257399997</v>
      </c>
      <c r="O4">
        <v>69218.333553999997</v>
      </c>
      <c r="P4">
        <v>64152.679203200001</v>
      </c>
      <c r="Q4">
        <v>63086.614398199999</v>
      </c>
      <c r="R4">
        <v>66352.303480000002</v>
      </c>
      <c r="S4">
        <v>71839.888519999993</v>
      </c>
      <c r="T4">
        <v>66469.051619999998</v>
      </c>
      <c r="U4">
        <v>67747.602970000007</v>
      </c>
      <c r="V4">
        <v>65907.573659999995</v>
      </c>
      <c r="W4">
        <v>70135.590169999996</v>
      </c>
      <c r="X4">
        <v>65556.158479999998</v>
      </c>
      <c r="Y4">
        <v>66745.474789999993</v>
      </c>
      <c r="Z4">
        <v>65935.777260000003</v>
      </c>
      <c r="AA4">
        <v>69218.333549999996</v>
      </c>
      <c r="AB4">
        <v>64152.679199999999</v>
      </c>
      <c r="AC4">
        <v>63086.614399999999</v>
      </c>
    </row>
    <row r="5" spans="1:29" x14ac:dyDescent="0.25">
      <c r="A5" t="s">
        <v>52</v>
      </c>
      <c r="B5" t="s">
        <v>53</v>
      </c>
      <c r="C5" t="s">
        <v>54</v>
      </c>
      <c r="D5" t="s">
        <v>55</v>
      </c>
      <c r="E5" t="s">
        <v>56</v>
      </c>
      <c r="F5">
        <v>11141.504999999999</v>
      </c>
      <c r="G5">
        <v>11358.958000000001</v>
      </c>
      <c r="H5">
        <v>11055.65</v>
      </c>
      <c r="I5">
        <v>11099.688</v>
      </c>
      <c r="J5">
        <v>10454.129000000001</v>
      </c>
      <c r="K5">
        <v>10605.546</v>
      </c>
      <c r="L5">
        <v>10503.986999999999</v>
      </c>
      <c r="M5">
        <v>10694.995999999999</v>
      </c>
      <c r="N5">
        <v>9909.2379999999994</v>
      </c>
      <c r="O5">
        <v>9884.3130000000001</v>
      </c>
      <c r="P5">
        <v>9640.9060000000009</v>
      </c>
      <c r="Q5">
        <v>9356.7870000000003</v>
      </c>
      <c r="R5">
        <v>11141.504999999999</v>
      </c>
      <c r="S5">
        <v>11358.958000000001</v>
      </c>
      <c r="T5">
        <v>11055.65</v>
      </c>
      <c r="U5">
        <v>11099.688</v>
      </c>
      <c r="V5">
        <v>10454.129000000001</v>
      </c>
      <c r="W5">
        <v>10605.546</v>
      </c>
      <c r="X5">
        <v>10503.986999999999</v>
      </c>
      <c r="Y5">
        <v>10694.995999999999</v>
      </c>
      <c r="Z5">
        <v>9909.2379999999994</v>
      </c>
      <c r="AA5">
        <v>9884.3130000000001</v>
      </c>
      <c r="AB5">
        <v>9640.9060000000009</v>
      </c>
      <c r="AC5">
        <v>9356.7870000000003</v>
      </c>
    </row>
    <row r="6" spans="1:29" x14ac:dyDescent="0.25">
      <c r="A6" t="s">
        <v>57</v>
      </c>
      <c r="B6" t="s">
        <v>58</v>
      </c>
      <c r="C6" t="s">
        <v>54</v>
      </c>
      <c r="D6" t="s">
        <v>55</v>
      </c>
      <c r="E6" t="s">
        <v>56</v>
      </c>
      <c r="F6">
        <v>1047.933</v>
      </c>
      <c r="G6">
        <v>1041.9570000000001</v>
      </c>
      <c r="H6">
        <v>1030.2529999999999</v>
      </c>
      <c r="I6">
        <v>1024.704</v>
      </c>
      <c r="J6">
        <v>1019.657</v>
      </c>
      <c r="K6">
        <v>1012.0549999999999</v>
      </c>
      <c r="L6">
        <v>1002.588</v>
      </c>
      <c r="M6">
        <v>1002.198</v>
      </c>
      <c r="N6">
        <v>992.34</v>
      </c>
      <c r="O6">
        <v>977.71100000000001</v>
      </c>
      <c r="P6">
        <v>979.72400000000005</v>
      </c>
      <c r="Q6">
        <v>966.69500000000005</v>
      </c>
      <c r="R6">
        <v>1047.933</v>
      </c>
      <c r="S6">
        <v>1041.9570000000001</v>
      </c>
      <c r="T6">
        <v>1030.2529999999999</v>
      </c>
      <c r="U6">
        <v>1024.704</v>
      </c>
      <c r="V6">
        <v>1019.657</v>
      </c>
      <c r="W6">
        <v>1012.0549999999999</v>
      </c>
      <c r="X6">
        <v>1002.588</v>
      </c>
      <c r="Y6">
        <v>1002.198</v>
      </c>
      <c r="Z6">
        <v>992.34</v>
      </c>
      <c r="AA6">
        <v>977.71100000000001</v>
      </c>
      <c r="AB6">
        <v>979.72400000000005</v>
      </c>
      <c r="AC6">
        <v>966.69500000000005</v>
      </c>
    </row>
    <row r="7" spans="1:29" x14ac:dyDescent="0.25">
      <c r="A7" t="s">
        <v>59</v>
      </c>
      <c r="B7" t="s">
        <v>60</v>
      </c>
      <c r="C7" t="s">
        <v>54</v>
      </c>
      <c r="D7" t="s">
        <v>55</v>
      </c>
      <c r="E7" t="s">
        <v>56</v>
      </c>
      <c r="F7">
        <v>3124.4922379999998</v>
      </c>
      <c r="G7">
        <v>3403.6452800000002</v>
      </c>
      <c r="H7">
        <v>3080.310215</v>
      </c>
      <c r="I7">
        <v>3287.5849520000002</v>
      </c>
      <c r="J7">
        <v>3200.30375</v>
      </c>
      <c r="K7">
        <v>3843.1831080000002</v>
      </c>
      <c r="L7">
        <v>3353.7181890000002</v>
      </c>
      <c r="M7">
        <v>2737.2684170000002</v>
      </c>
      <c r="N7">
        <v>3619.3021520000002</v>
      </c>
      <c r="O7">
        <v>3978.3979250000002</v>
      </c>
      <c r="P7">
        <v>3384.958482</v>
      </c>
      <c r="Q7">
        <v>3188.6062710000001</v>
      </c>
      <c r="R7">
        <v>3124.4922379999998</v>
      </c>
      <c r="S7">
        <v>3403.6452800000002</v>
      </c>
      <c r="T7">
        <v>3080.310215</v>
      </c>
      <c r="U7">
        <v>3287.5849520000002</v>
      </c>
      <c r="V7">
        <v>3200.30375</v>
      </c>
      <c r="W7">
        <v>3843.1831080000002</v>
      </c>
      <c r="X7">
        <v>3353.7181890000002</v>
      </c>
      <c r="Y7">
        <v>2737.2684170000002</v>
      </c>
      <c r="Z7">
        <v>3619.3021520000002</v>
      </c>
      <c r="AA7">
        <v>3978.3979250000002</v>
      </c>
      <c r="AB7">
        <v>3384.958482</v>
      </c>
      <c r="AC7">
        <v>3188.6062710000001</v>
      </c>
    </row>
    <row r="8" spans="1:29" x14ac:dyDescent="0.25">
      <c r="A8" t="s">
        <v>61</v>
      </c>
      <c r="B8" t="s">
        <v>62</v>
      </c>
      <c r="C8" t="s">
        <v>54</v>
      </c>
      <c r="D8" t="s">
        <v>55</v>
      </c>
      <c r="E8" t="s">
        <v>56</v>
      </c>
      <c r="F8">
        <v>3910.5765580000002</v>
      </c>
      <c r="G8">
        <v>4041.4135569999999</v>
      </c>
      <c r="H8">
        <v>3856.503909</v>
      </c>
      <c r="I8">
        <v>4006.6739360000001</v>
      </c>
      <c r="J8">
        <v>3907.8229959999999</v>
      </c>
      <c r="K8">
        <v>3996.0888490000002</v>
      </c>
      <c r="L8">
        <v>3753.745602</v>
      </c>
      <c r="M8">
        <v>3950.917915</v>
      </c>
      <c r="N8">
        <v>3874.926888</v>
      </c>
      <c r="O8">
        <v>3826.4697620000002</v>
      </c>
      <c r="P8">
        <v>3578.821081</v>
      </c>
      <c r="Q8">
        <v>3568.4644069999999</v>
      </c>
      <c r="R8">
        <v>3910.5765580000002</v>
      </c>
      <c r="S8">
        <v>4041.4135569999999</v>
      </c>
      <c r="T8">
        <v>3856.503909</v>
      </c>
      <c r="U8">
        <v>4006.6739360000001</v>
      </c>
      <c r="V8">
        <v>3907.8229959999999</v>
      </c>
      <c r="W8">
        <v>3996.0888490000002</v>
      </c>
      <c r="X8">
        <v>3753.745602</v>
      </c>
      <c r="Y8">
        <v>3950.917915</v>
      </c>
      <c r="Z8">
        <v>3874.926888</v>
      </c>
      <c r="AA8">
        <v>3826.4697620000002</v>
      </c>
      <c r="AB8">
        <v>3578.821081</v>
      </c>
      <c r="AC8">
        <v>3568.4644069999999</v>
      </c>
    </row>
    <row r="9" spans="1:29" x14ac:dyDescent="0.25">
      <c r="A9" t="s">
        <v>63</v>
      </c>
      <c r="B9" t="s">
        <v>64</v>
      </c>
      <c r="C9" t="s">
        <v>54</v>
      </c>
      <c r="D9" t="s">
        <v>55</v>
      </c>
      <c r="E9" t="s">
        <v>56</v>
      </c>
      <c r="F9">
        <v>2332.1932740000002</v>
      </c>
      <c r="G9">
        <v>2314.7656790000001</v>
      </c>
      <c r="H9">
        <v>2241.2733659999999</v>
      </c>
      <c r="I9">
        <v>2331.9430149999998</v>
      </c>
      <c r="J9">
        <v>2307.3579129999998</v>
      </c>
      <c r="K9">
        <v>2243.591238</v>
      </c>
      <c r="L9">
        <v>2141.1609079999998</v>
      </c>
      <c r="M9">
        <v>2278.661294</v>
      </c>
      <c r="N9">
        <v>2332.9850280000001</v>
      </c>
      <c r="O9">
        <v>2216.2137320000002</v>
      </c>
      <c r="P9">
        <v>2081.1847899999998</v>
      </c>
      <c r="Q9">
        <v>2109.3630290000001</v>
      </c>
      <c r="R9">
        <v>2332.1932740000002</v>
      </c>
      <c r="S9">
        <v>2314.7656790000001</v>
      </c>
      <c r="T9">
        <v>2241.2733659999999</v>
      </c>
      <c r="U9">
        <v>2331.9430149999998</v>
      </c>
      <c r="V9">
        <v>2307.3579129999998</v>
      </c>
      <c r="W9">
        <v>2243.591238</v>
      </c>
      <c r="X9">
        <v>2141.1609079999998</v>
      </c>
      <c r="Y9">
        <v>2278.661294</v>
      </c>
      <c r="Z9">
        <v>2332.9850280000001</v>
      </c>
      <c r="AA9">
        <v>2216.2137320000002</v>
      </c>
      <c r="AB9">
        <v>2081.1847899999998</v>
      </c>
      <c r="AC9">
        <v>2109.3630290000001</v>
      </c>
    </row>
    <row r="10" spans="1:29" x14ac:dyDescent="0.25">
      <c r="A10" t="s">
        <v>65</v>
      </c>
      <c r="B10" t="s">
        <v>66</v>
      </c>
      <c r="C10" t="s">
        <v>54</v>
      </c>
      <c r="D10" t="s">
        <v>55</v>
      </c>
      <c r="E10" t="s">
        <v>56</v>
      </c>
      <c r="F10">
        <v>4225</v>
      </c>
      <c r="G10">
        <v>4284</v>
      </c>
      <c r="H10">
        <v>4248</v>
      </c>
      <c r="I10">
        <v>4141</v>
      </c>
      <c r="J10">
        <v>4110</v>
      </c>
      <c r="K10">
        <v>4129</v>
      </c>
      <c r="L10">
        <v>4078</v>
      </c>
      <c r="M10">
        <v>4006</v>
      </c>
      <c r="N10">
        <v>3912</v>
      </c>
      <c r="O10">
        <v>3828</v>
      </c>
      <c r="P10">
        <v>3766</v>
      </c>
      <c r="Q10">
        <v>3670</v>
      </c>
      <c r="R10">
        <v>4225</v>
      </c>
      <c r="S10">
        <v>4284</v>
      </c>
      <c r="T10">
        <v>4248</v>
      </c>
      <c r="U10">
        <v>4141</v>
      </c>
      <c r="V10">
        <v>4110</v>
      </c>
      <c r="W10">
        <v>4129</v>
      </c>
      <c r="X10">
        <v>4078</v>
      </c>
      <c r="Y10">
        <v>4006</v>
      </c>
      <c r="Z10">
        <v>3912</v>
      </c>
      <c r="AA10">
        <v>3828</v>
      </c>
      <c r="AB10">
        <v>3766</v>
      </c>
      <c r="AC10">
        <v>3670</v>
      </c>
    </row>
    <row r="11" spans="1:29" x14ac:dyDescent="0.25">
      <c r="A11" t="s">
        <v>67</v>
      </c>
      <c r="B11" t="s">
        <v>68</v>
      </c>
      <c r="C11" t="s">
        <v>54</v>
      </c>
      <c r="D11" t="s">
        <v>55</v>
      </c>
      <c r="E11" t="s">
        <v>56</v>
      </c>
      <c r="F11">
        <v>1051</v>
      </c>
      <c r="G11">
        <v>1099</v>
      </c>
      <c r="H11">
        <v>1098</v>
      </c>
      <c r="I11">
        <v>1112</v>
      </c>
      <c r="J11">
        <v>1158</v>
      </c>
      <c r="K11">
        <v>1282</v>
      </c>
      <c r="L11">
        <v>1304</v>
      </c>
      <c r="M11">
        <v>1387</v>
      </c>
      <c r="N11">
        <v>1420</v>
      </c>
      <c r="O11">
        <v>1493</v>
      </c>
      <c r="P11">
        <v>1480</v>
      </c>
      <c r="Q11">
        <v>1496</v>
      </c>
      <c r="R11">
        <v>1051</v>
      </c>
      <c r="S11">
        <v>1099</v>
      </c>
      <c r="T11">
        <v>1098</v>
      </c>
      <c r="U11">
        <v>1112</v>
      </c>
      <c r="V11">
        <v>1158</v>
      </c>
      <c r="W11">
        <v>1282</v>
      </c>
      <c r="X11">
        <v>1304</v>
      </c>
      <c r="Y11">
        <v>1387</v>
      </c>
      <c r="Z11">
        <v>1420</v>
      </c>
      <c r="AA11">
        <v>1493</v>
      </c>
      <c r="AB11">
        <v>1480</v>
      </c>
      <c r="AC11">
        <v>1496</v>
      </c>
    </row>
    <row r="12" spans="1:29" x14ac:dyDescent="0.25">
      <c r="A12" t="s">
        <v>69</v>
      </c>
      <c r="B12" t="s">
        <v>70</v>
      </c>
      <c r="C12" t="s">
        <v>54</v>
      </c>
      <c r="D12" t="s">
        <v>55</v>
      </c>
      <c r="E12" t="s">
        <v>56</v>
      </c>
      <c r="F12">
        <v>4815</v>
      </c>
      <c r="G12">
        <v>5021</v>
      </c>
      <c r="H12">
        <v>4851</v>
      </c>
      <c r="I12">
        <v>4890</v>
      </c>
      <c r="J12">
        <v>5280</v>
      </c>
      <c r="K12">
        <v>5178</v>
      </c>
      <c r="L12">
        <v>5013</v>
      </c>
      <c r="M12">
        <v>5282</v>
      </c>
      <c r="N12">
        <v>5584</v>
      </c>
      <c r="O12">
        <v>5460</v>
      </c>
      <c r="P12">
        <v>5453</v>
      </c>
      <c r="Q12">
        <v>5236</v>
      </c>
      <c r="R12">
        <v>4815</v>
      </c>
      <c r="S12">
        <v>5021</v>
      </c>
      <c r="T12">
        <v>4851</v>
      </c>
      <c r="U12">
        <v>4890</v>
      </c>
      <c r="V12">
        <v>5280</v>
      </c>
      <c r="W12">
        <v>5178</v>
      </c>
      <c r="X12">
        <v>5013</v>
      </c>
      <c r="Y12">
        <v>5282</v>
      </c>
      <c r="Z12">
        <v>5584</v>
      </c>
      <c r="AA12">
        <v>5460</v>
      </c>
      <c r="AB12">
        <v>5453</v>
      </c>
      <c r="AC12">
        <v>5236</v>
      </c>
    </row>
    <row r="13" spans="1:29" x14ac:dyDescent="0.25">
      <c r="A13" t="s">
        <v>71</v>
      </c>
      <c r="B13" t="s">
        <v>72</v>
      </c>
      <c r="C13" t="s">
        <v>54</v>
      </c>
      <c r="D13" t="s">
        <v>55</v>
      </c>
      <c r="E13" t="s">
        <v>56</v>
      </c>
      <c r="F13">
        <v>651.35900000000004</v>
      </c>
      <c r="G13">
        <v>632.77499999999998</v>
      </c>
      <c r="H13">
        <v>588.10299999999995</v>
      </c>
      <c r="I13">
        <v>551.58699999999999</v>
      </c>
      <c r="J13">
        <v>521.33299999999997</v>
      </c>
      <c r="K13">
        <v>504.93099999999998</v>
      </c>
      <c r="L13">
        <v>468.18599999999998</v>
      </c>
      <c r="M13">
        <v>445.64699999999999</v>
      </c>
      <c r="N13">
        <v>424.14800000000002</v>
      </c>
      <c r="O13">
        <v>399.29700000000003</v>
      </c>
      <c r="P13">
        <v>377.52300000000002</v>
      </c>
      <c r="Q13">
        <v>348.97699999999998</v>
      </c>
      <c r="R13">
        <v>651.35900000000004</v>
      </c>
      <c r="S13">
        <v>632.77499999999998</v>
      </c>
      <c r="T13">
        <v>588.10299999999995</v>
      </c>
      <c r="U13">
        <v>551.58699999999999</v>
      </c>
      <c r="V13">
        <v>521.33299999999997</v>
      </c>
      <c r="W13">
        <v>504.93099999999998</v>
      </c>
      <c r="X13">
        <v>468.18599999999998</v>
      </c>
      <c r="Y13">
        <v>445.64699999999999</v>
      </c>
      <c r="Z13">
        <v>424.14800000000002</v>
      </c>
      <c r="AA13">
        <v>399.29700000000003</v>
      </c>
      <c r="AB13">
        <v>377.52300000000002</v>
      </c>
      <c r="AC13">
        <v>348.97699999999998</v>
      </c>
    </row>
    <row r="14" spans="1:29" x14ac:dyDescent="0.25">
      <c r="A14" t="s">
        <v>73</v>
      </c>
      <c r="B14" t="s">
        <v>74</v>
      </c>
      <c r="C14" t="s">
        <v>54</v>
      </c>
      <c r="D14" t="s">
        <v>55</v>
      </c>
      <c r="E14" t="s">
        <v>56</v>
      </c>
      <c r="F14">
        <v>923.19200000000001</v>
      </c>
      <c r="G14">
        <v>940.73900000000003</v>
      </c>
      <c r="H14">
        <v>888.79899999999998</v>
      </c>
      <c r="I14">
        <v>881.79899999999998</v>
      </c>
      <c r="J14">
        <v>809.20600000000002</v>
      </c>
      <c r="K14">
        <v>835.33900000000006</v>
      </c>
      <c r="L14">
        <v>747.97799999999995</v>
      </c>
      <c r="M14">
        <v>728.56100000000004</v>
      </c>
      <c r="N14">
        <v>688.91200000000003</v>
      </c>
      <c r="O14">
        <v>734.41300000000001</v>
      </c>
      <c r="P14">
        <v>708.82399999999996</v>
      </c>
      <c r="Q14">
        <v>670.697</v>
      </c>
      <c r="R14">
        <v>923.19200000000001</v>
      </c>
      <c r="S14">
        <v>940.73900000000003</v>
      </c>
      <c r="T14">
        <v>888.79899999999998</v>
      </c>
      <c r="U14">
        <v>881.79899999999998</v>
      </c>
      <c r="V14">
        <v>809.20600000000002</v>
      </c>
      <c r="W14">
        <v>835.33900000000006</v>
      </c>
      <c r="X14">
        <v>747.97799999999995</v>
      </c>
      <c r="Y14">
        <v>728.56100000000004</v>
      </c>
      <c r="Z14">
        <v>688.91200000000003</v>
      </c>
      <c r="AA14">
        <v>734.41300000000001</v>
      </c>
      <c r="AB14">
        <v>708.82399999999996</v>
      </c>
      <c r="AC14">
        <v>670.697</v>
      </c>
    </row>
    <row r="15" spans="1:29" x14ac:dyDescent="0.25">
      <c r="A15" t="s">
        <v>75</v>
      </c>
      <c r="B15" t="s">
        <v>76</v>
      </c>
      <c r="C15" t="s">
        <v>54</v>
      </c>
      <c r="D15" t="s">
        <v>55</v>
      </c>
      <c r="E15" t="s">
        <v>56</v>
      </c>
      <c r="F15">
        <v>2543.4</v>
      </c>
      <c r="G15">
        <v>2543.4</v>
      </c>
      <c r="H15">
        <v>2485.6</v>
      </c>
      <c r="I15">
        <v>2363.6</v>
      </c>
      <c r="J15">
        <v>2277.8000000000002</v>
      </c>
      <c r="K15">
        <v>2201.5</v>
      </c>
      <c r="L15">
        <v>2098.6</v>
      </c>
      <c r="M15">
        <v>2054.5</v>
      </c>
      <c r="N15">
        <v>2047.1011940000001</v>
      </c>
      <c r="O15">
        <v>1987.5</v>
      </c>
      <c r="P15">
        <v>1928</v>
      </c>
      <c r="Q15">
        <v>1884.2</v>
      </c>
      <c r="R15">
        <v>2543.4</v>
      </c>
      <c r="S15">
        <v>2543.4</v>
      </c>
      <c r="T15">
        <v>2485.6</v>
      </c>
      <c r="U15">
        <v>2363.6</v>
      </c>
      <c r="V15">
        <v>2277.8000000000002</v>
      </c>
      <c r="W15">
        <v>2201.5</v>
      </c>
      <c r="X15">
        <v>2098.6</v>
      </c>
      <c r="Y15">
        <v>2054.5</v>
      </c>
      <c r="Z15">
        <v>2047.1011940000001</v>
      </c>
      <c r="AA15">
        <v>1987.5</v>
      </c>
      <c r="AB15">
        <v>1928</v>
      </c>
      <c r="AC15">
        <v>1884.2</v>
      </c>
    </row>
    <row r="16" spans="1:29" x14ac:dyDescent="0.25">
      <c r="A16" t="s">
        <v>77</v>
      </c>
      <c r="B16" t="s">
        <v>78</v>
      </c>
      <c r="C16" t="s">
        <v>54</v>
      </c>
      <c r="D16" t="s">
        <v>55</v>
      </c>
      <c r="E16" t="s">
        <v>56</v>
      </c>
      <c r="F16">
        <v>810.44962729999997</v>
      </c>
      <c r="G16">
        <v>1014.714794</v>
      </c>
      <c r="H16">
        <v>824.34439080000004</v>
      </c>
      <c r="I16">
        <v>910.83406239999999</v>
      </c>
      <c r="J16">
        <v>835.39511649999997</v>
      </c>
      <c r="K16">
        <v>1061.251426</v>
      </c>
      <c r="L16">
        <v>826.3356953</v>
      </c>
      <c r="M16">
        <v>893.32352309999999</v>
      </c>
      <c r="N16">
        <v>877.11237540000002</v>
      </c>
      <c r="O16">
        <v>1054.380269</v>
      </c>
      <c r="P16">
        <v>865.56713420000005</v>
      </c>
      <c r="Q16">
        <v>815.44201220000002</v>
      </c>
      <c r="R16">
        <v>810.44962729999997</v>
      </c>
      <c r="S16">
        <v>1014.714794</v>
      </c>
      <c r="T16">
        <v>824.34439080000004</v>
      </c>
      <c r="U16">
        <v>910.83406239999999</v>
      </c>
      <c r="V16">
        <v>835.39511649999997</v>
      </c>
      <c r="W16">
        <v>1061.251426</v>
      </c>
      <c r="X16">
        <v>826.3356953</v>
      </c>
      <c r="Y16">
        <v>893.32352309999999</v>
      </c>
      <c r="Z16">
        <v>877.11237540000002</v>
      </c>
      <c r="AA16">
        <v>1054.380269</v>
      </c>
      <c r="AB16">
        <v>865.56713420000005</v>
      </c>
      <c r="AC16">
        <v>815.44201220000002</v>
      </c>
    </row>
    <row r="17" spans="1:29" x14ac:dyDescent="0.25">
      <c r="A17" t="s">
        <v>79</v>
      </c>
      <c r="B17" t="s">
        <v>80</v>
      </c>
      <c r="C17" t="s">
        <v>54</v>
      </c>
      <c r="D17" t="s">
        <v>55</v>
      </c>
      <c r="E17" t="s">
        <v>56</v>
      </c>
      <c r="F17">
        <v>3211.9106539999998</v>
      </c>
      <c r="G17">
        <v>3242.468218</v>
      </c>
      <c r="H17">
        <v>3215.798104</v>
      </c>
      <c r="I17">
        <v>3135.351823</v>
      </c>
      <c r="J17">
        <v>3057.2499299999999</v>
      </c>
      <c r="K17">
        <v>2969.9646299999999</v>
      </c>
      <c r="L17">
        <v>2941.5199309999998</v>
      </c>
      <c r="M17">
        <v>2852.7518420000001</v>
      </c>
      <c r="N17">
        <v>2809.0553110000001</v>
      </c>
      <c r="O17">
        <v>2748.8053</v>
      </c>
      <c r="P17">
        <v>2732.7473340000001</v>
      </c>
      <c r="Q17">
        <v>2648.259697</v>
      </c>
      <c r="R17">
        <v>3211.9106539999998</v>
      </c>
      <c r="S17">
        <v>3242.468218</v>
      </c>
      <c r="T17">
        <v>3215.798104</v>
      </c>
      <c r="U17">
        <v>3135.351823</v>
      </c>
      <c r="V17">
        <v>3057.2499299999999</v>
      </c>
      <c r="W17">
        <v>2969.9646299999999</v>
      </c>
      <c r="X17">
        <v>2941.5199309999998</v>
      </c>
      <c r="Y17">
        <v>2852.7518420000001</v>
      </c>
      <c r="Z17">
        <v>2809.0553110000001</v>
      </c>
      <c r="AA17">
        <v>2748.8053</v>
      </c>
      <c r="AB17">
        <v>2732.7473340000001</v>
      </c>
      <c r="AC17">
        <v>2648.259697</v>
      </c>
    </row>
    <row r="18" spans="1:29" x14ac:dyDescent="0.25">
      <c r="A18" t="s">
        <v>81</v>
      </c>
      <c r="B18" t="s">
        <v>82</v>
      </c>
      <c r="C18" t="s">
        <v>54</v>
      </c>
      <c r="D18" t="s">
        <v>55</v>
      </c>
      <c r="E18" t="s">
        <v>56</v>
      </c>
      <c r="F18">
        <v>17571</v>
      </c>
      <c r="G18">
        <v>21777</v>
      </c>
      <c r="H18">
        <v>18028</v>
      </c>
      <c r="I18">
        <v>19161</v>
      </c>
      <c r="J18">
        <v>18182</v>
      </c>
      <c r="K18">
        <v>21760</v>
      </c>
      <c r="L18">
        <v>18756</v>
      </c>
      <c r="M18">
        <v>20003</v>
      </c>
      <c r="N18">
        <v>19072</v>
      </c>
      <c r="O18">
        <v>22543</v>
      </c>
      <c r="P18">
        <v>19153</v>
      </c>
      <c r="Q18">
        <v>19289</v>
      </c>
      <c r="R18">
        <v>17571</v>
      </c>
      <c r="S18">
        <v>21777</v>
      </c>
      <c r="T18">
        <v>18028</v>
      </c>
      <c r="U18">
        <v>19161</v>
      </c>
      <c r="V18">
        <v>18182</v>
      </c>
      <c r="W18">
        <v>21760</v>
      </c>
      <c r="X18">
        <v>18756</v>
      </c>
      <c r="Y18">
        <v>20003</v>
      </c>
      <c r="Z18">
        <v>19072</v>
      </c>
      <c r="AA18">
        <v>22543</v>
      </c>
      <c r="AB18">
        <v>19153</v>
      </c>
      <c r="AC18">
        <v>19289</v>
      </c>
    </row>
    <row r="19" spans="1:29" x14ac:dyDescent="0.25">
      <c r="A19" t="s">
        <v>83</v>
      </c>
      <c r="B19" t="s">
        <v>84</v>
      </c>
      <c r="C19" t="s">
        <v>54</v>
      </c>
      <c r="D19" t="s">
        <v>55</v>
      </c>
      <c r="E19" t="s">
        <v>56</v>
      </c>
      <c r="F19">
        <v>5514.3758529999996</v>
      </c>
      <c r="G19">
        <v>5596.1081059999997</v>
      </c>
      <c r="H19">
        <v>5539.0058200000003</v>
      </c>
      <c r="I19">
        <v>5489.274402</v>
      </c>
      <c r="J19">
        <v>5395.1469360000001</v>
      </c>
      <c r="K19">
        <v>5181.894362</v>
      </c>
      <c r="L19">
        <v>5260.1666999999998</v>
      </c>
      <c r="M19">
        <v>5109.688983</v>
      </c>
      <c r="N19">
        <v>4982.6051589999997</v>
      </c>
      <c r="O19">
        <v>4774.029391</v>
      </c>
      <c r="P19">
        <v>4751.0011000000004</v>
      </c>
      <c r="Q19">
        <v>4587.5462509999998</v>
      </c>
      <c r="R19">
        <v>5514.3758529999996</v>
      </c>
      <c r="S19">
        <v>5596.1081059999997</v>
      </c>
      <c r="T19">
        <v>5539.0058200000003</v>
      </c>
      <c r="U19">
        <v>5489.274402</v>
      </c>
      <c r="V19">
        <v>5395.1469360000001</v>
      </c>
      <c r="W19">
        <v>5181.894362</v>
      </c>
      <c r="X19">
        <v>5260.1666999999998</v>
      </c>
      <c r="Y19">
        <v>5109.688983</v>
      </c>
      <c r="Z19">
        <v>4982.6051589999997</v>
      </c>
      <c r="AA19">
        <v>4774.029391</v>
      </c>
      <c r="AB19">
        <v>4751.0011000000004</v>
      </c>
      <c r="AC19">
        <v>4587.5462509999998</v>
      </c>
    </row>
    <row r="20" spans="1:29" x14ac:dyDescent="0.25">
      <c r="A20" t="s">
        <v>85</v>
      </c>
      <c r="B20" t="s">
        <v>86</v>
      </c>
      <c r="C20" t="s">
        <v>54</v>
      </c>
      <c r="D20" t="s">
        <v>55</v>
      </c>
      <c r="E20" t="s">
        <v>56</v>
      </c>
      <c r="F20">
        <v>1310.079369</v>
      </c>
      <c r="G20">
        <v>1355.6502519999999</v>
      </c>
      <c r="H20">
        <v>1288.917872</v>
      </c>
      <c r="I20">
        <v>1244.333318</v>
      </c>
      <c r="J20">
        <v>1262.1748250000001</v>
      </c>
      <c r="K20">
        <v>1241.23704</v>
      </c>
      <c r="L20">
        <v>1231.7373849999999</v>
      </c>
      <c r="M20">
        <v>1234.325231</v>
      </c>
      <c r="N20">
        <v>1251.204778</v>
      </c>
      <c r="O20">
        <v>1201.2251349999999</v>
      </c>
      <c r="P20">
        <v>1183.259217</v>
      </c>
      <c r="Q20">
        <v>1137.5979600000001</v>
      </c>
      <c r="R20">
        <v>1310.079369</v>
      </c>
      <c r="S20">
        <v>1355.6502519999999</v>
      </c>
      <c r="T20">
        <v>1288.917872</v>
      </c>
      <c r="U20">
        <v>1244.333318</v>
      </c>
      <c r="V20">
        <v>1262.1748250000001</v>
      </c>
      <c r="W20">
        <v>1241.23704</v>
      </c>
      <c r="X20">
        <v>1231.7373849999999</v>
      </c>
      <c r="Y20">
        <v>1234.325231</v>
      </c>
      <c r="Z20">
        <v>1251.204778</v>
      </c>
      <c r="AA20">
        <v>1201.2251349999999</v>
      </c>
      <c r="AB20">
        <v>1183.259217</v>
      </c>
      <c r="AC20">
        <v>1137.5979600000001</v>
      </c>
    </row>
    <row r="21" spans="1:29" x14ac:dyDescent="0.25">
      <c r="A21" t="s">
        <v>87</v>
      </c>
      <c r="B21" t="s">
        <v>88</v>
      </c>
      <c r="C21" t="s">
        <v>54</v>
      </c>
      <c r="D21" t="s">
        <v>55</v>
      </c>
      <c r="E21" t="s">
        <v>56</v>
      </c>
      <c r="F21">
        <v>2168.836906</v>
      </c>
      <c r="G21">
        <v>2172.2936330000002</v>
      </c>
      <c r="H21">
        <v>2149.4929430000002</v>
      </c>
      <c r="I21">
        <v>2116.2294619999998</v>
      </c>
      <c r="J21">
        <v>2129.9971970000001</v>
      </c>
      <c r="K21">
        <v>2090.0085210000002</v>
      </c>
      <c r="L21">
        <v>2075.4350679999998</v>
      </c>
      <c r="M21">
        <v>2084.6355830000002</v>
      </c>
      <c r="N21">
        <v>2138.846372</v>
      </c>
      <c r="O21">
        <v>2111.5780399999999</v>
      </c>
      <c r="P21">
        <v>2088.1630650000002</v>
      </c>
      <c r="Q21">
        <v>2112.9787710000001</v>
      </c>
      <c r="R21">
        <v>2168.836906</v>
      </c>
      <c r="S21">
        <v>2172.2936330000002</v>
      </c>
      <c r="T21">
        <v>2149.4929430000002</v>
      </c>
      <c r="U21">
        <v>2116.2294619999998</v>
      </c>
      <c r="V21">
        <v>2129.9971970000001</v>
      </c>
      <c r="W21">
        <v>2090.0085210000002</v>
      </c>
      <c r="X21">
        <v>2075.4350679999998</v>
      </c>
      <c r="Y21">
        <v>2084.6355830000002</v>
      </c>
      <c r="Z21">
        <v>2138.846372</v>
      </c>
      <c r="AA21">
        <v>2111.5780399999999</v>
      </c>
      <c r="AB21">
        <v>2088.1630650000002</v>
      </c>
      <c r="AC21">
        <v>2112.9787710000001</v>
      </c>
    </row>
    <row r="22" spans="1:29" x14ac:dyDescent="0.25">
      <c r="A22" t="s">
        <v>0</v>
      </c>
      <c r="B22" t="s">
        <v>50</v>
      </c>
      <c r="E22" t="s">
        <v>51</v>
      </c>
      <c r="F22">
        <v>20293.297756399999</v>
      </c>
      <c r="G22">
        <v>23981.744383999998</v>
      </c>
      <c r="H22">
        <v>20849.957725</v>
      </c>
      <c r="I22">
        <v>21413.771786099998</v>
      </c>
      <c r="J22">
        <v>20186.531719999999</v>
      </c>
      <c r="K22">
        <v>23101.705328799999</v>
      </c>
      <c r="L22">
        <v>21227.188045599996</v>
      </c>
      <c r="M22">
        <v>21390.540375199998</v>
      </c>
      <c r="N22">
        <v>19230.937822</v>
      </c>
      <c r="O22">
        <v>22713.867099499996</v>
      </c>
      <c r="P22">
        <v>20302.8509849</v>
      </c>
      <c r="Q22">
        <v>19583.0913927</v>
      </c>
      <c r="R22">
        <v>20293.297760000001</v>
      </c>
      <c r="S22">
        <v>23981.74438</v>
      </c>
      <c r="T22">
        <v>20849.957729999998</v>
      </c>
      <c r="U22">
        <v>21413.771789999999</v>
      </c>
      <c r="V22">
        <v>20186.531719999999</v>
      </c>
      <c r="W22">
        <v>23101.705330000001</v>
      </c>
      <c r="X22">
        <v>21227.188050000001</v>
      </c>
      <c r="Y22">
        <v>21390.540379999999</v>
      </c>
      <c r="Z22">
        <v>19230.937819999999</v>
      </c>
      <c r="AA22">
        <v>22713.867099999999</v>
      </c>
      <c r="AB22">
        <v>20302.850979999999</v>
      </c>
      <c r="AC22">
        <v>19583.091390000001</v>
      </c>
    </row>
    <row r="23" spans="1:29" x14ac:dyDescent="0.25">
      <c r="A23" t="s">
        <v>52</v>
      </c>
      <c r="B23" t="s">
        <v>53</v>
      </c>
      <c r="C23" t="s">
        <v>89</v>
      </c>
      <c r="D23" t="s">
        <v>90</v>
      </c>
      <c r="E23" t="s">
        <v>56</v>
      </c>
      <c r="F23">
        <v>3359.1709999999998</v>
      </c>
      <c r="G23">
        <v>3647.759</v>
      </c>
      <c r="H23">
        <v>3434.616</v>
      </c>
      <c r="I23">
        <v>3528.2979999999998</v>
      </c>
      <c r="J23">
        <v>3054.3490000000002</v>
      </c>
      <c r="K23">
        <v>3297.4250000000002</v>
      </c>
      <c r="L23">
        <v>3237.6559999999999</v>
      </c>
      <c r="M23">
        <v>3332.0149999999999</v>
      </c>
      <c r="N23">
        <v>2859.54</v>
      </c>
      <c r="O23">
        <v>3064.1529999999998</v>
      </c>
      <c r="P23">
        <v>2886.6729999999998</v>
      </c>
      <c r="Q23">
        <v>2909.6309999999999</v>
      </c>
      <c r="R23">
        <v>3359.1709999999998</v>
      </c>
      <c r="S23">
        <v>3647.759</v>
      </c>
      <c r="T23">
        <v>3434.616</v>
      </c>
      <c r="U23">
        <v>3528.2979999999998</v>
      </c>
      <c r="V23">
        <v>3054.3490000000002</v>
      </c>
      <c r="W23">
        <v>3297.4250000000002</v>
      </c>
      <c r="X23">
        <v>3237.6559999999999</v>
      </c>
      <c r="Y23">
        <v>3332.0149999999999</v>
      </c>
      <c r="Z23">
        <v>2859.54</v>
      </c>
      <c r="AA23">
        <v>3064.1529999999998</v>
      </c>
      <c r="AB23">
        <v>2886.6729999999998</v>
      </c>
      <c r="AC23">
        <v>2909.6309999999999</v>
      </c>
    </row>
    <row r="24" spans="1:29" x14ac:dyDescent="0.25">
      <c r="A24" t="s">
        <v>57</v>
      </c>
      <c r="B24" t="s">
        <v>58</v>
      </c>
      <c r="C24" t="s">
        <v>89</v>
      </c>
      <c r="D24" t="s">
        <v>90</v>
      </c>
      <c r="E24" t="s">
        <v>56</v>
      </c>
      <c r="F24">
        <v>363.96300000000002</v>
      </c>
      <c r="G24">
        <v>355.64499999999998</v>
      </c>
      <c r="H24">
        <v>363.12400000000002</v>
      </c>
      <c r="I24">
        <v>359.84199999999998</v>
      </c>
      <c r="J24">
        <v>361.04399999999998</v>
      </c>
      <c r="K24">
        <v>349.48700000000002</v>
      </c>
      <c r="L24">
        <v>347.66500000000002</v>
      </c>
      <c r="M24">
        <v>351.62900000000002</v>
      </c>
      <c r="N24">
        <v>345.75299999999999</v>
      </c>
      <c r="O24">
        <v>334.51400000000001</v>
      </c>
      <c r="P24">
        <v>343.279</v>
      </c>
      <c r="Q24">
        <v>338.05500000000001</v>
      </c>
      <c r="R24">
        <v>363.96300000000002</v>
      </c>
      <c r="S24">
        <v>355.64499999999998</v>
      </c>
      <c r="T24">
        <v>363.12400000000002</v>
      </c>
      <c r="U24">
        <v>359.84199999999998</v>
      </c>
      <c r="V24">
        <v>361.04399999999998</v>
      </c>
      <c r="W24">
        <v>349.48700000000002</v>
      </c>
      <c r="X24">
        <v>347.66500000000002</v>
      </c>
      <c r="Y24">
        <v>351.62900000000002</v>
      </c>
      <c r="Z24">
        <v>345.75299999999999</v>
      </c>
      <c r="AA24">
        <v>334.51400000000001</v>
      </c>
      <c r="AB24">
        <v>343.279</v>
      </c>
      <c r="AC24">
        <v>338.05500000000001</v>
      </c>
    </row>
    <row r="25" spans="1:29" x14ac:dyDescent="0.25">
      <c r="A25" t="s">
        <v>59</v>
      </c>
      <c r="B25" t="s">
        <v>60</v>
      </c>
      <c r="C25" t="s">
        <v>89</v>
      </c>
      <c r="D25" t="s">
        <v>90</v>
      </c>
      <c r="E25" t="s">
        <v>56</v>
      </c>
      <c r="F25" t="s">
        <v>47</v>
      </c>
      <c r="G25" t="s">
        <v>47</v>
      </c>
      <c r="H25" t="s">
        <v>47</v>
      </c>
      <c r="I25" t="s">
        <v>47</v>
      </c>
      <c r="J25" t="s">
        <v>47</v>
      </c>
      <c r="K25" t="s">
        <v>47</v>
      </c>
      <c r="L25" t="s">
        <v>47</v>
      </c>
      <c r="M25" t="s">
        <v>47</v>
      </c>
      <c r="N25" t="s">
        <v>47</v>
      </c>
      <c r="O25" t="s">
        <v>47</v>
      </c>
      <c r="P25" t="s">
        <v>47</v>
      </c>
      <c r="Q25" t="s">
        <v>47</v>
      </c>
      <c r="R25" t="s">
        <v>47</v>
      </c>
      <c r="S25" t="s">
        <v>47</v>
      </c>
      <c r="T25" t="s">
        <v>47</v>
      </c>
      <c r="U25" t="s">
        <v>47</v>
      </c>
      <c r="V25" t="s">
        <v>47</v>
      </c>
      <c r="W25" t="s">
        <v>47</v>
      </c>
      <c r="X25" t="s">
        <v>47</v>
      </c>
      <c r="Y25" t="s">
        <v>47</v>
      </c>
      <c r="Z25" t="s">
        <v>47</v>
      </c>
      <c r="AA25" t="s">
        <v>47</v>
      </c>
      <c r="AB25" t="s">
        <v>47</v>
      </c>
      <c r="AC25" t="s">
        <v>47</v>
      </c>
    </row>
    <row r="26" spans="1:29" x14ac:dyDescent="0.25">
      <c r="A26" t="s">
        <v>61</v>
      </c>
      <c r="B26" t="s">
        <v>62</v>
      </c>
      <c r="C26" t="s">
        <v>89</v>
      </c>
      <c r="D26" t="s">
        <v>90</v>
      </c>
      <c r="E26" t="s">
        <v>56</v>
      </c>
      <c r="F26" t="s">
        <v>47</v>
      </c>
      <c r="G26" t="s">
        <v>47</v>
      </c>
      <c r="H26" t="s">
        <v>47</v>
      </c>
      <c r="I26" t="s">
        <v>47</v>
      </c>
      <c r="J26" t="s">
        <v>47</v>
      </c>
      <c r="K26" t="s">
        <v>47</v>
      </c>
      <c r="L26" t="s">
        <v>47</v>
      </c>
      <c r="M26" t="s">
        <v>47</v>
      </c>
      <c r="N26" t="s">
        <v>47</v>
      </c>
      <c r="O26" t="s">
        <v>47</v>
      </c>
      <c r="P26" t="s">
        <v>47</v>
      </c>
      <c r="Q26" t="s">
        <v>47</v>
      </c>
      <c r="R26" t="s">
        <v>47</v>
      </c>
      <c r="S26" t="s">
        <v>47</v>
      </c>
      <c r="T26" t="s">
        <v>47</v>
      </c>
      <c r="U26" t="s">
        <v>47</v>
      </c>
      <c r="V26" t="s">
        <v>47</v>
      </c>
      <c r="W26" t="s">
        <v>47</v>
      </c>
      <c r="X26" t="s">
        <v>47</v>
      </c>
      <c r="Y26" t="s">
        <v>47</v>
      </c>
      <c r="Z26" t="s">
        <v>47</v>
      </c>
      <c r="AA26" t="s">
        <v>47</v>
      </c>
      <c r="AB26" t="s">
        <v>47</v>
      </c>
      <c r="AC26" t="s">
        <v>47</v>
      </c>
    </row>
    <row r="27" spans="1:29" x14ac:dyDescent="0.25">
      <c r="A27" t="s">
        <v>63</v>
      </c>
      <c r="B27" t="s">
        <v>64</v>
      </c>
      <c r="C27" t="s">
        <v>89</v>
      </c>
      <c r="D27" t="s">
        <v>90</v>
      </c>
      <c r="E27" t="s">
        <v>56</v>
      </c>
      <c r="F27">
        <v>361.64946079999999</v>
      </c>
      <c r="G27">
        <v>359.91563250000002</v>
      </c>
      <c r="H27">
        <v>346.31609250000002</v>
      </c>
      <c r="I27">
        <v>355.37162430000001</v>
      </c>
      <c r="J27">
        <v>343.95636610000003</v>
      </c>
      <c r="K27">
        <v>330.91075699999999</v>
      </c>
      <c r="L27">
        <v>334.60496849999998</v>
      </c>
      <c r="M27">
        <v>338.620069</v>
      </c>
      <c r="N27">
        <v>335.57726960000002</v>
      </c>
      <c r="O27">
        <v>319.63052909999999</v>
      </c>
      <c r="P27">
        <v>313.55274050000003</v>
      </c>
      <c r="Q27">
        <v>297.40814360000002</v>
      </c>
      <c r="R27">
        <v>361.64946079999999</v>
      </c>
      <c r="S27">
        <v>359.91563250000002</v>
      </c>
      <c r="T27">
        <v>346.31609250000002</v>
      </c>
      <c r="U27">
        <v>355.37162430000001</v>
      </c>
      <c r="V27">
        <v>343.95636610000003</v>
      </c>
      <c r="W27">
        <v>330.91075699999999</v>
      </c>
      <c r="X27">
        <v>334.60496849999998</v>
      </c>
      <c r="Y27">
        <v>338.620069</v>
      </c>
      <c r="Z27">
        <v>335.57726960000002</v>
      </c>
      <c r="AA27">
        <v>319.63052909999999</v>
      </c>
      <c r="AB27">
        <v>313.55274050000003</v>
      </c>
      <c r="AC27">
        <v>297.40814360000002</v>
      </c>
    </row>
    <row r="28" spans="1:29" x14ac:dyDescent="0.25">
      <c r="A28" t="s">
        <v>65</v>
      </c>
      <c r="B28" t="s">
        <v>66</v>
      </c>
      <c r="C28" t="s">
        <v>89</v>
      </c>
      <c r="D28" t="s">
        <v>90</v>
      </c>
      <c r="E28" t="s">
        <v>56</v>
      </c>
      <c r="F28">
        <v>1478</v>
      </c>
      <c r="G28">
        <v>1535</v>
      </c>
      <c r="H28">
        <v>1567</v>
      </c>
      <c r="I28">
        <v>1512</v>
      </c>
      <c r="J28">
        <v>1535</v>
      </c>
      <c r="K28">
        <v>1589</v>
      </c>
      <c r="L28">
        <v>1598</v>
      </c>
      <c r="M28">
        <v>1589</v>
      </c>
      <c r="N28">
        <v>1511</v>
      </c>
      <c r="O28">
        <v>1468</v>
      </c>
      <c r="P28">
        <v>1429</v>
      </c>
      <c r="Q28">
        <v>1409</v>
      </c>
      <c r="R28">
        <v>1478</v>
      </c>
      <c r="S28">
        <v>1535</v>
      </c>
      <c r="T28">
        <v>1567</v>
      </c>
      <c r="U28">
        <v>1512</v>
      </c>
      <c r="V28">
        <v>1535</v>
      </c>
      <c r="W28">
        <v>1589</v>
      </c>
      <c r="X28">
        <v>1598</v>
      </c>
      <c r="Y28">
        <v>1589</v>
      </c>
      <c r="Z28">
        <v>1511</v>
      </c>
      <c r="AA28">
        <v>1468</v>
      </c>
      <c r="AB28">
        <v>1429</v>
      </c>
      <c r="AC28">
        <v>1409</v>
      </c>
    </row>
    <row r="29" spans="1:29" x14ac:dyDescent="0.25">
      <c r="A29" t="s">
        <v>67</v>
      </c>
      <c r="B29" t="s">
        <v>68</v>
      </c>
      <c r="C29" t="s">
        <v>89</v>
      </c>
      <c r="D29" t="s">
        <v>90</v>
      </c>
      <c r="E29" t="s">
        <v>56</v>
      </c>
      <c r="F29">
        <v>219</v>
      </c>
      <c r="G29">
        <v>249</v>
      </c>
      <c r="H29">
        <v>239</v>
      </c>
      <c r="I29">
        <v>233</v>
      </c>
      <c r="J29">
        <v>252</v>
      </c>
      <c r="K29">
        <v>293</v>
      </c>
      <c r="L29">
        <v>299</v>
      </c>
      <c r="M29">
        <v>314</v>
      </c>
      <c r="N29">
        <v>305</v>
      </c>
      <c r="O29">
        <v>339</v>
      </c>
      <c r="P29">
        <v>261</v>
      </c>
      <c r="Q29">
        <v>243</v>
      </c>
      <c r="R29">
        <v>219</v>
      </c>
      <c r="S29">
        <v>249</v>
      </c>
      <c r="T29">
        <v>239</v>
      </c>
      <c r="U29">
        <v>233</v>
      </c>
      <c r="V29">
        <v>252</v>
      </c>
      <c r="W29">
        <v>293</v>
      </c>
      <c r="X29">
        <v>299</v>
      </c>
      <c r="Y29">
        <v>314</v>
      </c>
      <c r="Z29">
        <v>305</v>
      </c>
      <c r="AA29">
        <v>339</v>
      </c>
      <c r="AB29">
        <v>261</v>
      </c>
      <c r="AC29">
        <v>243</v>
      </c>
    </row>
    <row r="30" spans="1:29" x14ac:dyDescent="0.25">
      <c r="A30" t="s">
        <v>69</v>
      </c>
      <c r="B30" t="s">
        <v>70</v>
      </c>
      <c r="C30" t="s">
        <v>89</v>
      </c>
      <c r="D30" t="s">
        <v>90</v>
      </c>
      <c r="E30" t="s">
        <v>56</v>
      </c>
      <c r="F30">
        <v>1042</v>
      </c>
      <c r="G30">
        <v>1194</v>
      </c>
      <c r="H30">
        <v>1172</v>
      </c>
      <c r="I30">
        <v>1268</v>
      </c>
      <c r="J30">
        <v>1444</v>
      </c>
      <c r="K30">
        <v>1453</v>
      </c>
      <c r="L30">
        <v>1495</v>
      </c>
      <c r="M30">
        <v>1415</v>
      </c>
      <c r="N30">
        <v>1497</v>
      </c>
      <c r="O30">
        <v>1409</v>
      </c>
      <c r="P30">
        <v>1583</v>
      </c>
      <c r="Q30">
        <v>927</v>
      </c>
      <c r="R30">
        <v>1042</v>
      </c>
      <c r="S30">
        <v>1194</v>
      </c>
      <c r="T30">
        <v>1172</v>
      </c>
      <c r="U30">
        <v>1268</v>
      </c>
      <c r="V30">
        <v>1444</v>
      </c>
      <c r="W30">
        <v>1453</v>
      </c>
      <c r="X30">
        <v>1495</v>
      </c>
      <c r="Y30">
        <v>1415</v>
      </c>
      <c r="Z30">
        <v>1497</v>
      </c>
      <c r="AA30">
        <v>1409</v>
      </c>
      <c r="AB30">
        <v>1583</v>
      </c>
      <c r="AC30">
        <v>927</v>
      </c>
    </row>
    <row r="31" spans="1:29" x14ac:dyDescent="0.25">
      <c r="A31" t="s">
        <v>71</v>
      </c>
      <c r="B31" t="s">
        <v>72</v>
      </c>
      <c r="C31" t="s">
        <v>89</v>
      </c>
      <c r="D31" t="s">
        <v>90</v>
      </c>
      <c r="E31" t="s">
        <v>56</v>
      </c>
      <c r="F31">
        <v>227.55699999999999</v>
      </c>
      <c r="G31">
        <v>222.70599999999999</v>
      </c>
      <c r="H31">
        <v>210.578</v>
      </c>
      <c r="I31">
        <v>195.672</v>
      </c>
      <c r="J31">
        <v>176.64400000000001</v>
      </c>
      <c r="K31">
        <v>185.9</v>
      </c>
      <c r="L31">
        <v>167.10499999999999</v>
      </c>
      <c r="M31">
        <v>156.47200000000001</v>
      </c>
      <c r="N31">
        <v>146.51400000000001</v>
      </c>
      <c r="O31">
        <v>145.17599999999999</v>
      </c>
      <c r="P31">
        <v>138.154</v>
      </c>
      <c r="Q31">
        <v>128.845</v>
      </c>
      <c r="R31">
        <v>227.55699999999999</v>
      </c>
      <c r="S31">
        <v>222.70599999999999</v>
      </c>
      <c r="T31">
        <v>210.578</v>
      </c>
      <c r="U31">
        <v>195.672</v>
      </c>
      <c r="V31">
        <v>176.64400000000001</v>
      </c>
      <c r="W31">
        <v>185.9</v>
      </c>
      <c r="X31">
        <v>167.10499999999999</v>
      </c>
      <c r="Y31">
        <v>156.47200000000001</v>
      </c>
      <c r="Z31">
        <v>146.51400000000001</v>
      </c>
      <c r="AA31">
        <v>145.17599999999999</v>
      </c>
      <c r="AB31">
        <v>138.154</v>
      </c>
      <c r="AC31">
        <v>128.845</v>
      </c>
    </row>
    <row r="32" spans="1:29" x14ac:dyDescent="0.25">
      <c r="A32" t="s">
        <v>73</v>
      </c>
      <c r="B32" t="s">
        <v>74</v>
      </c>
      <c r="C32" t="s">
        <v>89</v>
      </c>
      <c r="D32" t="s">
        <v>90</v>
      </c>
      <c r="E32" t="s">
        <v>56</v>
      </c>
      <c r="F32">
        <v>318.42099999999999</v>
      </c>
      <c r="G32">
        <v>310.09100000000001</v>
      </c>
      <c r="H32">
        <v>315.14</v>
      </c>
      <c r="I32">
        <v>310.55500000000001</v>
      </c>
      <c r="J32">
        <v>290.06900000000002</v>
      </c>
      <c r="K32">
        <v>302.20499999999998</v>
      </c>
      <c r="L32">
        <v>266.56599999999997</v>
      </c>
      <c r="M32">
        <v>265.66300000000001</v>
      </c>
      <c r="N32">
        <v>244.58799999999999</v>
      </c>
      <c r="O32">
        <v>279.61</v>
      </c>
      <c r="P32">
        <v>280.03399999999999</v>
      </c>
      <c r="Q32">
        <v>256.18900000000002</v>
      </c>
      <c r="R32">
        <v>318.42099999999999</v>
      </c>
      <c r="S32">
        <v>310.09100000000001</v>
      </c>
      <c r="T32">
        <v>315.14</v>
      </c>
      <c r="U32">
        <v>310.55500000000001</v>
      </c>
      <c r="V32">
        <v>290.06900000000002</v>
      </c>
      <c r="W32">
        <v>302.20499999999998</v>
      </c>
      <c r="X32">
        <v>266.56599999999997</v>
      </c>
      <c r="Y32">
        <v>265.66300000000001</v>
      </c>
      <c r="Z32">
        <v>244.58799999999999</v>
      </c>
      <c r="AA32">
        <v>279.61</v>
      </c>
      <c r="AB32">
        <v>280.03399999999999</v>
      </c>
      <c r="AC32">
        <v>256.18900000000002</v>
      </c>
    </row>
    <row r="33" spans="1:29" x14ac:dyDescent="0.25">
      <c r="A33" t="s">
        <v>75</v>
      </c>
      <c r="B33" t="s">
        <v>76</v>
      </c>
      <c r="C33" t="s">
        <v>89</v>
      </c>
      <c r="D33" t="s">
        <v>90</v>
      </c>
      <c r="E33" t="s">
        <v>56</v>
      </c>
      <c r="F33">
        <v>1020.2</v>
      </c>
      <c r="G33">
        <v>976.7</v>
      </c>
      <c r="H33">
        <v>917.1</v>
      </c>
      <c r="I33">
        <v>792.3</v>
      </c>
      <c r="J33">
        <v>791.9</v>
      </c>
      <c r="K33">
        <v>776.5</v>
      </c>
      <c r="L33">
        <v>775.5</v>
      </c>
      <c r="M33">
        <v>706.5</v>
      </c>
      <c r="N33" t="s">
        <v>47</v>
      </c>
      <c r="O33">
        <v>682.1</v>
      </c>
      <c r="P33">
        <v>655.4</v>
      </c>
      <c r="Q33">
        <v>634.6</v>
      </c>
      <c r="R33">
        <v>1020.2</v>
      </c>
      <c r="S33">
        <v>976.7</v>
      </c>
      <c r="T33">
        <v>917.1</v>
      </c>
      <c r="U33">
        <v>792.3</v>
      </c>
      <c r="V33">
        <v>791.9</v>
      </c>
      <c r="W33">
        <v>776.5</v>
      </c>
      <c r="X33">
        <v>775.5</v>
      </c>
      <c r="Y33">
        <v>706.5</v>
      </c>
      <c r="Z33" t="s">
        <v>47</v>
      </c>
      <c r="AA33">
        <v>682.1</v>
      </c>
      <c r="AB33">
        <v>655.4</v>
      </c>
      <c r="AC33">
        <v>634.6</v>
      </c>
    </row>
    <row r="34" spans="1:29" x14ac:dyDescent="0.25">
      <c r="A34" t="s">
        <v>77</v>
      </c>
      <c r="B34" t="s">
        <v>78</v>
      </c>
      <c r="C34" t="s">
        <v>89</v>
      </c>
      <c r="D34" t="s">
        <v>90</v>
      </c>
      <c r="E34" t="s">
        <v>56</v>
      </c>
      <c r="F34" t="s">
        <v>47</v>
      </c>
      <c r="G34" t="s">
        <v>47</v>
      </c>
      <c r="H34" t="s">
        <v>47</v>
      </c>
      <c r="I34" t="s">
        <v>47</v>
      </c>
      <c r="J34" t="s">
        <v>47</v>
      </c>
      <c r="K34" t="s">
        <v>47</v>
      </c>
      <c r="L34" t="s">
        <v>47</v>
      </c>
      <c r="M34" t="s">
        <v>47</v>
      </c>
      <c r="N34" t="s">
        <v>47</v>
      </c>
      <c r="O34" t="s">
        <v>47</v>
      </c>
      <c r="P34" t="s">
        <v>47</v>
      </c>
      <c r="Q34" t="s">
        <v>47</v>
      </c>
      <c r="R34" t="s">
        <v>47</v>
      </c>
      <c r="S34" t="s">
        <v>47</v>
      </c>
      <c r="T34" t="s">
        <v>47</v>
      </c>
      <c r="U34" t="s">
        <v>47</v>
      </c>
      <c r="V34" t="s">
        <v>47</v>
      </c>
      <c r="W34" t="s">
        <v>47</v>
      </c>
      <c r="X34" t="s">
        <v>47</v>
      </c>
      <c r="Y34" t="s">
        <v>47</v>
      </c>
      <c r="Z34" t="s">
        <v>47</v>
      </c>
      <c r="AA34" t="s">
        <v>47</v>
      </c>
      <c r="AB34" t="s">
        <v>47</v>
      </c>
      <c r="AC34" t="s">
        <v>47</v>
      </c>
    </row>
    <row r="35" spans="1:29" x14ac:dyDescent="0.25">
      <c r="A35" t="s">
        <v>79</v>
      </c>
      <c r="B35" t="s">
        <v>80</v>
      </c>
      <c r="C35" t="s">
        <v>89</v>
      </c>
      <c r="D35" t="s">
        <v>90</v>
      </c>
      <c r="E35" t="s">
        <v>56</v>
      </c>
      <c r="F35">
        <v>1072.063357</v>
      </c>
      <c r="G35">
        <v>1083.8650689999999</v>
      </c>
      <c r="H35">
        <v>1072.927469</v>
      </c>
      <c r="I35">
        <v>1010.077109</v>
      </c>
      <c r="J35">
        <v>1029.918079</v>
      </c>
      <c r="K35">
        <v>1024.7765810000001</v>
      </c>
      <c r="L35">
        <v>1045.924501</v>
      </c>
      <c r="M35">
        <v>1020.118287</v>
      </c>
      <c r="N35">
        <v>1014.230057</v>
      </c>
      <c r="O35">
        <v>980.01690589999998</v>
      </c>
      <c r="P35">
        <v>986.25935530000004</v>
      </c>
      <c r="Q35">
        <v>958.01314009999999</v>
      </c>
      <c r="R35">
        <v>1072.063357</v>
      </c>
      <c r="S35">
        <v>1083.8650689999999</v>
      </c>
      <c r="T35">
        <v>1072.927469</v>
      </c>
      <c r="U35">
        <v>1010.077109</v>
      </c>
      <c r="V35">
        <v>1029.918079</v>
      </c>
      <c r="W35">
        <v>1024.7765810000001</v>
      </c>
      <c r="X35">
        <v>1045.924501</v>
      </c>
      <c r="Y35">
        <v>1020.118287</v>
      </c>
      <c r="Z35">
        <v>1014.230057</v>
      </c>
      <c r="AA35">
        <v>980.01690589999998</v>
      </c>
      <c r="AB35">
        <v>986.25935530000004</v>
      </c>
      <c r="AC35">
        <v>958.01314009999999</v>
      </c>
    </row>
    <row r="36" spans="1:29" x14ac:dyDescent="0.25">
      <c r="A36" t="s">
        <v>81</v>
      </c>
      <c r="B36" t="s">
        <v>82</v>
      </c>
      <c r="C36" t="s">
        <v>89</v>
      </c>
      <c r="D36" t="s">
        <v>90</v>
      </c>
      <c r="E36" t="s">
        <v>56</v>
      </c>
      <c r="F36">
        <v>7922</v>
      </c>
      <c r="G36">
        <v>11100</v>
      </c>
      <c r="H36">
        <v>8336</v>
      </c>
      <c r="I36">
        <v>9010</v>
      </c>
      <c r="J36">
        <v>8043</v>
      </c>
      <c r="K36">
        <v>10687</v>
      </c>
      <c r="L36">
        <v>8803</v>
      </c>
      <c r="M36">
        <v>9199</v>
      </c>
      <c r="N36">
        <v>8247</v>
      </c>
      <c r="O36">
        <v>11049</v>
      </c>
      <c r="P36">
        <v>8800</v>
      </c>
      <c r="Q36">
        <v>8968</v>
      </c>
      <c r="R36">
        <v>7922</v>
      </c>
      <c r="S36">
        <v>11100</v>
      </c>
      <c r="T36">
        <v>8336</v>
      </c>
      <c r="U36">
        <v>9010</v>
      </c>
      <c r="V36">
        <v>8043</v>
      </c>
      <c r="W36">
        <v>10687</v>
      </c>
      <c r="X36">
        <v>8803</v>
      </c>
      <c r="Y36">
        <v>9199</v>
      </c>
      <c r="Z36">
        <v>8247</v>
      </c>
      <c r="AA36">
        <v>11049</v>
      </c>
      <c r="AB36">
        <v>8800</v>
      </c>
      <c r="AC36">
        <v>8968</v>
      </c>
    </row>
    <row r="37" spans="1:29" x14ac:dyDescent="0.25">
      <c r="A37" t="s">
        <v>83</v>
      </c>
      <c r="B37" t="s">
        <v>84</v>
      </c>
      <c r="C37" t="s">
        <v>89</v>
      </c>
      <c r="D37" t="s">
        <v>90</v>
      </c>
      <c r="E37" t="s">
        <v>56</v>
      </c>
      <c r="F37">
        <v>2315.993684</v>
      </c>
      <c r="G37">
        <v>2314.7448720000002</v>
      </c>
      <c r="H37">
        <v>2261.53215</v>
      </c>
      <c r="I37">
        <v>2221.910793</v>
      </c>
      <c r="J37">
        <v>2252.5909459999998</v>
      </c>
      <c r="K37">
        <v>2165.4372950000002</v>
      </c>
      <c r="L37">
        <v>2234.2934150000001</v>
      </c>
      <c r="M37">
        <v>2114.5083450000002</v>
      </c>
      <c r="N37">
        <v>2105.0438819999999</v>
      </c>
      <c r="O37">
        <v>2014.719497</v>
      </c>
      <c r="P37">
        <v>2011.4090639999999</v>
      </c>
      <c r="Q37">
        <v>1906.256965</v>
      </c>
      <c r="R37">
        <v>2315.993684</v>
      </c>
      <c r="S37">
        <v>2314.7448720000002</v>
      </c>
      <c r="T37">
        <v>2261.53215</v>
      </c>
      <c r="U37">
        <v>2221.910793</v>
      </c>
      <c r="V37">
        <v>2252.5909459999998</v>
      </c>
      <c r="W37">
        <v>2165.4372950000002</v>
      </c>
      <c r="X37">
        <v>2234.2934150000001</v>
      </c>
      <c r="Y37">
        <v>2114.5083450000002</v>
      </c>
      <c r="Z37">
        <v>2105.0438819999999</v>
      </c>
      <c r="AA37">
        <v>2014.719497</v>
      </c>
      <c r="AB37">
        <v>2011.4090639999999</v>
      </c>
      <c r="AC37">
        <v>1906.256965</v>
      </c>
    </row>
    <row r="38" spans="1:29" x14ac:dyDescent="0.25">
      <c r="A38" t="s">
        <v>85</v>
      </c>
      <c r="B38" t="s">
        <v>86</v>
      </c>
      <c r="C38" t="s">
        <v>89</v>
      </c>
      <c r="D38" t="s">
        <v>90</v>
      </c>
      <c r="E38" t="s">
        <v>56</v>
      </c>
      <c r="F38" t="s">
        <v>47</v>
      </c>
      <c r="G38" t="s">
        <v>47</v>
      </c>
      <c r="H38" t="s">
        <v>47</v>
      </c>
      <c r="I38" t="s">
        <v>47</v>
      </c>
      <c r="J38" t="s">
        <v>47</v>
      </c>
      <c r="K38" t="s">
        <v>47</v>
      </c>
      <c r="L38" t="s">
        <v>47</v>
      </c>
      <c r="M38" t="s">
        <v>47</v>
      </c>
      <c r="N38" t="s">
        <v>47</v>
      </c>
      <c r="O38" t="s">
        <v>47</v>
      </c>
      <c r="P38" t="s">
        <v>47</v>
      </c>
      <c r="Q38" t="s">
        <v>47</v>
      </c>
      <c r="R38" t="s">
        <v>47</v>
      </c>
      <c r="S38" t="s">
        <v>47</v>
      </c>
      <c r="T38" t="s">
        <v>47</v>
      </c>
      <c r="U38" t="s">
        <v>47</v>
      </c>
      <c r="V38" t="s">
        <v>47</v>
      </c>
      <c r="W38" t="s">
        <v>47</v>
      </c>
      <c r="X38" t="s">
        <v>47</v>
      </c>
      <c r="Y38" t="s">
        <v>47</v>
      </c>
      <c r="Z38" t="s">
        <v>47</v>
      </c>
      <c r="AA38" t="s">
        <v>47</v>
      </c>
      <c r="AB38" t="s">
        <v>47</v>
      </c>
      <c r="AC38" t="s">
        <v>47</v>
      </c>
    </row>
    <row r="39" spans="1:29" x14ac:dyDescent="0.25">
      <c r="A39" t="s">
        <v>87</v>
      </c>
      <c r="B39" t="s">
        <v>88</v>
      </c>
      <c r="C39" t="s">
        <v>89</v>
      </c>
      <c r="D39" t="s">
        <v>90</v>
      </c>
      <c r="E39" t="s">
        <v>56</v>
      </c>
      <c r="F39">
        <v>593.27925459999994</v>
      </c>
      <c r="G39">
        <v>632.31781049999995</v>
      </c>
      <c r="H39">
        <v>614.62401350000005</v>
      </c>
      <c r="I39">
        <v>616.74525979999999</v>
      </c>
      <c r="J39">
        <v>612.06032889999994</v>
      </c>
      <c r="K39">
        <v>647.0636958</v>
      </c>
      <c r="L39">
        <v>622.87316109999995</v>
      </c>
      <c r="M39">
        <v>588.01467419999994</v>
      </c>
      <c r="N39">
        <v>619.69161340000005</v>
      </c>
      <c r="O39">
        <v>628.94716749999998</v>
      </c>
      <c r="P39">
        <v>615.08982509999998</v>
      </c>
      <c r="Q39">
        <v>607.09314400000005</v>
      </c>
      <c r="R39">
        <v>593.27925459999994</v>
      </c>
      <c r="S39">
        <v>632.31781049999995</v>
      </c>
      <c r="T39">
        <v>614.62401350000005</v>
      </c>
      <c r="U39">
        <v>616.74525979999999</v>
      </c>
      <c r="V39">
        <v>612.06032889999994</v>
      </c>
      <c r="W39">
        <v>647.0636958</v>
      </c>
      <c r="X39">
        <v>622.87316109999995</v>
      </c>
      <c r="Y39">
        <v>588.01467419999994</v>
      </c>
      <c r="Z39">
        <v>619.69161340000005</v>
      </c>
      <c r="AA39">
        <v>628.94716749999998</v>
      </c>
      <c r="AB39">
        <v>615.08982509999998</v>
      </c>
      <c r="AC39">
        <v>607.09314400000005</v>
      </c>
    </row>
    <row r="40" spans="1:29" x14ac:dyDescent="0.25">
      <c r="A40" t="s">
        <v>91</v>
      </c>
      <c r="B40" t="s">
        <v>50</v>
      </c>
      <c r="E40" t="s">
        <v>51</v>
      </c>
      <c r="F40">
        <v>6213.1338099400009</v>
      </c>
      <c r="G40">
        <v>14161.452780900001</v>
      </c>
      <c r="H40">
        <v>9660.0515013599997</v>
      </c>
      <c r="I40">
        <v>10648.18945722</v>
      </c>
      <c r="J40">
        <v>11004.72682942</v>
      </c>
      <c r="K40">
        <v>13591.663855300001</v>
      </c>
      <c r="L40">
        <v>11725.54473962</v>
      </c>
      <c r="M40">
        <v>12886.307394560001</v>
      </c>
      <c r="N40">
        <v>10170.122234679999</v>
      </c>
      <c r="O40">
        <v>13131.268641700002</v>
      </c>
      <c r="P40">
        <v>11411.211835909999</v>
      </c>
      <c r="Q40">
        <v>9597.4742789199991</v>
      </c>
      <c r="R40">
        <v>6213.1338100000003</v>
      </c>
      <c r="S40">
        <v>14161.45278</v>
      </c>
      <c r="T40">
        <v>9660.0515009999999</v>
      </c>
      <c r="U40">
        <v>10648.18946</v>
      </c>
      <c r="V40">
        <v>11004.72683</v>
      </c>
      <c r="W40">
        <v>13591.663860000001</v>
      </c>
      <c r="X40">
        <v>11725.544739999999</v>
      </c>
      <c r="Y40">
        <v>12886.3074</v>
      </c>
      <c r="Z40">
        <v>10170.122230000001</v>
      </c>
      <c r="AA40">
        <v>13131.26864</v>
      </c>
      <c r="AB40">
        <v>11411.21184</v>
      </c>
      <c r="AC40">
        <v>9597.474279</v>
      </c>
    </row>
    <row r="41" spans="1:29" x14ac:dyDescent="0.25">
      <c r="A41" t="s">
        <v>52</v>
      </c>
      <c r="B41" t="s">
        <v>53</v>
      </c>
      <c r="C41" t="s">
        <v>92</v>
      </c>
      <c r="D41" t="s">
        <v>91</v>
      </c>
      <c r="E41" t="s">
        <v>56</v>
      </c>
      <c r="F41">
        <v>2110.0100000000002</v>
      </c>
      <c r="G41">
        <v>2341.2649999999999</v>
      </c>
      <c r="H41">
        <v>1838.8240000000001</v>
      </c>
      <c r="I41">
        <v>1939.252</v>
      </c>
      <c r="J41">
        <v>1606.2239999999999</v>
      </c>
      <c r="K41">
        <v>1840.6969999999999</v>
      </c>
      <c r="L41">
        <v>1783.425</v>
      </c>
      <c r="M41">
        <v>1873.2639999999999</v>
      </c>
      <c r="N41">
        <v>1516.7080000000001</v>
      </c>
      <c r="O41">
        <v>1730.809</v>
      </c>
      <c r="P41">
        <v>1528.6310000000001</v>
      </c>
      <c r="Q41">
        <v>1059.915</v>
      </c>
      <c r="R41">
        <v>2110.0100000000002</v>
      </c>
      <c r="S41">
        <v>2341.2649999999999</v>
      </c>
      <c r="T41">
        <v>1838.8240000000001</v>
      </c>
      <c r="U41">
        <v>1939.252</v>
      </c>
      <c r="V41">
        <v>1606.2239999999999</v>
      </c>
      <c r="W41">
        <v>1840.6969999999999</v>
      </c>
      <c r="X41">
        <v>1783.425</v>
      </c>
      <c r="Y41">
        <v>1873.2639999999999</v>
      </c>
      <c r="Z41">
        <v>1516.7080000000001</v>
      </c>
      <c r="AA41">
        <v>1730.809</v>
      </c>
      <c r="AB41">
        <v>1528.6310000000001</v>
      </c>
      <c r="AC41">
        <v>1059.915</v>
      </c>
    </row>
    <row r="42" spans="1:29" x14ac:dyDescent="0.25">
      <c r="A42" t="s">
        <v>57</v>
      </c>
      <c r="B42" t="s">
        <v>58</v>
      </c>
      <c r="C42" t="s">
        <v>92</v>
      </c>
      <c r="D42" t="s">
        <v>91</v>
      </c>
      <c r="E42" t="s">
        <v>56</v>
      </c>
      <c r="F42">
        <v>205.82</v>
      </c>
      <c r="G42">
        <v>192.57599999999999</v>
      </c>
      <c r="H42">
        <v>194.66800000000001</v>
      </c>
      <c r="I42">
        <v>195.72499999999999</v>
      </c>
      <c r="J42">
        <v>200.55099999999999</v>
      </c>
      <c r="K42">
        <v>184.57400000000001</v>
      </c>
      <c r="L42">
        <v>122.622</v>
      </c>
      <c r="M42">
        <v>160.03899999999999</v>
      </c>
      <c r="N42">
        <v>185.49</v>
      </c>
      <c r="O42">
        <v>171.38</v>
      </c>
      <c r="P42">
        <v>183.399</v>
      </c>
      <c r="Q42">
        <v>184.40700000000001</v>
      </c>
      <c r="R42">
        <v>205.82</v>
      </c>
      <c r="S42">
        <v>192.57599999999999</v>
      </c>
      <c r="T42">
        <v>194.66800000000001</v>
      </c>
      <c r="U42">
        <v>195.72499999999999</v>
      </c>
      <c r="V42">
        <v>200.55099999999999</v>
      </c>
      <c r="W42">
        <v>184.57400000000001</v>
      </c>
      <c r="X42">
        <v>122.622</v>
      </c>
      <c r="Y42">
        <v>160.03899999999999</v>
      </c>
      <c r="Z42">
        <v>185.49</v>
      </c>
      <c r="AA42">
        <v>171.38</v>
      </c>
      <c r="AB42">
        <v>183.399</v>
      </c>
      <c r="AC42">
        <v>184.40700000000001</v>
      </c>
    </row>
    <row r="43" spans="1:29" x14ac:dyDescent="0.25">
      <c r="A43" t="s">
        <v>59</v>
      </c>
      <c r="B43" t="s">
        <v>60</v>
      </c>
      <c r="C43" t="s">
        <v>92</v>
      </c>
      <c r="D43" t="s">
        <v>91</v>
      </c>
      <c r="E43" t="s">
        <v>56</v>
      </c>
      <c r="F43" t="s">
        <v>47</v>
      </c>
      <c r="G43" t="s">
        <v>47</v>
      </c>
      <c r="H43" t="s">
        <v>47</v>
      </c>
      <c r="I43" t="s">
        <v>47</v>
      </c>
      <c r="J43" t="s">
        <v>47</v>
      </c>
      <c r="K43" t="s">
        <v>47</v>
      </c>
      <c r="L43" t="s">
        <v>47</v>
      </c>
      <c r="M43" t="s">
        <v>47</v>
      </c>
      <c r="N43" t="s">
        <v>47</v>
      </c>
      <c r="O43" t="s">
        <v>47</v>
      </c>
      <c r="P43" t="s">
        <v>47</v>
      </c>
      <c r="Q43" t="s">
        <v>47</v>
      </c>
      <c r="R43" t="s">
        <v>47</v>
      </c>
      <c r="S43" t="s">
        <v>47</v>
      </c>
      <c r="T43" t="s">
        <v>47</v>
      </c>
      <c r="U43" t="s">
        <v>47</v>
      </c>
      <c r="V43" t="s">
        <v>47</v>
      </c>
      <c r="W43" t="s">
        <v>47</v>
      </c>
      <c r="X43" t="s">
        <v>47</v>
      </c>
      <c r="Y43" t="s">
        <v>47</v>
      </c>
      <c r="Z43" t="s">
        <v>47</v>
      </c>
      <c r="AA43" t="s">
        <v>47</v>
      </c>
      <c r="AB43" t="s">
        <v>47</v>
      </c>
      <c r="AC43" t="s">
        <v>47</v>
      </c>
    </row>
    <row r="44" spans="1:29" x14ac:dyDescent="0.25">
      <c r="A44" t="s">
        <v>61</v>
      </c>
      <c r="B44" t="s">
        <v>62</v>
      </c>
      <c r="C44" t="s">
        <v>92</v>
      </c>
      <c r="D44" t="s">
        <v>91</v>
      </c>
      <c r="E44" t="s">
        <v>56</v>
      </c>
      <c r="F44" t="s">
        <v>47</v>
      </c>
      <c r="G44" t="s">
        <v>47</v>
      </c>
      <c r="H44" t="s">
        <v>47</v>
      </c>
      <c r="I44" t="s">
        <v>47</v>
      </c>
      <c r="J44" t="s">
        <v>47</v>
      </c>
      <c r="K44" t="s">
        <v>47</v>
      </c>
      <c r="L44" t="s">
        <v>47</v>
      </c>
      <c r="M44" t="s">
        <v>47</v>
      </c>
      <c r="N44" t="s">
        <v>47</v>
      </c>
      <c r="O44" t="s">
        <v>47</v>
      </c>
      <c r="P44" t="s">
        <v>47</v>
      </c>
      <c r="Q44" t="s">
        <v>47</v>
      </c>
      <c r="R44" t="s">
        <v>47</v>
      </c>
      <c r="S44" t="s">
        <v>47</v>
      </c>
      <c r="T44" t="s">
        <v>47</v>
      </c>
      <c r="U44" t="s">
        <v>47</v>
      </c>
      <c r="V44" t="s">
        <v>47</v>
      </c>
      <c r="W44" t="s">
        <v>47</v>
      </c>
      <c r="X44" t="s">
        <v>47</v>
      </c>
      <c r="Y44" t="s">
        <v>47</v>
      </c>
      <c r="Z44" t="s">
        <v>47</v>
      </c>
      <c r="AA44" t="s">
        <v>47</v>
      </c>
      <c r="AB44" t="s">
        <v>47</v>
      </c>
      <c r="AC44" t="s">
        <v>47</v>
      </c>
    </row>
    <row r="45" spans="1:29" x14ac:dyDescent="0.25">
      <c r="A45" t="s">
        <v>63</v>
      </c>
      <c r="B45" t="s">
        <v>64</v>
      </c>
      <c r="C45" t="s">
        <v>92</v>
      </c>
      <c r="D45" t="s">
        <v>91</v>
      </c>
      <c r="E45" t="s">
        <v>56</v>
      </c>
      <c r="F45">
        <v>435.50314279999998</v>
      </c>
      <c r="G45">
        <v>421.27071760000001</v>
      </c>
      <c r="H45">
        <v>399.22996619999998</v>
      </c>
      <c r="I45">
        <v>403.46808859999999</v>
      </c>
      <c r="J45">
        <v>411.19489340000001</v>
      </c>
      <c r="K45">
        <v>399.99252289999998</v>
      </c>
      <c r="L45">
        <v>395.26823630000001</v>
      </c>
      <c r="M45">
        <v>394.62824560000001</v>
      </c>
      <c r="N45">
        <v>381.80112759999997</v>
      </c>
      <c r="O45">
        <v>354.85445650000003</v>
      </c>
      <c r="P45">
        <v>320.4168785</v>
      </c>
      <c r="Q45">
        <v>365.63411819999999</v>
      </c>
      <c r="R45">
        <v>435.50314279999998</v>
      </c>
      <c r="S45">
        <v>421.27071760000001</v>
      </c>
      <c r="T45">
        <v>399.22996619999998</v>
      </c>
      <c r="U45">
        <v>403.46808859999999</v>
      </c>
      <c r="V45">
        <v>411.19489340000001</v>
      </c>
      <c r="W45">
        <v>399.99252289999998</v>
      </c>
      <c r="X45">
        <v>395.26823630000001</v>
      </c>
      <c r="Y45">
        <v>394.62824560000001</v>
      </c>
      <c r="Z45">
        <v>381.80112759999997</v>
      </c>
      <c r="AA45">
        <v>354.85445650000003</v>
      </c>
      <c r="AB45">
        <v>320.4168785</v>
      </c>
      <c r="AC45">
        <v>365.63411819999999</v>
      </c>
    </row>
    <row r="46" spans="1:29" x14ac:dyDescent="0.25">
      <c r="A46" t="s">
        <v>65</v>
      </c>
      <c r="B46" t="s">
        <v>66</v>
      </c>
      <c r="C46" t="s">
        <v>92</v>
      </c>
      <c r="D46" t="s">
        <v>91</v>
      </c>
      <c r="E46" t="s">
        <v>56</v>
      </c>
      <c r="F46">
        <v>715</v>
      </c>
      <c r="G46">
        <v>818</v>
      </c>
      <c r="H46">
        <v>859</v>
      </c>
      <c r="I46">
        <v>816</v>
      </c>
      <c r="J46">
        <v>672</v>
      </c>
      <c r="K46">
        <v>824</v>
      </c>
      <c r="L46">
        <v>872</v>
      </c>
      <c r="M46">
        <v>793</v>
      </c>
      <c r="N46">
        <v>810</v>
      </c>
      <c r="O46">
        <v>779</v>
      </c>
      <c r="P46">
        <v>762</v>
      </c>
      <c r="Q46">
        <v>813</v>
      </c>
      <c r="R46">
        <v>715</v>
      </c>
      <c r="S46">
        <v>818</v>
      </c>
      <c r="T46">
        <v>859</v>
      </c>
      <c r="U46">
        <v>816</v>
      </c>
      <c r="V46">
        <v>672</v>
      </c>
      <c r="W46">
        <v>824</v>
      </c>
      <c r="X46">
        <v>872</v>
      </c>
      <c r="Y46">
        <v>793</v>
      </c>
      <c r="Z46">
        <v>810</v>
      </c>
      <c r="AA46">
        <v>779</v>
      </c>
      <c r="AB46">
        <v>762</v>
      </c>
      <c r="AC46">
        <v>813</v>
      </c>
    </row>
    <row r="47" spans="1:29" x14ac:dyDescent="0.25">
      <c r="A47" t="s">
        <v>67</v>
      </c>
      <c r="B47" t="s">
        <v>68</v>
      </c>
      <c r="C47" t="s">
        <v>92</v>
      </c>
      <c r="D47" t="s">
        <v>91</v>
      </c>
      <c r="E47" t="s">
        <v>56</v>
      </c>
      <c r="F47">
        <v>83</v>
      </c>
      <c r="G47">
        <v>-503</v>
      </c>
      <c r="H47">
        <v>119</v>
      </c>
      <c r="I47">
        <v>-987</v>
      </c>
      <c r="J47">
        <v>-205</v>
      </c>
      <c r="K47">
        <v>-4</v>
      </c>
      <c r="L47">
        <v>-117</v>
      </c>
      <c r="M47">
        <v>204</v>
      </c>
      <c r="N47">
        <v>95</v>
      </c>
      <c r="O47">
        <v>156</v>
      </c>
      <c r="P47">
        <v>171</v>
      </c>
      <c r="Q47">
        <v>143</v>
      </c>
      <c r="R47">
        <v>83</v>
      </c>
      <c r="S47">
        <v>-503</v>
      </c>
      <c r="T47">
        <v>119</v>
      </c>
      <c r="U47">
        <v>-987</v>
      </c>
      <c r="V47">
        <v>-205</v>
      </c>
      <c r="W47">
        <v>-4</v>
      </c>
      <c r="X47">
        <v>-117</v>
      </c>
      <c r="Y47">
        <v>204</v>
      </c>
      <c r="Z47">
        <v>95</v>
      </c>
      <c r="AA47">
        <v>156</v>
      </c>
      <c r="AB47">
        <v>171</v>
      </c>
      <c r="AC47">
        <v>143</v>
      </c>
    </row>
    <row r="48" spans="1:29" x14ac:dyDescent="0.25">
      <c r="A48" t="s">
        <v>69</v>
      </c>
      <c r="B48" t="s">
        <v>70</v>
      </c>
      <c r="C48" t="s">
        <v>92</v>
      </c>
      <c r="D48" t="s">
        <v>91</v>
      </c>
      <c r="E48" t="s">
        <v>56</v>
      </c>
      <c r="F48">
        <v>-3172</v>
      </c>
      <c r="G48">
        <v>710</v>
      </c>
      <c r="H48">
        <v>-1445</v>
      </c>
      <c r="I48">
        <v>790</v>
      </c>
      <c r="J48">
        <v>912</v>
      </c>
      <c r="K48">
        <v>890</v>
      </c>
      <c r="L48">
        <v>778</v>
      </c>
      <c r="M48">
        <v>828</v>
      </c>
      <c r="N48">
        <v>1285</v>
      </c>
      <c r="O48">
        <v>795</v>
      </c>
      <c r="P48">
        <v>1173</v>
      </c>
      <c r="Q48">
        <v>368</v>
      </c>
      <c r="R48">
        <v>-3172</v>
      </c>
      <c r="S48">
        <v>710</v>
      </c>
      <c r="T48">
        <v>-1445</v>
      </c>
      <c r="U48">
        <v>790</v>
      </c>
      <c r="V48">
        <v>912</v>
      </c>
      <c r="W48">
        <v>890</v>
      </c>
      <c r="X48">
        <v>778</v>
      </c>
      <c r="Y48">
        <v>828</v>
      </c>
      <c r="Z48">
        <v>1285</v>
      </c>
      <c r="AA48">
        <v>795</v>
      </c>
      <c r="AB48">
        <v>1173</v>
      </c>
      <c r="AC48">
        <v>368</v>
      </c>
    </row>
    <row r="49" spans="1:29" x14ac:dyDescent="0.25">
      <c r="A49" t="s">
        <v>71</v>
      </c>
      <c r="B49" t="s">
        <v>72</v>
      </c>
      <c r="C49" t="s">
        <v>92</v>
      </c>
      <c r="D49" t="s">
        <v>91</v>
      </c>
      <c r="E49" t="s">
        <v>56</v>
      </c>
      <c r="F49">
        <v>121.312</v>
      </c>
      <c r="G49">
        <v>115.322</v>
      </c>
      <c r="H49">
        <v>107.238</v>
      </c>
      <c r="I49">
        <v>98.629000000000005</v>
      </c>
      <c r="J49">
        <v>88.122</v>
      </c>
      <c r="K49">
        <v>88.453000000000003</v>
      </c>
      <c r="L49">
        <v>73.879000000000005</v>
      </c>
      <c r="M49">
        <v>63.198999999999998</v>
      </c>
      <c r="N49">
        <v>56.872999999999998</v>
      </c>
      <c r="O49">
        <v>59.746000000000002</v>
      </c>
      <c r="P49">
        <v>56.421999999999997</v>
      </c>
      <c r="Q49">
        <v>47.701999999999998</v>
      </c>
      <c r="R49">
        <v>121.312</v>
      </c>
      <c r="S49">
        <v>115.322</v>
      </c>
      <c r="T49">
        <v>107.238</v>
      </c>
      <c r="U49">
        <v>98.629000000000005</v>
      </c>
      <c r="V49">
        <v>88.122</v>
      </c>
      <c r="W49">
        <v>88.453000000000003</v>
      </c>
      <c r="X49">
        <v>73.879000000000005</v>
      </c>
      <c r="Y49">
        <v>63.198999999999998</v>
      </c>
      <c r="Z49">
        <v>56.872999999999998</v>
      </c>
      <c r="AA49">
        <v>59.746000000000002</v>
      </c>
      <c r="AB49">
        <v>56.421999999999997</v>
      </c>
      <c r="AC49">
        <v>47.701999999999998</v>
      </c>
    </row>
    <row r="50" spans="1:29" x14ac:dyDescent="0.25">
      <c r="A50" t="s">
        <v>73</v>
      </c>
      <c r="B50" t="s">
        <v>74</v>
      </c>
      <c r="C50" t="s">
        <v>92</v>
      </c>
      <c r="D50" t="s">
        <v>91</v>
      </c>
      <c r="E50" t="s">
        <v>56</v>
      </c>
      <c r="F50">
        <v>149.893</v>
      </c>
      <c r="G50">
        <v>178.33</v>
      </c>
      <c r="H50">
        <v>163.58000000000001</v>
      </c>
      <c r="I50">
        <v>156.006</v>
      </c>
      <c r="J50">
        <v>134.60900000000001</v>
      </c>
      <c r="K50">
        <v>137.81299999999999</v>
      </c>
      <c r="L50">
        <v>119.399</v>
      </c>
      <c r="M50">
        <v>105.125</v>
      </c>
      <c r="N50">
        <v>89.533000000000001</v>
      </c>
      <c r="O50">
        <v>100.169</v>
      </c>
      <c r="P50">
        <v>123.029</v>
      </c>
      <c r="Q50">
        <v>102.51900000000001</v>
      </c>
      <c r="R50">
        <v>149.893</v>
      </c>
      <c r="S50">
        <v>178.33</v>
      </c>
      <c r="T50">
        <v>163.58000000000001</v>
      </c>
      <c r="U50">
        <v>156.006</v>
      </c>
      <c r="V50">
        <v>134.60900000000001</v>
      </c>
      <c r="W50">
        <v>137.81299999999999</v>
      </c>
      <c r="X50">
        <v>119.399</v>
      </c>
      <c r="Y50">
        <v>105.125</v>
      </c>
      <c r="Z50">
        <v>89.533000000000001</v>
      </c>
      <c r="AA50">
        <v>100.169</v>
      </c>
      <c r="AB50">
        <v>123.029</v>
      </c>
      <c r="AC50">
        <v>102.51900000000001</v>
      </c>
    </row>
    <row r="51" spans="1:29" x14ac:dyDescent="0.25">
      <c r="A51" t="s">
        <v>75</v>
      </c>
      <c r="B51" t="s">
        <v>76</v>
      </c>
      <c r="C51" t="s">
        <v>92</v>
      </c>
      <c r="D51" t="s">
        <v>91</v>
      </c>
      <c r="E51" t="s">
        <v>56</v>
      </c>
      <c r="F51">
        <v>646.20000000000005</v>
      </c>
      <c r="G51">
        <v>627.1</v>
      </c>
      <c r="H51">
        <v>582</v>
      </c>
      <c r="I51">
        <v>489.4</v>
      </c>
      <c r="J51">
        <v>510.6</v>
      </c>
      <c r="K51">
        <v>509.3</v>
      </c>
      <c r="L51">
        <v>492.5</v>
      </c>
      <c r="M51">
        <v>477.6</v>
      </c>
      <c r="N51">
        <v>469.44451409999999</v>
      </c>
      <c r="O51">
        <v>459.9</v>
      </c>
      <c r="P51">
        <v>427.8</v>
      </c>
      <c r="Q51">
        <v>415.7</v>
      </c>
      <c r="R51">
        <v>646.20000000000005</v>
      </c>
      <c r="S51">
        <v>627.1</v>
      </c>
      <c r="T51">
        <v>582</v>
      </c>
      <c r="U51">
        <v>489.4</v>
      </c>
      <c r="V51">
        <v>510.6</v>
      </c>
      <c r="W51">
        <v>509.3</v>
      </c>
      <c r="X51">
        <v>492.5</v>
      </c>
      <c r="Y51">
        <v>477.6</v>
      </c>
      <c r="Z51">
        <v>469.44451409999999</v>
      </c>
      <c r="AA51">
        <v>459.9</v>
      </c>
      <c r="AB51">
        <v>427.8</v>
      </c>
      <c r="AC51">
        <v>415.7</v>
      </c>
    </row>
    <row r="52" spans="1:29" x14ac:dyDescent="0.25">
      <c r="A52" t="s">
        <v>77</v>
      </c>
      <c r="B52" t="s">
        <v>78</v>
      </c>
      <c r="C52" t="s">
        <v>92</v>
      </c>
      <c r="D52" t="s">
        <v>91</v>
      </c>
      <c r="E52" t="s">
        <v>56</v>
      </c>
      <c r="F52">
        <v>56.007129740000003</v>
      </c>
      <c r="G52">
        <v>136.6839282</v>
      </c>
      <c r="H52">
        <v>89.851648159999996</v>
      </c>
      <c r="I52">
        <v>80.713244220000007</v>
      </c>
      <c r="J52">
        <v>79.723677519999995</v>
      </c>
      <c r="K52">
        <v>125.45003199999999</v>
      </c>
      <c r="L52">
        <v>77.447167620000002</v>
      </c>
      <c r="M52">
        <v>81.786623660000004</v>
      </c>
      <c r="N52">
        <v>58.86742718</v>
      </c>
      <c r="O52">
        <v>112.6553212</v>
      </c>
      <c r="P52">
        <v>73.779405710000006</v>
      </c>
      <c r="Q52">
        <v>66.103023019999995</v>
      </c>
      <c r="R52">
        <v>56.007129740000003</v>
      </c>
      <c r="S52">
        <v>136.6839282</v>
      </c>
      <c r="T52">
        <v>89.851648159999996</v>
      </c>
      <c r="U52">
        <v>80.713244220000007</v>
      </c>
      <c r="V52">
        <v>79.723677519999995</v>
      </c>
      <c r="W52">
        <v>125.45003199999999</v>
      </c>
      <c r="X52">
        <v>77.447167620000002</v>
      </c>
      <c r="Y52">
        <v>81.786623660000004</v>
      </c>
      <c r="Z52">
        <v>58.86742718</v>
      </c>
      <c r="AA52">
        <v>112.6553212</v>
      </c>
      <c r="AB52">
        <v>73.779405710000006</v>
      </c>
      <c r="AC52">
        <v>66.103023019999995</v>
      </c>
    </row>
    <row r="53" spans="1:29" x14ac:dyDescent="0.25">
      <c r="A53" t="s">
        <v>79</v>
      </c>
      <c r="B53" t="s">
        <v>80</v>
      </c>
      <c r="C53" t="s">
        <v>92</v>
      </c>
      <c r="D53" t="s">
        <v>91</v>
      </c>
      <c r="E53" t="s">
        <v>56</v>
      </c>
      <c r="F53">
        <v>783.54772300000002</v>
      </c>
      <c r="G53">
        <v>814.40826549999997</v>
      </c>
      <c r="H53">
        <v>801.35602589999996</v>
      </c>
      <c r="I53">
        <v>740.8766038</v>
      </c>
      <c r="J53">
        <v>730.8500808</v>
      </c>
      <c r="K53">
        <v>750.8181611</v>
      </c>
      <c r="L53">
        <v>764.74665379999999</v>
      </c>
      <c r="M53">
        <v>741.67371969999999</v>
      </c>
      <c r="N53">
        <v>765.99301760000003</v>
      </c>
      <c r="O53">
        <v>744.12696019999998</v>
      </c>
      <c r="P53">
        <v>731.44976159999999</v>
      </c>
      <c r="Q53">
        <v>707.26738950000004</v>
      </c>
      <c r="R53">
        <v>783.54772300000002</v>
      </c>
      <c r="S53">
        <v>814.40826549999997</v>
      </c>
      <c r="T53">
        <v>801.35602589999996</v>
      </c>
      <c r="U53">
        <v>740.8766038</v>
      </c>
      <c r="V53">
        <v>730.8500808</v>
      </c>
      <c r="W53">
        <v>750.8181611</v>
      </c>
      <c r="X53">
        <v>764.74665379999999</v>
      </c>
      <c r="Y53">
        <v>741.67371969999999</v>
      </c>
      <c r="Z53">
        <v>765.99301760000003</v>
      </c>
      <c r="AA53">
        <v>744.12696019999998</v>
      </c>
      <c r="AB53">
        <v>731.44976159999999</v>
      </c>
      <c r="AC53">
        <v>707.26738950000004</v>
      </c>
    </row>
    <row r="54" spans="1:29" x14ac:dyDescent="0.25">
      <c r="A54" t="s">
        <v>81</v>
      </c>
      <c r="B54" t="s">
        <v>82</v>
      </c>
      <c r="C54" t="s">
        <v>92</v>
      </c>
      <c r="D54" t="s">
        <v>91</v>
      </c>
      <c r="E54" t="s">
        <v>56</v>
      </c>
      <c r="F54">
        <v>1977</v>
      </c>
      <c r="G54">
        <v>6117</v>
      </c>
      <c r="H54">
        <v>3844</v>
      </c>
      <c r="I54">
        <v>3869</v>
      </c>
      <c r="J54">
        <v>3749</v>
      </c>
      <c r="K54">
        <v>5739</v>
      </c>
      <c r="L54">
        <v>4326</v>
      </c>
      <c r="M54">
        <v>5208</v>
      </c>
      <c r="N54">
        <v>2511</v>
      </c>
      <c r="O54">
        <v>5807</v>
      </c>
      <c r="P54">
        <v>3986</v>
      </c>
      <c r="Q54">
        <v>3616</v>
      </c>
      <c r="R54">
        <v>1977</v>
      </c>
      <c r="S54">
        <v>6117</v>
      </c>
      <c r="T54">
        <v>3844</v>
      </c>
      <c r="U54">
        <v>3869</v>
      </c>
      <c r="V54">
        <v>3749</v>
      </c>
      <c r="W54">
        <v>5739</v>
      </c>
      <c r="X54">
        <v>4326</v>
      </c>
      <c r="Y54">
        <v>5208</v>
      </c>
      <c r="Z54">
        <v>2511</v>
      </c>
      <c r="AA54">
        <v>5807</v>
      </c>
      <c r="AB54">
        <v>3986</v>
      </c>
      <c r="AC54">
        <v>3616</v>
      </c>
    </row>
    <row r="55" spans="1:29" x14ac:dyDescent="0.25">
      <c r="A55" t="s">
        <v>83</v>
      </c>
      <c r="B55" t="s">
        <v>84</v>
      </c>
      <c r="C55" t="s">
        <v>92</v>
      </c>
      <c r="D55" t="s">
        <v>91</v>
      </c>
      <c r="E55" t="s">
        <v>56</v>
      </c>
      <c r="F55">
        <v>1515.190241</v>
      </c>
      <c r="G55">
        <v>1526.453837</v>
      </c>
      <c r="H55">
        <v>1453.070645</v>
      </c>
      <c r="I55">
        <v>1443.3576230000001</v>
      </c>
      <c r="J55">
        <v>1429.905557</v>
      </c>
      <c r="K55">
        <v>1399.3529610000001</v>
      </c>
      <c r="L55">
        <v>1466.9776240000001</v>
      </c>
      <c r="M55">
        <v>1352.8498509999999</v>
      </c>
      <c r="N55">
        <v>1344.0218190000001</v>
      </c>
      <c r="O55">
        <v>1280.170255</v>
      </c>
      <c r="P55">
        <v>1270.0033719999999</v>
      </c>
      <c r="Q55">
        <v>1149.522727</v>
      </c>
      <c r="R55">
        <v>1515.190241</v>
      </c>
      <c r="S55">
        <v>1526.453837</v>
      </c>
      <c r="T55">
        <v>1453.070645</v>
      </c>
      <c r="U55">
        <v>1443.3576230000001</v>
      </c>
      <c r="V55">
        <v>1429.905557</v>
      </c>
      <c r="W55">
        <v>1399.3529610000001</v>
      </c>
      <c r="X55">
        <v>1466.9776240000001</v>
      </c>
      <c r="Y55">
        <v>1352.8498509999999</v>
      </c>
      <c r="Z55">
        <v>1344.0218190000001</v>
      </c>
      <c r="AA55">
        <v>1280.170255</v>
      </c>
      <c r="AB55">
        <v>1270.0033719999999</v>
      </c>
      <c r="AC55">
        <v>1149.522727</v>
      </c>
    </row>
    <row r="56" spans="1:29" x14ac:dyDescent="0.25">
      <c r="A56" t="s">
        <v>85</v>
      </c>
      <c r="B56" t="s">
        <v>86</v>
      </c>
      <c r="C56" t="s">
        <v>92</v>
      </c>
      <c r="D56" t="s">
        <v>91</v>
      </c>
      <c r="E56" t="s">
        <v>56</v>
      </c>
      <c r="F56">
        <v>156.03063560000001</v>
      </c>
      <c r="G56">
        <v>219.5085972</v>
      </c>
      <c r="H56">
        <v>213.2903211</v>
      </c>
      <c r="I56">
        <v>188.9724272</v>
      </c>
      <c r="J56">
        <v>232.59740289999999</v>
      </c>
      <c r="K56">
        <v>239.06827440000001</v>
      </c>
      <c r="L56">
        <v>231.0396983</v>
      </c>
      <c r="M56">
        <v>202.37267660000001</v>
      </c>
      <c r="N56">
        <v>219.3355995</v>
      </c>
      <c r="O56">
        <v>195.35611280000001</v>
      </c>
      <c r="P56">
        <v>172.00736499999999</v>
      </c>
      <c r="Q56">
        <v>144.9347655</v>
      </c>
      <c r="R56">
        <v>156.03063560000001</v>
      </c>
      <c r="S56">
        <v>219.5085972</v>
      </c>
      <c r="T56">
        <v>213.2903211</v>
      </c>
      <c r="U56">
        <v>188.9724272</v>
      </c>
      <c r="V56">
        <v>232.59740289999999</v>
      </c>
      <c r="W56">
        <v>239.06827440000001</v>
      </c>
      <c r="X56">
        <v>231.0396983</v>
      </c>
      <c r="Y56">
        <v>202.37267660000001</v>
      </c>
      <c r="Z56">
        <v>219.3355995</v>
      </c>
      <c r="AA56">
        <v>195.35611280000001</v>
      </c>
      <c r="AB56">
        <v>172.00736499999999</v>
      </c>
      <c r="AC56">
        <v>144.9347655</v>
      </c>
    </row>
    <row r="57" spans="1:29" x14ac:dyDescent="0.25">
      <c r="A57" t="s">
        <v>87</v>
      </c>
      <c r="B57" t="s">
        <v>88</v>
      </c>
      <c r="C57" t="s">
        <v>92</v>
      </c>
      <c r="D57" t="s">
        <v>91</v>
      </c>
      <c r="E57" t="s">
        <v>56</v>
      </c>
      <c r="F57">
        <v>430.6199378</v>
      </c>
      <c r="G57">
        <v>446.53443540000001</v>
      </c>
      <c r="H57">
        <v>439.94289500000002</v>
      </c>
      <c r="I57">
        <v>423.78947040000003</v>
      </c>
      <c r="J57">
        <v>452.34921780000002</v>
      </c>
      <c r="K57">
        <v>467.14490389999997</v>
      </c>
      <c r="L57">
        <v>339.24035959999998</v>
      </c>
      <c r="M57">
        <v>400.76927799999999</v>
      </c>
      <c r="N57">
        <v>381.0547297</v>
      </c>
      <c r="O57">
        <v>385.10153600000001</v>
      </c>
      <c r="P57">
        <v>432.2740531</v>
      </c>
      <c r="Q57">
        <v>413.76925569999997</v>
      </c>
      <c r="R57">
        <v>430.6199378</v>
      </c>
      <c r="S57">
        <v>446.53443540000001</v>
      </c>
      <c r="T57">
        <v>439.94289500000002</v>
      </c>
      <c r="U57">
        <v>423.78947040000003</v>
      </c>
      <c r="V57">
        <v>452.34921780000002</v>
      </c>
      <c r="W57">
        <v>467.14490389999997</v>
      </c>
      <c r="X57">
        <v>339.24035959999998</v>
      </c>
      <c r="Y57">
        <v>400.76927799999999</v>
      </c>
      <c r="Z57">
        <v>381.0547297</v>
      </c>
      <c r="AA57">
        <v>385.10153600000001</v>
      </c>
      <c r="AB57">
        <v>432.2740531</v>
      </c>
      <c r="AC57">
        <v>413.76925569999997</v>
      </c>
    </row>
    <row r="58" spans="1:29" x14ac:dyDescent="0.25">
      <c r="A58" t="s">
        <v>93</v>
      </c>
      <c r="B58" t="s">
        <v>50</v>
      </c>
      <c r="E58" t="s">
        <v>51</v>
      </c>
      <c r="F58">
        <v>2259.6513117300001</v>
      </c>
      <c r="G58">
        <v>9854.4121608999994</v>
      </c>
      <c r="H58">
        <v>5712.5410696300005</v>
      </c>
      <c r="I58">
        <v>7097.0684351499995</v>
      </c>
      <c r="J58">
        <v>7632.6669479799993</v>
      </c>
      <c r="K58">
        <v>10968.075127709999</v>
      </c>
      <c r="L58">
        <v>9028.5764770099995</v>
      </c>
      <c r="M58">
        <v>9159.0759985199984</v>
      </c>
      <c r="N58">
        <v>7431.6539485900003</v>
      </c>
      <c r="O58">
        <v>10492.89506407</v>
      </c>
      <c r="P58">
        <v>8359.7430498899994</v>
      </c>
      <c r="Q58">
        <v>7116.1068203999994</v>
      </c>
      <c r="R58">
        <v>2259.651312</v>
      </c>
      <c r="S58">
        <v>9854.4121610000002</v>
      </c>
      <c r="T58">
        <v>5712.5410700000002</v>
      </c>
      <c r="U58">
        <v>7097.0684350000001</v>
      </c>
      <c r="V58">
        <v>7632.666948</v>
      </c>
      <c r="W58">
        <v>10968.075129999999</v>
      </c>
      <c r="X58">
        <v>9028.5764770000005</v>
      </c>
      <c r="Y58">
        <v>9159.0759990000006</v>
      </c>
      <c r="Z58">
        <v>7431.6539489999996</v>
      </c>
      <c r="AA58">
        <v>10492.895060000001</v>
      </c>
      <c r="AB58">
        <v>8359.7430499999991</v>
      </c>
      <c r="AC58">
        <v>7116.10682</v>
      </c>
    </row>
    <row r="59" spans="1:29" x14ac:dyDescent="0.25">
      <c r="A59" t="s">
        <v>52</v>
      </c>
      <c r="B59" t="s">
        <v>53</v>
      </c>
      <c r="C59" t="s">
        <v>94</v>
      </c>
      <c r="D59" t="s">
        <v>95</v>
      </c>
      <c r="E59" t="s">
        <v>56</v>
      </c>
      <c r="F59">
        <v>1488.9449999999999</v>
      </c>
      <c r="G59">
        <v>1767.2629999999999</v>
      </c>
      <c r="H59">
        <v>1571.4929999999999</v>
      </c>
      <c r="I59">
        <v>1717.943</v>
      </c>
      <c r="J59">
        <v>1386.626</v>
      </c>
      <c r="K59">
        <v>1629.0119999999999</v>
      </c>
      <c r="L59">
        <v>1469.684</v>
      </c>
      <c r="M59">
        <v>1634.875</v>
      </c>
      <c r="N59">
        <v>1296.0440000000001</v>
      </c>
      <c r="O59">
        <v>1498.1759999999999</v>
      </c>
      <c r="P59">
        <v>1296.5619999999999</v>
      </c>
      <c r="Q59">
        <v>865.43499999999995</v>
      </c>
      <c r="R59">
        <v>1488.9449999999999</v>
      </c>
      <c r="S59">
        <v>1767.2629999999999</v>
      </c>
      <c r="T59">
        <v>1571.4929999999999</v>
      </c>
      <c r="U59">
        <v>1717.943</v>
      </c>
      <c r="V59">
        <v>1386.626</v>
      </c>
      <c r="W59">
        <v>1629.0119999999999</v>
      </c>
      <c r="X59">
        <v>1469.684</v>
      </c>
      <c r="Y59">
        <v>1634.875</v>
      </c>
      <c r="Z59">
        <v>1296.0440000000001</v>
      </c>
      <c r="AA59">
        <v>1498.1759999999999</v>
      </c>
      <c r="AB59">
        <v>1296.5619999999999</v>
      </c>
      <c r="AC59">
        <v>865.43499999999995</v>
      </c>
    </row>
    <row r="60" spans="1:29" x14ac:dyDescent="0.25">
      <c r="A60" t="s">
        <v>57</v>
      </c>
      <c r="B60" t="s">
        <v>58</v>
      </c>
      <c r="C60" t="s">
        <v>94</v>
      </c>
      <c r="D60" t="s">
        <v>95</v>
      </c>
      <c r="E60" t="s">
        <v>56</v>
      </c>
      <c r="F60">
        <v>156.71199999999999</v>
      </c>
      <c r="G60">
        <v>143.577</v>
      </c>
      <c r="H60">
        <v>144.154</v>
      </c>
      <c r="I60">
        <v>142.32</v>
      </c>
      <c r="J60">
        <v>150.17500000000001</v>
      </c>
      <c r="K60">
        <v>133.09700000000001</v>
      </c>
      <c r="L60">
        <v>68.819000000000003</v>
      </c>
      <c r="M60">
        <v>105.518</v>
      </c>
      <c r="N60">
        <v>131.827</v>
      </c>
      <c r="O60">
        <v>122.143</v>
      </c>
      <c r="P60">
        <v>132.047</v>
      </c>
      <c r="Q60">
        <v>129.91200000000001</v>
      </c>
      <c r="R60">
        <v>156.71199999999999</v>
      </c>
      <c r="S60">
        <v>143.577</v>
      </c>
      <c r="T60">
        <v>144.154</v>
      </c>
      <c r="U60">
        <v>142.32</v>
      </c>
      <c r="V60">
        <v>150.17500000000001</v>
      </c>
      <c r="W60">
        <v>133.09700000000001</v>
      </c>
      <c r="X60">
        <v>68.819000000000003</v>
      </c>
      <c r="Y60">
        <v>105.518</v>
      </c>
      <c r="Z60">
        <v>131.827</v>
      </c>
      <c r="AA60">
        <v>122.143</v>
      </c>
      <c r="AB60">
        <v>132.047</v>
      </c>
      <c r="AC60">
        <v>129.91200000000001</v>
      </c>
    </row>
    <row r="61" spans="1:29" x14ac:dyDescent="0.25">
      <c r="A61" t="s">
        <v>59</v>
      </c>
      <c r="B61" t="s">
        <v>60</v>
      </c>
      <c r="C61" t="s">
        <v>94</v>
      </c>
      <c r="D61" t="s">
        <v>95</v>
      </c>
      <c r="E61" t="s">
        <v>56</v>
      </c>
      <c r="F61" t="s">
        <v>47</v>
      </c>
      <c r="G61" t="s">
        <v>47</v>
      </c>
      <c r="H61" t="s">
        <v>47</v>
      </c>
      <c r="I61" t="s">
        <v>47</v>
      </c>
      <c r="J61" t="s">
        <v>47</v>
      </c>
      <c r="K61" t="s">
        <v>47</v>
      </c>
      <c r="L61" t="s">
        <v>47</v>
      </c>
      <c r="M61" t="s">
        <v>47</v>
      </c>
      <c r="N61" t="s">
        <v>47</v>
      </c>
      <c r="O61" t="s">
        <v>47</v>
      </c>
      <c r="P61" t="s">
        <v>47</v>
      </c>
      <c r="Q61" t="s">
        <v>47</v>
      </c>
      <c r="R61" t="s">
        <v>47</v>
      </c>
      <c r="S61" t="s">
        <v>47</v>
      </c>
      <c r="T61" t="s">
        <v>47</v>
      </c>
      <c r="U61" t="s">
        <v>47</v>
      </c>
      <c r="V61" t="s">
        <v>47</v>
      </c>
      <c r="W61" t="s">
        <v>47</v>
      </c>
      <c r="X61" t="s">
        <v>47</v>
      </c>
      <c r="Y61" t="s">
        <v>47</v>
      </c>
      <c r="Z61" t="s">
        <v>47</v>
      </c>
      <c r="AA61" t="s">
        <v>47</v>
      </c>
      <c r="AB61" t="s">
        <v>47</v>
      </c>
      <c r="AC61" t="s">
        <v>47</v>
      </c>
    </row>
    <row r="62" spans="1:29" x14ac:dyDescent="0.25">
      <c r="A62" t="s">
        <v>61</v>
      </c>
      <c r="B62" t="s">
        <v>62</v>
      </c>
      <c r="C62" t="s">
        <v>94</v>
      </c>
      <c r="D62" t="s">
        <v>95</v>
      </c>
      <c r="E62" t="s">
        <v>56</v>
      </c>
      <c r="F62" t="s">
        <v>47</v>
      </c>
      <c r="G62" t="s">
        <v>47</v>
      </c>
      <c r="H62" t="s">
        <v>47</v>
      </c>
      <c r="I62" t="s">
        <v>47</v>
      </c>
      <c r="J62" t="s">
        <v>47</v>
      </c>
      <c r="K62" t="s">
        <v>47</v>
      </c>
      <c r="L62" t="s">
        <v>47</v>
      </c>
      <c r="M62" t="s">
        <v>47</v>
      </c>
      <c r="N62" t="s">
        <v>47</v>
      </c>
      <c r="O62" t="s">
        <v>47</v>
      </c>
      <c r="P62" t="s">
        <v>47</v>
      </c>
      <c r="Q62" t="s">
        <v>47</v>
      </c>
      <c r="R62" t="s">
        <v>47</v>
      </c>
      <c r="S62" t="s">
        <v>47</v>
      </c>
      <c r="T62" t="s">
        <v>47</v>
      </c>
      <c r="U62" t="s">
        <v>47</v>
      </c>
      <c r="V62" t="s">
        <v>47</v>
      </c>
      <c r="W62" t="s">
        <v>47</v>
      </c>
      <c r="X62" t="s">
        <v>47</v>
      </c>
      <c r="Y62" t="s">
        <v>47</v>
      </c>
      <c r="Z62" t="s">
        <v>47</v>
      </c>
      <c r="AA62" t="s">
        <v>47</v>
      </c>
      <c r="AB62" t="s">
        <v>47</v>
      </c>
      <c r="AC62" t="s">
        <v>47</v>
      </c>
    </row>
    <row r="63" spans="1:29" x14ac:dyDescent="0.25">
      <c r="A63" t="s">
        <v>63</v>
      </c>
      <c r="B63" t="s">
        <v>64</v>
      </c>
      <c r="C63" t="s">
        <v>94</v>
      </c>
      <c r="D63" t="s">
        <v>95</v>
      </c>
      <c r="E63" t="s">
        <v>56</v>
      </c>
      <c r="F63">
        <v>338.15726549999999</v>
      </c>
      <c r="G63">
        <v>320.9576654</v>
      </c>
      <c r="H63">
        <v>325.64632660000001</v>
      </c>
      <c r="I63">
        <v>327.61521190000002</v>
      </c>
      <c r="J63">
        <v>337.5236908</v>
      </c>
      <c r="K63">
        <v>327.55136449999998</v>
      </c>
      <c r="L63">
        <v>317.644498</v>
      </c>
      <c r="M63">
        <v>316.5138824</v>
      </c>
      <c r="N63">
        <v>305.01388450000002</v>
      </c>
      <c r="O63">
        <v>281.45783399999999</v>
      </c>
      <c r="P63">
        <v>240.45230359999999</v>
      </c>
      <c r="Q63">
        <v>295.22503130000001</v>
      </c>
      <c r="R63">
        <v>338.15726549999999</v>
      </c>
      <c r="S63">
        <v>320.9576654</v>
      </c>
      <c r="T63">
        <v>325.64632660000001</v>
      </c>
      <c r="U63">
        <v>327.61521190000002</v>
      </c>
      <c r="V63">
        <v>337.5236908</v>
      </c>
      <c r="W63">
        <v>327.55136449999998</v>
      </c>
      <c r="X63">
        <v>317.644498</v>
      </c>
      <c r="Y63">
        <v>316.5138824</v>
      </c>
      <c r="Z63">
        <v>305.01388450000002</v>
      </c>
      <c r="AA63">
        <v>281.45783399999999</v>
      </c>
      <c r="AB63">
        <v>240.45230359999999</v>
      </c>
      <c r="AC63">
        <v>295.22503130000001</v>
      </c>
    </row>
    <row r="64" spans="1:29" x14ac:dyDescent="0.25">
      <c r="A64" t="s">
        <v>65</v>
      </c>
      <c r="B64" t="s">
        <v>66</v>
      </c>
      <c r="C64" t="s">
        <v>94</v>
      </c>
      <c r="D64" t="s">
        <v>95</v>
      </c>
      <c r="E64" t="s">
        <v>56</v>
      </c>
      <c r="F64">
        <v>579</v>
      </c>
      <c r="G64">
        <v>626</v>
      </c>
      <c r="H64">
        <v>669</v>
      </c>
      <c r="I64">
        <v>619</v>
      </c>
      <c r="J64">
        <v>539</v>
      </c>
      <c r="K64">
        <v>693</v>
      </c>
      <c r="L64">
        <v>745</v>
      </c>
      <c r="M64">
        <v>670</v>
      </c>
      <c r="N64">
        <v>693</v>
      </c>
      <c r="O64">
        <v>657</v>
      </c>
      <c r="P64">
        <v>648</v>
      </c>
      <c r="Q64">
        <v>606</v>
      </c>
      <c r="R64">
        <v>579</v>
      </c>
      <c r="S64">
        <v>626</v>
      </c>
      <c r="T64">
        <v>669</v>
      </c>
      <c r="U64">
        <v>619</v>
      </c>
      <c r="V64">
        <v>539</v>
      </c>
      <c r="W64">
        <v>693</v>
      </c>
      <c r="X64">
        <v>745</v>
      </c>
      <c r="Y64">
        <v>670</v>
      </c>
      <c r="Z64">
        <v>693</v>
      </c>
      <c r="AA64">
        <v>657</v>
      </c>
      <c r="AB64">
        <v>648</v>
      </c>
      <c r="AC64">
        <v>606</v>
      </c>
    </row>
    <row r="65" spans="1:29" x14ac:dyDescent="0.25">
      <c r="A65" t="s">
        <v>67</v>
      </c>
      <c r="B65" t="s">
        <v>68</v>
      </c>
      <c r="C65" t="s">
        <v>94</v>
      </c>
      <c r="D65" t="s">
        <v>95</v>
      </c>
      <c r="E65" t="s">
        <v>56</v>
      </c>
      <c r="F65">
        <v>-34</v>
      </c>
      <c r="G65">
        <v>-617</v>
      </c>
      <c r="H65">
        <v>6</v>
      </c>
      <c r="I65">
        <v>-1098</v>
      </c>
      <c r="J65">
        <v>-319</v>
      </c>
      <c r="K65">
        <v>-119</v>
      </c>
      <c r="L65">
        <v>-230</v>
      </c>
      <c r="M65">
        <v>89</v>
      </c>
      <c r="N65">
        <v>-22</v>
      </c>
      <c r="O65">
        <v>39</v>
      </c>
      <c r="P65">
        <v>48</v>
      </c>
      <c r="Q65">
        <v>13</v>
      </c>
      <c r="R65">
        <v>-34</v>
      </c>
      <c r="S65">
        <v>-617</v>
      </c>
      <c r="T65">
        <v>6</v>
      </c>
      <c r="U65">
        <v>-1098</v>
      </c>
      <c r="V65">
        <v>-319</v>
      </c>
      <c r="W65">
        <v>-119</v>
      </c>
      <c r="X65">
        <v>-230</v>
      </c>
      <c r="Y65">
        <v>89</v>
      </c>
      <c r="Z65">
        <v>-22</v>
      </c>
      <c r="AA65">
        <v>39</v>
      </c>
      <c r="AB65">
        <v>48</v>
      </c>
      <c r="AC65">
        <v>13</v>
      </c>
    </row>
    <row r="66" spans="1:29" x14ac:dyDescent="0.25">
      <c r="A66" t="s">
        <v>69</v>
      </c>
      <c r="B66" t="s">
        <v>70</v>
      </c>
      <c r="C66" t="s">
        <v>94</v>
      </c>
      <c r="D66" t="s">
        <v>95</v>
      </c>
      <c r="E66" t="s">
        <v>56</v>
      </c>
      <c r="F66">
        <v>-3878</v>
      </c>
      <c r="G66">
        <v>70</v>
      </c>
      <c r="H66">
        <v>-2071</v>
      </c>
      <c r="I66">
        <v>149</v>
      </c>
      <c r="J66">
        <v>403</v>
      </c>
      <c r="K66">
        <v>378</v>
      </c>
      <c r="L66">
        <v>285</v>
      </c>
      <c r="M66">
        <v>319</v>
      </c>
      <c r="N66">
        <v>658</v>
      </c>
      <c r="O66">
        <v>312</v>
      </c>
      <c r="P66">
        <v>269</v>
      </c>
      <c r="Q66">
        <v>5</v>
      </c>
      <c r="R66">
        <v>-3878</v>
      </c>
      <c r="S66">
        <v>70</v>
      </c>
      <c r="T66">
        <v>-2071</v>
      </c>
      <c r="U66">
        <v>149</v>
      </c>
      <c r="V66">
        <v>403</v>
      </c>
      <c r="W66">
        <v>378</v>
      </c>
      <c r="X66">
        <v>285</v>
      </c>
      <c r="Y66">
        <v>319</v>
      </c>
      <c r="Z66">
        <v>658</v>
      </c>
      <c r="AA66">
        <v>312</v>
      </c>
      <c r="AB66">
        <v>269</v>
      </c>
      <c r="AC66">
        <v>5</v>
      </c>
    </row>
    <row r="67" spans="1:29" x14ac:dyDescent="0.25">
      <c r="A67" t="s">
        <v>71</v>
      </c>
      <c r="B67" t="s">
        <v>72</v>
      </c>
      <c r="C67" t="s">
        <v>94</v>
      </c>
      <c r="D67" t="s">
        <v>95</v>
      </c>
      <c r="E67" t="s">
        <v>56</v>
      </c>
      <c r="F67">
        <v>87.509</v>
      </c>
      <c r="G67">
        <v>84.745000000000005</v>
      </c>
      <c r="H67">
        <v>80.564999999999998</v>
      </c>
      <c r="I67">
        <v>72.882000000000005</v>
      </c>
      <c r="J67">
        <v>64.658000000000001</v>
      </c>
      <c r="K67">
        <v>78.27</v>
      </c>
      <c r="L67">
        <v>64.56</v>
      </c>
      <c r="M67">
        <v>54.237000000000002</v>
      </c>
      <c r="N67">
        <v>48.697000000000003</v>
      </c>
      <c r="O67">
        <v>52.05</v>
      </c>
      <c r="P67">
        <v>49.247999999999998</v>
      </c>
      <c r="Q67">
        <v>40.682000000000002</v>
      </c>
      <c r="R67">
        <v>87.509</v>
      </c>
      <c r="S67">
        <v>84.745000000000005</v>
      </c>
      <c r="T67">
        <v>80.564999999999998</v>
      </c>
      <c r="U67">
        <v>72.882000000000005</v>
      </c>
      <c r="V67">
        <v>64.658000000000001</v>
      </c>
      <c r="W67">
        <v>78.27</v>
      </c>
      <c r="X67">
        <v>64.56</v>
      </c>
      <c r="Y67">
        <v>54.237000000000002</v>
      </c>
      <c r="Z67">
        <v>48.697000000000003</v>
      </c>
      <c r="AA67">
        <v>52.05</v>
      </c>
      <c r="AB67">
        <v>49.247999999999998</v>
      </c>
      <c r="AC67">
        <v>40.682000000000002</v>
      </c>
    </row>
    <row r="68" spans="1:29" x14ac:dyDescent="0.25">
      <c r="A68" t="s">
        <v>73</v>
      </c>
      <c r="B68" t="s">
        <v>74</v>
      </c>
      <c r="C68" t="s">
        <v>94</v>
      </c>
      <c r="D68" t="s">
        <v>95</v>
      </c>
      <c r="E68" t="s">
        <v>56</v>
      </c>
      <c r="F68">
        <v>110.658</v>
      </c>
      <c r="G68">
        <v>119.518</v>
      </c>
      <c r="H68">
        <v>113.584</v>
      </c>
      <c r="I68">
        <v>106.202</v>
      </c>
      <c r="J68">
        <v>90.072000000000003</v>
      </c>
      <c r="K68">
        <v>110.84099999999999</v>
      </c>
      <c r="L68">
        <v>94.028000000000006</v>
      </c>
      <c r="M68">
        <v>79.522000000000006</v>
      </c>
      <c r="N68">
        <v>63.761000000000003</v>
      </c>
      <c r="O68">
        <v>73.305000000000007</v>
      </c>
      <c r="P68">
        <v>97.918999999999997</v>
      </c>
      <c r="Q68">
        <v>80.959000000000003</v>
      </c>
      <c r="R68">
        <v>110.658</v>
      </c>
      <c r="S68">
        <v>119.518</v>
      </c>
      <c r="T68">
        <v>113.584</v>
      </c>
      <c r="U68">
        <v>106.202</v>
      </c>
      <c r="V68">
        <v>90.072000000000003</v>
      </c>
      <c r="W68">
        <v>110.84099999999999</v>
      </c>
      <c r="X68">
        <v>94.028000000000006</v>
      </c>
      <c r="Y68">
        <v>79.522000000000006</v>
      </c>
      <c r="Z68">
        <v>63.761000000000003</v>
      </c>
      <c r="AA68">
        <v>73.305000000000007</v>
      </c>
      <c r="AB68">
        <v>97.918999999999997</v>
      </c>
      <c r="AC68">
        <v>80.959000000000003</v>
      </c>
    </row>
    <row r="69" spans="1:29" x14ac:dyDescent="0.25">
      <c r="A69" t="s">
        <v>75</v>
      </c>
      <c r="B69" t="s">
        <v>76</v>
      </c>
      <c r="C69" t="s">
        <v>94</v>
      </c>
      <c r="D69" t="s">
        <v>95</v>
      </c>
      <c r="E69" t="s">
        <v>56</v>
      </c>
      <c r="F69">
        <v>530.79999999999995</v>
      </c>
      <c r="G69">
        <v>514.79999999999995</v>
      </c>
      <c r="H69">
        <v>496.1</v>
      </c>
      <c r="I69">
        <v>403.8</v>
      </c>
      <c r="J69">
        <v>431.1</v>
      </c>
      <c r="K69">
        <v>430.6</v>
      </c>
      <c r="L69">
        <v>417.5</v>
      </c>
      <c r="M69">
        <v>404.1</v>
      </c>
      <c r="N69">
        <v>402.80265559999998</v>
      </c>
      <c r="O69">
        <v>389.3</v>
      </c>
      <c r="P69">
        <v>380</v>
      </c>
      <c r="Q69">
        <v>379</v>
      </c>
      <c r="R69">
        <v>530.79999999999995</v>
      </c>
      <c r="S69">
        <v>514.79999999999995</v>
      </c>
      <c r="T69">
        <v>496.1</v>
      </c>
      <c r="U69">
        <v>403.8</v>
      </c>
      <c r="V69">
        <v>431.1</v>
      </c>
      <c r="W69">
        <v>430.6</v>
      </c>
      <c r="X69">
        <v>417.5</v>
      </c>
      <c r="Y69">
        <v>404.1</v>
      </c>
      <c r="Z69">
        <v>402.80265559999998</v>
      </c>
      <c r="AA69">
        <v>389.3</v>
      </c>
      <c r="AB69">
        <v>380</v>
      </c>
      <c r="AC69">
        <v>379</v>
      </c>
    </row>
    <row r="70" spans="1:29" x14ac:dyDescent="0.25">
      <c r="A70" t="s">
        <v>77</v>
      </c>
      <c r="B70" t="s">
        <v>78</v>
      </c>
      <c r="C70" t="s">
        <v>94</v>
      </c>
      <c r="D70" t="s">
        <v>95</v>
      </c>
      <c r="E70" t="s">
        <v>56</v>
      </c>
      <c r="F70">
        <v>21.168049029999999</v>
      </c>
      <c r="G70">
        <v>104.3260461</v>
      </c>
      <c r="H70">
        <v>53.377216730000001</v>
      </c>
      <c r="I70">
        <v>45.18687765</v>
      </c>
      <c r="J70">
        <v>43.836665979999999</v>
      </c>
      <c r="K70">
        <v>96.125221210000007</v>
      </c>
      <c r="L70">
        <v>49.305704310000003</v>
      </c>
      <c r="M70">
        <v>55.756345520000004</v>
      </c>
      <c r="N70">
        <v>31.830195490000001</v>
      </c>
      <c r="O70">
        <v>84.713494470000001</v>
      </c>
      <c r="P70">
        <v>54.28152789</v>
      </c>
      <c r="Q70">
        <v>48.480908599999999</v>
      </c>
      <c r="R70">
        <v>21.168049029999999</v>
      </c>
      <c r="S70">
        <v>104.3260461</v>
      </c>
      <c r="T70">
        <v>53.377216730000001</v>
      </c>
      <c r="U70">
        <v>45.18687765</v>
      </c>
      <c r="V70">
        <v>43.836665979999999</v>
      </c>
      <c r="W70">
        <v>96.125221210000007</v>
      </c>
      <c r="X70">
        <v>49.305704310000003</v>
      </c>
      <c r="Y70">
        <v>55.756345520000004</v>
      </c>
      <c r="Z70">
        <v>31.830195490000001</v>
      </c>
      <c r="AA70">
        <v>84.713494470000001</v>
      </c>
      <c r="AB70">
        <v>54.28152789</v>
      </c>
      <c r="AC70">
        <v>48.480908599999999</v>
      </c>
    </row>
    <row r="71" spans="1:29" x14ac:dyDescent="0.25">
      <c r="A71" t="s">
        <v>79</v>
      </c>
      <c r="B71" t="s">
        <v>80</v>
      </c>
      <c r="C71" t="s">
        <v>94</v>
      </c>
      <c r="D71" t="s">
        <v>95</v>
      </c>
      <c r="E71" t="s">
        <v>56</v>
      </c>
      <c r="F71">
        <v>680.1514502</v>
      </c>
      <c r="G71">
        <v>711.06266489999996</v>
      </c>
      <c r="H71">
        <v>698.04234780000002</v>
      </c>
      <c r="I71">
        <v>642.94629180000004</v>
      </c>
      <c r="J71">
        <v>655.47983550000004</v>
      </c>
      <c r="K71">
        <v>670.32379260000005</v>
      </c>
      <c r="L71">
        <v>698.51999320000004</v>
      </c>
      <c r="M71">
        <v>676.64863590000004</v>
      </c>
      <c r="N71">
        <v>694.69088920000002</v>
      </c>
      <c r="O71">
        <v>667.19625099999996</v>
      </c>
      <c r="P71">
        <v>660.5137575</v>
      </c>
      <c r="Q71">
        <v>637.48656830000004</v>
      </c>
      <c r="R71">
        <v>680.1514502</v>
      </c>
      <c r="S71">
        <v>711.06266489999996</v>
      </c>
      <c r="T71">
        <v>698.04234780000002</v>
      </c>
      <c r="U71">
        <v>642.94629180000004</v>
      </c>
      <c r="V71">
        <v>655.47983550000004</v>
      </c>
      <c r="W71">
        <v>670.32379260000005</v>
      </c>
      <c r="X71">
        <v>698.51999320000004</v>
      </c>
      <c r="Y71">
        <v>676.64863590000004</v>
      </c>
      <c r="Z71">
        <v>694.69088920000002</v>
      </c>
      <c r="AA71">
        <v>667.19625099999996</v>
      </c>
      <c r="AB71">
        <v>660.5137575</v>
      </c>
      <c r="AC71">
        <v>637.48656830000004</v>
      </c>
    </row>
    <row r="72" spans="1:29" x14ac:dyDescent="0.25">
      <c r="A72" t="s">
        <v>81</v>
      </c>
      <c r="B72" t="s">
        <v>82</v>
      </c>
      <c r="C72" t="s">
        <v>94</v>
      </c>
      <c r="D72" t="s">
        <v>95</v>
      </c>
      <c r="E72" t="s">
        <v>56</v>
      </c>
      <c r="F72">
        <v>343</v>
      </c>
      <c r="G72">
        <v>4071</v>
      </c>
      <c r="H72">
        <v>1759</v>
      </c>
      <c r="I72">
        <v>2147</v>
      </c>
      <c r="J72">
        <v>1919</v>
      </c>
      <c r="K72">
        <v>4628</v>
      </c>
      <c r="L72">
        <v>3188</v>
      </c>
      <c r="M72">
        <v>2978</v>
      </c>
      <c r="N72">
        <v>1397</v>
      </c>
      <c r="O72">
        <v>4658</v>
      </c>
      <c r="P72">
        <v>2810</v>
      </c>
      <c r="Q72">
        <v>2499</v>
      </c>
      <c r="R72">
        <v>343</v>
      </c>
      <c r="S72">
        <v>4071</v>
      </c>
      <c r="T72">
        <v>1759</v>
      </c>
      <c r="U72">
        <v>2147</v>
      </c>
      <c r="V72">
        <v>1919</v>
      </c>
      <c r="W72">
        <v>4628</v>
      </c>
      <c r="X72">
        <v>3188</v>
      </c>
      <c r="Y72">
        <v>2978</v>
      </c>
      <c r="Z72">
        <v>1397</v>
      </c>
      <c r="AA72">
        <v>4658</v>
      </c>
      <c r="AB72">
        <v>2810</v>
      </c>
      <c r="AC72">
        <v>2499</v>
      </c>
    </row>
    <row r="73" spans="1:29" x14ac:dyDescent="0.25">
      <c r="A73" t="s">
        <v>83</v>
      </c>
      <c r="B73" t="s">
        <v>84</v>
      </c>
      <c r="C73" t="s">
        <v>94</v>
      </c>
      <c r="D73" t="s">
        <v>95</v>
      </c>
      <c r="E73" t="s">
        <v>56</v>
      </c>
      <c r="F73">
        <v>1383.908725</v>
      </c>
      <c r="G73">
        <v>1400.5013859999999</v>
      </c>
      <c r="H73">
        <v>1330.287951</v>
      </c>
      <c r="I73">
        <v>1325.870009</v>
      </c>
      <c r="J73">
        <v>1353.683671</v>
      </c>
      <c r="K73">
        <v>1327.3243789999999</v>
      </c>
      <c r="L73">
        <v>1394.6135790000001</v>
      </c>
      <c r="M73">
        <v>1279.3237819999999</v>
      </c>
      <c r="N73">
        <v>1265.5739430000001</v>
      </c>
      <c r="O73">
        <v>1202.0037110000001</v>
      </c>
      <c r="P73">
        <v>1191.60042</v>
      </c>
      <c r="Q73">
        <v>1072.14355</v>
      </c>
      <c r="R73">
        <v>1383.908725</v>
      </c>
      <c r="S73">
        <v>1400.5013859999999</v>
      </c>
      <c r="T73">
        <v>1330.287951</v>
      </c>
      <c r="U73">
        <v>1325.870009</v>
      </c>
      <c r="V73">
        <v>1353.683671</v>
      </c>
      <c r="W73">
        <v>1327.3243789999999</v>
      </c>
      <c r="X73">
        <v>1394.6135790000001</v>
      </c>
      <c r="Y73">
        <v>1279.3237819999999</v>
      </c>
      <c r="Z73">
        <v>1265.5739430000001</v>
      </c>
      <c r="AA73">
        <v>1202.0037110000001</v>
      </c>
      <c r="AB73">
        <v>1191.60042</v>
      </c>
      <c r="AC73">
        <v>1072.14355</v>
      </c>
    </row>
    <row r="74" spans="1:29" x14ac:dyDescent="0.25">
      <c r="A74" t="s">
        <v>85</v>
      </c>
      <c r="B74" t="s">
        <v>86</v>
      </c>
      <c r="C74" t="s">
        <v>94</v>
      </c>
      <c r="D74" t="s">
        <v>95</v>
      </c>
      <c r="E74" t="s">
        <v>56</v>
      </c>
      <c r="F74">
        <v>101.06081469999999</v>
      </c>
      <c r="G74">
        <v>165.47682119999999</v>
      </c>
      <c r="H74">
        <v>164.75989319999999</v>
      </c>
      <c r="I74">
        <v>142.7683021</v>
      </c>
      <c r="J74">
        <v>194.2167733</v>
      </c>
      <c r="K74">
        <v>199.70930390000001</v>
      </c>
      <c r="L74">
        <v>189.02002400000001</v>
      </c>
      <c r="M74">
        <v>160.49413630000001</v>
      </c>
      <c r="N74">
        <v>172.9348463</v>
      </c>
      <c r="O74">
        <v>152.99787889999999</v>
      </c>
      <c r="P74">
        <v>130.7369223</v>
      </c>
      <c r="Q74">
        <v>106.66386180000001</v>
      </c>
      <c r="R74">
        <v>101.06081469999999</v>
      </c>
      <c r="S74">
        <v>165.47682119999999</v>
      </c>
      <c r="T74">
        <v>164.75989319999999</v>
      </c>
      <c r="U74">
        <v>142.7683021</v>
      </c>
      <c r="V74">
        <v>194.2167733</v>
      </c>
      <c r="W74">
        <v>199.70930390000001</v>
      </c>
      <c r="X74">
        <v>189.02002400000001</v>
      </c>
      <c r="Y74">
        <v>160.49413630000001</v>
      </c>
      <c r="Z74">
        <v>172.9348463</v>
      </c>
      <c r="AA74">
        <v>152.99787889999999</v>
      </c>
      <c r="AB74">
        <v>130.7369223</v>
      </c>
      <c r="AC74">
        <v>106.66386180000001</v>
      </c>
    </row>
    <row r="75" spans="1:29" x14ac:dyDescent="0.25">
      <c r="A75" t="s">
        <v>87</v>
      </c>
      <c r="B75" t="s">
        <v>88</v>
      </c>
      <c r="C75" t="s">
        <v>94</v>
      </c>
      <c r="D75" t="s">
        <v>95</v>
      </c>
      <c r="E75" t="s">
        <v>56</v>
      </c>
      <c r="F75">
        <v>350.58100730000001</v>
      </c>
      <c r="G75">
        <v>372.1845773</v>
      </c>
      <c r="H75">
        <v>371.53133430000003</v>
      </c>
      <c r="I75">
        <v>352.53474269999998</v>
      </c>
      <c r="J75">
        <v>383.2953114</v>
      </c>
      <c r="K75">
        <v>385.22106650000001</v>
      </c>
      <c r="L75">
        <v>276.88167850000002</v>
      </c>
      <c r="M75">
        <v>336.08721639999999</v>
      </c>
      <c r="N75">
        <v>292.47853450000002</v>
      </c>
      <c r="O75">
        <v>303.55189469999999</v>
      </c>
      <c r="P75">
        <v>351.38211860000001</v>
      </c>
      <c r="Q75">
        <v>337.11890039999997</v>
      </c>
      <c r="R75">
        <v>350.58100730000001</v>
      </c>
      <c r="S75">
        <v>372.1845773</v>
      </c>
      <c r="T75">
        <v>371.53133430000003</v>
      </c>
      <c r="U75">
        <v>352.53474269999998</v>
      </c>
      <c r="V75">
        <v>383.2953114</v>
      </c>
      <c r="W75">
        <v>385.22106650000001</v>
      </c>
      <c r="X75">
        <v>276.88167850000002</v>
      </c>
      <c r="Y75">
        <v>336.08721639999999</v>
      </c>
      <c r="Z75">
        <v>292.47853450000002</v>
      </c>
      <c r="AA75">
        <v>303.55189469999999</v>
      </c>
      <c r="AB75">
        <v>351.38211860000001</v>
      </c>
      <c r="AC75">
        <v>337.11890039999997</v>
      </c>
    </row>
    <row r="76" spans="1:29" x14ac:dyDescent="0.25">
      <c r="A76" t="s">
        <v>96</v>
      </c>
      <c r="B76" t="s">
        <v>50</v>
      </c>
      <c r="E76" t="s">
        <v>97</v>
      </c>
      <c r="F76">
        <v>-0.55575531524999988</v>
      </c>
      <c r="G76">
        <v>0.66701974416666676</v>
      </c>
      <c r="H76">
        <v>-3.9630285583333251E-2</v>
      </c>
      <c r="I76">
        <v>0.36223608633333321</v>
      </c>
      <c r="J76">
        <v>0.56680862016666667</v>
      </c>
      <c r="K76">
        <v>0.78509090099999979</v>
      </c>
      <c r="L76">
        <v>0.63617632516666667</v>
      </c>
      <c r="M76">
        <v>0.69882596091666682</v>
      </c>
      <c r="N76">
        <v>0.70604922033333339</v>
      </c>
      <c r="O76">
        <v>0.44866136841666671</v>
      </c>
      <c r="P76">
        <v>0.70852248808333318</v>
      </c>
      <c r="Q76">
        <v>0.58881806375000001</v>
      </c>
      <c r="R76">
        <v>-0.55575531499999997</v>
      </c>
      <c r="S76">
        <v>0.66701974399999997</v>
      </c>
      <c r="T76">
        <v>-3.9630286000000001E-2</v>
      </c>
      <c r="U76">
        <v>0.36223608600000001</v>
      </c>
      <c r="V76">
        <v>0.56680861999999999</v>
      </c>
      <c r="W76">
        <v>0.78509090100000001</v>
      </c>
      <c r="X76">
        <v>0.63617632499999999</v>
      </c>
      <c r="Y76">
        <v>0.69882596100000005</v>
      </c>
      <c r="Z76">
        <v>0.70604922000000003</v>
      </c>
      <c r="AA76">
        <v>0.448661368</v>
      </c>
      <c r="AB76">
        <v>0.70852248799999995</v>
      </c>
      <c r="AC76">
        <v>0.58881806400000003</v>
      </c>
    </row>
    <row r="77" spans="1:29" x14ac:dyDescent="0.25">
      <c r="A77" t="s">
        <v>52</v>
      </c>
      <c r="B77" t="s">
        <v>53</v>
      </c>
      <c r="C77" t="s">
        <v>98</v>
      </c>
      <c r="D77" t="s">
        <v>99</v>
      </c>
      <c r="E77" t="s">
        <v>56</v>
      </c>
      <c r="F77">
        <v>1.91</v>
      </c>
      <c r="G77">
        <v>2.09</v>
      </c>
      <c r="H77">
        <v>1.74</v>
      </c>
      <c r="I77">
        <v>1.93</v>
      </c>
      <c r="J77">
        <v>1.73</v>
      </c>
      <c r="K77">
        <v>1.96</v>
      </c>
      <c r="L77">
        <v>1.58</v>
      </c>
      <c r="M77">
        <v>1.6</v>
      </c>
      <c r="N77">
        <v>1.37</v>
      </c>
      <c r="O77">
        <v>1.79</v>
      </c>
      <c r="P77">
        <v>1.48</v>
      </c>
      <c r="Q77">
        <v>1.05</v>
      </c>
      <c r="R77">
        <v>1.91</v>
      </c>
      <c r="S77">
        <v>2.09</v>
      </c>
      <c r="T77">
        <v>1.74</v>
      </c>
      <c r="U77">
        <v>1.93</v>
      </c>
      <c r="V77">
        <v>1.73</v>
      </c>
      <c r="W77">
        <v>1.96</v>
      </c>
      <c r="X77">
        <v>1.58</v>
      </c>
      <c r="Y77">
        <v>1.6</v>
      </c>
      <c r="Z77">
        <v>1.37</v>
      </c>
      <c r="AA77">
        <v>1.79</v>
      </c>
      <c r="AB77">
        <v>1.48</v>
      </c>
      <c r="AC77">
        <v>1.05</v>
      </c>
    </row>
    <row r="78" spans="1:29" x14ac:dyDescent="0.25">
      <c r="A78" t="s">
        <v>57</v>
      </c>
      <c r="B78" t="s">
        <v>58</v>
      </c>
      <c r="C78" t="s">
        <v>98</v>
      </c>
      <c r="D78" t="s">
        <v>99</v>
      </c>
      <c r="E78" t="s">
        <v>56</v>
      </c>
      <c r="F78">
        <v>0.94</v>
      </c>
      <c r="G78">
        <v>0.85</v>
      </c>
      <c r="H78">
        <v>0.9</v>
      </c>
      <c r="I78">
        <v>0.96</v>
      </c>
      <c r="J78">
        <v>0.9</v>
      </c>
      <c r="K78">
        <v>0.72</v>
      </c>
      <c r="L78">
        <v>0.31</v>
      </c>
      <c r="M78">
        <v>0.64</v>
      </c>
      <c r="N78">
        <v>0.7</v>
      </c>
      <c r="O78">
        <v>0.8</v>
      </c>
      <c r="P78">
        <v>0.73</v>
      </c>
      <c r="Q78">
        <v>0.81</v>
      </c>
      <c r="R78">
        <v>0.94</v>
      </c>
      <c r="S78">
        <v>0.85</v>
      </c>
      <c r="T78">
        <v>0.9</v>
      </c>
      <c r="U78">
        <v>0.96</v>
      </c>
      <c r="V78">
        <v>0.9</v>
      </c>
      <c r="W78">
        <v>0.72</v>
      </c>
      <c r="X78">
        <v>0.31</v>
      </c>
      <c r="Y78">
        <v>0.64</v>
      </c>
      <c r="Z78">
        <v>0.7</v>
      </c>
      <c r="AA78">
        <v>0.8</v>
      </c>
      <c r="AB78">
        <v>0.73</v>
      </c>
      <c r="AC78">
        <v>0.81</v>
      </c>
    </row>
    <row r="79" spans="1:29" x14ac:dyDescent="0.25">
      <c r="A79" t="s">
        <v>59</v>
      </c>
      <c r="B79" t="s">
        <v>60</v>
      </c>
      <c r="C79" t="s">
        <v>98</v>
      </c>
      <c r="D79" t="s">
        <v>99</v>
      </c>
      <c r="E79" t="s">
        <v>56</v>
      </c>
      <c r="F79" t="s">
        <v>47</v>
      </c>
      <c r="G79" t="s">
        <v>47</v>
      </c>
      <c r="H79" t="s">
        <v>47</v>
      </c>
      <c r="I79" t="s">
        <v>47</v>
      </c>
      <c r="J79" t="s">
        <v>47</v>
      </c>
      <c r="K79" t="s">
        <v>47</v>
      </c>
      <c r="L79" t="s">
        <v>47</v>
      </c>
      <c r="M79" t="s">
        <v>47</v>
      </c>
      <c r="N79" t="s">
        <v>47</v>
      </c>
      <c r="O79" t="s">
        <v>47</v>
      </c>
      <c r="P79" t="s">
        <v>47</v>
      </c>
      <c r="Q79" t="s">
        <v>47</v>
      </c>
      <c r="R79" t="s">
        <v>47</v>
      </c>
      <c r="S79" t="s">
        <v>47</v>
      </c>
      <c r="T79" t="s">
        <v>47</v>
      </c>
      <c r="U79" t="s">
        <v>47</v>
      </c>
      <c r="V79" t="s">
        <v>47</v>
      </c>
      <c r="W79" t="s">
        <v>47</v>
      </c>
      <c r="X79" t="s">
        <v>47</v>
      </c>
      <c r="Y79" t="s">
        <v>47</v>
      </c>
      <c r="Z79" t="s">
        <v>47</v>
      </c>
      <c r="AA79" t="s">
        <v>47</v>
      </c>
      <c r="AB79" t="s">
        <v>47</v>
      </c>
      <c r="AC79" t="s">
        <v>47</v>
      </c>
    </row>
    <row r="80" spans="1:29" x14ac:dyDescent="0.25">
      <c r="A80" t="s">
        <v>61</v>
      </c>
      <c r="B80" t="s">
        <v>62</v>
      </c>
      <c r="C80" t="s">
        <v>98</v>
      </c>
      <c r="D80" t="s">
        <v>99</v>
      </c>
      <c r="E80" t="s">
        <v>56</v>
      </c>
      <c r="F80" t="s">
        <v>47</v>
      </c>
      <c r="G80" t="s">
        <v>47</v>
      </c>
      <c r="H80" t="s">
        <v>47</v>
      </c>
      <c r="I80" t="s">
        <v>47</v>
      </c>
      <c r="J80" t="s">
        <v>47</v>
      </c>
      <c r="K80" t="s">
        <v>47</v>
      </c>
      <c r="L80" t="s">
        <v>47</v>
      </c>
      <c r="M80" t="s">
        <v>47</v>
      </c>
      <c r="N80" t="s">
        <v>47</v>
      </c>
      <c r="O80" t="s">
        <v>47</v>
      </c>
      <c r="P80" t="s">
        <v>47</v>
      </c>
      <c r="Q80" t="s">
        <v>47</v>
      </c>
      <c r="R80" t="s">
        <v>47</v>
      </c>
      <c r="S80" t="s">
        <v>47</v>
      </c>
      <c r="T80" t="s">
        <v>47</v>
      </c>
      <c r="U80" t="s">
        <v>47</v>
      </c>
      <c r="V80" t="s">
        <v>47</v>
      </c>
      <c r="W80" t="s">
        <v>47</v>
      </c>
      <c r="X80" t="s">
        <v>47</v>
      </c>
      <c r="Y80" t="s">
        <v>47</v>
      </c>
      <c r="Z80" t="s">
        <v>47</v>
      </c>
      <c r="AA80" t="s">
        <v>47</v>
      </c>
      <c r="AB80" t="s">
        <v>47</v>
      </c>
      <c r="AC80" t="s">
        <v>47</v>
      </c>
    </row>
    <row r="81" spans="1:29" x14ac:dyDescent="0.25">
      <c r="A81" t="s">
        <v>63</v>
      </c>
      <c r="B81" t="s">
        <v>64</v>
      </c>
      <c r="C81" t="s">
        <v>98</v>
      </c>
      <c r="D81" t="s">
        <v>99</v>
      </c>
      <c r="E81" t="s">
        <v>56</v>
      </c>
      <c r="F81" t="s">
        <v>47</v>
      </c>
      <c r="G81" t="s">
        <v>47</v>
      </c>
      <c r="H81" t="s">
        <v>47</v>
      </c>
      <c r="I81" t="s">
        <v>47</v>
      </c>
      <c r="J81" t="s">
        <v>47</v>
      </c>
      <c r="K81" t="s">
        <v>47</v>
      </c>
      <c r="L81" t="s">
        <v>47</v>
      </c>
      <c r="M81" t="s">
        <v>47</v>
      </c>
      <c r="N81" t="s">
        <v>47</v>
      </c>
      <c r="O81" t="s">
        <v>47</v>
      </c>
      <c r="P81" t="s">
        <v>47</v>
      </c>
      <c r="Q81" t="s">
        <v>47</v>
      </c>
      <c r="R81" t="s">
        <v>47</v>
      </c>
      <c r="S81" t="s">
        <v>47</v>
      </c>
      <c r="T81" t="s">
        <v>47</v>
      </c>
      <c r="U81" t="s">
        <v>47</v>
      </c>
      <c r="V81" t="s">
        <v>47</v>
      </c>
      <c r="W81" t="s">
        <v>47</v>
      </c>
      <c r="X81" t="s">
        <v>47</v>
      </c>
      <c r="Y81" t="s">
        <v>47</v>
      </c>
      <c r="Z81" t="s">
        <v>47</v>
      </c>
      <c r="AA81" t="s">
        <v>47</v>
      </c>
      <c r="AB81" t="s">
        <v>47</v>
      </c>
      <c r="AC81" t="s">
        <v>47</v>
      </c>
    </row>
    <row r="82" spans="1:29" x14ac:dyDescent="0.25">
      <c r="A82" t="s">
        <v>65</v>
      </c>
      <c r="B82" t="s">
        <v>66</v>
      </c>
      <c r="C82" t="s">
        <v>98</v>
      </c>
      <c r="D82" t="s">
        <v>99</v>
      </c>
      <c r="E82" t="s">
        <v>56</v>
      </c>
      <c r="F82">
        <v>0.67</v>
      </c>
      <c r="G82">
        <v>0.72</v>
      </c>
      <c r="H82">
        <v>0.9</v>
      </c>
      <c r="I82">
        <v>0.9</v>
      </c>
      <c r="J82">
        <v>0.77</v>
      </c>
      <c r="K82">
        <v>1.1200000000000001</v>
      </c>
      <c r="L82">
        <v>0.82</v>
      </c>
      <c r="M82">
        <v>0.78</v>
      </c>
      <c r="N82">
        <v>0.88</v>
      </c>
      <c r="O82">
        <v>-0.03</v>
      </c>
      <c r="P82">
        <v>0.84</v>
      </c>
      <c r="Q82">
        <v>0.8</v>
      </c>
      <c r="R82">
        <v>0.67</v>
      </c>
      <c r="S82">
        <v>0.72</v>
      </c>
      <c r="T82">
        <v>0.9</v>
      </c>
      <c r="U82">
        <v>0.9</v>
      </c>
      <c r="V82">
        <v>0.77</v>
      </c>
      <c r="W82">
        <v>1.1200000000000001</v>
      </c>
      <c r="X82">
        <v>0.82</v>
      </c>
      <c r="Y82">
        <v>0.78</v>
      </c>
      <c r="Z82">
        <v>0.88</v>
      </c>
      <c r="AA82">
        <v>-0.03</v>
      </c>
      <c r="AB82">
        <v>0.84</v>
      </c>
      <c r="AC82">
        <v>0.8</v>
      </c>
    </row>
    <row r="83" spans="1:29" x14ac:dyDescent="0.25">
      <c r="A83" t="s">
        <v>67</v>
      </c>
      <c r="B83" t="s">
        <v>68</v>
      </c>
      <c r="C83" t="s">
        <v>98</v>
      </c>
      <c r="D83" t="s">
        <v>99</v>
      </c>
      <c r="E83" t="s">
        <v>56</v>
      </c>
      <c r="F83">
        <v>-0.24</v>
      </c>
      <c r="G83">
        <v>-2.76</v>
      </c>
      <c r="H83">
        <v>-0.09</v>
      </c>
      <c r="I83">
        <v>-4.9400000000000004</v>
      </c>
      <c r="J83">
        <v>-1.49</v>
      </c>
      <c r="K83">
        <v>-0.69</v>
      </c>
      <c r="L83">
        <v>-1.1599999999999999</v>
      </c>
      <c r="M83">
        <v>0.04</v>
      </c>
      <c r="N83">
        <v>-0.26</v>
      </c>
      <c r="O83">
        <v>0.98</v>
      </c>
      <c r="P83">
        <v>-0.09</v>
      </c>
      <c r="Q83">
        <v>-0.03</v>
      </c>
      <c r="R83">
        <v>-0.24</v>
      </c>
      <c r="S83">
        <v>-2.76</v>
      </c>
      <c r="T83">
        <v>-0.09</v>
      </c>
      <c r="U83">
        <v>-4.9400000000000004</v>
      </c>
      <c r="V83">
        <v>-1.49</v>
      </c>
      <c r="W83">
        <v>-0.69</v>
      </c>
      <c r="X83">
        <v>-1.1599999999999999</v>
      </c>
      <c r="Y83">
        <v>0.04</v>
      </c>
      <c r="Z83">
        <v>-0.26</v>
      </c>
      <c r="AA83">
        <v>0.98</v>
      </c>
      <c r="AB83">
        <v>-0.09</v>
      </c>
      <c r="AC83">
        <v>-0.03</v>
      </c>
    </row>
    <row r="84" spans="1:29" x14ac:dyDescent="0.25">
      <c r="A84" t="s">
        <v>69</v>
      </c>
      <c r="B84" t="s">
        <v>70</v>
      </c>
      <c r="C84" t="s">
        <v>98</v>
      </c>
      <c r="D84" t="s">
        <v>99</v>
      </c>
      <c r="E84" t="s">
        <v>56</v>
      </c>
      <c r="F84">
        <v>-13.79</v>
      </c>
      <c r="G84">
        <v>0.32</v>
      </c>
      <c r="H84">
        <v>-8.19</v>
      </c>
      <c r="I84">
        <v>0.61</v>
      </c>
      <c r="J84">
        <v>1.01</v>
      </c>
      <c r="K84">
        <v>1.66</v>
      </c>
      <c r="L84">
        <v>0.92</v>
      </c>
      <c r="M84">
        <v>0.78</v>
      </c>
      <c r="N84">
        <v>1.8</v>
      </c>
      <c r="O84">
        <v>2.4300000000000002</v>
      </c>
      <c r="P84">
        <v>0.67</v>
      </c>
      <c r="Q84">
        <v>0.33</v>
      </c>
      <c r="R84">
        <v>-13.79</v>
      </c>
      <c r="S84">
        <v>0.32</v>
      </c>
      <c r="T84">
        <v>-8.19</v>
      </c>
      <c r="U84">
        <v>0.61</v>
      </c>
      <c r="V84">
        <v>1.01</v>
      </c>
      <c r="W84">
        <v>1.66</v>
      </c>
      <c r="X84">
        <v>0.92</v>
      </c>
      <c r="Y84">
        <v>0.78</v>
      </c>
      <c r="Z84">
        <v>1.8</v>
      </c>
      <c r="AA84">
        <v>2.4300000000000002</v>
      </c>
      <c r="AB84">
        <v>0.67</v>
      </c>
      <c r="AC84">
        <v>0.33</v>
      </c>
    </row>
    <row r="85" spans="1:29" x14ac:dyDescent="0.25">
      <c r="A85" t="s">
        <v>71</v>
      </c>
      <c r="B85" t="s">
        <v>72</v>
      </c>
      <c r="C85" t="s">
        <v>98</v>
      </c>
      <c r="D85" t="s">
        <v>99</v>
      </c>
      <c r="E85" t="s">
        <v>56</v>
      </c>
      <c r="F85">
        <v>1.47</v>
      </c>
      <c r="G85">
        <v>1.29</v>
      </c>
      <c r="H85">
        <v>1.1599999999999999</v>
      </c>
      <c r="I85">
        <v>1.02</v>
      </c>
      <c r="J85">
        <v>1.06</v>
      </c>
      <c r="K85">
        <v>1.05</v>
      </c>
      <c r="L85">
        <v>1.1499999999999999</v>
      </c>
      <c r="M85">
        <v>0.89</v>
      </c>
      <c r="N85">
        <v>1.1499999999999999</v>
      </c>
      <c r="O85">
        <v>-0.57999999999999996</v>
      </c>
      <c r="P85">
        <v>0.77</v>
      </c>
      <c r="Q85">
        <v>0.68</v>
      </c>
      <c r="R85">
        <v>1.47</v>
      </c>
      <c r="S85">
        <v>1.29</v>
      </c>
      <c r="T85">
        <v>1.1599999999999999</v>
      </c>
      <c r="U85">
        <v>1.02</v>
      </c>
      <c r="V85">
        <v>1.06</v>
      </c>
      <c r="W85">
        <v>1.05</v>
      </c>
      <c r="X85">
        <v>1.1499999999999999</v>
      </c>
      <c r="Y85">
        <v>0.89</v>
      </c>
      <c r="Z85">
        <v>1.1499999999999999</v>
      </c>
      <c r="AA85">
        <v>-0.57999999999999996</v>
      </c>
      <c r="AB85">
        <v>0.77</v>
      </c>
      <c r="AC85">
        <v>0.68</v>
      </c>
    </row>
    <row r="86" spans="1:29" x14ac:dyDescent="0.25">
      <c r="A86" t="s">
        <v>73</v>
      </c>
      <c r="B86" t="s">
        <v>74</v>
      </c>
      <c r="C86" t="s">
        <v>98</v>
      </c>
      <c r="D86" t="s">
        <v>99</v>
      </c>
      <c r="E86" t="s">
        <v>56</v>
      </c>
      <c r="F86">
        <v>0.44</v>
      </c>
      <c r="G86">
        <v>0.42</v>
      </c>
      <c r="H86">
        <v>0.45</v>
      </c>
      <c r="I86">
        <v>0.38</v>
      </c>
      <c r="J86">
        <v>0.31</v>
      </c>
      <c r="K86">
        <v>0.41</v>
      </c>
      <c r="L86">
        <v>0.38</v>
      </c>
      <c r="M86">
        <v>0.33</v>
      </c>
      <c r="N86">
        <v>0.33</v>
      </c>
      <c r="O86">
        <v>0.34</v>
      </c>
      <c r="P86">
        <v>0.38</v>
      </c>
      <c r="Q86">
        <v>0.36</v>
      </c>
      <c r="R86">
        <v>0.44</v>
      </c>
      <c r="S86">
        <v>0.42</v>
      </c>
      <c r="T86">
        <v>0.45</v>
      </c>
      <c r="U86">
        <v>0.38</v>
      </c>
      <c r="V86">
        <v>0.31</v>
      </c>
      <c r="W86">
        <v>0.41</v>
      </c>
      <c r="X86">
        <v>0.38</v>
      </c>
      <c r="Y86">
        <v>0.33</v>
      </c>
      <c r="Z86">
        <v>0.33</v>
      </c>
      <c r="AA86">
        <v>0.34</v>
      </c>
      <c r="AB86">
        <v>0.38</v>
      </c>
      <c r="AC86">
        <v>0.36</v>
      </c>
    </row>
    <row r="87" spans="1:29" x14ac:dyDescent="0.25">
      <c r="A87" t="s">
        <v>75</v>
      </c>
      <c r="B87" t="s">
        <v>76</v>
      </c>
      <c r="C87" t="s">
        <v>98</v>
      </c>
      <c r="D87" t="s">
        <v>99</v>
      </c>
      <c r="E87" t="s">
        <v>56</v>
      </c>
      <c r="F87">
        <v>0.158973</v>
      </c>
      <c r="G87">
        <v>0.157168</v>
      </c>
      <c r="H87">
        <v>0.1386415</v>
      </c>
      <c r="I87">
        <v>0.1178165</v>
      </c>
      <c r="J87">
        <v>0.13450000000000001</v>
      </c>
      <c r="K87">
        <v>0.13375799999999999</v>
      </c>
      <c r="L87">
        <v>0.12774650000000001</v>
      </c>
      <c r="M87">
        <v>0.12770599999999999</v>
      </c>
      <c r="N87">
        <v>0.124351533</v>
      </c>
      <c r="O87">
        <v>0.121949</v>
      </c>
      <c r="P87">
        <v>0.1188555</v>
      </c>
      <c r="Q87">
        <v>0.11736099999999999</v>
      </c>
      <c r="R87">
        <v>0.158973</v>
      </c>
      <c r="S87">
        <v>0.157168</v>
      </c>
      <c r="T87">
        <v>0.1386415</v>
      </c>
      <c r="U87">
        <v>0.1178165</v>
      </c>
      <c r="V87">
        <v>0.13450000000000001</v>
      </c>
      <c r="W87">
        <v>0.13375799999999999</v>
      </c>
      <c r="X87">
        <v>0.12774650000000001</v>
      </c>
      <c r="Y87">
        <v>0.12770599999999999</v>
      </c>
      <c r="Z87">
        <v>0.124351533</v>
      </c>
      <c r="AA87">
        <v>0.121949</v>
      </c>
      <c r="AB87">
        <v>0.1188555</v>
      </c>
      <c r="AC87">
        <v>0.11736099999999999</v>
      </c>
    </row>
    <row r="88" spans="1:29" x14ac:dyDescent="0.25">
      <c r="A88" t="s">
        <v>77</v>
      </c>
      <c r="B88" t="s">
        <v>78</v>
      </c>
      <c r="C88" t="s">
        <v>98</v>
      </c>
      <c r="D88" t="s">
        <v>99</v>
      </c>
      <c r="E88" t="s">
        <v>56</v>
      </c>
      <c r="F88">
        <v>3.9690092000000003E-2</v>
      </c>
      <c r="G88">
        <v>0.32433838599999998</v>
      </c>
      <c r="H88">
        <v>0.177093373</v>
      </c>
      <c r="I88">
        <v>9.0791726000000003E-2</v>
      </c>
      <c r="J88">
        <v>0.111295162</v>
      </c>
      <c r="K88">
        <v>0.42089701600000001</v>
      </c>
      <c r="L88">
        <v>0.10121275</v>
      </c>
      <c r="M88">
        <v>0.15211987699999999</v>
      </c>
      <c r="N88">
        <v>7.4966870000000005E-2</v>
      </c>
      <c r="O88">
        <v>0.24454309900000001</v>
      </c>
      <c r="P88">
        <v>0.27529899099999999</v>
      </c>
      <c r="Q88">
        <v>9.3500153000000003E-2</v>
      </c>
      <c r="R88">
        <v>3.9690092000000003E-2</v>
      </c>
      <c r="S88">
        <v>0.32433838599999998</v>
      </c>
      <c r="T88">
        <v>0.177093373</v>
      </c>
      <c r="U88">
        <v>9.0791726000000003E-2</v>
      </c>
      <c r="V88">
        <v>0.111295162</v>
      </c>
      <c r="W88">
        <v>0.42089701600000001</v>
      </c>
      <c r="X88">
        <v>0.10121275</v>
      </c>
      <c r="Y88">
        <v>0.15211987699999999</v>
      </c>
      <c r="Z88">
        <v>7.4966870000000005E-2</v>
      </c>
      <c r="AA88">
        <v>0.24454309900000001</v>
      </c>
      <c r="AB88">
        <v>0.27529899099999999</v>
      </c>
      <c r="AC88">
        <v>9.3500153000000003E-2</v>
      </c>
    </row>
    <row r="89" spans="1:29" x14ac:dyDescent="0.25">
      <c r="A89" t="s">
        <v>79</v>
      </c>
      <c r="B89" t="s">
        <v>80</v>
      </c>
      <c r="C89" t="s">
        <v>98</v>
      </c>
      <c r="D89" t="s">
        <v>99</v>
      </c>
      <c r="E89" t="s">
        <v>56</v>
      </c>
      <c r="F89" t="s">
        <v>47</v>
      </c>
      <c r="G89" t="s">
        <v>47</v>
      </c>
      <c r="H89" t="s">
        <v>47</v>
      </c>
      <c r="I89" t="s">
        <v>47</v>
      </c>
      <c r="J89" t="s">
        <v>47</v>
      </c>
      <c r="K89" t="s">
        <v>47</v>
      </c>
      <c r="L89" t="s">
        <v>47</v>
      </c>
      <c r="M89" t="s">
        <v>47</v>
      </c>
      <c r="N89" t="s">
        <v>47</v>
      </c>
      <c r="O89" t="s">
        <v>47</v>
      </c>
      <c r="P89" t="s">
        <v>47</v>
      </c>
      <c r="Q89" t="s">
        <v>47</v>
      </c>
      <c r="R89" t="s">
        <v>47</v>
      </c>
      <c r="S89" t="s">
        <v>47</v>
      </c>
      <c r="T89" t="s">
        <v>47</v>
      </c>
      <c r="U89" t="s">
        <v>47</v>
      </c>
      <c r="V89" t="s">
        <v>47</v>
      </c>
      <c r="W89" t="s">
        <v>47</v>
      </c>
      <c r="X89" t="s">
        <v>47</v>
      </c>
      <c r="Y89" t="s">
        <v>47</v>
      </c>
      <c r="Z89" t="s">
        <v>47</v>
      </c>
      <c r="AA89" t="s">
        <v>47</v>
      </c>
      <c r="AB89" t="s">
        <v>47</v>
      </c>
      <c r="AC89" t="s">
        <v>47</v>
      </c>
    </row>
    <row r="90" spans="1:29" x14ac:dyDescent="0.25">
      <c r="A90" t="s">
        <v>81</v>
      </c>
      <c r="B90" t="s">
        <v>82</v>
      </c>
      <c r="C90" t="s">
        <v>98</v>
      </c>
      <c r="D90" t="s">
        <v>99</v>
      </c>
      <c r="E90" t="s">
        <v>56</v>
      </c>
      <c r="F90">
        <v>1.31</v>
      </c>
      <c r="G90">
        <v>4.1100000000000003</v>
      </c>
      <c r="H90">
        <v>1.87</v>
      </c>
      <c r="I90">
        <v>2.81</v>
      </c>
      <c r="J90">
        <v>1.78</v>
      </c>
      <c r="K90">
        <v>2.15</v>
      </c>
      <c r="L90">
        <v>2.94</v>
      </c>
      <c r="M90">
        <v>2.61</v>
      </c>
      <c r="N90">
        <v>1.81</v>
      </c>
      <c r="O90">
        <v>-1.1399999999999999</v>
      </c>
      <c r="P90">
        <v>2.92</v>
      </c>
      <c r="Q90">
        <v>2.48</v>
      </c>
      <c r="R90">
        <v>1.31</v>
      </c>
      <c r="S90">
        <v>4.1100000000000003</v>
      </c>
      <c r="T90">
        <v>1.87</v>
      </c>
      <c r="U90">
        <v>2.81</v>
      </c>
      <c r="V90">
        <v>1.78</v>
      </c>
      <c r="W90">
        <v>2.15</v>
      </c>
      <c r="X90">
        <v>2.94</v>
      </c>
      <c r="Y90">
        <v>2.61</v>
      </c>
      <c r="Z90">
        <v>1.81</v>
      </c>
      <c r="AA90">
        <v>-1.1399999999999999</v>
      </c>
      <c r="AB90">
        <v>2.92</v>
      </c>
      <c r="AC90">
        <v>2.48</v>
      </c>
    </row>
    <row r="91" spans="1:29" x14ac:dyDescent="0.25">
      <c r="A91" t="s">
        <v>83</v>
      </c>
      <c r="B91" t="s">
        <v>84</v>
      </c>
      <c r="C91" t="s">
        <v>98</v>
      </c>
      <c r="D91" t="s">
        <v>99</v>
      </c>
      <c r="E91" t="s">
        <v>56</v>
      </c>
      <c r="F91">
        <v>0.29611310699999999</v>
      </c>
      <c r="G91">
        <v>0.30371811700000001</v>
      </c>
      <c r="H91">
        <v>0.30454087000000002</v>
      </c>
      <c r="I91">
        <v>0.311622593</v>
      </c>
      <c r="J91">
        <v>0.30734751100000002</v>
      </c>
      <c r="K91">
        <v>0.299772131</v>
      </c>
      <c r="L91">
        <v>0.29487991499999999</v>
      </c>
      <c r="M91">
        <v>0.28590157300000002</v>
      </c>
      <c r="N91">
        <v>0.28014256700000001</v>
      </c>
      <c r="O91">
        <v>0.26354174699999999</v>
      </c>
      <c r="P91">
        <v>0.26188763799999998</v>
      </c>
      <c r="Q91">
        <v>0.235704107</v>
      </c>
      <c r="R91">
        <v>0.29611310699999999</v>
      </c>
      <c r="S91">
        <v>0.30371811700000001</v>
      </c>
      <c r="T91">
        <v>0.30454087000000002</v>
      </c>
      <c r="U91">
        <v>0.311622593</v>
      </c>
      <c r="V91">
        <v>0.30734751100000002</v>
      </c>
      <c r="W91">
        <v>0.299772131</v>
      </c>
      <c r="X91">
        <v>0.29487991499999999</v>
      </c>
      <c r="Y91">
        <v>0.28590157300000002</v>
      </c>
      <c r="Z91">
        <v>0.28014256700000001</v>
      </c>
      <c r="AA91">
        <v>0.26354174699999999</v>
      </c>
      <c r="AB91">
        <v>0.26188763799999998</v>
      </c>
      <c r="AC91">
        <v>0.235704107</v>
      </c>
    </row>
    <row r="92" spans="1:29" x14ac:dyDescent="0.25">
      <c r="A92" t="s">
        <v>85</v>
      </c>
      <c r="B92" t="s">
        <v>86</v>
      </c>
      <c r="C92" t="s">
        <v>98</v>
      </c>
      <c r="D92" t="s">
        <v>99</v>
      </c>
      <c r="E92" t="s">
        <v>56</v>
      </c>
      <c r="F92">
        <v>0.12616001800000001</v>
      </c>
      <c r="G92">
        <v>0.179012427</v>
      </c>
      <c r="H92">
        <v>0.16416083000000001</v>
      </c>
      <c r="I92">
        <v>0.15660221699999999</v>
      </c>
      <c r="J92">
        <v>0.17856076900000001</v>
      </c>
      <c r="K92">
        <v>0.18666366500000001</v>
      </c>
      <c r="L92">
        <v>0.17027673700000001</v>
      </c>
      <c r="M92">
        <v>0.150184081</v>
      </c>
      <c r="N92">
        <v>0.21312967399999999</v>
      </c>
      <c r="O92">
        <v>0.16390257499999999</v>
      </c>
      <c r="P92">
        <v>0.146227728</v>
      </c>
      <c r="Q92">
        <v>0.139251505</v>
      </c>
      <c r="R92">
        <v>0.12616001800000001</v>
      </c>
      <c r="S92">
        <v>0.179012427</v>
      </c>
      <c r="T92">
        <v>0.16416083000000001</v>
      </c>
      <c r="U92">
        <v>0.15660221699999999</v>
      </c>
      <c r="V92">
        <v>0.17856076900000001</v>
      </c>
      <c r="W92">
        <v>0.18666366500000001</v>
      </c>
      <c r="X92">
        <v>0.17027673700000001</v>
      </c>
      <c r="Y92">
        <v>0.150184081</v>
      </c>
      <c r="Z92">
        <v>0.21312967399999999</v>
      </c>
      <c r="AA92">
        <v>0.16390257499999999</v>
      </c>
      <c r="AB92">
        <v>0.146227728</v>
      </c>
      <c r="AC92">
        <v>0.139251505</v>
      </c>
    </row>
    <row r="93" spans="1:29" x14ac:dyDescent="0.25">
      <c r="A93" t="s">
        <v>87</v>
      </c>
      <c r="B93" t="s">
        <v>88</v>
      </c>
      <c r="C93" t="s">
        <v>98</v>
      </c>
      <c r="D93" t="s">
        <v>99</v>
      </c>
      <c r="E93" t="s">
        <v>56</v>
      </c>
      <c r="F93" t="s">
        <v>47</v>
      </c>
      <c r="G93" t="s">
        <v>47</v>
      </c>
      <c r="H93" t="s">
        <v>47</v>
      </c>
      <c r="I93" t="s">
        <v>47</v>
      </c>
      <c r="J93" t="s">
        <v>47</v>
      </c>
      <c r="K93" t="s">
        <v>47</v>
      </c>
      <c r="L93" t="s">
        <v>47</v>
      </c>
      <c r="M93" t="s">
        <v>47</v>
      </c>
      <c r="N93" t="s">
        <v>47</v>
      </c>
      <c r="O93" t="s">
        <v>47</v>
      </c>
      <c r="P93" t="s">
        <v>47</v>
      </c>
      <c r="Q93" t="s">
        <v>47</v>
      </c>
      <c r="R93" t="s">
        <v>47</v>
      </c>
      <c r="S93" t="s">
        <v>47</v>
      </c>
      <c r="T93" t="s">
        <v>47</v>
      </c>
      <c r="U93" t="s">
        <v>47</v>
      </c>
      <c r="V93" t="s">
        <v>47</v>
      </c>
      <c r="W93" t="s">
        <v>47</v>
      </c>
      <c r="X93" t="s">
        <v>47</v>
      </c>
      <c r="Y93" t="s">
        <v>47</v>
      </c>
      <c r="Z93" t="s">
        <v>47</v>
      </c>
      <c r="AA93" t="s">
        <v>47</v>
      </c>
      <c r="AB93" t="s">
        <v>47</v>
      </c>
      <c r="AC93" t="s">
        <v>47</v>
      </c>
    </row>
    <row r="94" spans="1:29" x14ac:dyDescent="0.25">
      <c r="A94" t="s">
        <v>100</v>
      </c>
      <c r="B94" t="s">
        <v>47</v>
      </c>
      <c r="E94" t="s">
        <v>48</v>
      </c>
      <c r="R94" t="s">
        <v>47</v>
      </c>
      <c r="S94" t="s">
        <v>47</v>
      </c>
      <c r="T94" t="s">
        <v>47</v>
      </c>
      <c r="U94" t="s">
        <v>47</v>
      </c>
      <c r="V94" t="s">
        <v>47</v>
      </c>
      <c r="W94" t="s">
        <v>47</v>
      </c>
      <c r="X94" t="s">
        <v>47</v>
      </c>
      <c r="Y94" t="s">
        <v>47</v>
      </c>
      <c r="Z94" t="s">
        <v>47</v>
      </c>
      <c r="AA94" t="s">
        <v>47</v>
      </c>
      <c r="AB94" t="s">
        <v>47</v>
      </c>
      <c r="AC94" t="s">
        <v>47</v>
      </c>
    </row>
    <row r="95" spans="1:29" x14ac:dyDescent="0.25">
      <c r="R95" t="s">
        <v>47</v>
      </c>
      <c r="S95" t="s">
        <v>47</v>
      </c>
      <c r="T95" t="s">
        <v>47</v>
      </c>
      <c r="U95" t="s">
        <v>47</v>
      </c>
      <c r="V95" t="s">
        <v>47</v>
      </c>
      <c r="W95" t="s">
        <v>47</v>
      </c>
      <c r="X95" t="s">
        <v>47</v>
      </c>
      <c r="Y95" t="s">
        <v>47</v>
      </c>
      <c r="Z95" t="s">
        <v>47</v>
      </c>
      <c r="AA95" t="s">
        <v>47</v>
      </c>
      <c r="AB95" t="s">
        <v>47</v>
      </c>
      <c r="AC95" t="s">
        <v>47</v>
      </c>
    </row>
    <row r="96" spans="1:29" x14ac:dyDescent="0.25">
      <c r="R96" t="s">
        <v>47</v>
      </c>
      <c r="S96" t="s">
        <v>47</v>
      </c>
      <c r="T96" t="s">
        <v>47</v>
      </c>
      <c r="U96" t="s">
        <v>47</v>
      </c>
      <c r="V96" t="s">
        <v>47</v>
      </c>
      <c r="W96" t="s">
        <v>47</v>
      </c>
      <c r="X96" t="s">
        <v>47</v>
      </c>
      <c r="Y96" t="s">
        <v>47</v>
      </c>
      <c r="Z96" t="s">
        <v>47</v>
      </c>
      <c r="AA96" t="s">
        <v>47</v>
      </c>
      <c r="AB96" t="s">
        <v>47</v>
      </c>
      <c r="AC96" t="s">
        <v>47</v>
      </c>
    </row>
    <row r="97" spans="1:29" x14ac:dyDescent="0.25">
      <c r="R97" t="s">
        <v>47</v>
      </c>
      <c r="S97" t="s">
        <v>47</v>
      </c>
      <c r="T97" t="s">
        <v>47</v>
      </c>
      <c r="U97" t="s">
        <v>47</v>
      </c>
      <c r="V97" t="s">
        <v>47</v>
      </c>
      <c r="W97" t="s">
        <v>47</v>
      </c>
      <c r="X97" t="s">
        <v>47</v>
      </c>
      <c r="Y97" t="s">
        <v>47</v>
      </c>
      <c r="Z97" t="s">
        <v>47</v>
      </c>
      <c r="AA97" t="s">
        <v>47</v>
      </c>
      <c r="AB97" t="s">
        <v>47</v>
      </c>
      <c r="AC97" t="s">
        <v>47</v>
      </c>
    </row>
    <row r="98" spans="1:29" x14ac:dyDescent="0.25">
      <c r="R98" t="s">
        <v>47</v>
      </c>
      <c r="S98" t="s">
        <v>47</v>
      </c>
      <c r="T98" t="s">
        <v>47</v>
      </c>
      <c r="U98" t="s">
        <v>47</v>
      </c>
      <c r="V98" t="s">
        <v>47</v>
      </c>
      <c r="W98" t="s">
        <v>47</v>
      </c>
      <c r="X98" t="s">
        <v>47</v>
      </c>
      <c r="Y98" t="s">
        <v>47</v>
      </c>
      <c r="Z98" t="s">
        <v>47</v>
      </c>
      <c r="AA98" t="s">
        <v>47</v>
      </c>
      <c r="AB98" t="s">
        <v>47</v>
      </c>
      <c r="AC98" t="s">
        <v>47</v>
      </c>
    </row>
    <row r="99" spans="1:29" x14ac:dyDescent="0.25">
      <c r="R99" t="s">
        <v>47</v>
      </c>
      <c r="S99" t="s">
        <v>47</v>
      </c>
      <c r="T99" t="s">
        <v>47</v>
      </c>
      <c r="U99" t="s">
        <v>47</v>
      </c>
      <c r="V99" t="s">
        <v>47</v>
      </c>
      <c r="W99" t="s">
        <v>47</v>
      </c>
      <c r="X99" t="s">
        <v>47</v>
      </c>
      <c r="Y99" t="s">
        <v>47</v>
      </c>
      <c r="Z99" t="s">
        <v>47</v>
      </c>
      <c r="AA99" t="s">
        <v>47</v>
      </c>
      <c r="AB99" t="s">
        <v>47</v>
      </c>
      <c r="AC99" t="s">
        <v>47</v>
      </c>
    </row>
    <row r="100" spans="1:29" x14ac:dyDescent="0.25">
      <c r="R100" t="s">
        <v>47</v>
      </c>
      <c r="S100" t="s">
        <v>47</v>
      </c>
      <c r="T100" t="s">
        <v>47</v>
      </c>
      <c r="U100" t="s">
        <v>47</v>
      </c>
      <c r="V100" t="s">
        <v>47</v>
      </c>
      <c r="W100" t="s">
        <v>47</v>
      </c>
      <c r="X100" t="s">
        <v>47</v>
      </c>
      <c r="Y100" t="s">
        <v>47</v>
      </c>
      <c r="Z100" t="s">
        <v>47</v>
      </c>
      <c r="AA100" t="s">
        <v>47</v>
      </c>
      <c r="AB100" t="s">
        <v>47</v>
      </c>
      <c r="AC100" t="s">
        <v>47</v>
      </c>
    </row>
    <row r="101" spans="1:29" x14ac:dyDescent="0.25">
      <c r="R101" t="s">
        <v>47</v>
      </c>
      <c r="S101" t="s">
        <v>47</v>
      </c>
      <c r="T101" t="s">
        <v>47</v>
      </c>
      <c r="U101" t="s">
        <v>47</v>
      </c>
      <c r="V101" t="s">
        <v>47</v>
      </c>
      <c r="W101" t="s">
        <v>47</v>
      </c>
      <c r="X101" t="s">
        <v>47</v>
      </c>
      <c r="Y101" t="s">
        <v>47</v>
      </c>
      <c r="Z101" t="s">
        <v>47</v>
      </c>
      <c r="AA101" t="s">
        <v>47</v>
      </c>
      <c r="AB101" t="s">
        <v>47</v>
      </c>
      <c r="AC101" t="s">
        <v>47</v>
      </c>
    </row>
    <row r="102" spans="1:29" x14ac:dyDescent="0.25">
      <c r="A102" t="s">
        <v>101</v>
      </c>
      <c r="B102" t="s">
        <v>101</v>
      </c>
      <c r="C102" t="s">
        <v>101</v>
      </c>
      <c r="D102" t="s">
        <v>101</v>
      </c>
      <c r="E102" t="s">
        <v>101</v>
      </c>
      <c r="F102" t="s">
        <v>101</v>
      </c>
      <c r="G102" t="s">
        <v>101</v>
      </c>
      <c r="H102" t="s">
        <v>101</v>
      </c>
      <c r="I102" t="s">
        <v>101</v>
      </c>
      <c r="J102" t="s">
        <v>101</v>
      </c>
      <c r="K102" t="s">
        <v>101</v>
      </c>
      <c r="L102" t="s">
        <v>101</v>
      </c>
      <c r="M102" t="s">
        <v>101</v>
      </c>
      <c r="N102" t="s">
        <v>101</v>
      </c>
      <c r="O102" t="s">
        <v>101</v>
      </c>
      <c r="P102" t="s">
        <v>101</v>
      </c>
      <c r="Q102" t="s">
        <v>101</v>
      </c>
      <c r="R102" t="s">
        <v>47</v>
      </c>
      <c r="S102" t="s">
        <v>47</v>
      </c>
      <c r="T102" t="s">
        <v>47</v>
      </c>
      <c r="U102" t="s">
        <v>47</v>
      </c>
      <c r="V102" t="s">
        <v>47</v>
      </c>
      <c r="W102" t="s">
        <v>47</v>
      </c>
      <c r="X102" t="s">
        <v>47</v>
      </c>
      <c r="Y102" t="s">
        <v>47</v>
      </c>
      <c r="Z102" t="s">
        <v>47</v>
      </c>
      <c r="AA102" t="s">
        <v>47</v>
      </c>
      <c r="AB102" t="s">
        <v>47</v>
      </c>
      <c r="AC102" t="s">
        <v>47</v>
      </c>
    </row>
    <row r="103" spans="1:29" x14ac:dyDescent="0.25">
      <c r="A103" t="s">
        <v>102</v>
      </c>
      <c r="R103" t="s">
        <v>47</v>
      </c>
      <c r="S103" t="s">
        <v>47</v>
      </c>
      <c r="T103" t="s">
        <v>47</v>
      </c>
      <c r="U103" t="s">
        <v>47</v>
      </c>
      <c r="V103" t="s">
        <v>47</v>
      </c>
      <c r="W103" t="s">
        <v>47</v>
      </c>
      <c r="X103" t="s">
        <v>47</v>
      </c>
      <c r="Y103" t="s">
        <v>47</v>
      </c>
      <c r="Z103" t="s">
        <v>47</v>
      </c>
      <c r="AA103" t="s">
        <v>47</v>
      </c>
      <c r="AB103" t="s">
        <v>47</v>
      </c>
      <c r="AC103" t="s">
        <v>47</v>
      </c>
    </row>
    <row r="104" spans="1:29" x14ac:dyDescent="0.25">
      <c r="A104">
        <v>0</v>
      </c>
      <c r="R104" t="s">
        <v>47</v>
      </c>
      <c r="S104" t="s">
        <v>47</v>
      </c>
      <c r="T104" t="s">
        <v>47</v>
      </c>
      <c r="U104" t="s">
        <v>47</v>
      </c>
      <c r="V104" t="s">
        <v>47</v>
      </c>
      <c r="W104" t="s">
        <v>47</v>
      </c>
      <c r="X104" t="s">
        <v>47</v>
      </c>
      <c r="Y104" t="s">
        <v>47</v>
      </c>
      <c r="Z104" t="s">
        <v>47</v>
      </c>
      <c r="AA104" t="s">
        <v>47</v>
      </c>
      <c r="AB104" t="s">
        <v>47</v>
      </c>
      <c r="AC104" t="s">
        <v>47</v>
      </c>
    </row>
    <row r="105" spans="1:29" x14ac:dyDescent="0.25">
      <c r="A105" t="s">
        <v>103</v>
      </c>
      <c r="B105" t="s">
        <v>104</v>
      </c>
      <c r="R105" t="s">
        <v>47</v>
      </c>
      <c r="S105" t="s">
        <v>47</v>
      </c>
      <c r="T105" t="s">
        <v>47</v>
      </c>
      <c r="U105" t="s">
        <v>47</v>
      </c>
      <c r="V105" t="s">
        <v>47</v>
      </c>
      <c r="W105" t="s">
        <v>47</v>
      </c>
      <c r="X105" t="s">
        <v>47</v>
      </c>
      <c r="Y105" t="s">
        <v>47</v>
      </c>
      <c r="Z105" t="s">
        <v>47</v>
      </c>
      <c r="AA105" t="s">
        <v>47</v>
      </c>
      <c r="AB105" t="s">
        <v>47</v>
      </c>
      <c r="AC105" t="s">
        <v>47</v>
      </c>
    </row>
    <row r="106" spans="1:29" x14ac:dyDescent="0.25">
      <c r="A106" t="s">
        <v>105</v>
      </c>
      <c r="B106" t="s">
        <v>106</v>
      </c>
      <c r="C106" t="s">
        <v>107</v>
      </c>
      <c r="R106" t="s">
        <v>47</v>
      </c>
      <c r="S106" t="s">
        <v>47</v>
      </c>
      <c r="T106" t="s">
        <v>47</v>
      </c>
      <c r="U106" t="s">
        <v>47</v>
      </c>
      <c r="V106" t="s">
        <v>47</v>
      </c>
      <c r="W106" t="s">
        <v>47</v>
      </c>
      <c r="X106" t="s">
        <v>47</v>
      </c>
      <c r="Y106" t="s">
        <v>47</v>
      </c>
      <c r="Z106" t="s">
        <v>47</v>
      </c>
      <c r="AA106" t="s">
        <v>47</v>
      </c>
      <c r="AB106" t="s">
        <v>47</v>
      </c>
      <c r="AC106" t="s">
        <v>47</v>
      </c>
    </row>
    <row r="107" spans="1:29" x14ac:dyDescent="0.25">
      <c r="A107" t="s">
        <v>108</v>
      </c>
      <c r="B107">
        <v>12</v>
      </c>
      <c r="R107" t="s">
        <v>47</v>
      </c>
      <c r="S107" t="s">
        <v>47</v>
      </c>
      <c r="T107" t="s">
        <v>47</v>
      </c>
      <c r="U107" t="s">
        <v>47</v>
      </c>
      <c r="V107" t="s">
        <v>47</v>
      </c>
      <c r="W107" t="s">
        <v>47</v>
      </c>
      <c r="X107" t="s">
        <v>47</v>
      </c>
      <c r="Y107" t="s">
        <v>47</v>
      </c>
      <c r="Z107" t="s">
        <v>47</v>
      </c>
      <c r="AA107" t="s">
        <v>47</v>
      </c>
      <c r="AB107" t="s">
        <v>47</v>
      </c>
      <c r="AC107" t="s">
        <v>47</v>
      </c>
    </row>
    <row r="108" spans="1:29" x14ac:dyDescent="0.25">
      <c r="A108" t="s">
        <v>109</v>
      </c>
      <c r="B108" t="s">
        <v>110</v>
      </c>
      <c r="C108" t="s">
        <v>111</v>
      </c>
      <c r="R108" t="s">
        <v>47</v>
      </c>
      <c r="S108" t="s">
        <v>47</v>
      </c>
      <c r="T108" t="s">
        <v>47</v>
      </c>
      <c r="U108" t="s">
        <v>47</v>
      </c>
      <c r="V108" t="s">
        <v>47</v>
      </c>
      <c r="W108" t="s">
        <v>47</v>
      </c>
      <c r="X108" t="s">
        <v>47</v>
      </c>
      <c r="Y108" t="s">
        <v>47</v>
      </c>
      <c r="Z108" t="s">
        <v>47</v>
      </c>
      <c r="AA108" t="s">
        <v>47</v>
      </c>
      <c r="AB108" t="s">
        <v>47</v>
      </c>
      <c r="AC108" t="s">
        <v>47</v>
      </c>
    </row>
    <row r="109" spans="1:29" x14ac:dyDescent="0.25">
      <c r="A109" t="s">
        <v>112</v>
      </c>
      <c r="B109">
        <v>43999</v>
      </c>
      <c r="R109" t="s">
        <v>47</v>
      </c>
      <c r="S109" t="s">
        <v>47</v>
      </c>
      <c r="T109" t="s">
        <v>47</v>
      </c>
      <c r="U109" t="s">
        <v>47</v>
      </c>
      <c r="V109" t="s">
        <v>47</v>
      </c>
      <c r="W109" t="s">
        <v>47</v>
      </c>
      <c r="X109" t="s">
        <v>47</v>
      </c>
      <c r="Y109" t="s">
        <v>47</v>
      </c>
      <c r="Z109" t="s">
        <v>47</v>
      </c>
      <c r="AA109" t="s">
        <v>47</v>
      </c>
      <c r="AB109" t="s">
        <v>47</v>
      </c>
      <c r="AC109" t="s">
        <v>47</v>
      </c>
    </row>
    <row r="110" spans="1:29" x14ac:dyDescent="0.25">
      <c r="A110" t="s">
        <v>113</v>
      </c>
      <c r="B110">
        <v>4</v>
      </c>
      <c r="R110" t="s">
        <v>47</v>
      </c>
      <c r="S110" t="s">
        <v>47</v>
      </c>
      <c r="T110" t="s">
        <v>47</v>
      </c>
      <c r="U110" t="s">
        <v>47</v>
      </c>
      <c r="V110" t="s">
        <v>47</v>
      </c>
      <c r="W110" t="s">
        <v>47</v>
      </c>
      <c r="X110" t="s">
        <v>47</v>
      </c>
      <c r="Y110" t="s">
        <v>47</v>
      </c>
      <c r="Z110" t="s">
        <v>47</v>
      </c>
      <c r="AA110" t="s">
        <v>47</v>
      </c>
      <c r="AB110" t="s">
        <v>47</v>
      </c>
      <c r="AC110" t="s">
        <v>47</v>
      </c>
    </row>
    <row r="111" spans="1:29" x14ac:dyDescent="0.25">
      <c r="R111" t="s">
        <v>47</v>
      </c>
      <c r="S111" t="s">
        <v>47</v>
      </c>
      <c r="T111" t="s">
        <v>47</v>
      </c>
      <c r="U111" t="s">
        <v>47</v>
      </c>
      <c r="V111" t="s">
        <v>47</v>
      </c>
      <c r="W111" t="s">
        <v>47</v>
      </c>
      <c r="X111" t="s">
        <v>47</v>
      </c>
      <c r="Y111" t="s">
        <v>47</v>
      </c>
      <c r="Z111" t="s">
        <v>47</v>
      </c>
      <c r="AA111" t="s">
        <v>47</v>
      </c>
      <c r="AB111" t="s">
        <v>47</v>
      </c>
      <c r="AC111" t="s">
        <v>47</v>
      </c>
    </row>
    <row r="112" spans="1:29" x14ac:dyDescent="0.25">
      <c r="A112" t="s">
        <v>52</v>
      </c>
      <c r="B112" t="s">
        <v>53</v>
      </c>
      <c r="C112" t="s">
        <v>54</v>
      </c>
      <c r="D112" t="s">
        <v>55</v>
      </c>
      <c r="E112" t="s">
        <v>56</v>
      </c>
      <c r="F112">
        <v>11141.504999999999</v>
      </c>
      <c r="G112">
        <v>11358.958000000001</v>
      </c>
      <c r="H112">
        <v>11055.65</v>
      </c>
      <c r="I112">
        <v>11099.688</v>
      </c>
      <c r="J112">
        <v>10454.129000000001</v>
      </c>
      <c r="K112">
        <v>10605.546</v>
      </c>
      <c r="L112">
        <v>10503.986999999999</v>
      </c>
      <c r="M112">
        <v>10694.995999999999</v>
      </c>
      <c r="N112">
        <v>9909.2379999999994</v>
      </c>
      <c r="O112">
        <v>9884.3130000000001</v>
      </c>
      <c r="P112">
        <v>9640.9060000000009</v>
      </c>
      <c r="Q112">
        <v>9356.7870000000003</v>
      </c>
      <c r="R112" t="s">
        <v>47</v>
      </c>
      <c r="S112" t="s">
        <v>47</v>
      </c>
      <c r="T112" t="s">
        <v>47</v>
      </c>
      <c r="U112" t="s">
        <v>47</v>
      </c>
      <c r="V112" t="s">
        <v>47</v>
      </c>
      <c r="W112" t="s">
        <v>47</v>
      </c>
      <c r="X112" t="s">
        <v>47</v>
      </c>
      <c r="Y112" t="s">
        <v>47</v>
      </c>
      <c r="Z112" t="s">
        <v>47</v>
      </c>
      <c r="AA112" t="s">
        <v>47</v>
      </c>
      <c r="AB112" t="s">
        <v>47</v>
      </c>
      <c r="AC112" t="s">
        <v>47</v>
      </c>
    </row>
    <row r="113" spans="1:29" x14ac:dyDescent="0.25">
      <c r="A113" t="s">
        <v>57</v>
      </c>
      <c r="B113" t="s">
        <v>58</v>
      </c>
      <c r="C113" t="s">
        <v>54</v>
      </c>
      <c r="D113" t="s">
        <v>55</v>
      </c>
      <c r="E113" t="s">
        <v>56</v>
      </c>
      <c r="F113">
        <v>1047.933</v>
      </c>
      <c r="G113">
        <v>1041.9570000000001</v>
      </c>
      <c r="H113">
        <v>1030.2529999999999</v>
      </c>
      <c r="I113">
        <v>1024.704</v>
      </c>
      <c r="J113">
        <v>1019.657</v>
      </c>
      <c r="K113">
        <v>1012.0549999999999</v>
      </c>
      <c r="L113">
        <v>1002.588</v>
      </c>
      <c r="M113">
        <v>1002.198</v>
      </c>
      <c r="N113">
        <v>992.34</v>
      </c>
      <c r="O113">
        <v>977.71100000000001</v>
      </c>
      <c r="P113">
        <v>979.72400000000005</v>
      </c>
      <c r="Q113">
        <v>966.69500000000005</v>
      </c>
      <c r="R113" t="s">
        <v>47</v>
      </c>
      <c r="S113" t="s">
        <v>47</v>
      </c>
      <c r="T113" t="s">
        <v>47</v>
      </c>
      <c r="U113" t="s">
        <v>47</v>
      </c>
      <c r="V113" t="s">
        <v>47</v>
      </c>
      <c r="W113" t="s">
        <v>47</v>
      </c>
      <c r="X113" t="s">
        <v>47</v>
      </c>
      <c r="Y113" t="s">
        <v>47</v>
      </c>
      <c r="Z113" t="s">
        <v>47</v>
      </c>
      <c r="AA113" t="s">
        <v>47</v>
      </c>
      <c r="AB113" t="s">
        <v>47</v>
      </c>
      <c r="AC113" t="s">
        <v>47</v>
      </c>
    </row>
    <row r="114" spans="1:29" x14ac:dyDescent="0.25">
      <c r="A114" t="s">
        <v>59</v>
      </c>
      <c r="B114" t="s">
        <v>60</v>
      </c>
      <c r="C114" t="s">
        <v>54</v>
      </c>
      <c r="D114" t="s">
        <v>55</v>
      </c>
      <c r="E114" t="s">
        <v>56</v>
      </c>
      <c r="F114">
        <v>3124.4922000000001</v>
      </c>
      <c r="G114">
        <v>3403.6453000000001</v>
      </c>
      <c r="H114">
        <v>3080.3101999999999</v>
      </c>
      <c r="I114">
        <v>3287.5210000000002</v>
      </c>
      <c r="J114">
        <v>3200.7154</v>
      </c>
      <c r="K114">
        <v>3843.1831000000002</v>
      </c>
      <c r="L114">
        <v>3353.9290000000001</v>
      </c>
      <c r="M114">
        <v>2738.6759000000002</v>
      </c>
      <c r="N114">
        <v>3619.1325999999999</v>
      </c>
      <c r="O114">
        <v>3978.3978999999999</v>
      </c>
      <c r="P114">
        <v>3383.4886999999999</v>
      </c>
      <c r="Q114">
        <v>3188.6062999999999</v>
      </c>
      <c r="R114" t="s">
        <v>47</v>
      </c>
      <c r="S114" t="s">
        <v>47</v>
      </c>
      <c r="T114" t="s">
        <v>47</v>
      </c>
      <c r="U114" t="s">
        <v>47</v>
      </c>
      <c r="V114" t="s">
        <v>47</v>
      </c>
      <c r="W114" t="s">
        <v>47</v>
      </c>
      <c r="X114" t="s">
        <v>47</v>
      </c>
      <c r="Y114" t="s">
        <v>47</v>
      </c>
      <c r="Z114" t="s">
        <v>47</v>
      </c>
      <c r="AA114" t="s">
        <v>47</v>
      </c>
      <c r="AB114" t="s">
        <v>47</v>
      </c>
      <c r="AC114" t="s">
        <v>47</v>
      </c>
    </row>
    <row r="115" spans="1:29" x14ac:dyDescent="0.25">
      <c r="A115" t="s">
        <v>61</v>
      </c>
      <c r="B115" t="s">
        <v>62</v>
      </c>
      <c r="C115" t="s">
        <v>54</v>
      </c>
      <c r="D115" t="s">
        <v>55</v>
      </c>
      <c r="E115" t="s">
        <v>56</v>
      </c>
      <c r="F115">
        <v>3910.5765999999999</v>
      </c>
      <c r="G115">
        <v>4041.4135999999999</v>
      </c>
      <c r="H115">
        <v>3856.5039000000002</v>
      </c>
      <c r="I115">
        <v>4006.596</v>
      </c>
      <c r="J115">
        <v>3908.3256999999999</v>
      </c>
      <c r="K115">
        <v>3996.0888</v>
      </c>
      <c r="L115">
        <v>3753.9816000000001</v>
      </c>
      <c r="M115">
        <v>3952.9495000000002</v>
      </c>
      <c r="N115">
        <v>3874.7453</v>
      </c>
      <c r="O115">
        <v>3826.4697999999999</v>
      </c>
      <c r="P115">
        <v>3577.2671999999998</v>
      </c>
      <c r="Q115">
        <v>3568.4643999999998</v>
      </c>
      <c r="R115" t="s">
        <v>47</v>
      </c>
      <c r="S115" t="s">
        <v>47</v>
      </c>
      <c r="T115" t="s">
        <v>47</v>
      </c>
      <c r="U115" t="s">
        <v>47</v>
      </c>
      <c r="V115" t="s">
        <v>47</v>
      </c>
      <c r="W115" t="s">
        <v>47</v>
      </c>
      <c r="X115" t="s">
        <v>47</v>
      </c>
      <c r="Y115" t="s">
        <v>47</v>
      </c>
      <c r="Z115" t="s">
        <v>47</v>
      </c>
      <c r="AA115" t="s">
        <v>47</v>
      </c>
      <c r="AB115" t="s">
        <v>47</v>
      </c>
      <c r="AC115" t="s">
        <v>47</v>
      </c>
    </row>
    <row r="116" spans="1:29" x14ac:dyDescent="0.25">
      <c r="A116" t="s">
        <v>63</v>
      </c>
      <c r="B116" t="s">
        <v>64</v>
      </c>
      <c r="C116" t="s">
        <v>54</v>
      </c>
      <c r="D116" t="s">
        <v>55</v>
      </c>
      <c r="E116" t="s">
        <v>56</v>
      </c>
      <c r="F116">
        <v>2332.1932999999999</v>
      </c>
      <c r="G116">
        <v>2314.7656999999999</v>
      </c>
      <c r="H116">
        <v>2241.2734</v>
      </c>
      <c r="I116">
        <v>2331.9746</v>
      </c>
      <c r="J116">
        <v>2306.5073000000002</v>
      </c>
      <c r="K116">
        <v>2243.5911999999998</v>
      </c>
      <c r="L116">
        <v>2140.9802</v>
      </c>
      <c r="M116">
        <v>2278.7064999999998</v>
      </c>
      <c r="N116">
        <v>2333.6714999999999</v>
      </c>
      <c r="O116">
        <v>2216.2136999999998</v>
      </c>
      <c r="P116">
        <v>2080.0708</v>
      </c>
      <c r="Q116">
        <v>2109.3629999999998</v>
      </c>
      <c r="R116" t="s">
        <v>47</v>
      </c>
      <c r="S116" t="s">
        <v>47</v>
      </c>
      <c r="T116" t="s">
        <v>47</v>
      </c>
      <c r="U116" t="s">
        <v>47</v>
      </c>
      <c r="V116" t="s">
        <v>47</v>
      </c>
      <c r="W116" t="s">
        <v>47</v>
      </c>
      <c r="X116" t="s">
        <v>47</v>
      </c>
      <c r="Y116" t="s">
        <v>47</v>
      </c>
      <c r="Z116" t="s">
        <v>47</v>
      </c>
      <c r="AA116" t="s">
        <v>47</v>
      </c>
      <c r="AB116" t="s">
        <v>47</v>
      </c>
      <c r="AC116" t="s">
        <v>47</v>
      </c>
    </row>
    <row r="117" spans="1:29" x14ac:dyDescent="0.25">
      <c r="A117" t="s">
        <v>65</v>
      </c>
      <c r="B117" t="s">
        <v>66</v>
      </c>
      <c r="C117" t="s">
        <v>54</v>
      </c>
      <c r="D117" t="s">
        <v>55</v>
      </c>
      <c r="E117" t="s">
        <v>56</v>
      </c>
      <c r="F117">
        <v>4225</v>
      </c>
      <c r="G117">
        <v>4284</v>
      </c>
      <c r="H117">
        <v>4248</v>
      </c>
      <c r="I117">
        <v>4141</v>
      </c>
      <c r="J117">
        <v>4110</v>
      </c>
      <c r="K117">
        <v>4129</v>
      </c>
      <c r="L117">
        <v>4078</v>
      </c>
      <c r="M117">
        <v>4006</v>
      </c>
      <c r="N117">
        <v>3912</v>
      </c>
      <c r="O117">
        <v>3828</v>
      </c>
      <c r="P117">
        <v>3766</v>
      </c>
      <c r="Q117">
        <v>3670</v>
      </c>
      <c r="R117" t="s">
        <v>47</v>
      </c>
      <c r="S117" t="s">
        <v>47</v>
      </c>
      <c r="T117" t="s">
        <v>47</v>
      </c>
      <c r="U117" t="s">
        <v>47</v>
      </c>
      <c r="V117" t="s">
        <v>47</v>
      </c>
      <c r="W117" t="s">
        <v>47</v>
      </c>
      <c r="X117" t="s">
        <v>47</v>
      </c>
      <c r="Y117" t="s">
        <v>47</v>
      </c>
      <c r="Z117" t="s">
        <v>47</v>
      </c>
      <c r="AA117" t="s">
        <v>47</v>
      </c>
      <c r="AB117" t="s">
        <v>47</v>
      </c>
      <c r="AC117" t="s">
        <v>47</v>
      </c>
    </row>
    <row r="118" spans="1:29" x14ac:dyDescent="0.25">
      <c r="A118" t="s">
        <v>67</v>
      </c>
      <c r="B118" t="s">
        <v>68</v>
      </c>
      <c r="C118" t="s">
        <v>54</v>
      </c>
      <c r="D118" t="s">
        <v>55</v>
      </c>
      <c r="E118" t="s">
        <v>56</v>
      </c>
      <c r="F118">
        <v>1051</v>
      </c>
      <c r="G118">
        <v>1099</v>
      </c>
      <c r="H118">
        <v>1098</v>
      </c>
      <c r="I118">
        <v>1112</v>
      </c>
      <c r="J118">
        <v>1158</v>
      </c>
      <c r="K118">
        <v>1282</v>
      </c>
      <c r="L118">
        <v>1304</v>
      </c>
      <c r="M118">
        <v>1387</v>
      </c>
      <c r="N118">
        <v>1420</v>
      </c>
      <c r="O118">
        <v>1493</v>
      </c>
      <c r="P118">
        <v>1480</v>
      </c>
      <c r="Q118">
        <v>1496</v>
      </c>
      <c r="R118" t="s">
        <v>47</v>
      </c>
      <c r="S118" t="s">
        <v>47</v>
      </c>
      <c r="T118" t="s">
        <v>47</v>
      </c>
      <c r="U118" t="s">
        <v>47</v>
      </c>
      <c r="V118" t="s">
        <v>47</v>
      </c>
      <c r="W118" t="s">
        <v>47</v>
      </c>
      <c r="X118" t="s">
        <v>47</v>
      </c>
      <c r="Y118" t="s">
        <v>47</v>
      </c>
      <c r="Z118" t="s">
        <v>47</v>
      </c>
      <c r="AA118" t="s">
        <v>47</v>
      </c>
      <c r="AB118" t="s">
        <v>47</v>
      </c>
      <c r="AC118" t="s">
        <v>47</v>
      </c>
    </row>
    <row r="119" spans="1:29" x14ac:dyDescent="0.25">
      <c r="A119" t="s">
        <v>69</v>
      </c>
      <c r="B119" t="s">
        <v>70</v>
      </c>
      <c r="C119" t="s">
        <v>54</v>
      </c>
      <c r="D119" t="s">
        <v>55</v>
      </c>
      <c r="E119" t="s">
        <v>56</v>
      </c>
      <c r="F119">
        <v>4815</v>
      </c>
      <c r="G119">
        <v>5021</v>
      </c>
      <c r="H119">
        <v>4851</v>
      </c>
      <c r="I119">
        <v>4890</v>
      </c>
      <c r="J119">
        <v>5280</v>
      </c>
      <c r="K119">
        <v>5178</v>
      </c>
      <c r="L119">
        <v>5013</v>
      </c>
      <c r="M119">
        <v>5282</v>
      </c>
      <c r="N119">
        <v>5584</v>
      </c>
      <c r="O119">
        <v>5460</v>
      </c>
      <c r="P119">
        <v>5453</v>
      </c>
      <c r="Q119">
        <v>5236</v>
      </c>
      <c r="R119" t="s">
        <v>47</v>
      </c>
      <c r="S119" t="s">
        <v>47</v>
      </c>
      <c r="T119" t="s">
        <v>47</v>
      </c>
      <c r="U119" t="s">
        <v>47</v>
      </c>
      <c r="V119" t="s">
        <v>47</v>
      </c>
      <c r="W119" t="s">
        <v>47</v>
      </c>
      <c r="X119" t="s">
        <v>47</v>
      </c>
      <c r="Y119" t="s">
        <v>47</v>
      </c>
      <c r="Z119" t="s">
        <v>47</v>
      </c>
      <c r="AA119" t="s">
        <v>47</v>
      </c>
      <c r="AB119" t="s">
        <v>47</v>
      </c>
      <c r="AC119" t="s">
        <v>47</v>
      </c>
    </row>
    <row r="120" spans="1:29" x14ac:dyDescent="0.25">
      <c r="A120" t="s">
        <v>71</v>
      </c>
      <c r="B120" t="s">
        <v>72</v>
      </c>
      <c r="C120" t="s">
        <v>54</v>
      </c>
      <c r="D120" t="s">
        <v>55</v>
      </c>
      <c r="E120" t="s">
        <v>56</v>
      </c>
      <c r="F120">
        <v>651.35900000000004</v>
      </c>
      <c r="G120">
        <v>632.77499999999998</v>
      </c>
      <c r="H120">
        <v>588.10299999999995</v>
      </c>
      <c r="I120">
        <v>551.58699999999999</v>
      </c>
      <c r="J120">
        <v>521.33299999999997</v>
      </c>
      <c r="K120">
        <v>504.93099999999998</v>
      </c>
      <c r="L120">
        <v>468.18599999999998</v>
      </c>
      <c r="M120">
        <v>445.64699999999999</v>
      </c>
      <c r="N120">
        <v>424.14800000000002</v>
      </c>
      <c r="O120">
        <v>399.29700000000003</v>
      </c>
      <c r="P120">
        <v>377.52300000000002</v>
      </c>
      <c r="Q120">
        <v>348.97699999999998</v>
      </c>
      <c r="R120" t="s">
        <v>47</v>
      </c>
      <c r="S120" t="s">
        <v>47</v>
      </c>
      <c r="T120" t="s">
        <v>47</v>
      </c>
      <c r="U120" t="s">
        <v>47</v>
      </c>
      <c r="V120" t="s">
        <v>47</v>
      </c>
      <c r="W120" t="s">
        <v>47</v>
      </c>
      <c r="X120" t="s">
        <v>47</v>
      </c>
      <c r="Y120" t="s">
        <v>47</v>
      </c>
      <c r="Z120" t="s">
        <v>47</v>
      </c>
      <c r="AA120" t="s">
        <v>47</v>
      </c>
      <c r="AB120" t="s">
        <v>47</v>
      </c>
      <c r="AC120" t="s">
        <v>47</v>
      </c>
    </row>
    <row r="121" spans="1:29" x14ac:dyDescent="0.25">
      <c r="A121" t="s">
        <v>73</v>
      </c>
      <c r="B121" t="s">
        <v>74</v>
      </c>
      <c r="C121" t="s">
        <v>54</v>
      </c>
      <c r="D121" t="s">
        <v>55</v>
      </c>
      <c r="E121" t="s">
        <v>56</v>
      </c>
      <c r="F121">
        <v>923.19200000000001</v>
      </c>
      <c r="G121">
        <v>940.73900000000003</v>
      </c>
      <c r="H121">
        <v>888.79899999999998</v>
      </c>
      <c r="I121">
        <v>881.79899999999998</v>
      </c>
      <c r="J121">
        <v>809.20600000000002</v>
      </c>
      <c r="K121">
        <v>835.33900000000006</v>
      </c>
      <c r="L121">
        <v>747.97799999999995</v>
      </c>
      <c r="M121">
        <v>728.56100000000004</v>
      </c>
      <c r="N121">
        <v>688.91200000000003</v>
      </c>
      <c r="O121">
        <v>734.41300000000001</v>
      </c>
      <c r="P121">
        <v>708.82399999999996</v>
      </c>
      <c r="Q121">
        <v>670.697</v>
      </c>
      <c r="R121" t="s">
        <v>47</v>
      </c>
      <c r="S121" t="s">
        <v>47</v>
      </c>
      <c r="T121" t="s">
        <v>47</v>
      </c>
      <c r="U121" t="s">
        <v>47</v>
      </c>
      <c r="V121" t="s">
        <v>47</v>
      </c>
      <c r="W121" t="s">
        <v>47</v>
      </c>
      <c r="X121" t="s">
        <v>47</v>
      </c>
      <c r="Y121" t="s">
        <v>47</v>
      </c>
      <c r="Z121" t="s">
        <v>47</v>
      </c>
      <c r="AA121" t="s">
        <v>47</v>
      </c>
      <c r="AB121" t="s">
        <v>47</v>
      </c>
      <c r="AC121" t="s">
        <v>47</v>
      </c>
    </row>
    <row r="122" spans="1:29" x14ac:dyDescent="0.25">
      <c r="A122" t="s">
        <v>75</v>
      </c>
      <c r="B122" t="s">
        <v>76</v>
      </c>
      <c r="C122" t="s">
        <v>54</v>
      </c>
      <c r="D122" t="s">
        <v>55</v>
      </c>
      <c r="E122" t="s">
        <v>56</v>
      </c>
      <c r="F122">
        <v>2543.4</v>
      </c>
      <c r="G122">
        <v>2543.4</v>
      </c>
      <c r="H122">
        <v>2485.6</v>
      </c>
      <c r="I122">
        <v>2363.6</v>
      </c>
      <c r="J122">
        <v>2277.8000000000002</v>
      </c>
      <c r="K122">
        <v>2201.5</v>
      </c>
      <c r="L122">
        <v>2098.6</v>
      </c>
      <c r="M122">
        <v>2054.5</v>
      </c>
      <c r="N122">
        <v>2047.7704000000001</v>
      </c>
      <c r="O122">
        <v>1987.5</v>
      </c>
      <c r="P122">
        <v>1928</v>
      </c>
      <c r="Q122">
        <v>1884.2</v>
      </c>
      <c r="R122" t="s">
        <v>47</v>
      </c>
      <c r="S122" t="s">
        <v>47</v>
      </c>
      <c r="T122" t="s">
        <v>47</v>
      </c>
      <c r="U122" t="s">
        <v>47</v>
      </c>
      <c r="V122" t="s">
        <v>47</v>
      </c>
      <c r="W122" t="s">
        <v>47</v>
      </c>
      <c r="X122" t="s">
        <v>47</v>
      </c>
      <c r="Y122" t="s">
        <v>47</v>
      </c>
      <c r="Z122" t="s">
        <v>47</v>
      </c>
      <c r="AA122" t="s">
        <v>47</v>
      </c>
      <c r="AB122" t="s">
        <v>47</v>
      </c>
      <c r="AC122" t="s">
        <v>47</v>
      </c>
    </row>
    <row r="123" spans="1:29" x14ac:dyDescent="0.25">
      <c r="A123" t="s">
        <v>77</v>
      </c>
      <c r="B123" t="s">
        <v>78</v>
      </c>
      <c r="C123" t="s">
        <v>54</v>
      </c>
      <c r="D123" t="s">
        <v>55</v>
      </c>
      <c r="E123" t="s">
        <v>56</v>
      </c>
      <c r="F123">
        <v>810.44960000000003</v>
      </c>
      <c r="G123">
        <v>1014.7148</v>
      </c>
      <c r="H123">
        <v>824.34439999999995</v>
      </c>
      <c r="I123">
        <v>910.81640000000004</v>
      </c>
      <c r="J123">
        <v>835.50260000000003</v>
      </c>
      <c r="K123">
        <v>1061.2514000000001</v>
      </c>
      <c r="L123">
        <v>826.38760000000002</v>
      </c>
      <c r="M123">
        <v>893.78290000000004</v>
      </c>
      <c r="N123">
        <v>877.07129999999995</v>
      </c>
      <c r="O123">
        <v>1054.3803</v>
      </c>
      <c r="P123">
        <v>865.19129999999996</v>
      </c>
      <c r="Q123">
        <v>815.44200000000001</v>
      </c>
      <c r="R123" t="s">
        <v>47</v>
      </c>
      <c r="S123" t="s">
        <v>47</v>
      </c>
      <c r="T123" t="s">
        <v>47</v>
      </c>
      <c r="U123" t="s">
        <v>47</v>
      </c>
      <c r="V123" t="s">
        <v>47</v>
      </c>
      <c r="W123" t="s">
        <v>47</v>
      </c>
      <c r="X123" t="s">
        <v>47</v>
      </c>
      <c r="Y123" t="s">
        <v>47</v>
      </c>
      <c r="Z123" t="s">
        <v>47</v>
      </c>
      <c r="AA123" t="s">
        <v>47</v>
      </c>
      <c r="AB123" t="s">
        <v>47</v>
      </c>
      <c r="AC123" t="s">
        <v>47</v>
      </c>
    </row>
    <row r="124" spans="1:29" x14ac:dyDescent="0.25">
      <c r="A124" t="s">
        <v>79</v>
      </c>
      <c r="B124" t="s">
        <v>80</v>
      </c>
      <c r="C124" t="s">
        <v>54</v>
      </c>
      <c r="D124" t="s">
        <v>55</v>
      </c>
      <c r="E124" t="s">
        <v>56</v>
      </c>
      <c r="F124">
        <v>3211.9106999999999</v>
      </c>
      <c r="G124">
        <v>3242.4681999999998</v>
      </c>
      <c r="H124">
        <v>3215.7981</v>
      </c>
      <c r="I124">
        <v>3135.4998000000001</v>
      </c>
      <c r="J124">
        <v>3057.7644</v>
      </c>
      <c r="K124">
        <v>2969.9645999999998</v>
      </c>
      <c r="L124">
        <v>2942.5531999999998</v>
      </c>
      <c r="M124">
        <v>2852.7518</v>
      </c>
      <c r="N124">
        <v>2809.9737</v>
      </c>
      <c r="O124">
        <v>2748.8053</v>
      </c>
      <c r="P124">
        <v>2732.5317</v>
      </c>
      <c r="Q124">
        <v>2648.2597000000001</v>
      </c>
      <c r="R124" t="s">
        <v>47</v>
      </c>
      <c r="S124" t="s">
        <v>47</v>
      </c>
      <c r="T124" t="s">
        <v>47</v>
      </c>
      <c r="U124" t="s">
        <v>47</v>
      </c>
      <c r="V124" t="s">
        <v>47</v>
      </c>
      <c r="W124" t="s">
        <v>47</v>
      </c>
      <c r="X124" t="s">
        <v>47</v>
      </c>
      <c r="Y124" t="s">
        <v>47</v>
      </c>
      <c r="Z124" t="s">
        <v>47</v>
      </c>
      <c r="AA124" t="s">
        <v>47</v>
      </c>
      <c r="AB124" t="s">
        <v>47</v>
      </c>
      <c r="AC124" t="s">
        <v>47</v>
      </c>
    </row>
    <row r="125" spans="1:29" x14ac:dyDescent="0.25">
      <c r="A125" t="s">
        <v>81</v>
      </c>
      <c r="B125" t="s">
        <v>82</v>
      </c>
      <c r="C125" t="s">
        <v>54</v>
      </c>
      <c r="D125" t="s">
        <v>55</v>
      </c>
      <c r="E125" t="s">
        <v>56</v>
      </c>
      <c r="F125">
        <v>17571</v>
      </c>
      <c r="G125">
        <v>21777</v>
      </c>
      <c r="H125">
        <v>18028</v>
      </c>
      <c r="I125">
        <v>19161</v>
      </c>
      <c r="J125">
        <v>18182</v>
      </c>
      <c r="K125">
        <v>21760</v>
      </c>
      <c r="L125">
        <v>18756</v>
      </c>
      <c r="M125">
        <v>20003</v>
      </c>
      <c r="N125">
        <v>19072</v>
      </c>
      <c r="O125">
        <v>22543</v>
      </c>
      <c r="P125">
        <v>19153</v>
      </c>
      <c r="Q125">
        <v>19289</v>
      </c>
      <c r="R125" t="s">
        <v>47</v>
      </c>
      <c r="S125" t="s">
        <v>47</v>
      </c>
      <c r="T125" t="s">
        <v>47</v>
      </c>
      <c r="U125" t="s">
        <v>47</v>
      </c>
      <c r="V125" t="s">
        <v>47</v>
      </c>
      <c r="W125" t="s">
        <v>47</v>
      </c>
      <c r="X125" t="s">
        <v>47</v>
      </c>
      <c r="Y125" t="s">
        <v>47</v>
      </c>
      <c r="Z125" t="s">
        <v>47</v>
      </c>
      <c r="AA125" t="s">
        <v>47</v>
      </c>
      <c r="AB125" t="s">
        <v>47</v>
      </c>
      <c r="AC125" t="s">
        <v>47</v>
      </c>
    </row>
    <row r="126" spans="1:29" x14ac:dyDescent="0.25">
      <c r="A126" t="s">
        <v>83</v>
      </c>
      <c r="B126" t="s">
        <v>84</v>
      </c>
      <c r="C126" t="s">
        <v>54</v>
      </c>
      <c r="D126" t="s">
        <v>55</v>
      </c>
      <c r="E126" t="s">
        <v>56</v>
      </c>
      <c r="F126">
        <v>5514.3759</v>
      </c>
      <c r="G126">
        <v>5596.1081000000004</v>
      </c>
      <c r="H126">
        <v>5539.0057999999999</v>
      </c>
      <c r="I126">
        <v>5489.5334999999995</v>
      </c>
      <c r="J126">
        <v>5396.0547999999999</v>
      </c>
      <c r="K126">
        <v>5181.8944000000001</v>
      </c>
      <c r="L126">
        <v>5262.0144</v>
      </c>
      <c r="M126">
        <v>5109.6890000000003</v>
      </c>
      <c r="N126">
        <v>4984.2340999999997</v>
      </c>
      <c r="O126">
        <v>4774.0294000000004</v>
      </c>
      <c r="P126">
        <v>4750.6261000000004</v>
      </c>
      <c r="Q126">
        <v>4587.5463</v>
      </c>
      <c r="R126" t="s">
        <v>47</v>
      </c>
      <c r="S126" t="s">
        <v>47</v>
      </c>
      <c r="T126" t="s">
        <v>47</v>
      </c>
      <c r="U126" t="s">
        <v>47</v>
      </c>
      <c r="V126" t="s">
        <v>47</v>
      </c>
      <c r="W126" t="s">
        <v>47</v>
      </c>
      <c r="X126" t="s">
        <v>47</v>
      </c>
      <c r="Y126" t="s">
        <v>47</v>
      </c>
      <c r="Z126" t="s">
        <v>47</v>
      </c>
      <c r="AA126" t="s">
        <v>47</v>
      </c>
      <c r="AB126" t="s">
        <v>47</v>
      </c>
      <c r="AC126" t="s">
        <v>47</v>
      </c>
    </row>
    <row r="127" spans="1:29" x14ac:dyDescent="0.25">
      <c r="A127" t="s">
        <v>85</v>
      </c>
      <c r="B127" t="s">
        <v>86</v>
      </c>
      <c r="C127" t="s">
        <v>54</v>
      </c>
      <c r="D127" t="s">
        <v>55</v>
      </c>
      <c r="E127" t="s">
        <v>56</v>
      </c>
      <c r="F127">
        <v>1310.0794000000001</v>
      </c>
      <c r="G127">
        <v>1355.6503</v>
      </c>
      <c r="H127">
        <v>1288.9178999999999</v>
      </c>
      <c r="I127">
        <v>1244.3920000000001</v>
      </c>
      <c r="J127">
        <v>1262.3871999999999</v>
      </c>
      <c r="K127">
        <v>1241.2370000000001</v>
      </c>
      <c r="L127">
        <v>1232.17</v>
      </c>
      <c r="M127">
        <v>1234.3252</v>
      </c>
      <c r="N127">
        <v>1251.6138000000001</v>
      </c>
      <c r="O127">
        <v>1201.2251000000001</v>
      </c>
      <c r="P127">
        <v>1183.1658</v>
      </c>
      <c r="Q127">
        <v>1137.598</v>
      </c>
      <c r="R127" t="s">
        <v>47</v>
      </c>
      <c r="S127" t="s">
        <v>47</v>
      </c>
      <c r="T127" t="s">
        <v>47</v>
      </c>
      <c r="U127" t="s">
        <v>47</v>
      </c>
      <c r="V127" t="s">
        <v>47</v>
      </c>
      <c r="W127" t="s">
        <v>47</v>
      </c>
      <c r="X127" t="s">
        <v>47</v>
      </c>
      <c r="Y127" t="s">
        <v>47</v>
      </c>
      <c r="Z127" t="s">
        <v>47</v>
      </c>
      <c r="AA127" t="s">
        <v>47</v>
      </c>
      <c r="AB127" t="s">
        <v>47</v>
      </c>
      <c r="AC127" t="s">
        <v>47</v>
      </c>
    </row>
    <row r="128" spans="1:29" x14ac:dyDescent="0.25">
      <c r="A128" t="s">
        <v>87</v>
      </c>
      <c r="B128" t="s">
        <v>88</v>
      </c>
      <c r="C128" t="s">
        <v>54</v>
      </c>
      <c r="D128" t="s">
        <v>55</v>
      </c>
      <c r="E128" t="s">
        <v>56</v>
      </c>
      <c r="F128">
        <v>2168.8368999999998</v>
      </c>
      <c r="G128">
        <v>2172.2936</v>
      </c>
      <c r="H128">
        <v>2149.4929000000002</v>
      </c>
      <c r="I128">
        <v>2116.3292999999999</v>
      </c>
      <c r="J128">
        <v>2130.3555999999999</v>
      </c>
      <c r="K128">
        <v>2090.0084999999999</v>
      </c>
      <c r="L128">
        <v>2076.1641</v>
      </c>
      <c r="M128">
        <v>2084.6356000000001</v>
      </c>
      <c r="N128">
        <v>2139.5455999999999</v>
      </c>
      <c r="O128">
        <v>2111.578</v>
      </c>
      <c r="P128">
        <v>2087.9983000000002</v>
      </c>
      <c r="Q128">
        <v>2112.9787999999999</v>
      </c>
      <c r="R128" t="s">
        <v>47</v>
      </c>
      <c r="S128" t="s">
        <v>47</v>
      </c>
      <c r="T128" t="s">
        <v>47</v>
      </c>
      <c r="U128" t="s">
        <v>47</v>
      </c>
      <c r="V128" t="s">
        <v>47</v>
      </c>
      <c r="W128" t="s">
        <v>47</v>
      </c>
      <c r="X128" t="s">
        <v>47</v>
      </c>
      <c r="Y128" t="s">
        <v>47</v>
      </c>
      <c r="Z128" t="s">
        <v>47</v>
      </c>
      <c r="AA128" t="s">
        <v>47</v>
      </c>
      <c r="AB128" t="s">
        <v>47</v>
      </c>
      <c r="AC128" t="s">
        <v>47</v>
      </c>
    </row>
    <row r="129" spans="1:29" x14ac:dyDescent="0.25">
      <c r="A129" t="s">
        <v>52</v>
      </c>
      <c r="B129" t="s">
        <v>53</v>
      </c>
      <c r="C129" t="s">
        <v>89</v>
      </c>
      <c r="D129" t="s">
        <v>90</v>
      </c>
      <c r="E129" t="s">
        <v>56</v>
      </c>
      <c r="F129">
        <v>3359.1709999999998</v>
      </c>
      <c r="G129">
        <v>3647.759</v>
      </c>
      <c r="H129">
        <v>3434.616</v>
      </c>
      <c r="I129">
        <v>3528.2979999999998</v>
      </c>
      <c r="J129">
        <v>3054.3490000000002</v>
      </c>
      <c r="K129">
        <v>3297.4250000000002</v>
      </c>
      <c r="L129">
        <v>3237.6559999999999</v>
      </c>
      <c r="M129">
        <v>3332.0149999999999</v>
      </c>
      <c r="N129">
        <v>2859.54</v>
      </c>
      <c r="O129">
        <v>3064.1529999999998</v>
      </c>
      <c r="P129">
        <v>2886.6729999999998</v>
      </c>
      <c r="Q129">
        <v>2909.6309999999999</v>
      </c>
      <c r="R129" t="s">
        <v>47</v>
      </c>
      <c r="S129" t="s">
        <v>47</v>
      </c>
      <c r="T129" t="s">
        <v>47</v>
      </c>
      <c r="U129" t="s">
        <v>47</v>
      </c>
      <c r="V129" t="s">
        <v>47</v>
      </c>
      <c r="W129" t="s">
        <v>47</v>
      </c>
      <c r="X129" t="s">
        <v>47</v>
      </c>
      <c r="Y129" t="s">
        <v>47</v>
      </c>
      <c r="Z129" t="s">
        <v>47</v>
      </c>
      <c r="AA129" t="s">
        <v>47</v>
      </c>
      <c r="AB129" t="s">
        <v>47</v>
      </c>
      <c r="AC129" t="s">
        <v>47</v>
      </c>
    </row>
    <row r="130" spans="1:29" x14ac:dyDescent="0.25">
      <c r="A130" t="s">
        <v>57</v>
      </c>
      <c r="B130" t="s">
        <v>58</v>
      </c>
      <c r="C130" t="s">
        <v>89</v>
      </c>
      <c r="D130" t="s">
        <v>90</v>
      </c>
      <c r="E130" t="s">
        <v>56</v>
      </c>
      <c r="F130">
        <v>363.96300000000002</v>
      </c>
      <c r="G130">
        <v>355.64499999999998</v>
      </c>
      <c r="H130">
        <v>363.12400000000002</v>
      </c>
      <c r="I130">
        <v>359.84199999999998</v>
      </c>
      <c r="J130">
        <v>361.04399999999998</v>
      </c>
      <c r="K130">
        <v>349.48700000000002</v>
      </c>
      <c r="L130">
        <v>347.66500000000002</v>
      </c>
      <c r="M130">
        <v>351.62900000000002</v>
      </c>
      <c r="N130">
        <v>345.75299999999999</v>
      </c>
      <c r="O130">
        <v>334.51400000000001</v>
      </c>
      <c r="P130">
        <v>343.279</v>
      </c>
      <c r="Q130">
        <v>338.05500000000001</v>
      </c>
      <c r="R130" t="s">
        <v>47</v>
      </c>
      <c r="S130" t="s">
        <v>47</v>
      </c>
      <c r="T130" t="s">
        <v>47</v>
      </c>
      <c r="U130" t="s">
        <v>47</v>
      </c>
      <c r="V130" t="s">
        <v>47</v>
      </c>
      <c r="W130" t="s">
        <v>47</v>
      </c>
      <c r="X130" t="s">
        <v>47</v>
      </c>
      <c r="Y130" t="s">
        <v>47</v>
      </c>
      <c r="Z130" t="s">
        <v>47</v>
      </c>
      <c r="AA130" t="s">
        <v>47</v>
      </c>
      <c r="AB130" t="s">
        <v>47</v>
      </c>
      <c r="AC130" t="s">
        <v>47</v>
      </c>
    </row>
    <row r="131" spans="1:29" x14ac:dyDescent="0.25">
      <c r="A131" t="s">
        <v>59</v>
      </c>
      <c r="B131" t="s">
        <v>60</v>
      </c>
      <c r="C131" t="s">
        <v>89</v>
      </c>
      <c r="D131" t="s">
        <v>90</v>
      </c>
      <c r="E131" t="s">
        <v>56</v>
      </c>
      <c r="F131" t="s">
        <v>47</v>
      </c>
      <c r="R131" t="s">
        <v>47</v>
      </c>
      <c r="S131" t="s">
        <v>47</v>
      </c>
      <c r="T131" t="s">
        <v>47</v>
      </c>
      <c r="U131" t="s">
        <v>47</v>
      </c>
      <c r="V131" t="s">
        <v>47</v>
      </c>
      <c r="W131" t="s">
        <v>47</v>
      </c>
      <c r="X131" t="s">
        <v>47</v>
      </c>
      <c r="Y131" t="s">
        <v>47</v>
      </c>
      <c r="Z131" t="s">
        <v>47</v>
      </c>
      <c r="AA131" t="s">
        <v>47</v>
      </c>
      <c r="AB131" t="s">
        <v>47</v>
      </c>
      <c r="AC131" t="s">
        <v>47</v>
      </c>
    </row>
    <row r="132" spans="1:29" x14ac:dyDescent="0.25">
      <c r="A132" t="s">
        <v>61</v>
      </c>
      <c r="B132" t="s">
        <v>62</v>
      </c>
      <c r="C132" t="s">
        <v>89</v>
      </c>
      <c r="D132" t="s">
        <v>90</v>
      </c>
      <c r="E132" t="s">
        <v>56</v>
      </c>
      <c r="F132" t="s">
        <v>47</v>
      </c>
      <c r="R132" t="s">
        <v>47</v>
      </c>
      <c r="S132" t="s">
        <v>47</v>
      </c>
      <c r="T132" t="s">
        <v>47</v>
      </c>
      <c r="U132" t="s">
        <v>47</v>
      </c>
      <c r="V132" t="s">
        <v>47</v>
      </c>
      <c r="W132" t="s">
        <v>47</v>
      </c>
      <c r="X132" t="s">
        <v>47</v>
      </c>
      <c r="Y132" t="s">
        <v>47</v>
      </c>
      <c r="Z132" t="s">
        <v>47</v>
      </c>
      <c r="AA132" t="s">
        <v>47</v>
      </c>
      <c r="AB132" t="s">
        <v>47</v>
      </c>
      <c r="AC132" t="s">
        <v>47</v>
      </c>
    </row>
    <row r="133" spans="1:29" x14ac:dyDescent="0.25">
      <c r="A133" t="s">
        <v>63</v>
      </c>
      <c r="B133" t="s">
        <v>64</v>
      </c>
      <c r="C133" t="s">
        <v>89</v>
      </c>
      <c r="D133" t="s">
        <v>90</v>
      </c>
      <c r="E133" t="s">
        <v>56</v>
      </c>
      <c r="F133">
        <v>361.64949999999999</v>
      </c>
      <c r="G133">
        <v>359.91559999999998</v>
      </c>
      <c r="H133">
        <v>346.31610000000001</v>
      </c>
      <c r="I133">
        <v>355.37639999999999</v>
      </c>
      <c r="J133">
        <v>343.82960000000003</v>
      </c>
      <c r="K133">
        <v>330.91079999999999</v>
      </c>
      <c r="L133">
        <v>334.57670000000002</v>
      </c>
      <c r="M133">
        <v>338.6268</v>
      </c>
      <c r="N133">
        <v>335.67599999999999</v>
      </c>
      <c r="O133">
        <v>319.63049999999998</v>
      </c>
      <c r="P133">
        <v>313.38490000000002</v>
      </c>
      <c r="Q133">
        <v>297.40809999999999</v>
      </c>
      <c r="R133" t="s">
        <v>47</v>
      </c>
      <c r="S133" t="s">
        <v>47</v>
      </c>
      <c r="T133" t="s">
        <v>47</v>
      </c>
      <c r="U133" t="s">
        <v>47</v>
      </c>
      <c r="V133" t="s">
        <v>47</v>
      </c>
      <c r="W133" t="s">
        <v>47</v>
      </c>
      <c r="X133" t="s">
        <v>47</v>
      </c>
      <c r="Y133" t="s">
        <v>47</v>
      </c>
      <c r="Z133" t="s">
        <v>47</v>
      </c>
      <c r="AA133" t="s">
        <v>47</v>
      </c>
      <c r="AB133" t="s">
        <v>47</v>
      </c>
      <c r="AC133" t="s">
        <v>47</v>
      </c>
    </row>
    <row r="134" spans="1:29" x14ac:dyDescent="0.25">
      <c r="A134" t="s">
        <v>65</v>
      </c>
      <c r="B134" t="s">
        <v>66</v>
      </c>
      <c r="C134" t="s">
        <v>89</v>
      </c>
      <c r="D134" t="s">
        <v>90</v>
      </c>
      <c r="E134" t="s">
        <v>56</v>
      </c>
      <c r="F134">
        <v>1478</v>
      </c>
      <c r="G134">
        <v>1535</v>
      </c>
      <c r="H134">
        <v>1567</v>
      </c>
      <c r="I134">
        <v>1512</v>
      </c>
      <c r="J134">
        <v>1535</v>
      </c>
      <c r="K134">
        <v>1589</v>
      </c>
      <c r="L134">
        <v>1598</v>
      </c>
      <c r="M134">
        <v>1589</v>
      </c>
      <c r="N134">
        <v>1511</v>
      </c>
      <c r="O134">
        <v>1468</v>
      </c>
      <c r="P134">
        <v>1429</v>
      </c>
      <c r="Q134">
        <v>1409</v>
      </c>
      <c r="R134" t="s">
        <v>47</v>
      </c>
      <c r="S134" t="s">
        <v>47</v>
      </c>
      <c r="T134" t="s">
        <v>47</v>
      </c>
      <c r="U134" t="s">
        <v>47</v>
      </c>
      <c r="V134" t="s">
        <v>47</v>
      </c>
      <c r="W134" t="s">
        <v>47</v>
      </c>
      <c r="X134" t="s">
        <v>47</v>
      </c>
      <c r="Y134" t="s">
        <v>47</v>
      </c>
      <c r="Z134" t="s">
        <v>47</v>
      </c>
      <c r="AA134" t="s">
        <v>47</v>
      </c>
      <c r="AB134" t="s">
        <v>47</v>
      </c>
      <c r="AC134" t="s">
        <v>47</v>
      </c>
    </row>
    <row r="135" spans="1:29" x14ac:dyDescent="0.25">
      <c r="A135" t="s">
        <v>67</v>
      </c>
      <c r="B135" t="s">
        <v>68</v>
      </c>
      <c r="C135" t="s">
        <v>89</v>
      </c>
      <c r="D135" t="s">
        <v>90</v>
      </c>
      <c r="E135" t="s">
        <v>56</v>
      </c>
      <c r="F135">
        <v>219</v>
      </c>
      <c r="G135">
        <v>249</v>
      </c>
      <c r="H135">
        <v>239</v>
      </c>
      <c r="I135">
        <v>233</v>
      </c>
      <c r="J135">
        <v>252</v>
      </c>
      <c r="K135">
        <v>293</v>
      </c>
      <c r="L135">
        <v>299</v>
      </c>
      <c r="M135">
        <v>314</v>
      </c>
      <c r="N135">
        <v>305</v>
      </c>
      <c r="O135">
        <v>339</v>
      </c>
      <c r="P135">
        <v>261</v>
      </c>
      <c r="Q135">
        <v>243</v>
      </c>
      <c r="R135" t="s">
        <v>47</v>
      </c>
      <c r="S135" t="s">
        <v>47</v>
      </c>
      <c r="T135" t="s">
        <v>47</v>
      </c>
      <c r="U135" t="s">
        <v>47</v>
      </c>
      <c r="V135" t="s">
        <v>47</v>
      </c>
      <c r="W135" t="s">
        <v>47</v>
      </c>
      <c r="X135" t="s">
        <v>47</v>
      </c>
      <c r="Y135" t="s">
        <v>47</v>
      </c>
      <c r="Z135" t="s">
        <v>47</v>
      </c>
      <c r="AA135" t="s">
        <v>47</v>
      </c>
      <c r="AB135" t="s">
        <v>47</v>
      </c>
      <c r="AC135" t="s">
        <v>47</v>
      </c>
    </row>
    <row r="136" spans="1:29" x14ac:dyDescent="0.25">
      <c r="A136" t="s">
        <v>69</v>
      </c>
      <c r="B136" t="s">
        <v>70</v>
      </c>
      <c r="C136" t="s">
        <v>89</v>
      </c>
      <c r="D136" t="s">
        <v>90</v>
      </c>
      <c r="E136" t="s">
        <v>56</v>
      </c>
      <c r="F136">
        <v>1042</v>
      </c>
      <c r="G136">
        <v>1194</v>
      </c>
      <c r="H136">
        <v>1172</v>
      </c>
      <c r="I136">
        <v>1268</v>
      </c>
      <c r="J136">
        <v>1444</v>
      </c>
      <c r="K136">
        <v>1453</v>
      </c>
      <c r="L136">
        <v>1495</v>
      </c>
      <c r="M136">
        <v>1415</v>
      </c>
      <c r="N136">
        <v>1497</v>
      </c>
      <c r="O136">
        <v>1409</v>
      </c>
      <c r="P136">
        <v>1583</v>
      </c>
      <c r="Q136">
        <v>927</v>
      </c>
      <c r="R136" t="s">
        <v>47</v>
      </c>
      <c r="S136" t="s">
        <v>47</v>
      </c>
      <c r="T136" t="s">
        <v>47</v>
      </c>
      <c r="U136" t="s">
        <v>47</v>
      </c>
      <c r="V136" t="s">
        <v>47</v>
      </c>
      <c r="W136" t="s">
        <v>47</v>
      </c>
      <c r="X136" t="s">
        <v>47</v>
      </c>
      <c r="Y136" t="s">
        <v>47</v>
      </c>
      <c r="Z136" t="s">
        <v>47</v>
      </c>
      <c r="AA136" t="s">
        <v>47</v>
      </c>
      <c r="AB136" t="s">
        <v>47</v>
      </c>
      <c r="AC136" t="s">
        <v>47</v>
      </c>
    </row>
    <row r="137" spans="1:29" x14ac:dyDescent="0.25">
      <c r="A137" t="s">
        <v>71</v>
      </c>
      <c r="B137" t="s">
        <v>72</v>
      </c>
      <c r="C137" t="s">
        <v>89</v>
      </c>
      <c r="D137" t="s">
        <v>90</v>
      </c>
      <c r="E137" t="s">
        <v>56</v>
      </c>
      <c r="F137">
        <v>227.55699999999999</v>
      </c>
      <c r="G137">
        <v>222.70599999999999</v>
      </c>
      <c r="H137">
        <v>210.578</v>
      </c>
      <c r="I137">
        <v>195.672</v>
      </c>
      <c r="J137">
        <v>176.64400000000001</v>
      </c>
      <c r="K137">
        <v>185.9</v>
      </c>
      <c r="L137">
        <v>167.10499999999999</v>
      </c>
      <c r="M137">
        <v>156.47200000000001</v>
      </c>
      <c r="N137">
        <v>146.51400000000001</v>
      </c>
      <c r="O137">
        <v>145.17599999999999</v>
      </c>
      <c r="P137">
        <v>138.154</v>
      </c>
      <c r="Q137">
        <v>128.845</v>
      </c>
      <c r="R137" t="s">
        <v>47</v>
      </c>
      <c r="S137" t="s">
        <v>47</v>
      </c>
      <c r="T137" t="s">
        <v>47</v>
      </c>
      <c r="U137" t="s">
        <v>47</v>
      </c>
      <c r="V137" t="s">
        <v>47</v>
      </c>
      <c r="W137" t="s">
        <v>47</v>
      </c>
      <c r="X137" t="s">
        <v>47</v>
      </c>
      <c r="Y137" t="s">
        <v>47</v>
      </c>
      <c r="Z137" t="s">
        <v>47</v>
      </c>
      <c r="AA137" t="s">
        <v>47</v>
      </c>
      <c r="AB137" t="s">
        <v>47</v>
      </c>
      <c r="AC137" t="s">
        <v>47</v>
      </c>
    </row>
    <row r="138" spans="1:29" x14ac:dyDescent="0.25">
      <c r="A138" t="s">
        <v>73</v>
      </c>
      <c r="B138" t="s">
        <v>74</v>
      </c>
      <c r="C138" t="s">
        <v>89</v>
      </c>
      <c r="D138" t="s">
        <v>90</v>
      </c>
      <c r="E138" t="s">
        <v>56</v>
      </c>
      <c r="F138">
        <v>318.42099999999999</v>
      </c>
      <c r="G138">
        <v>310.09100000000001</v>
      </c>
      <c r="H138">
        <v>315.14</v>
      </c>
      <c r="I138">
        <v>310.55500000000001</v>
      </c>
      <c r="J138">
        <v>290.06900000000002</v>
      </c>
      <c r="K138">
        <v>302.20499999999998</v>
      </c>
      <c r="L138">
        <v>266.56599999999997</v>
      </c>
      <c r="M138">
        <v>265.66300000000001</v>
      </c>
      <c r="N138">
        <v>244.58799999999999</v>
      </c>
      <c r="O138">
        <v>279.61</v>
      </c>
      <c r="P138">
        <v>280.03399999999999</v>
      </c>
      <c r="Q138">
        <v>256.18900000000002</v>
      </c>
      <c r="R138" t="s">
        <v>47</v>
      </c>
      <c r="S138" t="s">
        <v>47</v>
      </c>
      <c r="T138" t="s">
        <v>47</v>
      </c>
      <c r="U138" t="s">
        <v>47</v>
      </c>
      <c r="V138" t="s">
        <v>47</v>
      </c>
      <c r="W138" t="s">
        <v>47</v>
      </c>
      <c r="X138" t="s">
        <v>47</v>
      </c>
      <c r="Y138" t="s">
        <v>47</v>
      </c>
      <c r="Z138" t="s">
        <v>47</v>
      </c>
      <c r="AA138" t="s">
        <v>47</v>
      </c>
      <c r="AB138" t="s">
        <v>47</v>
      </c>
      <c r="AC138" t="s">
        <v>47</v>
      </c>
    </row>
    <row r="139" spans="1:29" x14ac:dyDescent="0.25">
      <c r="A139" t="s">
        <v>75</v>
      </c>
      <c r="B139" t="s">
        <v>76</v>
      </c>
      <c r="C139" t="s">
        <v>89</v>
      </c>
      <c r="D139" t="s">
        <v>90</v>
      </c>
      <c r="E139" t="s">
        <v>56</v>
      </c>
      <c r="F139">
        <v>1020.2</v>
      </c>
      <c r="G139">
        <v>976.7</v>
      </c>
      <c r="H139">
        <v>917.1</v>
      </c>
      <c r="I139">
        <v>792.3</v>
      </c>
      <c r="J139">
        <v>791.9</v>
      </c>
      <c r="K139">
        <v>776.5</v>
      </c>
      <c r="L139">
        <v>775.5</v>
      </c>
      <c r="M139">
        <v>706.5</v>
      </c>
      <c r="O139">
        <v>682.1</v>
      </c>
      <c r="P139">
        <v>655.4</v>
      </c>
      <c r="Q139">
        <v>634.6</v>
      </c>
      <c r="R139" t="s">
        <v>47</v>
      </c>
      <c r="S139" t="s">
        <v>47</v>
      </c>
      <c r="T139" t="s">
        <v>47</v>
      </c>
      <c r="U139" t="s">
        <v>47</v>
      </c>
      <c r="V139" t="s">
        <v>47</v>
      </c>
      <c r="W139" t="s">
        <v>47</v>
      </c>
      <c r="X139" t="s">
        <v>47</v>
      </c>
      <c r="Y139" t="s">
        <v>47</v>
      </c>
      <c r="Z139" t="s">
        <v>47</v>
      </c>
      <c r="AA139" t="s">
        <v>47</v>
      </c>
      <c r="AB139" t="s">
        <v>47</v>
      </c>
      <c r="AC139" t="s">
        <v>47</v>
      </c>
    </row>
    <row r="140" spans="1:29" x14ac:dyDescent="0.25">
      <c r="A140" t="s">
        <v>77</v>
      </c>
      <c r="B140" t="s">
        <v>78</v>
      </c>
      <c r="C140" t="s">
        <v>89</v>
      </c>
      <c r="D140" t="s">
        <v>90</v>
      </c>
      <c r="E140" t="s">
        <v>56</v>
      </c>
      <c r="F140" t="s">
        <v>47</v>
      </c>
      <c r="R140" t="s">
        <v>47</v>
      </c>
      <c r="S140" t="s">
        <v>47</v>
      </c>
      <c r="T140" t="s">
        <v>47</v>
      </c>
      <c r="U140" t="s">
        <v>47</v>
      </c>
      <c r="V140" t="s">
        <v>47</v>
      </c>
      <c r="W140" t="s">
        <v>47</v>
      </c>
      <c r="X140" t="s">
        <v>47</v>
      </c>
      <c r="Y140" t="s">
        <v>47</v>
      </c>
      <c r="Z140" t="s">
        <v>47</v>
      </c>
      <c r="AA140" t="s">
        <v>47</v>
      </c>
      <c r="AB140" t="s">
        <v>47</v>
      </c>
      <c r="AC140" t="s">
        <v>47</v>
      </c>
    </row>
    <row r="141" spans="1:29" x14ac:dyDescent="0.25">
      <c r="A141" t="s">
        <v>79</v>
      </c>
      <c r="B141" t="s">
        <v>80</v>
      </c>
      <c r="C141" t="s">
        <v>89</v>
      </c>
      <c r="D141" t="s">
        <v>90</v>
      </c>
      <c r="E141" t="s">
        <v>56</v>
      </c>
      <c r="F141">
        <v>1072.0634</v>
      </c>
      <c r="G141">
        <v>1083.8651</v>
      </c>
      <c r="H141">
        <v>1072.9275</v>
      </c>
      <c r="I141">
        <v>1010.1248000000001</v>
      </c>
      <c r="J141">
        <v>1030.0914</v>
      </c>
      <c r="K141">
        <v>1024.7765999999999</v>
      </c>
      <c r="L141">
        <v>1046.2918999999999</v>
      </c>
      <c r="M141">
        <v>1020.1183</v>
      </c>
      <c r="N141">
        <v>1014.5616</v>
      </c>
      <c r="O141">
        <v>980.01689999999996</v>
      </c>
      <c r="P141">
        <v>986.18150000000003</v>
      </c>
      <c r="Q141">
        <v>958.01310000000001</v>
      </c>
      <c r="R141" t="s">
        <v>47</v>
      </c>
      <c r="S141" t="s">
        <v>47</v>
      </c>
      <c r="T141" t="s">
        <v>47</v>
      </c>
      <c r="U141" t="s">
        <v>47</v>
      </c>
      <c r="V141" t="s">
        <v>47</v>
      </c>
      <c r="W141" t="s">
        <v>47</v>
      </c>
      <c r="X141" t="s">
        <v>47</v>
      </c>
      <c r="Y141" t="s">
        <v>47</v>
      </c>
      <c r="Z141" t="s">
        <v>47</v>
      </c>
      <c r="AA141" t="s">
        <v>47</v>
      </c>
      <c r="AB141" t="s">
        <v>47</v>
      </c>
      <c r="AC141" t="s">
        <v>47</v>
      </c>
    </row>
    <row r="142" spans="1:29" x14ac:dyDescent="0.25">
      <c r="A142" t="s">
        <v>81</v>
      </c>
      <c r="B142" t="s">
        <v>82</v>
      </c>
      <c r="C142" t="s">
        <v>89</v>
      </c>
      <c r="D142" t="s">
        <v>90</v>
      </c>
      <c r="E142" t="s">
        <v>56</v>
      </c>
      <c r="F142">
        <v>7922</v>
      </c>
      <c r="G142">
        <v>11100</v>
      </c>
      <c r="H142">
        <v>8336</v>
      </c>
      <c r="I142">
        <v>9010</v>
      </c>
      <c r="J142">
        <v>8043</v>
      </c>
      <c r="K142">
        <v>10687</v>
      </c>
      <c r="L142">
        <v>8803</v>
      </c>
      <c r="M142">
        <v>9199</v>
      </c>
      <c r="N142">
        <v>8247</v>
      </c>
      <c r="O142">
        <v>11049</v>
      </c>
      <c r="P142">
        <v>8800</v>
      </c>
      <c r="Q142">
        <v>8968</v>
      </c>
      <c r="R142" t="s">
        <v>47</v>
      </c>
      <c r="S142" t="s">
        <v>47</v>
      </c>
      <c r="T142" t="s">
        <v>47</v>
      </c>
      <c r="U142" t="s">
        <v>47</v>
      </c>
      <c r="V142" t="s">
        <v>47</v>
      </c>
      <c r="W142" t="s">
        <v>47</v>
      </c>
      <c r="X142" t="s">
        <v>47</v>
      </c>
      <c r="Y142" t="s">
        <v>47</v>
      </c>
      <c r="Z142" t="s">
        <v>47</v>
      </c>
      <c r="AA142" t="s">
        <v>47</v>
      </c>
      <c r="AB142" t="s">
        <v>47</v>
      </c>
      <c r="AC142" t="s">
        <v>47</v>
      </c>
    </row>
    <row r="143" spans="1:29" x14ac:dyDescent="0.25">
      <c r="A143" t="s">
        <v>83</v>
      </c>
      <c r="B143" t="s">
        <v>84</v>
      </c>
      <c r="C143" t="s">
        <v>89</v>
      </c>
      <c r="D143" t="s">
        <v>90</v>
      </c>
      <c r="E143" t="s">
        <v>56</v>
      </c>
      <c r="F143">
        <v>2315.9937</v>
      </c>
      <c r="G143">
        <v>2314.7449000000001</v>
      </c>
      <c r="H143">
        <v>2261.5322000000001</v>
      </c>
      <c r="I143">
        <v>2222.0156999999999</v>
      </c>
      <c r="J143">
        <v>2252.9699999999998</v>
      </c>
      <c r="K143">
        <v>2165.4373000000001</v>
      </c>
      <c r="L143">
        <v>2235.0781999999999</v>
      </c>
      <c r="M143">
        <v>2114.5083</v>
      </c>
      <c r="N143">
        <v>2105.7321000000002</v>
      </c>
      <c r="O143">
        <v>2014.7194999999999</v>
      </c>
      <c r="P143">
        <v>2011.2502999999999</v>
      </c>
      <c r="Q143">
        <v>1906.2570000000001</v>
      </c>
      <c r="R143" t="s">
        <v>47</v>
      </c>
      <c r="S143" t="s">
        <v>47</v>
      </c>
      <c r="T143" t="s">
        <v>47</v>
      </c>
      <c r="U143" t="s">
        <v>47</v>
      </c>
      <c r="V143" t="s">
        <v>47</v>
      </c>
      <c r="W143" t="s">
        <v>47</v>
      </c>
      <c r="X143" t="s">
        <v>47</v>
      </c>
      <c r="Y143" t="s">
        <v>47</v>
      </c>
      <c r="Z143" t="s">
        <v>47</v>
      </c>
      <c r="AA143" t="s">
        <v>47</v>
      </c>
      <c r="AB143" t="s">
        <v>47</v>
      </c>
      <c r="AC143" t="s">
        <v>47</v>
      </c>
    </row>
    <row r="144" spans="1:29" x14ac:dyDescent="0.25">
      <c r="A144" t="s">
        <v>85</v>
      </c>
      <c r="B144" t="s">
        <v>86</v>
      </c>
      <c r="C144" t="s">
        <v>89</v>
      </c>
      <c r="D144" t="s">
        <v>90</v>
      </c>
      <c r="E144" t="s">
        <v>56</v>
      </c>
      <c r="F144" t="s">
        <v>47</v>
      </c>
      <c r="R144" t="s">
        <v>47</v>
      </c>
      <c r="S144" t="s">
        <v>47</v>
      </c>
      <c r="T144" t="s">
        <v>47</v>
      </c>
      <c r="U144" t="s">
        <v>47</v>
      </c>
      <c r="V144" t="s">
        <v>47</v>
      </c>
      <c r="W144" t="s">
        <v>47</v>
      </c>
      <c r="X144" t="s">
        <v>47</v>
      </c>
      <c r="Y144" t="s">
        <v>47</v>
      </c>
      <c r="Z144" t="s">
        <v>47</v>
      </c>
      <c r="AA144" t="s">
        <v>47</v>
      </c>
      <c r="AB144" t="s">
        <v>47</v>
      </c>
      <c r="AC144" t="s">
        <v>47</v>
      </c>
    </row>
    <row r="145" spans="1:29" x14ac:dyDescent="0.25">
      <c r="A145" t="s">
        <v>87</v>
      </c>
      <c r="B145" t="s">
        <v>88</v>
      </c>
      <c r="C145" t="s">
        <v>89</v>
      </c>
      <c r="D145" t="s">
        <v>90</v>
      </c>
      <c r="E145" t="s">
        <v>56</v>
      </c>
      <c r="F145">
        <v>593.27930000000003</v>
      </c>
      <c r="G145">
        <v>632.31780000000003</v>
      </c>
      <c r="H145">
        <v>614.62400000000002</v>
      </c>
      <c r="I145">
        <v>616.77440000000001</v>
      </c>
      <c r="J145">
        <v>612.16330000000005</v>
      </c>
      <c r="K145">
        <v>647.06370000000004</v>
      </c>
      <c r="L145">
        <v>623.09199999999998</v>
      </c>
      <c r="M145">
        <v>588.01469999999995</v>
      </c>
      <c r="N145">
        <v>619.89419999999996</v>
      </c>
      <c r="O145">
        <v>628.94719999999995</v>
      </c>
      <c r="P145">
        <v>615.04129999999998</v>
      </c>
      <c r="Q145">
        <v>607.09310000000005</v>
      </c>
      <c r="R145" t="s">
        <v>47</v>
      </c>
      <c r="S145" t="s">
        <v>47</v>
      </c>
      <c r="T145" t="s">
        <v>47</v>
      </c>
      <c r="U145" t="s">
        <v>47</v>
      </c>
      <c r="V145" t="s">
        <v>47</v>
      </c>
      <c r="W145" t="s">
        <v>47</v>
      </c>
      <c r="X145" t="s">
        <v>47</v>
      </c>
      <c r="Y145" t="s">
        <v>47</v>
      </c>
      <c r="Z145" t="s">
        <v>47</v>
      </c>
      <c r="AA145" t="s">
        <v>47</v>
      </c>
      <c r="AB145" t="s">
        <v>47</v>
      </c>
      <c r="AC145" t="s">
        <v>47</v>
      </c>
    </row>
    <row r="146" spans="1:29" x14ac:dyDescent="0.25">
      <c r="A146" t="s">
        <v>52</v>
      </c>
      <c r="B146" t="s">
        <v>53</v>
      </c>
      <c r="C146" t="s">
        <v>92</v>
      </c>
      <c r="D146" t="s">
        <v>91</v>
      </c>
      <c r="E146" t="s">
        <v>56</v>
      </c>
      <c r="F146">
        <v>2110.0100000000002</v>
      </c>
      <c r="G146">
        <v>2341.2649999999999</v>
      </c>
      <c r="H146">
        <v>1838.8240000000001</v>
      </c>
      <c r="I146">
        <v>1939.252</v>
      </c>
      <c r="J146">
        <v>1606.2239999999999</v>
      </c>
      <c r="K146">
        <v>1840.6969999999999</v>
      </c>
      <c r="L146">
        <v>1783.425</v>
      </c>
      <c r="M146">
        <v>1873.2639999999999</v>
      </c>
      <c r="N146">
        <v>1516.7080000000001</v>
      </c>
      <c r="O146">
        <v>1730.809</v>
      </c>
      <c r="P146">
        <v>1528.6310000000001</v>
      </c>
      <c r="Q146">
        <v>1059.915</v>
      </c>
      <c r="R146" t="s">
        <v>47</v>
      </c>
      <c r="S146" t="s">
        <v>47</v>
      </c>
      <c r="T146" t="s">
        <v>47</v>
      </c>
      <c r="U146" t="s">
        <v>47</v>
      </c>
      <c r="V146" t="s">
        <v>47</v>
      </c>
      <c r="W146" t="s">
        <v>47</v>
      </c>
      <c r="X146" t="s">
        <v>47</v>
      </c>
      <c r="Y146" t="s">
        <v>47</v>
      </c>
      <c r="Z146" t="s">
        <v>47</v>
      </c>
      <c r="AA146" t="s">
        <v>47</v>
      </c>
      <c r="AB146" t="s">
        <v>47</v>
      </c>
      <c r="AC146" t="s">
        <v>47</v>
      </c>
    </row>
    <row r="147" spans="1:29" x14ac:dyDescent="0.25">
      <c r="A147" t="s">
        <v>57</v>
      </c>
      <c r="B147" t="s">
        <v>58</v>
      </c>
      <c r="C147" t="s">
        <v>92</v>
      </c>
      <c r="D147" t="s">
        <v>91</v>
      </c>
      <c r="E147" t="s">
        <v>56</v>
      </c>
      <c r="F147">
        <v>205.82</v>
      </c>
      <c r="G147">
        <v>192.57599999999999</v>
      </c>
      <c r="H147">
        <v>194.66800000000001</v>
      </c>
      <c r="I147">
        <v>195.72499999999999</v>
      </c>
      <c r="J147">
        <v>200.55099999999999</v>
      </c>
      <c r="K147">
        <v>184.57400000000001</v>
      </c>
      <c r="L147">
        <v>122.622</v>
      </c>
      <c r="M147">
        <v>160.03899999999999</v>
      </c>
      <c r="N147">
        <v>185.49</v>
      </c>
      <c r="O147">
        <v>171.38</v>
      </c>
      <c r="P147">
        <v>183.399</v>
      </c>
      <c r="Q147">
        <v>184.40700000000001</v>
      </c>
      <c r="R147" t="s">
        <v>47</v>
      </c>
      <c r="S147" t="s">
        <v>47</v>
      </c>
      <c r="T147" t="s">
        <v>47</v>
      </c>
      <c r="U147" t="s">
        <v>47</v>
      </c>
      <c r="V147" t="s">
        <v>47</v>
      </c>
      <c r="W147" t="s">
        <v>47</v>
      </c>
      <c r="X147" t="s">
        <v>47</v>
      </c>
      <c r="Y147" t="s">
        <v>47</v>
      </c>
      <c r="Z147" t="s">
        <v>47</v>
      </c>
      <c r="AA147" t="s">
        <v>47</v>
      </c>
      <c r="AB147" t="s">
        <v>47</v>
      </c>
      <c r="AC147" t="s">
        <v>47</v>
      </c>
    </row>
    <row r="148" spans="1:29" x14ac:dyDescent="0.25">
      <c r="A148" t="s">
        <v>59</v>
      </c>
      <c r="B148" t="s">
        <v>60</v>
      </c>
      <c r="C148" t="s">
        <v>92</v>
      </c>
      <c r="D148" t="s">
        <v>91</v>
      </c>
      <c r="E148" t="s">
        <v>56</v>
      </c>
      <c r="F148" t="s">
        <v>47</v>
      </c>
      <c r="R148" t="s">
        <v>47</v>
      </c>
      <c r="S148" t="s">
        <v>47</v>
      </c>
      <c r="T148" t="s">
        <v>47</v>
      </c>
      <c r="U148" t="s">
        <v>47</v>
      </c>
      <c r="V148" t="s">
        <v>47</v>
      </c>
      <c r="W148" t="s">
        <v>47</v>
      </c>
      <c r="X148" t="s">
        <v>47</v>
      </c>
      <c r="Y148" t="s">
        <v>47</v>
      </c>
      <c r="Z148" t="s">
        <v>47</v>
      </c>
      <c r="AA148" t="s">
        <v>47</v>
      </c>
      <c r="AB148" t="s">
        <v>47</v>
      </c>
      <c r="AC148" t="s">
        <v>47</v>
      </c>
    </row>
    <row r="149" spans="1:29" x14ac:dyDescent="0.25">
      <c r="A149" t="s">
        <v>61</v>
      </c>
      <c r="B149" t="s">
        <v>62</v>
      </c>
      <c r="C149" t="s">
        <v>92</v>
      </c>
      <c r="D149" t="s">
        <v>91</v>
      </c>
      <c r="E149" t="s">
        <v>56</v>
      </c>
      <c r="F149" t="s">
        <v>47</v>
      </c>
      <c r="R149" t="s">
        <v>47</v>
      </c>
      <c r="S149" t="s">
        <v>47</v>
      </c>
      <c r="T149" t="s">
        <v>47</v>
      </c>
      <c r="U149" t="s">
        <v>47</v>
      </c>
      <c r="V149" t="s">
        <v>47</v>
      </c>
      <c r="W149" t="s">
        <v>47</v>
      </c>
      <c r="X149" t="s">
        <v>47</v>
      </c>
      <c r="Y149" t="s">
        <v>47</v>
      </c>
      <c r="Z149" t="s">
        <v>47</v>
      </c>
      <c r="AA149" t="s">
        <v>47</v>
      </c>
      <c r="AB149" t="s">
        <v>47</v>
      </c>
      <c r="AC149" t="s">
        <v>47</v>
      </c>
    </row>
    <row r="150" spans="1:29" x14ac:dyDescent="0.25">
      <c r="A150" t="s">
        <v>63</v>
      </c>
      <c r="B150" t="s">
        <v>64</v>
      </c>
      <c r="C150" t="s">
        <v>92</v>
      </c>
      <c r="D150" t="s">
        <v>91</v>
      </c>
      <c r="E150" t="s">
        <v>56</v>
      </c>
      <c r="F150">
        <v>435.50310000000002</v>
      </c>
      <c r="G150">
        <v>421.27069999999998</v>
      </c>
      <c r="H150">
        <v>399.23</v>
      </c>
      <c r="I150">
        <v>403.4735</v>
      </c>
      <c r="J150">
        <v>411.04329999999999</v>
      </c>
      <c r="K150">
        <v>399.99250000000001</v>
      </c>
      <c r="L150">
        <v>395.23489999999998</v>
      </c>
      <c r="M150">
        <v>394.6361</v>
      </c>
      <c r="N150">
        <v>381.9135</v>
      </c>
      <c r="O150">
        <v>354.85449999999997</v>
      </c>
      <c r="P150">
        <v>320.24540000000002</v>
      </c>
      <c r="Q150">
        <v>365.63409999999999</v>
      </c>
      <c r="R150" t="s">
        <v>47</v>
      </c>
      <c r="S150" t="s">
        <v>47</v>
      </c>
      <c r="T150" t="s">
        <v>47</v>
      </c>
      <c r="U150" t="s">
        <v>47</v>
      </c>
      <c r="V150" t="s">
        <v>47</v>
      </c>
      <c r="W150" t="s">
        <v>47</v>
      </c>
      <c r="X150" t="s">
        <v>47</v>
      </c>
      <c r="Y150" t="s">
        <v>47</v>
      </c>
      <c r="Z150" t="s">
        <v>47</v>
      </c>
      <c r="AA150" t="s">
        <v>47</v>
      </c>
      <c r="AB150" t="s">
        <v>47</v>
      </c>
      <c r="AC150" t="s">
        <v>47</v>
      </c>
    </row>
    <row r="151" spans="1:29" x14ac:dyDescent="0.25">
      <c r="A151" t="s">
        <v>65</v>
      </c>
      <c r="B151" t="s">
        <v>66</v>
      </c>
      <c r="C151" t="s">
        <v>92</v>
      </c>
      <c r="D151" t="s">
        <v>91</v>
      </c>
      <c r="E151" t="s">
        <v>56</v>
      </c>
      <c r="F151">
        <v>715</v>
      </c>
      <c r="G151">
        <v>818</v>
      </c>
      <c r="H151">
        <v>859</v>
      </c>
      <c r="I151">
        <v>816</v>
      </c>
      <c r="J151">
        <v>672</v>
      </c>
      <c r="K151">
        <v>824</v>
      </c>
      <c r="L151">
        <v>872</v>
      </c>
      <c r="M151">
        <v>793</v>
      </c>
      <c r="N151">
        <v>810</v>
      </c>
      <c r="O151">
        <v>779</v>
      </c>
      <c r="P151">
        <v>762</v>
      </c>
      <c r="Q151">
        <v>813</v>
      </c>
      <c r="R151" t="s">
        <v>47</v>
      </c>
      <c r="S151" t="s">
        <v>47</v>
      </c>
      <c r="T151" t="s">
        <v>47</v>
      </c>
      <c r="U151" t="s">
        <v>47</v>
      </c>
      <c r="V151" t="s">
        <v>47</v>
      </c>
      <c r="W151" t="s">
        <v>47</v>
      </c>
      <c r="X151" t="s">
        <v>47</v>
      </c>
      <c r="Y151" t="s">
        <v>47</v>
      </c>
      <c r="Z151" t="s">
        <v>47</v>
      </c>
      <c r="AA151" t="s">
        <v>47</v>
      </c>
      <c r="AB151" t="s">
        <v>47</v>
      </c>
      <c r="AC151" t="s">
        <v>47</v>
      </c>
    </row>
    <row r="152" spans="1:29" x14ac:dyDescent="0.25">
      <c r="A152" t="s">
        <v>67</v>
      </c>
      <c r="B152" t="s">
        <v>68</v>
      </c>
      <c r="C152" t="s">
        <v>92</v>
      </c>
      <c r="D152" t="s">
        <v>91</v>
      </c>
      <c r="E152" t="s">
        <v>56</v>
      </c>
      <c r="F152">
        <v>83</v>
      </c>
      <c r="G152">
        <v>-503</v>
      </c>
      <c r="H152">
        <v>119</v>
      </c>
      <c r="I152">
        <v>-987</v>
      </c>
      <c r="J152">
        <v>-205</v>
      </c>
      <c r="K152">
        <v>-4</v>
      </c>
      <c r="L152">
        <v>-117</v>
      </c>
      <c r="M152">
        <v>204</v>
      </c>
      <c r="N152">
        <v>95</v>
      </c>
      <c r="O152">
        <v>156</v>
      </c>
      <c r="P152">
        <v>171</v>
      </c>
      <c r="Q152">
        <v>143</v>
      </c>
      <c r="R152" t="s">
        <v>47</v>
      </c>
      <c r="S152" t="s">
        <v>47</v>
      </c>
      <c r="T152" t="s">
        <v>47</v>
      </c>
      <c r="U152" t="s">
        <v>47</v>
      </c>
      <c r="V152" t="s">
        <v>47</v>
      </c>
      <c r="W152" t="s">
        <v>47</v>
      </c>
      <c r="X152" t="s">
        <v>47</v>
      </c>
      <c r="Y152" t="s">
        <v>47</v>
      </c>
      <c r="Z152" t="s">
        <v>47</v>
      </c>
      <c r="AA152" t="s">
        <v>47</v>
      </c>
      <c r="AB152" t="s">
        <v>47</v>
      </c>
      <c r="AC152" t="s">
        <v>47</v>
      </c>
    </row>
    <row r="153" spans="1:29" x14ac:dyDescent="0.25">
      <c r="A153" t="s">
        <v>69</v>
      </c>
      <c r="B153" t="s">
        <v>70</v>
      </c>
      <c r="C153" t="s">
        <v>92</v>
      </c>
      <c r="D153" t="s">
        <v>91</v>
      </c>
      <c r="E153" t="s">
        <v>56</v>
      </c>
      <c r="F153">
        <v>-3172</v>
      </c>
      <c r="G153">
        <v>710</v>
      </c>
      <c r="H153">
        <v>-1445</v>
      </c>
      <c r="I153">
        <v>790</v>
      </c>
      <c r="J153">
        <v>912</v>
      </c>
      <c r="K153">
        <v>890</v>
      </c>
      <c r="L153">
        <v>778</v>
      </c>
      <c r="M153">
        <v>828</v>
      </c>
      <c r="N153">
        <v>1285</v>
      </c>
      <c r="O153">
        <v>795</v>
      </c>
      <c r="P153">
        <v>1173</v>
      </c>
      <c r="Q153">
        <v>368</v>
      </c>
      <c r="R153" t="s">
        <v>47</v>
      </c>
      <c r="S153" t="s">
        <v>47</v>
      </c>
      <c r="T153" t="s">
        <v>47</v>
      </c>
      <c r="U153" t="s">
        <v>47</v>
      </c>
      <c r="V153" t="s">
        <v>47</v>
      </c>
      <c r="W153" t="s">
        <v>47</v>
      </c>
      <c r="X153" t="s">
        <v>47</v>
      </c>
      <c r="Y153" t="s">
        <v>47</v>
      </c>
      <c r="Z153" t="s">
        <v>47</v>
      </c>
      <c r="AA153" t="s">
        <v>47</v>
      </c>
      <c r="AB153" t="s">
        <v>47</v>
      </c>
      <c r="AC153" t="s">
        <v>47</v>
      </c>
    </row>
    <row r="154" spans="1:29" x14ac:dyDescent="0.25">
      <c r="A154" t="s">
        <v>71</v>
      </c>
      <c r="B154" t="s">
        <v>72</v>
      </c>
      <c r="C154" t="s">
        <v>92</v>
      </c>
      <c r="D154" t="s">
        <v>91</v>
      </c>
      <c r="E154" t="s">
        <v>56</v>
      </c>
      <c r="F154">
        <v>121.312</v>
      </c>
      <c r="G154">
        <v>115.322</v>
      </c>
      <c r="H154">
        <v>107.238</v>
      </c>
      <c r="I154">
        <v>98.629000000000005</v>
      </c>
      <c r="J154">
        <v>88.122</v>
      </c>
      <c r="K154">
        <v>88.453000000000003</v>
      </c>
      <c r="L154">
        <v>73.879000000000005</v>
      </c>
      <c r="M154">
        <v>63.198999999999998</v>
      </c>
      <c r="N154">
        <v>56.872999999999998</v>
      </c>
      <c r="O154">
        <v>59.746000000000002</v>
      </c>
      <c r="P154">
        <v>56.421999999999997</v>
      </c>
      <c r="Q154">
        <v>47.701999999999998</v>
      </c>
      <c r="R154" t="s">
        <v>47</v>
      </c>
      <c r="S154" t="s">
        <v>47</v>
      </c>
      <c r="T154" t="s">
        <v>47</v>
      </c>
      <c r="U154" t="s">
        <v>47</v>
      </c>
      <c r="V154" t="s">
        <v>47</v>
      </c>
      <c r="W154" t="s">
        <v>47</v>
      </c>
      <c r="X154" t="s">
        <v>47</v>
      </c>
      <c r="Y154" t="s">
        <v>47</v>
      </c>
      <c r="Z154" t="s">
        <v>47</v>
      </c>
      <c r="AA154" t="s">
        <v>47</v>
      </c>
      <c r="AB154" t="s">
        <v>47</v>
      </c>
      <c r="AC154" t="s">
        <v>47</v>
      </c>
    </row>
    <row r="155" spans="1:29" x14ac:dyDescent="0.25">
      <c r="A155" t="s">
        <v>73</v>
      </c>
      <c r="B155" t="s">
        <v>74</v>
      </c>
      <c r="C155" t="s">
        <v>92</v>
      </c>
      <c r="D155" t="s">
        <v>91</v>
      </c>
      <c r="E155" t="s">
        <v>56</v>
      </c>
      <c r="F155">
        <v>149.893</v>
      </c>
      <c r="G155">
        <v>178.33</v>
      </c>
      <c r="H155">
        <v>163.58000000000001</v>
      </c>
      <c r="I155">
        <v>156.006</v>
      </c>
      <c r="J155">
        <v>134.60900000000001</v>
      </c>
      <c r="K155">
        <v>137.81299999999999</v>
      </c>
      <c r="L155">
        <v>119.399</v>
      </c>
      <c r="M155">
        <v>105.125</v>
      </c>
      <c r="N155">
        <v>89.533000000000001</v>
      </c>
      <c r="O155">
        <v>100.169</v>
      </c>
      <c r="P155">
        <v>123.029</v>
      </c>
      <c r="Q155">
        <v>102.51900000000001</v>
      </c>
      <c r="R155" t="s">
        <v>47</v>
      </c>
      <c r="S155" t="s">
        <v>47</v>
      </c>
      <c r="T155" t="s">
        <v>47</v>
      </c>
      <c r="U155" t="s">
        <v>47</v>
      </c>
      <c r="V155" t="s">
        <v>47</v>
      </c>
      <c r="W155" t="s">
        <v>47</v>
      </c>
      <c r="X155" t="s">
        <v>47</v>
      </c>
      <c r="Y155" t="s">
        <v>47</v>
      </c>
      <c r="Z155" t="s">
        <v>47</v>
      </c>
      <c r="AA155" t="s">
        <v>47</v>
      </c>
      <c r="AB155" t="s">
        <v>47</v>
      </c>
      <c r="AC155" t="s">
        <v>47</v>
      </c>
    </row>
    <row r="156" spans="1:29" x14ac:dyDescent="0.25">
      <c r="A156" t="s">
        <v>75</v>
      </c>
      <c r="B156" t="s">
        <v>76</v>
      </c>
      <c r="C156" t="s">
        <v>92</v>
      </c>
      <c r="D156" t="s">
        <v>91</v>
      </c>
      <c r="E156" t="s">
        <v>56</v>
      </c>
      <c r="F156">
        <v>646.20000000000005</v>
      </c>
      <c r="G156">
        <v>627.1</v>
      </c>
      <c r="H156">
        <v>582</v>
      </c>
      <c r="I156">
        <v>489.4</v>
      </c>
      <c r="J156">
        <v>510.6</v>
      </c>
      <c r="K156">
        <v>509.3</v>
      </c>
      <c r="L156">
        <v>492.5</v>
      </c>
      <c r="M156">
        <v>477.6</v>
      </c>
      <c r="N156">
        <v>469.59800000000001</v>
      </c>
      <c r="O156">
        <v>459.9</v>
      </c>
      <c r="P156">
        <v>427.8</v>
      </c>
      <c r="Q156">
        <v>415.7</v>
      </c>
      <c r="R156" t="s">
        <v>47</v>
      </c>
      <c r="S156" t="s">
        <v>47</v>
      </c>
      <c r="T156" t="s">
        <v>47</v>
      </c>
      <c r="U156" t="s">
        <v>47</v>
      </c>
      <c r="V156" t="s">
        <v>47</v>
      </c>
      <c r="W156" t="s">
        <v>47</v>
      </c>
      <c r="X156" t="s">
        <v>47</v>
      </c>
      <c r="Y156" t="s">
        <v>47</v>
      </c>
      <c r="Z156" t="s">
        <v>47</v>
      </c>
      <c r="AA156" t="s">
        <v>47</v>
      </c>
      <c r="AB156" t="s">
        <v>47</v>
      </c>
      <c r="AC156" t="s">
        <v>47</v>
      </c>
    </row>
    <row r="157" spans="1:29" x14ac:dyDescent="0.25">
      <c r="A157" t="s">
        <v>77</v>
      </c>
      <c r="B157" t="s">
        <v>78</v>
      </c>
      <c r="C157" t="s">
        <v>92</v>
      </c>
      <c r="D157" t="s">
        <v>91</v>
      </c>
      <c r="E157" t="s">
        <v>56</v>
      </c>
      <c r="F157">
        <v>56.007100000000001</v>
      </c>
      <c r="G157">
        <v>136.68389999999999</v>
      </c>
      <c r="H157">
        <v>89.851600000000005</v>
      </c>
      <c r="I157">
        <v>80.711699999999993</v>
      </c>
      <c r="J157">
        <v>79.733900000000006</v>
      </c>
      <c r="K157">
        <v>125.45</v>
      </c>
      <c r="L157">
        <v>77.451999999999998</v>
      </c>
      <c r="M157">
        <v>81.828699999999998</v>
      </c>
      <c r="N157">
        <v>58.864699999999999</v>
      </c>
      <c r="O157">
        <v>112.6553</v>
      </c>
      <c r="P157">
        <v>73.747399999999999</v>
      </c>
      <c r="Q157">
        <v>66.102999999999994</v>
      </c>
      <c r="R157" t="s">
        <v>47</v>
      </c>
      <c r="S157" t="s">
        <v>47</v>
      </c>
      <c r="T157" t="s">
        <v>47</v>
      </c>
      <c r="U157" t="s">
        <v>47</v>
      </c>
      <c r="V157" t="s">
        <v>47</v>
      </c>
      <c r="W157" t="s">
        <v>47</v>
      </c>
      <c r="X157" t="s">
        <v>47</v>
      </c>
      <c r="Y157" t="s">
        <v>47</v>
      </c>
      <c r="Z157" t="s">
        <v>47</v>
      </c>
      <c r="AA157" t="s">
        <v>47</v>
      </c>
      <c r="AB157" t="s">
        <v>47</v>
      </c>
      <c r="AC157" t="s">
        <v>47</v>
      </c>
    </row>
    <row r="158" spans="1:29" x14ac:dyDescent="0.25">
      <c r="A158" t="s">
        <v>79</v>
      </c>
      <c r="B158" t="s">
        <v>80</v>
      </c>
      <c r="C158" t="s">
        <v>92</v>
      </c>
      <c r="D158" t="s">
        <v>91</v>
      </c>
      <c r="E158" t="s">
        <v>56</v>
      </c>
      <c r="F158">
        <v>783.54769999999996</v>
      </c>
      <c r="G158">
        <v>814.40830000000005</v>
      </c>
      <c r="H158">
        <v>801.35599999999999</v>
      </c>
      <c r="I158">
        <v>740.91160000000002</v>
      </c>
      <c r="J158">
        <v>730.97310000000004</v>
      </c>
      <c r="K158">
        <v>750.81820000000005</v>
      </c>
      <c r="L158">
        <v>765.01530000000002</v>
      </c>
      <c r="M158">
        <v>741.67370000000005</v>
      </c>
      <c r="N158">
        <v>766.24339999999995</v>
      </c>
      <c r="O158">
        <v>744.12699999999995</v>
      </c>
      <c r="P158">
        <v>731.39200000000005</v>
      </c>
      <c r="Q158">
        <v>707.26739999999995</v>
      </c>
      <c r="R158" t="s">
        <v>47</v>
      </c>
      <c r="S158" t="s">
        <v>47</v>
      </c>
      <c r="T158" t="s">
        <v>47</v>
      </c>
      <c r="U158" t="s">
        <v>47</v>
      </c>
      <c r="V158" t="s">
        <v>47</v>
      </c>
      <c r="W158" t="s">
        <v>47</v>
      </c>
      <c r="X158" t="s">
        <v>47</v>
      </c>
      <c r="Y158" t="s">
        <v>47</v>
      </c>
      <c r="Z158" t="s">
        <v>47</v>
      </c>
      <c r="AA158" t="s">
        <v>47</v>
      </c>
      <c r="AB158" t="s">
        <v>47</v>
      </c>
      <c r="AC158" t="s">
        <v>47</v>
      </c>
    </row>
    <row r="159" spans="1:29" x14ac:dyDescent="0.25">
      <c r="A159" t="s">
        <v>81</v>
      </c>
      <c r="B159" t="s">
        <v>82</v>
      </c>
      <c r="C159" t="s">
        <v>92</v>
      </c>
      <c r="D159" t="s">
        <v>91</v>
      </c>
      <c r="E159" t="s">
        <v>56</v>
      </c>
      <c r="F159">
        <v>1977</v>
      </c>
      <c r="G159">
        <v>6117</v>
      </c>
      <c r="H159">
        <v>3844</v>
      </c>
      <c r="I159">
        <v>3869</v>
      </c>
      <c r="J159">
        <v>3749</v>
      </c>
      <c r="K159">
        <v>5740</v>
      </c>
      <c r="L159">
        <v>4326</v>
      </c>
      <c r="M159">
        <v>5208</v>
      </c>
      <c r="N159">
        <v>2511</v>
      </c>
      <c r="O159">
        <v>5807</v>
      </c>
      <c r="P159">
        <v>3986</v>
      </c>
      <c r="Q159">
        <v>3616</v>
      </c>
      <c r="R159" t="s">
        <v>47</v>
      </c>
      <c r="S159" t="s">
        <v>47</v>
      </c>
      <c r="T159" t="s">
        <v>47</v>
      </c>
      <c r="U159" t="s">
        <v>47</v>
      </c>
      <c r="V159" t="s">
        <v>47</v>
      </c>
      <c r="W159" t="s">
        <v>47</v>
      </c>
      <c r="X159" t="s">
        <v>47</v>
      </c>
      <c r="Y159" t="s">
        <v>47</v>
      </c>
      <c r="Z159" t="s">
        <v>47</v>
      </c>
      <c r="AA159" t="s">
        <v>47</v>
      </c>
      <c r="AB159" t="s">
        <v>47</v>
      </c>
      <c r="AC159" t="s">
        <v>47</v>
      </c>
    </row>
    <row r="160" spans="1:29" x14ac:dyDescent="0.25">
      <c r="A160" t="s">
        <v>83</v>
      </c>
      <c r="B160" t="s">
        <v>84</v>
      </c>
      <c r="C160" t="s">
        <v>92</v>
      </c>
      <c r="D160" t="s">
        <v>91</v>
      </c>
      <c r="E160" t="s">
        <v>56</v>
      </c>
      <c r="F160">
        <v>1515.1902</v>
      </c>
      <c r="G160">
        <v>1526.4538</v>
      </c>
      <c r="H160">
        <v>1453.0706</v>
      </c>
      <c r="I160">
        <v>1443.4257</v>
      </c>
      <c r="J160">
        <v>1430.1461999999999</v>
      </c>
      <c r="K160">
        <v>1399.3530000000001</v>
      </c>
      <c r="L160">
        <v>1467.4929</v>
      </c>
      <c r="M160">
        <v>1352.8498999999999</v>
      </c>
      <c r="N160">
        <v>1344.4612</v>
      </c>
      <c r="O160">
        <v>1280.1703</v>
      </c>
      <c r="P160">
        <v>1269.9031</v>
      </c>
      <c r="Q160">
        <v>1149.5227</v>
      </c>
      <c r="R160" t="s">
        <v>47</v>
      </c>
      <c r="S160" t="s">
        <v>47</v>
      </c>
      <c r="T160" t="s">
        <v>47</v>
      </c>
      <c r="U160" t="s">
        <v>47</v>
      </c>
      <c r="V160" t="s">
        <v>47</v>
      </c>
      <c r="W160" t="s">
        <v>47</v>
      </c>
      <c r="X160" t="s">
        <v>47</v>
      </c>
      <c r="Y160" t="s">
        <v>47</v>
      </c>
      <c r="Z160" t="s">
        <v>47</v>
      </c>
      <c r="AA160" t="s">
        <v>47</v>
      </c>
      <c r="AB160" t="s">
        <v>47</v>
      </c>
      <c r="AC160" t="s">
        <v>47</v>
      </c>
    </row>
    <row r="161" spans="1:29" x14ac:dyDescent="0.25">
      <c r="A161" t="s">
        <v>85</v>
      </c>
      <c r="B161" t="s">
        <v>86</v>
      </c>
      <c r="C161" t="s">
        <v>92</v>
      </c>
      <c r="D161" t="s">
        <v>91</v>
      </c>
      <c r="E161" t="s">
        <v>56</v>
      </c>
      <c r="F161">
        <v>156.03059999999999</v>
      </c>
      <c r="G161">
        <v>219.5086</v>
      </c>
      <c r="H161">
        <v>213.2903</v>
      </c>
      <c r="I161">
        <v>188.9813</v>
      </c>
      <c r="J161">
        <v>232.63650000000001</v>
      </c>
      <c r="K161">
        <v>239.06829999999999</v>
      </c>
      <c r="L161">
        <v>231.12090000000001</v>
      </c>
      <c r="M161">
        <v>164.68199999999999</v>
      </c>
      <c r="N161">
        <v>219.40729999999999</v>
      </c>
      <c r="O161">
        <v>195.3561</v>
      </c>
      <c r="P161">
        <v>171.99379999999999</v>
      </c>
      <c r="Q161">
        <v>144.9348</v>
      </c>
      <c r="R161" t="s">
        <v>47</v>
      </c>
      <c r="S161" t="s">
        <v>47</v>
      </c>
      <c r="T161" t="s">
        <v>47</v>
      </c>
      <c r="U161" t="s">
        <v>47</v>
      </c>
      <c r="V161" t="s">
        <v>47</v>
      </c>
      <c r="W161" t="s">
        <v>47</v>
      </c>
      <c r="X161" t="s">
        <v>47</v>
      </c>
      <c r="Y161" t="s">
        <v>47</v>
      </c>
      <c r="Z161" t="s">
        <v>47</v>
      </c>
      <c r="AA161" t="s">
        <v>47</v>
      </c>
      <c r="AB161" t="s">
        <v>47</v>
      </c>
      <c r="AC161" t="s">
        <v>47</v>
      </c>
    </row>
    <row r="162" spans="1:29" x14ac:dyDescent="0.25">
      <c r="A162" t="s">
        <v>87</v>
      </c>
      <c r="B162" t="s">
        <v>88</v>
      </c>
      <c r="C162" t="s">
        <v>92</v>
      </c>
      <c r="D162" t="s">
        <v>91</v>
      </c>
      <c r="E162" t="s">
        <v>56</v>
      </c>
      <c r="F162">
        <v>430.61989999999997</v>
      </c>
      <c r="G162">
        <v>446.53440000000001</v>
      </c>
      <c r="H162">
        <v>439.94290000000001</v>
      </c>
      <c r="I162">
        <v>423.80950000000001</v>
      </c>
      <c r="J162">
        <v>452.42529999999999</v>
      </c>
      <c r="K162">
        <v>467.14490000000001</v>
      </c>
      <c r="L162">
        <v>339.35950000000003</v>
      </c>
      <c r="M162">
        <v>400.76929999999999</v>
      </c>
      <c r="N162">
        <v>381.17930000000001</v>
      </c>
      <c r="O162">
        <v>385.10149999999999</v>
      </c>
      <c r="P162">
        <v>432.23989999999998</v>
      </c>
      <c r="Q162">
        <v>413.76929999999999</v>
      </c>
      <c r="R162" t="s">
        <v>47</v>
      </c>
      <c r="S162" t="s">
        <v>47</v>
      </c>
      <c r="T162" t="s">
        <v>47</v>
      </c>
      <c r="U162" t="s">
        <v>47</v>
      </c>
      <c r="V162" t="s">
        <v>47</v>
      </c>
      <c r="W162" t="s">
        <v>47</v>
      </c>
      <c r="X162" t="s">
        <v>47</v>
      </c>
      <c r="Y162" t="s">
        <v>47</v>
      </c>
      <c r="Z162" t="s">
        <v>47</v>
      </c>
      <c r="AA162" t="s">
        <v>47</v>
      </c>
      <c r="AB162" t="s">
        <v>47</v>
      </c>
      <c r="AC162" t="s">
        <v>47</v>
      </c>
    </row>
    <row r="163" spans="1:29" x14ac:dyDescent="0.25">
      <c r="A163" t="s">
        <v>52</v>
      </c>
      <c r="B163" t="s">
        <v>53</v>
      </c>
      <c r="C163" t="s">
        <v>94</v>
      </c>
      <c r="D163" t="s">
        <v>95</v>
      </c>
      <c r="E163" t="s">
        <v>56</v>
      </c>
      <c r="F163">
        <v>1488.9449999999999</v>
      </c>
      <c r="G163">
        <v>1767.2629999999999</v>
      </c>
      <c r="H163">
        <v>1571.4929999999999</v>
      </c>
      <c r="I163">
        <v>1717.943</v>
      </c>
      <c r="J163">
        <v>1386.626</v>
      </c>
      <c r="K163">
        <v>1629.0119999999999</v>
      </c>
      <c r="L163">
        <v>1469.684</v>
      </c>
      <c r="M163">
        <v>1634.875</v>
      </c>
      <c r="N163">
        <v>1296.0440000000001</v>
      </c>
      <c r="O163">
        <v>1498.1759999999999</v>
      </c>
      <c r="P163">
        <v>1296.5619999999999</v>
      </c>
      <c r="Q163">
        <v>865.43499999999995</v>
      </c>
      <c r="R163" t="s">
        <v>47</v>
      </c>
      <c r="S163" t="s">
        <v>47</v>
      </c>
      <c r="T163" t="s">
        <v>47</v>
      </c>
      <c r="U163" t="s">
        <v>47</v>
      </c>
      <c r="V163" t="s">
        <v>47</v>
      </c>
      <c r="W163" t="s">
        <v>47</v>
      </c>
      <c r="X163" t="s">
        <v>47</v>
      </c>
      <c r="Y163" t="s">
        <v>47</v>
      </c>
      <c r="Z163" t="s">
        <v>47</v>
      </c>
      <c r="AA163" t="s">
        <v>47</v>
      </c>
      <c r="AB163" t="s">
        <v>47</v>
      </c>
      <c r="AC163" t="s">
        <v>47</v>
      </c>
    </row>
    <row r="164" spans="1:29" x14ac:dyDescent="0.25">
      <c r="A164" t="s">
        <v>57</v>
      </c>
      <c r="B164" t="s">
        <v>58</v>
      </c>
      <c r="C164" t="s">
        <v>94</v>
      </c>
      <c r="D164" t="s">
        <v>95</v>
      </c>
      <c r="E164" t="s">
        <v>56</v>
      </c>
      <c r="F164">
        <v>156.71199999999999</v>
      </c>
      <c r="G164">
        <v>143.577</v>
      </c>
      <c r="H164">
        <v>144.154</v>
      </c>
      <c r="I164">
        <v>142.32</v>
      </c>
      <c r="J164">
        <v>150.17500000000001</v>
      </c>
      <c r="K164">
        <v>133.09700000000001</v>
      </c>
      <c r="L164">
        <v>68.819000000000003</v>
      </c>
      <c r="M164">
        <v>105.518</v>
      </c>
      <c r="N164">
        <v>131.827</v>
      </c>
      <c r="O164">
        <v>122.143</v>
      </c>
      <c r="P164">
        <v>132.047</v>
      </c>
      <c r="Q164">
        <v>129.91200000000001</v>
      </c>
      <c r="R164" t="s">
        <v>47</v>
      </c>
      <c r="S164" t="s">
        <v>47</v>
      </c>
      <c r="T164" t="s">
        <v>47</v>
      </c>
      <c r="U164" t="s">
        <v>47</v>
      </c>
      <c r="V164" t="s">
        <v>47</v>
      </c>
      <c r="W164" t="s">
        <v>47</v>
      </c>
      <c r="X164" t="s">
        <v>47</v>
      </c>
      <c r="Y164" t="s">
        <v>47</v>
      </c>
      <c r="Z164" t="s">
        <v>47</v>
      </c>
      <c r="AA164" t="s">
        <v>47</v>
      </c>
      <c r="AB164" t="s">
        <v>47</v>
      </c>
      <c r="AC164" t="s">
        <v>47</v>
      </c>
    </row>
    <row r="165" spans="1:29" x14ac:dyDescent="0.25">
      <c r="A165" t="s">
        <v>59</v>
      </c>
      <c r="B165" t="s">
        <v>60</v>
      </c>
      <c r="C165" t="s">
        <v>94</v>
      </c>
      <c r="D165" t="s">
        <v>95</v>
      </c>
      <c r="E165" t="s">
        <v>56</v>
      </c>
      <c r="F165" t="s">
        <v>47</v>
      </c>
      <c r="R165" t="s">
        <v>47</v>
      </c>
      <c r="S165" t="s">
        <v>47</v>
      </c>
      <c r="T165" t="s">
        <v>47</v>
      </c>
      <c r="U165" t="s">
        <v>47</v>
      </c>
      <c r="V165" t="s">
        <v>47</v>
      </c>
      <c r="W165" t="s">
        <v>47</v>
      </c>
      <c r="X165" t="s">
        <v>47</v>
      </c>
      <c r="Y165" t="s">
        <v>47</v>
      </c>
      <c r="Z165" t="s">
        <v>47</v>
      </c>
      <c r="AA165" t="s">
        <v>47</v>
      </c>
      <c r="AB165" t="s">
        <v>47</v>
      </c>
      <c r="AC165" t="s">
        <v>47</v>
      </c>
    </row>
    <row r="166" spans="1:29" x14ac:dyDescent="0.25">
      <c r="A166" t="s">
        <v>61</v>
      </c>
      <c r="B166" t="s">
        <v>62</v>
      </c>
      <c r="C166" t="s">
        <v>94</v>
      </c>
      <c r="D166" t="s">
        <v>95</v>
      </c>
      <c r="E166" t="s">
        <v>56</v>
      </c>
      <c r="F166" t="s">
        <v>47</v>
      </c>
      <c r="R166" t="s">
        <v>47</v>
      </c>
      <c r="S166" t="s">
        <v>47</v>
      </c>
      <c r="T166" t="s">
        <v>47</v>
      </c>
      <c r="U166" t="s">
        <v>47</v>
      </c>
      <c r="V166" t="s">
        <v>47</v>
      </c>
      <c r="W166" t="s">
        <v>47</v>
      </c>
      <c r="X166" t="s">
        <v>47</v>
      </c>
      <c r="Y166" t="s">
        <v>47</v>
      </c>
      <c r="Z166" t="s">
        <v>47</v>
      </c>
      <c r="AA166" t="s">
        <v>47</v>
      </c>
      <c r="AB166" t="s">
        <v>47</v>
      </c>
      <c r="AC166" t="s">
        <v>47</v>
      </c>
    </row>
    <row r="167" spans="1:29" x14ac:dyDescent="0.25">
      <c r="A167" t="s">
        <v>63</v>
      </c>
      <c r="B167" t="s">
        <v>64</v>
      </c>
      <c r="C167" t="s">
        <v>94</v>
      </c>
      <c r="D167" t="s">
        <v>95</v>
      </c>
      <c r="E167" t="s">
        <v>56</v>
      </c>
      <c r="F167">
        <v>338.15730000000002</v>
      </c>
      <c r="G167">
        <v>320.95769999999999</v>
      </c>
      <c r="H167">
        <v>325.6463</v>
      </c>
      <c r="I167">
        <v>327.61959999999999</v>
      </c>
      <c r="J167">
        <v>337.39929999999998</v>
      </c>
      <c r="K167">
        <v>327.5514</v>
      </c>
      <c r="L167">
        <v>317.61770000000001</v>
      </c>
      <c r="M167">
        <v>316.52019999999999</v>
      </c>
      <c r="N167">
        <v>305.10359999999997</v>
      </c>
      <c r="O167">
        <v>281.45780000000002</v>
      </c>
      <c r="P167">
        <v>240.3236</v>
      </c>
      <c r="Q167">
        <v>295.22500000000002</v>
      </c>
      <c r="R167" t="s">
        <v>47</v>
      </c>
      <c r="S167" t="s">
        <v>47</v>
      </c>
      <c r="T167" t="s">
        <v>47</v>
      </c>
      <c r="U167" t="s">
        <v>47</v>
      </c>
      <c r="V167" t="s">
        <v>47</v>
      </c>
      <c r="W167" t="s">
        <v>47</v>
      </c>
      <c r="X167" t="s">
        <v>47</v>
      </c>
      <c r="Y167" t="s">
        <v>47</v>
      </c>
      <c r="Z167" t="s">
        <v>47</v>
      </c>
      <c r="AA167" t="s">
        <v>47</v>
      </c>
      <c r="AB167" t="s">
        <v>47</v>
      </c>
      <c r="AC167" t="s">
        <v>47</v>
      </c>
    </row>
    <row r="168" spans="1:29" x14ac:dyDescent="0.25">
      <c r="A168" t="s">
        <v>65</v>
      </c>
      <c r="B168" t="s">
        <v>66</v>
      </c>
      <c r="C168" t="s">
        <v>94</v>
      </c>
      <c r="D168" t="s">
        <v>95</v>
      </c>
      <c r="E168" t="s">
        <v>56</v>
      </c>
      <c r="F168">
        <v>579</v>
      </c>
      <c r="G168">
        <v>626</v>
      </c>
      <c r="H168">
        <v>669</v>
      </c>
      <c r="I168">
        <v>619</v>
      </c>
      <c r="J168">
        <v>539</v>
      </c>
      <c r="K168">
        <v>693</v>
      </c>
      <c r="L168">
        <v>745</v>
      </c>
      <c r="M168">
        <v>670</v>
      </c>
      <c r="N168">
        <v>693</v>
      </c>
      <c r="O168">
        <v>657</v>
      </c>
      <c r="P168">
        <v>648</v>
      </c>
      <c r="Q168">
        <v>606</v>
      </c>
      <c r="R168" t="s">
        <v>47</v>
      </c>
      <c r="S168" t="s">
        <v>47</v>
      </c>
      <c r="T168" t="s">
        <v>47</v>
      </c>
      <c r="U168" t="s">
        <v>47</v>
      </c>
      <c r="V168" t="s">
        <v>47</v>
      </c>
      <c r="W168" t="s">
        <v>47</v>
      </c>
      <c r="X168" t="s">
        <v>47</v>
      </c>
      <c r="Y168" t="s">
        <v>47</v>
      </c>
      <c r="Z168" t="s">
        <v>47</v>
      </c>
      <c r="AA168" t="s">
        <v>47</v>
      </c>
      <c r="AB168" t="s">
        <v>47</v>
      </c>
      <c r="AC168" t="s">
        <v>47</v>
      </c>
    </row>
    <row r="169" spans="1:29" x14ac:dyDescent="0.25">
      <c r="A169" t="s">
        <v>67</v>
      </c>
      <c r="B169" t="s">
        <v>68</v>
      </c>
      <c r="C169" t="s">
        <v>94</v>
      </c>
      <c r="D169" t="s">
        <v>95</v>
      </c>
      <c r="E169" t="s">
        <v>56</v>
      </c>
      <c r="F169">
        <v>-34</v>
      </c>
      <c r="G169">
        <v>-617</v>
      </c>
      <c r="H169">
        <v>6</v>
      </c>
      <c r="I169">
        <v>-1098</v>
      </c>
      <c r="J169">
        <v>-319</v>
      </c>
      <c r="K169">
        <v>-119</v>
      </c>
      <c r="L169">
        <v>-230</v>
      </c>
      <c r="M169">
        <v>89</v>
      </c>
      <c r="N169">
        <v>-22</v>
      </c>
      <c r="O169">
        <v>39</v>
      </c>
      <c r="P169">
        <v>48</v>
      </c>
      <c r="Q169">
        <v>13</v>
      </c>
      <c r="R169" t="s">
        <v>47</v>
      </c>
      <c r="S169" t="s">
        <v>47</v>
      </c>
      <c r="T169" t="s">
        <v>47</v>
      </c>
      <c r="U169" t="s">
        <v>47</v>
      </c>
      <c r="V169" t="s">
        <v>47</v>
      </c>
      <c r="W169" t="s">
        <v>47</v>
      </c>
      <c r="X169" t="s">
        <v>47</v>
      </c>
      <c r="Y169" t="s">
        <v>47</v>
      </c>
      <c r="Z169" t="s">
        <v>47</v>
      </c>
      <c r="AA169" t="s">
        <v>47</v>
      </c>
      <c r="AB169" t="s">
        <v>47</v>
      </c>
      <c r="AC169" t="s">
        <v>47</v>
      </c>
    </row>
    <row r="170" spans="1:29" x14ac:dyDescent="0.25">
      <c r="A170" t="s">
        <v>69</v>
      </c>
      <c r="B170" t="s">
        <v>70</v>
      </c>
      <c r="C170" t="s">
        <v>94</v>
      </c>
      <c r="D170" t="s">
        <v>95</v>
      </c>
      <c r="E170" t="s">
        <v>56</v>
      </c>
      <c r="F170">
        <v>-3878</v>
      </c>
      <c r="G170">
        <v>70</v>
      </c>
      <c r="H170">
        <v>-2071</v>
      </c>
      <c r="I170">
        <v>149</v>
      </c>
      <c r="J170">
        <v>403</v>
      </c>
      <c r="K170">
        <v>378</v>
      </c>
      <c r="L170">
        <v>285</v>
      </c>
      <c r="M170">
        <v>319</v>
      </c>
      <c r="N170">
        <v>658</v>
      </c>
      <c r="O170">
        <v>312</v>
      </c>
      <c r="P170">
        <v>269</v>
      </c>
      <c r="Q170">
        <v>5</v>
      </c>
      <c r="R170" t="s">
        <v>47</v>
      </c>
      <c r="S170" t="s">
        <v>47</v>
      </c>
      <c r="T170" t="s">
        <v>47</v>
      </c>
      <c r="U170" t="s">
        <v>47</v>
      </c>
      <c r="V170" t="s">
        <v>47</v>
      </c>
      <c r="W170" t="s">
        <v>47</v>
      </c>
      <c r="X170" t="s">
        <v>47</v>
      </c>
      <c r="Y170" t="s">
        <v>47</v>
      </c>
      <c r="Z170" t="s">
        <v>47</v>
      </c>
      <c r="AA170" t="s">
        <v>47</v>
      </c>
      <c r="AB170" t="s">
        <v>47</v>
      </c>
      <c r="AC170" t="s">
        <v>47</v>
      </c>
    </row>
    <row r="171" spans="1:29" x14ac:dyDescent="0.25">
      <c r="A171" t="s">
        <v>71</v>
      </c>
      <c r="B171" t="s">
        <v>72</v>
      </c>
      <c r="C171" t="s">
        <v>94</v>
      </c>
      <c r="D171" t="s">
        <v>95</v>
      </c>
      <c r="E171" t="s">
        <v>56</v>
      </c>
      <c r="F171">
        <v>87.509</v>
      </c>
      <c r="G171">
        <v>84.745000000000005</v>
      </c>
      <c r="H171">
        <v>80.564999999999998</v>
      </c>
      <c r="I171">
        <v>72.882000000000005</v>
      </c>
      <c r="J171">
        <v>64.658000000000001</v>
      </c>
      <c r="K171">
        <v>78.27</v>
      </c>
      <c r="L171">
        <v>64.56</v>
      </c>
      <c r="M171">
        <v>54.237000000000002</v>
      </c>
      <c r="N171">
        <v>48.697000000000003</v>
      </c>
      <c r="O171">
        <v>52.05</v>
      </c>
      <c r="P171">
        <v>49.247999999999998</v>
      </c>
      <c r="Q171">
        <v>40.682000000000002</v>
      </c>
      <c r="R171" t="s">
        <v>47</v>
      </c>
      <c r="S171" t="s">
        <v>47</v>
      </c>
      <c r="T171" t="s">
        <v>47</v>
      </c>
      <c r="U171" t="s">
        <v>47</v>
      </c>
      <c r="V171" t="s">
        <v>47</v>
      </c>
      <c r="W171" t="s">
        <v>47</v>
      </c>
      <c r="X171" t="s">
        <v>47</v>
      </c>
      <c r="Y171" t="s">
        <v>47</v>
      </c>
      <c r="Z171" t="s">
        <v>47</v>
      </c>
      <c r="AA171" t="s">
        <v>47</v>
      </c>
      <c r="AB171" t="s">
        <v>47</v>
      </c>
      <c r="AC171" t="s">
        <v>47</v>
      </c>
    </row>
    <row r="172" spans="1:29" x14ac:dyDescent="0.25">
      <c r="A172" t="s">
        <v>73</v>
      </c>
      <c r="B172" t="s">
        <v>74</v>
      </c>
      <c r="C172" t="s">
        <v>94</v>
      </c>
      <c r="D172" t="s">
        <v>95</v>
      </c>
      <c r="E172" t="s">
        <v>56</v>
      </c>
      <c r="F172">
        <v>110.658</v>
      </c>
      <c r="G172">
        <v>119.518</v>
      </c>
      <c r="H172">
        <v>113.584</v>
      </c>
      <c r="I172">
        <v>106.202</v>
      </c>
      <c r="J172">
        <v>90.072000000000003</v>
      </c>
      <c r="K172">
        <v>110.84099999999999</v>
      </c>
      <c r="L172">
        <v>94.028000000000006</v>
      </c>
      <c r="M172">
        <v>79.522000000000006</v>
      </c>
      <c r="N172">
        <v>63.761000000000003</v>
      </c>
      <c r="O172">
        <v>73.305000000000007</v>
      </c>
      <c r="P172">
        <v>97.918999999999997</v>
      </c>
      <c r="Q172">
        <v>80.959000000000003</v>
      </c>
      <c r="R172" t="s">
        <v>47</v>
      </c>
      <c r="S172" t="s">
        <v>47</v>
      </c>
      <c r="T172" t="s">
        <v>47</v>
      </c>
      <c r="U172" t="s">
        <v>47</v>
      </c>
      <c r="V172" t="s">
        <v>47</v>
      </c>
      <c r="W172" t="s">
        <v>47</v>
      </c>
      <c r="X172" t="s">
        <v>47</v>
      </c>
      <c r="Y172" t="s">
        <v>47</v>
      </c>
      <c r="Z172" t="s">
        <v>47</v>
      </c>
      <c r="AA172" t="s">
        <v>47</v>
      </c>
      <c r="AB172" t="s">
        <v>47</v>
      </c>
      <c r="AC172" t="s">
        <v>47</v>
      </c>
    </row>
    <row r="173" spans="1:29" x14ac:dyDescent="0.25">
      <c r="A173" t="s">
        <v>75</v>
      </c>
      <c r="B173" t="s">
        <v>76</v>
      </c>
      <c r="C173" t="s">
        <v>94</v>
      </c>
      <c r="D173" t="s">
        <v>95</v>
      </c>
      <c r="E173" t="s">
        <v>56</v>
      </c>
      <c r="F173">
        <v>530.79999999999995</v>
      </c>
      <c r="G173">
        <v>514.79999999999995</v>
      </c>
      <c r="H173">
        <v>496.1</v>
      </c>
      <c r="I173">
        <v>403.8</v>
      </c>
      <c r="J173">
        <v>431.1</v>
      </c>
      <c r="K173">
        <v>430.6</v>
      </c>
      <c r="L173">
        <v>417.5</v>
      </c>
      <c r="M173">
        <v>404.1</v>
      </c>
      <c r="N173">
        <v>402.93430000000001</v>
      </c>
      <c r="O173">
        <v>389.3</v>
      </c>
      <c r="P173">
        <v>380</v>
      </c>
      <c r="Q173">
        <v>379</v>
      </c>
      <c r="R173" t="s">
        <v>47</v>
      </c>
      <c r="S173" t="s">
        <v>47</v>
      </c>
      <c r="T173" t="s">
        <v>47</v>
      </c>
      <c r="U173" t="s">
        <v>47</v>
      </c>
      <c r="V173" t="s">
        <v>47</v>
      </c>
      <c r="W173" t="s">
        <v>47</v>
      </c>
      <c r="X173" t="s">
        <v>47</v>
      </c>
      <c r="Y173" t="s">
        <v>47</v>
      </c>
      <c r="Z173" t="s">
        <v>47</v>
      </c>
      <c r="AA173" t="s">
        <v>47</v>
      </c>
      <c r="AB173" t="s">
        <v>47</v>
      </c>
      <c r="AC173" t="s">
        <v>47</v>
      </c>
    </row>
    <row r="174" spans="1:29" x14ac:dyDescent="0.25">
      <c r="A174" t="s">
        <v>77</v>
      </c>
      <c r="B174" t="s">
        <v>78</v>
      </c>
      <c r="C174" t="s">
        <v>94</v>
      </c>
      <c r="D174" t="s">
        <v>95</v>
      </c>
      <c r="E174" t="s">
        <v>56</v>
      </c>
      <c r="F174">
        <v>21.167999999999999</v>
      </c>
      <c r="G174">
        <v>104.32599999999999</v>
      </c>
      <c r="H174">
        <v>53.377200000000002</v>
      </c>
      <c r="I174">
        <v>45.186</v>
      </c>
      <c r="J174">
        <v>43.842300000000002</v>
      </c>
      <c r="K174">
        <v>96.125200000000007</v>
      </c>
      <c r="L174">
        <v>49.308799999999998</v>
      </c>
      <c r="M174">
        <v>55.784999999999997</v>
      </c>
      <c r="N174">
        <v>31.828700000000001</v>
      </c>
      <c r="O174">
        <v>84.713499999999996</v>
      </c>
      <c r="P174">
        <v>54.258000000000003</v>
      </c>
      <c r="Q174">
        <v>48.480899999999998</v>
      </c>
      <c r="R174" t="s">
        <v>47</v>
      </c>
      <c r="S174" t="s">
        <v>47</v>
      </c>
      <c r="T174" t="s">
        <v>47</v>
      </c>
      <c r="U174" t="s">
        <v>47</v>
      </c>
      <c r="V174" t="s">
        <v>47</v>
      </c>
      <c r="W174" t="s">
        <v>47</v>
      </c>
      <c r="X174" t="s">
        <v>47</v>
      </c>
      <c r="Y174" t="s">
        <v>47</v>
      </c>
      <c r="Z174" t="s">
        <v>47</v>
      </c>
      <c r="AA174" t="s">
        <v>47</v>
      </c>
      <c r="AB174" t="s">
        <v>47</v>
      </c>
      <c r="AC174" t="s">
        <v>47</v>
      </c>
    </row>
    <row r="175" spans="1:29" x14ac:dyDescent="0.25">
      <c r="A175" t="s">
        <v>79</v>
      </c>
      <c r="B175" t="s">
        <v>80</v>
      </c>
      <c r="C175" t="s">
        <v>94</v>
      </c>
      <c r="D175" t="s">
        <v>95</v>
      </c>
      <c r="E175" t="s">
        <v>56</v>
      </c>
      <c r="F175">
        <v>680.15150000000006</v>
      </c>
      <c r="G175">
        <v>711.06269999999995</v>
      </c>
      <c r="H175">
        <v>698.04229999999995</v>
      </c>
      <c r="I175">
        <v>642.97659999999996</v>
      </c>
      <c r="J175">
        <v>655.59010000000001</v>
      </c>
      <c r="K175">
        <v>670.32380000000001</v>
      </c>
      <c r="L175">
        <v>698.7654</v>
      </c>
      <c r="M175">
        <v>676.64859999999999</v>
      </c>
      <c r="N175">
        <v>694.91800000000001</v>
      </c>
      <c r="O175">
        <v>667.19629999999995</v>
      </c>
      <c r="P175">
        <v>660.46159999999998</v>
      </c>
      <c r="Q175">
        <v>637.48659999999995</v>
      </c>
      <c r="R175" t="s">
        <v>47</v>
      </c>
      <c r="S175" t="s">
        <v>47</v>
      </c>
      <c r="T175" t="s">
        <v>47</v>
      </c>
      <c r="U175" t="s">
        <v>47</v>
      </c>
      <c r="V175" t="s">
        <v>47</v>
      </c>
      <c r="W175" t="s">
        <v>47</v>
      </c>
      <c r="X175" t="s">
        <v>47</v>
      </c>
      <c r="Y175" t="s">
        <v>47</v>
      </c>
      <c r="Z175" t="s">
        <v>47</v>
      </c>
      <c r="AA175" t="s">
        <v>47</v>
      </c>
      <c r="AB175" t="s">
        <v>47</v>
      </c>
      <c r="AC175" t="s">
        <v>47</v>
      </c>
    </row>
    <row r="176" spans="1:29" x14ac:dyDescent="0.25">
      <c r="A176" t="s">
        <v>81</v>
      </c>
      <c r="B176" t="s">
        <v>82</v>
      </c>
      <c r="C176" t="s">
        <v>94</v>
      </c>
      <c r="D176" t="s">
        <v>95</v>
      </c>
      <c r="E176" t="s">
        <v>56</v>
      </c>
      <c r="F176">
        <v>343</v>
      </c>
      <c r="G176">
        <v>4071</v>
      </c>
      <c r="H176">
        <v>1759</v>
      </c>
      <c r="I176">
        <v>2147</v>
      </c>
      <c r="J176">
        <v>1919</v>
      </c>
      <c r="K176">
        <v>4628</v>
      </c>
      <c r="L176">
        <v>3188</v>
      </c>
      <c r="M176">
        <v>2978</v>
      </c>
      <c r="N176">
        <v>1397</v>
      </c>
      <c r="O176">
        <v>4658</v>
      </c>
      <c r="P176">
        <v>2810</v>
      </c>
      <c r="Q176">
        <v>2499</v>
      </c>
      <c r="R176" t="s">
        <v>47</v>
      </c>
      <c r="S176" t="s">
        <v>47</v>
      </c>
      <c r="T176" t="s">
        <v>47</v>
      </c>
      <c r="U176" t="s">
        <v>47</v>
      </c>
      <c r="V176" t="s">
        <v>47</v>
      </c>
      <c r="W176" t="s">
        <v>47</v>
      </c>
      <c r="X176" t="s">
        <v>47</v>
      </c>
      <c r="Y176" t="s">
        <v>47</v>
      </c>
      <c r="Z176" t="s">
        <v>47</v>
      </c>
      <c r="AA176" t="s">
        <v>47</v>
      </c>
      <c r="AB176" t="s">
        <v>47</v>
      </c>
      <c r="AC176" t="s">
        <v>47</v>
      </c>
    </row>
    <row r="177" spans="1:29" x14ac:dyDescent="0.25">
      <c r="A177" t="s">
        <v>83</v>
      </c>
      <c r="B177" t="s">
        <v>84</v>
      </c>
      <c r="C177" t="s">
        <v>94</v>
      </c>
      <c r="D177" t="s">
        <v>95</v>
      </c>
      <c r="E177" t="s">
        <v>56</v>
      </c>
      <c r="F177">
        <v>1383.9087</v>
      </c>
      <c r="G177">
        <v>1400.5014000000001</v>
      </c>
      <c r="H177">
        <v>1330.288</v>
      </c>
      <c r="I177">
        <v>1325.9326000000001</v>
      </c>
      <c r="J177">
        <v>1353.9114999999999</v>
      </c>
      <c r="K177">
        <v>1327.3244</v>
      </c>
      <c r="L177">
        <v>1395.1034999999999</v>
      </c>
      <c r="M177">
        <v>1279.3237999999999</v>
      </c>
      <c r="N177">
        <v>1265.9876999999999</v>
      </c>
      <c r="O177">
        <v>1202.0037</v>
      </c>
      <c r="P177">
        <v>1191.5064</v>
      </c>
      <c r="Q177">
        <v>1072.1434999999999</v>
      </c>
      <c r="R177" t="s">
        <v>47</v>
      </c>
      <c r="S177" t="s">
        <v>47</v>
      </c>
      <c r="T177" t="s">
        <v>47</v>
      </c>
      <c r="U177" t="s">
        <v>47</v>
      </c>
      <c r="V177" t="s">
        <v>47</v>
      </c>
      <c r="W177" t="s">
        <v>47</v>
      </c>
      <c r="X177" t="s">
        <v>47</v>
      </c>
      <c r="Y177" t="s">
        <v>47</v>
      </c>
      <c r="Z177" t="s">
        <v>47</v>
      </c>
      <c r="AA177" t="s">
        <v>47</v>
      </c>
      <c r="AB177" t="s">
        <v>47</v>
      </c>
      <c r="AC177" t="s">
        <v>47</v>
      </c>
    </row>
    <row r="178" spans="1:29" x14ac:dyDescent="0.25">
      <c r="A178" t="s">
        <v>85</v>
      </c>
      <c r="B178" t="s">
        <v>86</v>
      </c>
      <c r="C178" t="s">
        <v>94</v>
      </c>
      <c r="D178" t="s">
        <v>95</v>
      </c>
      <c r="E178" t="s">
        <v>56</v>
      </c>
      <c r="F178">
        <v>101.0608</v>
      </c>
      <c r="G178">
        <v>165.4768</v>
      </c>
      <c r="H178">
        <v>164.75989999999999</v>
      </c>
      <c r="I178">
        <v>142.77500000000001</v>
      </c>
      <c r="J178">
        <v>194.24950000000001</v>
      </c>
      <c r="K178">
        <v>199.70930000000001</v>
      </c>
      <c r="L178">
        <v>189.0864</v>
      </c>
      <c r="M178">
        <v>160.4941</v>
      </c>
      <c r="N178">
        <v>172.9914</v>
      </c>
      <c r="O178">
        <v>152.99789999999999</v>
      </c>
      <c r="P178">
        <v>130.72659999999999</v>
      </c>
      <c r="Q178">
        <v>106.6639</v>
      </c>
      <c r="R178" t="s">
        <v>47</v>
      </c>
      <c r="S178" t="s">
        <v>47</v>
      </c>
      <c r="T178" t="s">
        <v>47</v>
      </c>
      <c r="U178" t="s">
        <v>47</v>
      </c>
      <c r="V178" t="s">
        <v>47</v>
      </c>
      <c r="W178" t="s">
        <v>47</v>
      </c>
      <c r="X178" t="s">
        <v>47</v>
      </c>
      <c r="Y178" t="s">
        <v>47</v>
      </c>
      <c r="Z178" t="s">
        <v>47</v>
      </c>
      <c r="AA178" t="s">
        <v>47</v>
      </c>
      <c r="AB178" t="s">
        <v>47</v>
      </c>
      <c r="AC178" t="s">
        <v>47</v>
      </c>
    </row>
    <row r="179" spans="1:29" x14ac:dyDescent="0.25">
      <c r="A179" t="s">
        <v>87</v>
      </c>
      <c r="B179" t="s">
        <v>88</v>
      </c>
      <c r="C179" t="s">
        <v>94</v>
      </c>
      <c r="D179" t="s">
        <v>95</v>
      </c>
      <c r="E179" t="s">
        <v>56</v>
      </c>
      <c r="F179">
        <v>350.58100000000002</v>
      </c>
      <c r="G179">
        <v>372.18459999999999</v>
      </c>
      <c r="H179">
        <v>371.53129999999999</v>
      </c>
      <c r="I179">
        <v>352.5514</v>
      </c>
      <c r="J179">
        <v>383.35980000000001</v>
      </c>
      <c r="K179">
        <v>385.22109999999998</v>
      </c>
      <c r="L179">
        <v>276.97890000000001</v>
      </c>
      <c r="M179">
        <v>336.0872</v>
      </c>
      <c r="N179">
        <v>292.57420000000002</v>
      </c>
      <c r="O179">
        <v>303.55189999999999</v>
      </c>
      <c r="P179">
        <v>351.3544</v>
      </c>
      <c r="Q179">
        <v>337.1189</v>
      </c>
      <c r="R179" t="s">
        <v>47</v>
      </c>
      <c r="S179" t="s">
        <v>47</v>
      </c>
      <c r="T179" t="s">
        <v>47</v>
      </c>
      <c r="U179" t="s">
        <v>47</v>
      </c>
      <c r="V179" t="s">
        <v>47</v>
      </c>
      <c r="W179" t="s">
        <v>47</v>
      </c>
      <c r="X179" t="s">
        <v>47</v>
      </c>
      <c r="Y179" t="s">
        <v>47</v>
      </c>
      <c r="Z179" t="s">
        <v>47</v>
      </c>
      <c r="AA179" t="s">
        <v>47</v>
      </c>
      <c r="AB179" t="s">
        <v>47</v>
      </c>
      <c r="AC179" t="s">
        <v>47</v>
      </c>
    </row>
    <row r="180" spans="1:29" x14ac:dyDescent="0.25">
      <c r="A180" t="s">
        <v>52</v>
      </c>
      <c r="B180" t="s">
        <v>53</v>
      </c>
      <c r="C180" t="s">
        <v>98</v>
      </c>
      <c r="D180" t="s">
        <v>99</v>
      </c>
      <c r="E180" t="s">
        <v>56</v>
      </c>
      <c r="F180">
        <v>1.9100000000000001</v>
      </c>
      <c r="G180">
        <v>2.09</v>
      </c>
      <c r="H180">
        <v>1.74</v>
      </c>
      <c r="I180">
        <v>1.9300000000000002</v>
      </c>
      <c r="J180">
        <v>1.73</v>
      </c>
      <c r="K180">
        <v>1.96</v>
      </c>
      <c r="L180">
        <v>1.58</v>
      </c>
      <c r="M180">
        <v>1.6</v>
      </c>
      <c r="N180">
        <v>1.37</v>
      </c>
      <c r="O180">
        <v>1.79</v>
      </c>
      <c r="P180">
        <v>1.48</v>
      </c>
      <c r="Q180">
        <v>1.05</v>
      </c>
      <c r="R180" t="s">
        <v>47</v>
      </c>
      <c r="S180" t="s">
        <v>47</v>
      </c>
      <c r="T180" t="s">
        <v>47</v>
      </c>
      <c r="U180" t="s">
        <v>47</v>
      </c>
      <c r="V180" t="s">
        <v>47</v>
      </c>
      <c r="W180" t="s">
        <v>47</v>
      </c>
      <c r="X180" t="s">
        <v>47</v>
      </c>
      <c r="Y180" t="s">
        <v>47</v>
      </c>
      <c r="Z180" t="s">
        <v>47</v>
      </c>
      <c r="AA180" t="s">
        <v>47</v>
      </c>
      <c r="AB180" t="s">
        <v>47</v>
      </c>
      <c r="AC180" t="s">
        <v>47</v>
      </c>
    </row>
    <row r="181" spans="1:29" x14ac:dyDescent="0.25">
      <c r="A181" t="s">
        <v>57</v>
      </c>
      <c r="B181" t="s">
        <v>58</v>
      </c>
      <c r="C181" t="s">
        <v>98</v>
      </c>
      <c r="D181" t="s">
        <v>99</v>
      </c>
      <c r="E181" t="s">
        <v>56</v>
      </c>
      <c r="F181">
        <v>0.94</v>
      </c>
      <c r="G181">
        <v>0.85</v>
      </c>
      <c r="H181">
        <v>0.9</v>
      </c>
      <c r="I181">
        <v>0.96</v>
      </c>
      <c r="J181">
        <v>0.9</v>
      </c>
      <c r="K181">
        <v>0.72</v>
      </c>
      <c r="L181">
        <v>0.31</v>
      </c>
      <c r="M181">
        <v>0.64</v>
      </c>
      <c r="N181">
        <v>0.7</v>
      </c>
      <c r="O181">
        <v>0.8</v>
      </c>
      <c r="P181">
        <v>0.73</v>
      </c>
      <c r="Q181">
        <v>0.81</v>
      </c>
      <c r="R181" t="s">
        <v>47</v>
      </c>
      <c r="S181" t="s">
        <v>47</v>
      </c>
      <c r="T181" t="s">
        <v>47</v>
      </c>
      <c r="U181" t="s">
        <v>47</v>
      </c>
      <c r="V181" t="s">
        <v>47</v>
      </c>
      <c r="W181" t="s">
        <v>47</v>
      </c>
      <c r="X181" t="s">
        <v>47</v>
      </c>
      <c r="Y181" t="s">
        <v>47</v>
      </c>
      <c r="Z181" t="s">
        <v>47</v>
      </c>
      <c r="AA181" t="s">
        <v>47</v>
      </c>
      <c r="AB181" t="s">
        <v>47</v>
      </c>
      <c r="AC181" t="s">
        <v>47</v>
      </c>
    </row>
    <row r="182" spans="1:29" x14ac:dyDescent="0.25">
      <c r="A182" t="s">
        <v>59</v>
      </c>
      <c r="B182" t="s">
        <v>60</v>
      </c>
      <c r="C182" t="s">
        <v>98</v>
      </c>
      <c r="D182" t="s">
        <v>99</v>
      </c>
      <c r="E182" t="s">
        <v>56</v>
      </c>
      <c r="F182" t="s">
        <v>47</v>
      </c>
      <c r="R182" t="s">
        <v>47</v>
      </c>
      <c r="S182" t="s">
        <v>47</v>
      </c>
      <c r="T182" t="s">
        <v>47</v>
      </c>
      <c r="U182" t="s">
        <v>47</v>
      </c>
      <c r="V182" t="s">
        <v>47</v>
      </c>
      <c r="W182" t="s">
        <v>47</v>
      </c>
      <c r="X182" t="s">
        <v>47</v>
      </c>
      <c r="Y182" t="s">
        <v>47</v>
      </c>
      <c r="Z182" t="s">
        <v>47</v>
      </c>
      <c r="AA182" t="s">
        <v>47</v>
      </c>
      <c r="AB182" t="s">
        <v>47</v>
      </c>
      <c r="AC182" t="s">
        <v>47</v>
      </c>
    </row>
    <row r="183" spans="1:29" x14ac:dyDescent="0.25">
      <c r="A183" t="s">
        <v>61</v>
      </c>
      <c r="B183" t="s">
        <v>62</v>
      </c>
      <c r="C183" t="s">
        <v>98</v>
      </c>
      <c r="D183" t="s">
        <v>99</v>
      </c>
      <c r="E183" t="s">
        <v>56</v>
      </c>
      <c r="F183" t="s">
        <v>47</v>
      </c>
      <c r="R183" t="s">
        <v>47</v>
      </c>
      <c r="S183" t="s">
        <v>47</v>
      </c>
      <c r="T183" t="s">
        <v>47</v>
      </c>
      <c r="U183" t="s">
        <v>47</v>
      </c>
      <c r="V183" t="s">
        <v>47</v>
      </c>
      <c r="W183" t="s">
        <v>47</v>
      </c>
      <c r="X183" t="s">
        <v>47</v>
      </c>
      <c r="Y183" t="s">
        <v>47</v>
      </c>
      <c r="Z183" t="s">
        <v>47</v>
      </c>
      <c r="AA183" t="s">
        <v>47</v>
      </c>
      <c r="AB183" t="s">
        <v>47</v>
      </c>
      <c r="AC183" t="s">
        <v>47</v>
      </c>
    </row>
    <row r="184" spans="1:29" x14ac:dyDescent="0.25">
      <c r="A184" t="s">
        <v>63</v>
      </c>
      <c r="B184" t="s">
        <v>64</v>
      </c>
      <c r="C184" t="s">
        <v>98</v>
      </c>
      <c r="D184" t="s">
        <v>99</v>
      </c>
      <c r="E184" t="s">
        <v>56</v>
      </c>
      <c r="F184" t="s">
        <v>47</v>
      </c>
      <c r="R184" t="s">
        <v>47</v>
      </c>
      <c r="S184" t="s">
        <v>47</v>
      </c>
      <c r="T184" t="s">
        <v>47</v>
      </c>
      <c r="U184" t="s">
        <v>47</v>
      </c>
      <c r="V184" t="s">
        <v>47</v>
      </c>
      <c r="W184" t="s">
        <v>47</v>
      </c>
      <c r="X184" t="s">
        <v>47</v>
      </c>
      <c r="Y184" t="s">
        <v>47</v>
      </c>
      <c r="Z184" t="s">
        <v>47</v>
      </c>
      <c r="AA184" t="s">
        <v>47</v>
      </c>
      <c r="AB184" t="s">
        <v>47</v>
      </c>
      <c r="AC184" t="s">
        <v>47</v>
      </c>
    </row>
    <row r="185" spans="1:29" x14ac:dyDescent="0.25">
      <c r="A185" t="s">
        <v>65</v>
      </c>
      <c r="B185" t="s">
        <v>66</v>
      </c>
      <c r="C185" t="s">
        <v>98</v>
      </c>
      <c r="D185" t="s">
        <v>99</v>
      </c>
      <c r="E185" t="s">
        <v>56</v>
      </c>
      <c r="F185">
        <v>0.67</v>
      </c>
      <c r="G185">
        <v>0.72</v>
      </c>
      <c r="H185">
        <v>0.9</v>
      </c>
      <c r="I185">
        <v>0.9</v>
      </c>
      <c r="J185">
        <v>0.77</v>
      </c>
      <c r="K185">
        <v>1.1200000000000001</v>
      </c>
      <c r="L185">
        <v>0.82</v>
      </c>
      <c r="M185">
        <v>0.78</v>
      </c>
      <c r="N185">
        <v>0.88</v>
      </c>
      <c r="O185">
        <v>-0.03</v>
      </c>
      <c r="P185">
        <v>0.84</v>
      </c>
      <c r="Q185">
        <v>0.8</v>
      </c>
      <c r="R185" t="s">
        <v>47</v>
      </c>
      <c r="S185" t="s">
        <v>47</v>
      </c>
      <c r="T185" t="s">
        <v>47</v>
      </c>
      <c r="U185" t="s">
        <v>47</v>
      </c>
      <c r="V185" t="s">
        <v>47</v>
      </c>
      <c r="W185" t="s">
        <v>47</v>
      </c>
      <c r="X185" t="s">
        <v>47</v>
      </c>
      <c r="Y185" t="s">
        <v>47</v>
      </c>
      <c r="Z185" t="s">
        <v>47</v>
      </c>
      <c r="AA185" t="s">
        <v>47</v>
      </c>
      <c r="AB185" t="s">
        <v>47</v>
      </c>
      <c r="AC185" t="s">
        <v>47</v>
      </c>
    </row>
    <row r="186" spans="1:29" x14ac:dyDescent="0.25">
      <c r="A186" t="s">
        <v>67</v>
      </c>
      <c r="B186" t="s">
        <v>68</v>
      </c>
      <c r="C186" t="s">
        <v>98</v>
      </c>
      <c r="D186" t="s">
        <v>99</v>
      </c>
      <c r="E186" t="s">
        <v>56</v>
      </c>
      <c r="F186">
        <v>-0.24</v>
      </c>
      <c r="G186">
        <v>-2.76</v>
      </c>
      <c r="H186">
        <v>-0.09</v>
      </c>
      <c r="I186">
        <v>-4.9399999999999995</v>
      </c>
      <c r="J186">
        <v>-1.49</v>
      </c>
      <c r="K186">
        <v>-0.69</v>
      </c>
      <c r="L186">
        <v>-1.1599999999999999</v>
      </c>
      <c r="M186">
        <v>0.04</v>
      </c>
      <c r="N186">
        <v>-0.26</v>
      </c>
      <c r="O186">
        <v>0.98</v>
      </c>
      <c r="P186">
        <v>-0.09</v>
      </c>
      <c r="Q186">
        <v>-0.03</v>
      </c>
      <c r="R186" t="s">
        <v>47</v>
      </c>
      <c r="S186" t="s">
        <v>47</v>
      </c>
      <c r="T186" t="s">
        <v>47</v>
      </c>
      <c r="U186" t="s">
        <v>47</v>
      </c>
      <c r="V186" t="s">
        <v>47</v>
      </c>
      <c r="W186" t="s">
        <v>47</v>
      </c>
      <c r="X186" t="s">
        <v>47</v>
      </c>
      <c r="Y186" t="s">
        <v>47</v>
      </c>
      <c r="Z186" t="s">
        <v>47</v>
      </c>
      <c r="AA186" t="s">
        <v>47</v>
      </c>
      <c r="AB186" t="s">
        <v>47</v>
      </c>
      <c r="AC186" t="s">
        <v>47</v>
      </c>
    </row>
    <row r="187" spans="1:29" x14ac:dyDescent="0.25">
      <c r="A187" t="s">
        <v>69</v>
      </c>
      <c r="B187" t="s">
        <v>70</v>
      </c>
      <c r="C187" t="s">
        <v>98</v>
      </c>
      <c r="D187" t="s">
        <v>99</v>
      </c>
      <c r="E187" t="s">
        <v>56</v>
      </c>
      <c r="F187">
        <v>-13.79</v>
      </c>
      <c r="G187">
        <v>0.32</v>
      </c>
      <c r="H187">
        <v>-8.19</v>
      </c>
      <c r="I187">
        <v>0.61</v>
      </c>
      <c r="J187">
        <v>1.01</v>
      </c>
      <c r="K187">
        <v>1.6600000000000001</v>
      </c>
      <c r="L187">
        <v>0.92</v>
      </c>
      <c r="M187">
        <v>0.78</v>
      </c>
      <c r="N187">
        <v>1.8</v>
      </c>
      <c r="O187">
        <v>2.4300000000000002</v>
      </c>
      <c r="P187">
        <v>0.67</v>
      </c>
      <c r="Q187">
        <v>0.33</v>
      </c>
      <c r="R187" t="s">
        <v>47</v>
      </c>
      <c r="S187" t="s">
        <v>47</v>
      </c>
      <c r="T187" t="s">
        <v>47</v>
      </c>
      <c r="U187" t="s">
        <v>47</v>
      </c>
      <c r="V187" t="s">
        <v>47</v>
      </c>
      <c r="W187" t="s">
        <v>47</v>
      </c>
      <c r="X187" t="s">
        <v>47</v>
      </c>
      <c r="Y187" t="s">
        <v>47</v>
      </c>
      <c r="Z187" t="s">
        <v>47</v>
      </c>
      <c r="AA187" t="s">
        <v>47</v>
      </c>
      <c r="AB187" t="s">
        <v>47</v>
      </c>
      <c r="AC187" t="s">
        <v>47</v>
      </c>
    </row>
    <row r="188" spans="1:29" x14ac:dyDescent="0.25">
      <c r="A188" t="s">
        <v>71</v>
      </c>
      <c r="B188" t="s">
        <v>72</v>
      </c>
      <c r="C188" t="s">
        <v>98</v>
      </c>
      <c r="D188" t="s">
        <v>99</v>
      </c>
      <c r="E188" t="s">
        <v>56</v>
      </c>
      <c r="F188">
        <v>1.47</v>
      </c>
      <c r="G188">
        <v>1.29</v>
      </c>
      <c r="H188">
        <v>1.1599999999999999</v>
      </c>
      <c r="I188">
        <v>1.02</v>
      </c>
      <c r="J188">
        <v>1.06</v>
      </c>
      <c r="K188">
        <v>1.05</v>
      </c>
      <c r="L188">
        <v>1.1499999999999999</v>
      </c>
      <c r="M188">
        <v>0.89</v>
      </c>
      <c r="N188">
        <v>1.1499999999999999</v>
      </c>
      <c r="O188">
        <v>-0.57999999999999996</v>
      </c>
      <c r="P188">
        <v>0.77</v>
      </c>
      <c r="Q188">
        <v>0.68</v>
      </c>
      <c r="R188" t="s">
        <v>47</v>
      </c>
      <c r="S188" t="s">
        <v>47</v>
      </c>
      <c r="T188" t="s">
        <v>47</v>
      </c>
      <c r="U188" t="s">
        <v>47</v>
      </c>
      <c r="V188" t="s">
        <v>47</v>
      </c>
      <c r="W188" t="s">
        <v>47</v>
      </c>
      <c r="X188" t="s">
        <v>47</v>
      </c>
      <c r="Y188" t="s">
        <v>47</v>
      </c>
      <c r="Z188" t="s">
        <v>47</v>
      </c>
      <c r="AA188" t="s">
        <v>47</v>
      </c>
      <c r="AB188" t="s">
        <v>47</v>
      </c>
      <c r="AC188" t="s">
        <v>47</v>
      </c>
    </row>
    <row r="189" spans="1:29" x14ac:dyDescent="0.25">
      <c r="A189" t="s">
        <v>73</v>
      </c>
      <c r="B189" t="s">
        <v>74</v>
      </c>
      <c r="C189" t="s">
        <v>98</v>
      </c>
      <c r="D189" t="s">
        <v>99</v>
      </c>
      <c r="E189" t="s">
        <v>56</v>
      </c>
      <c r="F189">
        <v>0.44</v>
      </c>
      <c r="G189">
        <v>0.42</v>
      </c>
      <c r="H189">
        <v>0.45</v>
      </c>
      <c r="I189">
        <v>0.38</v>
      </c>
      <c r="J189">
        <v>0.31</v>
      </c>
      <c r="K189">
        <v>0.41</v>
      </c>
      <c r="L189">
        <v>0.38</v>
      </c>
      <c r="M189">
        <v>0.33</v>
      </c>
      <c r="N189">
        <v>0.33</v>
      </c>
      <c r="O189">
        <v>0.34</v>
      </c>
      <c r="P189">
        <v>0.38</v>
      </c>
      <c r="Q189">
        <v>0.36</v>
      </c>
      <c r="R189" t="s">
        <v>47</v>
      </c>
      <c r="S189" t="s">
        <v>47</v>
      </c>
      <c r="T189" t="s">
        <v>47</v>
      </c>
      <c r="U189" t="s">
        <v>47</v>
      </c>
      <c r="V189" t="s">
        <v>47</v>
      </c>
      <c r="W189" t="s">
        <v>47</v>
      </c>
      <c r="X189" t="s">
        <v>47</v>
      </c>
      <c r="Y189" t="s">
        <v>47</v>
      </c>
      <c r="Z189" t="s">
        <v>47</v>
      </c>
      <c r="AA189" t="s">
        <v>47</v>
      </c>
      <c r="AB189" t="s">
        <v>47</v>
      </c>
      <c r="AC189" t="s">
        <v>47</v>
      </c>
    </row>
    <row r="190" spans="1:29" x14ac:dyDescent="0.25">
      <c r="A190" t="s">
        <v>75</v>
      </c>
      <c r="B190" t="s">
        <v>76</v>
      </c>
      <c r="C190" t="s">
        <v>98</v>
      </c>
      <c r="D190" t="s">
        <v>99</v>
      </c>
      <c r="E190" t="s">
        <v>56</v>
      </c>
      <c r="F190">
        <v>0.159</v>
      </c>
      <c r="G190">
        <v>0.15720000000000001</v>
      </c>
      <c r="H190">
        <v>0.1386</v>
      </c>
      <c r="I190">
        <v>0.1178</v>
      </c>
      <c r="J190">
        <v>0.13450000000000001</v>
      </c>
      <c r="K190">
        <v>0.1338</v>
      </c>
      <c r="L190">
        <v>0.12770000000000001</v>
      </c>
      <c r="M190">
        <v>0.12770000000000001</v>
      </c>
      <c r="N190">
        <v>0.1244</v>
      </c>
      <c r="O190">
        <v>0.12189999999999999</v>
      </c>
      <c r="P190">
        <v>0.11890000000000001</v>
      </c>
      <c r="Q190">
        <v>0.1174</v>
      </c>
      <c r="R190" t="s">
        <v>47</v>
      </c>
      <c r="S190" t="s">
        <v>47</v>
      </c>
      <c r="T190" t="s">
        <v>47</v>
      </c>
      <c r="U190" t="s">
        <v>47</v>
      </c>
      <c r="V190" t="s">
        <v>47</v>
      </c>
      <c r="W190" t="s">
        <v>47</v>
      </c>
      <c r="X190" t="s">
        <v>47</v>
      </c>
      <c r="Y190" t="s">
        <v>47</v>
      </c>
      <c r="Z190" t="s">
        <v>47</v>
      </c>
      <c r="AA190" t="s">
        <v>47</v>
      </c>
      <c r="AB190" t="s">
        <v>47</v>
      </c>
      <c r="AC190" t="s">
        <v>47</v>
      </c>
    </row>
    <row r="191" spans="1:29" x14ac:dyDescent="0.25">
      <c r="A191" t="s">
        <v>77</v>
      </c>
      <c r="B191" t="s">
        <v>78</v>
      </c>
      <c r="C191" t="s">
        <v>98</v>
      </c>
      <c r="D191" t="s">
        <v>99</v>
      </c>
      <c r="E191" t="s">
        <v>56</v>
      </c>
      <c r="F191">
        <v>3.9699999999999999E-2</v>
      </c>
      <c r="G191">
        <v>0.32429999999999998</v>
      </c>
      <c r="H191">
        <v>0.17710000000000001</v>
      </c>
      <c r="I191">
        <v>9.0800000000000006E-2</v>
      </c>
      <c r="J191">
        <v>0.1113</v>
      </c>
      <c r="K191">
        <v>0.4209</v>
      </c>
      <c r="L191">
        <v>0.1012</v>
      </c>
      <c r="M191">
        <v>0.1522</v>
      </c>
      <c r="N191">
        <v>7.4999999999999997E-2</v>
      </c>
      <c r="O191">
        <v>0.2445</v>
      </c>
      <c r="P191">
        <v>0.2752</v>
      </c>
      <c r="Q191">
        <v>9.35E-2</v>
      </c>
      <c r="R191" t="s">
        <v>47</v>
      </c>
      <c r="S191" t="s">
        <v>47</v>
      </c>
      <c r="T191" t="s">
        <v>47</v>
      </c>
      <c r="U191" t="s">
        <v>47</v>
      </c>
      <c r="V191" t="s">
        <v>47</v>
      </c>
      <c r="W191" t="s">
        <v>47</v>
      </c>
      <c r="X191" t="s">
        <v>47</v>
      </c>
      <c r="Y191" t="s">
        <v>47</v>
      </c>
      <c r="Z191" t="s">
        <v>47</v>
      </c>
      <c r="AA191" t="s">
        <v>47</v>
      </c>
      <c r="AB191" t="s">
        <v>47</v>
      </c>
      <c r="AC191" t="s">
        <v>47</v>
      </c>
    </row>
    <row r="192" spans="1:29" x14ac:dyDescent="0.25">
      <c r="A192" t="s">
        <v>79</v>
      </c>
      <c r="B192" t="s">
        <v>80</v>
      </c>
      <c r="C192" t="s">
        <v>98</v>
      </c>
      <c r="D192" t="s">
        <v>99</v>
      </c>
      <c r="E192" t="s">
        <v>56</v>
      </c>
      <c r="F192" t="s">
        <v>47</v>
      </c>
      <c r="R192" t="s">
        <v>47</v>
      </c>
      <c r="S192" t="s">
        <v>47</v>
      </c>
      <c r="T192" t="s">
        <v>47</v>
      </c>
      <c r="U192" t="s">
        <v>47</v>
      </c>
      <c r="V192" t="s">
        <v>47</v>
      </c>
      <c r="W192" t="s">
        <v>47</v>
      </c>
      <c r="X192" t="s">
        <v>47</v>
      </c>
      <c r="Y192" t="s">
        <v>47</v>
      </c>
      <c r="Z192" t="s">
        <v>47</v>
      </c>
      <c r="AA192" t="s">
        <v>47</v>
      </c>
      <c r="AB192" t="s">
        <v>47</v>
      </c>
      <c r="AC192" t="s">
        <v>47</v>
      </c>
    </row>
    <row r="193" spans="1:29" x14ac:dyDescent="0.25">
      <c r="A193" t="s">
        <v>81</v>
      </c>
      <c r="B193" t="s">
        <v>82</v>
      </c>
      <c r="C193" t="s">
        <v>98</v>
      </c>
      <c r="D193" t="s">
        <v>99</v>
      </c>
      <c r="E193" t="s">
        <v>56</v>
      </c>
      <c r="F193">
        <v>1.31</v>
      </c>
      <c r="G193">
        <v>4.1100000000000003</v>
      </c>
      <c r="H193">
        <v>1.87</v>
      </c>
      <c r="I193">
        <v>2.81</v>
      </c>
      <c r="J193">
        <v>1.78</v>
      </c>
      <c r="K193">
        <v>2.15</v>
      </c>
      <c r="L193">
        <v>2.94</v>
      </c>
      <c r="M193">
        <v>2.61</v>
      </c>
      <c r="N193">
        <v>1.81</v>
      </c>
      <c r="O193">
        <v>-1.1400000000000001</v>
      </c>
      <c r="P193">
        <v>2.92</v>
      </c>
      <c r="Q193">
        <v>2.48</v>
      </c>
      <c r="R193" t="s">
        <v>47</v>
      </c>
      <c r="S193" t="s">
        <v>47</v>
      </c>
      <c r="T193" t="s">
        <v>47</v>
      </c>
      <c r="U193" t="s">
        <v>47</v>
      </c>
      <c r="V193" t="s">
        <v>47</v>
      </c>
      <c r="W193" t="s">
        <v>47</v>
      </c>
      <c r="X193" t="s">
        <v>47</v>
      </c>
      <c r="Y193" t="s">
        <v>47</v>
      </c>
      <c r="Z193" t="s">
        <v>47</v>
      </c>
      <c r="AA193" t="s">
        <v>47</v>
      </c>
      <c r="AB193" t="s">
        <v>47</v>
      </c>
      <c r="AC193" t="s">
        <v>47</v>
      </c>
    </row>
    <row r="194" spans="1:29" x14ac:dyDescent="0.25">
      <c r="A194" t="s">
        <v>83</v>
      </c>
      <c r="B194" t="s">
        <v>84</v>
      </c>
      <c r="C194" t="s">
        <v>98</v>
      </c>
      <c r="D194" t="s">
        <v>99</v>
      </c>
      <c r="E194" t="s">
        <v>56</v>
      </c>
      <c r="F194">
        <v>0.29609999999999997</v>
      </c>
      <c r="G194">
        <v>0.30370000000000003</v>
      </c>
      <c r="H194">
        <v>0.30449999999999999</v>
      </c>
      <c r="I194">
        <v>0.31159999999999999</v>
      </c>
      <c r="J194">
        <v>0.30740000000000001</v>
      </c>
      <c r="K194">
        <v>0.29980000000000001</v>
      </c>
      <c r="L194">
        <v>0.29499999999999998</v>
      </c>
      <c r="M194">
        <v>0.28589999999999999</v>
      </c>
      <c r="N194">
        <v>0.2802</v>
      </c>
      <c r="O194">
        <v>0.26350000000000001</v>
      </c>
      <c r="P194">
        <v>0.26190000000000002</v>
      </c>
      <c r="Q194">
        <v>0.23569999999999999</v>
      </c>
      <c r="R194" t="s">
        <v>47</v>
      </c>
      <c r="S194" t="s">
        <v>47</v>
      </c>
      <c r="T194" t="s">
        <v>47</v>
      </c>
      <c r="U194" t="s">
        <v>47</v>
      </c>
      <c r="V194" t="s">
        <v>47</v>
      </c>
      <c r="W194" t="s">
        <v>47</v>
      </c>
      <c r="X194" t="s">
        <v>47</v>
      </c>
      <c r="Y194" t="s">
        <v>47</v>
      </c>
      <c r="Z194" t="s">
        <v>47</v>
      </c>
      <c r="AA194" t="s">
        <v>47</v>
      </c>
      <c r="AB194" t="s">
        <v>47</v>
      </c>
      <c r="AC194" t="s">
        <v>47</v>
      </c>
    </row>
    <row r="195" spans="1:29" x14ac:dyDescent="0.25">
      <c r="A195" t="s">
        <v>85</v>
      </c>
      <c r="B195" t="s">
        <v>86</v>
      </c>
      <c r="C195" t="s">
        <v>98</v>
      </c>
      <c r="D195" t="s">
        <v>99</v>
      </c>
      <c r="E195" t="s">
        <v>56</v>
      </c>
      <c r="F195">
        <v>0.12620000000000001</v>
      </c>
      <c r="G195">
        <v>0.17899999999999999</v>
      </c>
      <c r="H195">
        <v>0.16420000000000001</v>
      </c>
      <c r="I195">
        <v>0.15659999999999999</v>
      </c>
      <c r="J195">
        <v>0.17860000000000001</v>
      </c>
      <c r="K195">
        <v>0.1867</v>
      </c>
      <c r="L195">
        <v>0.17030000000000001</v>
      </c>
      <c r="M195">
        <v>0.1502</v>
      </c>
      <c r="N195">
        <v>0.2132</v>
      </c>
      <c r="O195">
        <v>0.16389999999999999</v>
      </c>
      <c r="P195">
        <v>0.1462</v>
      </c>
      <c r="Q195">
        <v>0.13930000000000001</v>
      </c>
      <c r="R195" t="s">
        <v>47</v>
      </c>
      <c r="S195" t="s">
        <v>47</v>
      </c>
      <c r="T195" t="s">
        <v>47</v>
      </c>
      <c r="U195" t="s">
        <v>47</v>
      </c>
      <c r="V195" t="s">
        <v>47</v>
      </c>
      <c r="W195" t="s">
        <v>47</v>
      </c>
      <c r="X195" t="s">
        <v>47</v>
      </c>
      <c r="Y195" t="s">
        <v>47</v>
      </c>
      <c r="Z195" t="s">
        <v>47</v>
      </c>
      <c r="AA195" t="s">
        <v>47</v>
      </c>
      <c r="AB195" t="s">
        <v>47</v>
      </c>
      <c r="AC195" t="s">
        <v>47</v>
      </c>
    </row>
    <row r="196" spans="1:29" x14ac:dyDescent="0.25">
      <c r="A196" t="s">
        <v>87</v>
      </c>
      <c r="B196" t="s">
        <v>88</v>
      </c>
      <c r="C196" t="s">
        <v>98</v>
      </c>
      <c r="D196" t="s">
        <v>99</v>
      </c>
      <c r="E196" t="s">
        <v>56</v>
      </c>
      <c r="F196" t="s">
        <v>47</v>
      </c>
      <c r="R196" t="s">
        <v>47</v>
      </c>
      <c r="S196" t="s">
        <v>47</v>
      </c>
      <c r="T196" t="s">
        <v>47</v>
      </c>
      <c r="U196" t="s">
        <v>47</v>
      </c>
      <c r="V196" t="s">
        <v>47</v>
      </c>
      <c r="W196" t="s">
        <v>47</v>
      </c>
      <c r="X196" t="s">
        <v>47</v>
      </c>
      <c r="Y196" t="s">
        <v>47</v>
      </c>
      <c r="Z196" t="s">
        <v>47</v>
      </c>
      <c r="AA196" t="s">
        <v>47</v>
      </c>
      <c r="AB196" t="s">
        <v>47</v>
      </c>
      <c r="AC196" t="s">
        <v>47</v>
      </c>
    </row>
    <row r="197" spans="1:29" x14ac:dyDescent="0.25">
      <c r="A197" t="s">
        <v>47</v>
      </c>
      <c r="B197" t="s">
        <v>47</v>
      </c>
      <c r="C197" t="s">
        <v>47</v>
      </c>
      <c r="D197" t="s">
        <v>47</v>
      </c>
      <c r="E197" t="s">
        <v>47</v>
      </c>
      <c r="R197" t="s">
        <v>47</v>
      </c>
      <c r="S197" t="s">
        <v>47</v>
      </c>
      <c r="T197" t="s">
        <v>47</v>
      </c>
      <c r="U197" t="s">
        <v>47</v>
      </c>
      <c r="V197" t="s">
        <v>47</v>
      </c>
      <c r="W197" t="s">
        <v>47</v>
      </c>
      <c r="X197" t="s">
        <v>47</v>
      </c>
      <c r="Y197" t="s">
        <v>47</v>
      </c>
      <c r="Z197" t="s">
        <v>47</v>
      </c>
      <c r="AA197" t="s">
        <v>47</v>
      </c>
      <c r="AB197" t="s">
        <v>47</v>
      </c>
      <c r="AC197" t="s">
        <v>47</v>
      </c>
    </row>
    <row r="198" spans="1:29" x14ac:dyDescent="0.25">
      <c r="A198" t="s">
        <v>47</v>
      </c>
      <c r="B198" t="s">
        <v>47</v>
      </c>
      <c r="C198" t="s">
        <v>47</v>
      </c>
      <c r="D198" t="s">
        <v>47</v>
      </c>
      <c r="E198" t="s">
        <v>47</v>
      </c>
      <c r="R198" t="s">
        <v>47</v>
      </c>
      <c r="S198" t="s">
        <v>47</v>
      </c>
      <c r="T198" t="s">
        <v>47</v>
      </c>
      <c r="U198" t="s">
        <v>47</v>
      </c>
      <c r="V198" t="s">
        <v>47</v>
      </c>
      <c r="W198" t="s">
        <v>47</v>
      </c>
      <c r="X198" t="s">
        <v>47</v>
      </c>
      <c r="Y198" t="s">
        <v>47</v>
      </c>
      <c r="Z198" t="s">
        <v>47</v>
      </c>
      <c r="AA198" t="s">
        <v>47</v>
      </c>
      <c r="AB198" t="s">
        <v>47</v>
      </c>
      <c r="AC198" t="s">
        <v>47</v>
      </c>
    </row>
    <row r="199" spans="1:29" x14ac:dyDescent="0.25">
      <c r="A199" t="s">
        <v>47</v>
      </c>
      <c r="B199" t="s">
        <v>47</v>
      </c>
      <c r="C199" t="s">
        <v>47</v>
      </c>
      <c r="D199" t="s">
        <v>47</v>
      </c>
      <c r="E199" t="s">
        <v>47</v>
      </c>
      <c r="R199" t="s">
        <v>47</v>
      </c>
      <c r="S199" t="s">
        <v>47</v>
      </c>
      <c r="T199" t="s">
        <v>47</v>
      </c>
      <c r="U199" t="s">
        <v>47</v>
      </c>
      <c r="V199" t="s">
        <v>47</v>
      </c>
      <c r="W199" t="s">
        <v>47</v>
      </c>
      <c r="X199" t="s">
        <v>47</v>
      </c>
      <c r="Y199" t="s">
        <v>47</v>
      </c>
      <c r="Z199" t="s">
        <v>47</v>
      </c>
      <c r="AA199" t="s">
        <v>47</v>
      </c>
      <c r="AB199" t="s">
        <v>47</v>
      </c>
      <c r="AC199" t="s">
        <v>47</v>
      </c>
    </row>
    <row r="200" spans="1:29" x14ac:dyDescent="0.25">
      <c r="A200" t="s">
        <v>47</v>
      </c>
      <c r="B200" t="s">
        <v>47</v>
      </c>
      <c r="C200" t="s">
        <v>47</v>
      </c>
      <c r="D200" t="s">
        <v>47</v>
      </c>
      <c r="E200" t="s">
        <v>47</v>
      </c>
      <c r="R200" t="s">
        <v>47</v>
      </c>
      <c r="S200" t="s">
        <v>47</v>
      </c>
      <c r="T200" t="s">
        <v>47</v>
      </c>
      <c r="U200" t="s">
        <v>47</v>
      </c>
      <c r="V200" t="s">
        <v>47</v>
      </c>
      <c r="W200" t="s">
        <v>47</v>
      </c>
      <c r="X200" t="s">
        <v>47</v>
      </c>
      <c r="Y200" t="s">
        <v>47</v>
      </c>
      <c r="Z200" t="s">
        <v>47</v>
      </c>
      <c r="AA200" t="s">
        <v>47</v>
      </c>
      <c r="AB200" t="s">
        <v>47</v>
      </c>
      <c r="AC200" t="s">
        <v>47</v>
      </c>
    </row>
    <row r="201" spans="1:29" x14ac:dyDescent="0.25">
      <c r="A201" t="s">
        <v>47</v>
      </c>
      <c r="B201" t="s">
        <v>47</v>
      </c>
      <c r="C201" t="s">
        <v>47</v>
      </c>
      <c r="D201" t="s">
        <v>47</v>
      </c>
      <c r="E201" t="s">
        <v>47</v>
      </c>
      <c r="R201" t="s">
        <v>47</v>
      </c>
      <c r="S201" t="s">
        <v>47</v>
      </c>
      <c r="T201" t="s">
        <v>47</v>
      </c>
      <c r="U201" t="s">
        <v>47</v>
      </c>
      <c r="V201" t="s">
        <v>47</v>
      </c>
      <c r="W201" t="s">
        <v>47</v>
      </c>
      <c r="X201" t="s">
        <v>47</v>
      </c>
      <c r="Y201" t="s">
        <v>47</v>
      </c>
      <c r="Z201" t="s">
        <v>47</v>
      </c>
      <c r="AA201" t="s">
        <v>47</v>
      </c>
      <c r="AB201" t="s">
        <v>47</v>
      </c>
      <c r="AC201" t="s">
        <v>47</v>
      </c>
    </row>
    <row r="202" spans="1:29" x14ac:dyDescent="0.25">
      <c r="A202" t="s">
        <v>114</v>
      </c>
      <c r="B202" t="s">
        <v>114</v>
      </c>
      <c r="C202" t="s">
        <v>114</v>
      </c>
      <c r="D202" t="s">
        <v>114</v>
      </c>
      <c r="E202" t="s">
        <v>114</v>
      </c>
      <c r="R202" t="s">
        <v>47</v>
      </c>
      <c r="S202" t="s">
        <v>47</v>
      </c>
      <c r="T202" t="s">
        <v>47</v>
      </c>
      <c r="U202" t="s">
        <v>47</v>
      </c>
      <c r="V202" t="s">
        <v>47</v>
      </c>
      <c r="W202" t="s">
        <v>47</v>
      </c>
      <c r="X202" t="s">
        <v>47</v>
      </c>
      <c r="Y202" t="s">
        <v>47</v>
      </c>
      <c r="Z202" t="s">
        <v>47</v>
      </c>
      <c r="AA202" t="s">
        <v>47</v>
      </c>
      <c r="AB202" t="s">
        <v>47</v>
      </c>
      <c r="AC202" t="s">
        <v>47</v>
      </c>
    </row>
    <row r="203" spans="1:29" x14ac:dyDescent="0.25">
      <c r="A203" t="s">
        <v>115</v>
      </c>
      <c r="R203" t="s">
        <v>47</v>
      </c>
      <c r="S203" t="s">
        <v>47</v>
      </c>
      <c r="T203" t="s">
        <v>47</v>
      </c>
      <c r="U203" t="s">
        <v>47</v>
      </c>
      <c r="V203" t="s">
        <v>47</v>
      </c>
      <c r="W203" t="s">
        <v>47</v>
      </c>
      <c r="X203" t="s">
        <v>47</v>
      </c>
      <c r="Y203" t="s">
        <v>47</v>
      </c>
      <c r="Z203" t="s">
        <v>47</v>
      </c>
      <c r="AA203" t="s">
        <v>47</v>
      </c>
      <c r="AB203" t="s">
        <v>47</v>
      </c>
      <c r="AC203" t="s">
        <v>47</v>
      </c>
    </row>
    <row r="204" spans="1:29" x14ac:dyDescent="0.25">
      <c r="A204" t="s">
        <v>116</v>
      </c>
      <c r="B204">
        <v>43999</v>
      </c>
      <c r="C204" t="s">
        <v>47</v>
      </c>
      <c r="D204" t="s">
        <v>47</v>
      </c>
      <c r="E204" t="s">
        <v>47</v>
      </c>
      <c r="R204" t="s">
        <v>47</v>
      </c>
      <c r="S204" t="s">
        <v>47</v>
      </c>
      <c r="T204" t="s">
        <v>47</v>
      </c>
      <c r="U204" t="s">
        <v>47</v>
      </c>
      <c r="V204" t="s">
        <v>47</v>
      </c>
      <c r="W204" t="s">
        <v>47</v>
      </c>
      <c r="X204" t="s">
        <v>47</v>
      </c>
      <c r="Y204" t="s">
        <v>47</v>
      </c>
      <c r="Z204" t="s">
        <v>47</v>
      </c>
      <c r="AA204" t="s">
        <v>47</v>
      </c>
      <c r="AB204" t="s">
        <v>47</v>
      </c>
      <c r="AC204" t="s">
        <v>47</v>
      </c>
    </row>
    <row r="205" spans="1:29" x14ac:dyDescent="0.25">
      <c r="A205" t="s">
        <v>117</v>
      </c>
      <c r="B205">
        <v>43999</v>
      </c>
      <c r="C205" t="s">
        <v>47</v>
      </c>
      <c r="D205" t="s">
        <v>47</v>
      </c>
      <c r="E205" t="s">
        <v>47</v>
      </c>
      <c r="R205" t="s">
        <v>47</v>
      </c>
      <c r="S205" t="s">
        <v>47</v>
      </c>
      <c r="T205" t="s">
        <v>47</v>
      </c>
      <c r="U205" t="s">
        <v>47</v>
      </c>
      <c r="V205" t="s">
        <v>47</v>
      </c>
      <c r="W205" t="s">
        <v>47</v>
      </c>
      <c r="X205" t="s">
        <v>47</v>
      </c>
      <c r="Y205" t="s">
        <v>47</v>
      </c>
      <c r="Z205" t="s">
        <v>47</v>
      </c>
      <c r="AA205" t="s">
        <v>47</v>
      </c>
      <c r="AB205" t="s">
        <v>47</v>
      </c>
      <c r="AC205" t="s">
        <v>47</v>
      </c>
    </row>
    <row r="206" spans="1:29" x14ac:dyDescent="0.25">
      <c r="A206" t="s">
        <v>29</v>
      </c>
      <c r="B206" t="s">
        <v>30</v>
      </c>
      <c r="C206" t="s">
        <v>31</v>
      </c>
      <c r="D206" t="s">
        <v>32</v>
      </c>
      <c r="E206" t="s">
        <v>33</v>
      </c>
      <c r="R206" t="s">
        <v>47</v>
      </c>
      <c r="S206" t="s">
        <v>47</v>
      </c>
      <c r="T206" t="s">
        <v>47</v>
      </c>
      <c r="U206" t="s">
        <v>47</v>
      </c>
      <c r="V206" t="s">
        <v>47</v>
      </c>
      <c r="W206" t="s">
        <v>47</v>
      </c>
      <c r="X206" t="s">
        <v>47</v>
      </c>
      <c r="Y206" t="s">
        <v>47</v>
      </c>
      <c r="Z206" t="s">
        <v>47</v>
      </c>
      <c r="AA206" t="s">
        <v>47</v>
      </c>
      <c r="AB206" t="s">
        <v>47</v>
      </c>
      <c r="AC206" t="s">
        <v>47</v>
      </c>
    </row>
    <row r="207" spans="1:29" x14ac:dyDescent="0.25">
      <c r="A207" t="s">
        <v>118</v>
      </c>
      <c r="B207">
        <v>43999</v>
      </c>
      <c r="C207" t="s">
        <v>47</v>
      </c>
      <c r="D207" t="s">
        <v>47</v>
      </c>
      <c r="E207" t="s">
        <v>47</v>
      </c>
      <c r="R207" t="s">
        <v>47</v>
      </c>
      <c r="S207" t="s">
        <v>47</v>
      </c>
      <c r="T207" t="s">
        <v>47</v>
      </c>
      <c r="U207" t="s">
        <v>47</v>
      </c>
      <c r="V207" t="s">
        <v>47</v>
      </c>
      <c r="W207" t="s">
        <v>47</v>
      </c>
      <c r="X207" t="s">
        <v>47</v>
      </c>
      <c r="Y207" t="s">
        <v>47</v>
      </c>
      <c r="Z207" t="s">
        <v>47</v>
      </c>
      <c r="AA207" t="s">
        <v>47</v>
      </c>
      <c r="AB207" t="s">
        <v>47</v>
      </c>
      <c r="AC207" t="s">
        <v>47</v>
      </c>
    </row>
    <row r="208" spans="1:29" x14ac:dyDescent="0.25">
      <c r="A208" t="s">
        <v>119</v>
      </c>
      <c r="B208">
        <v>2</v>
      </c>
      <c r="C208" t="s">
        <v>45</v>
      </c>
      <c r="D208" t="s">
        <v>44</v>
      </c>
      <c r="E208" t="s">
        <v>43</v>
      </c>
      <c r="F208" t="s">
        <v>42</v>
      </c>
      <c r="G208" t="s">
        <v>41</v>
      </c>
      <c r="H208" t="s">
        <v>40</v>
      </c>
      <c r="I208" t="s">
        <v>39</v>
      </c>
      <c r="J208" t="s">
        <v>38</v>
      </c>
      <c r="K208" t="s">
        <v>37</v>
      </c>
      <c r="L208" t="s">
        <v>36</v>
      </c>
      <c r="M208" t="s">
        <v>35</v>
      </c>
      <c r="N208" t="s">
        <v>34</v>
      </c>
      <c r="R208" t="s">
        <v>47</v>
      </c>
      <c r="S208" t="s">
        <v>47</v>
      </c>
      <c r="T208" t="s">
        <v>47</v>
      </c>
      <c r="U208" t="s">
        <v>47</v>
      </c>
      <c r="V208" t="s">
        <v>47</v>
      </c>
      <c r="W208" t="s">
        <v>47</v>
      </c>
      <c r="X208" t="s">
        <v>47</v>
      </c>
      <c r="Y208" t="s">
        <v>47</v>
      </c>
      <c r="Z208" t="s">
        <v>47</v>
      </c>
      <c r="AA208" t="s">
        <v>47</v>
      </c>
      <c r="AB208" t="s">
        <v>47</v>
      </c>
      <c r="AC208" t="s">
        <v>47</v>
      </c>
    </row>
    <row r="209" spans="1:29" x14ac:dyDescent="0.25">
      <c r="A209" t="s">
        <v>120</v>
      </c>
      <c r="B209">
        <v>0</v>
      </c>
      <c r="C209" t="s">
        <v>121</v>
      </c>
      <c r="R209" t="s">
        <v>47</v>
      </c>
      <c r="S209" t="s">
        <v>47</v>
      </c>
      <c r="T209" t="s">
        <v>47</v>
      </c>
      <c r="U209" t="s">
        <v>47</v>
      </c>
      <c r="V209" t="s">
        <v>47</v>
      </c>
      <c r="W209" t="s">
        <v>47</v>
      </c>
      <c r="X209" t="s">
        <v>47</v>
      </c>
      <c r="Y209" t="s">
        <v>47</v>
      </c>
      <c r="Z209" t="s">
        <v>47</v>
      </c>
      <c r="AA209" t="s">
        <v>47</v>
      </c>
      <c r="AB209" t="s">
        <v>47</v>
      </c>
      <c r="AC209" t="s">
        <v>47</v>
      </c>
    </row>
    <row r="210" spans="1:29" x14ac:dyDescent="0.25">
      <c r="A210" t="s">
        <v>122</v>
      </c>
      <c r="R210" t="s">
        <v>47</v>
      </c>
      <c r="S210" t="s">
        <v>47</v>
      </c>
      <c r="T210" t="s">
        <v>47</v>
      </c>
      <c r="U210" t="s">
        <v>47</v>
      </c>
      <c r="V210" t="s">
        <v>47</v>
      </c>
      <c r="W210" t="s">
        <v>47</v>
      </c>
      <c r="X210" t="s">
        <v>47</v>
      </c>
      <c r="Y210" t="s">
        <v>47</v>
      </c>
      <c r="Z210" t="s">
        <v>47</v>
      </c>
      <c r="AA210" t="s">
        <v>47</v>
      </c>
      <c r="AB210" t="s">
        <v>47</v>
      </c>
      <c r="AC210" t="s">
        <v>47</v>
      </c>
    </row>
    <row r="211" spans="1:29" x14ac:dyDescent="0.25">
      <c r="A211" t="s">
        <v>123</v>
      </c>
      <c r="B211">
        <v>0</v>
      </c>
      <c r="C211" t="s">
        <v>121</v>
      </c>
      <c r="R211" t="s">
        <v>47</v>
      </c>
      <c r="S211" t="s">
        <v>47</v>
      </c>
      <c r="T211" t="s">
        <v>47</v>
      </c>
      <c r="U211" t="s">
        <v>47</v>
      </c>
      <c r="V211" t="s">
        <v>47</v>
      </c>
      <c r="W211" t="s">
        <v>47</v>
      </c>
      <c r="X211" t="s">
        <v>47</v>
      </c>
      <c r="Y211" t="s">
        <v>47</v>
      </c>
      <c r="Z211" t="s">
        <v>47</v>
      </c>
      <c r="AA211" t="s">
        <v>47</v>
      </c>
      <c r="AB211" t="s">
        <v>47</v>
      </c>
      <c r="AC211" t="s">
        <v>47</v>
      </c>
    </row>
    <row r="212" spans="1:29" x14ac:dyDescent="0.25">
      <c r="A212" t="s">
        <v>124</v>
      </c>
      <c r="R212" t="s">
        <v>47</v>
      </c>
      <c r="S212" t="s">
        <v>47</v>
      </c>
      <c r="T212" t="s">
        <v>47</v>
      </c>
      <c r="U212" t="s">
        <v>47</v>
      </c>
      <c r="V212" t="s">
        <v>47</v>
      </c>
      <c r="W212" t="s">
        <v>47</v>
      </c>
      <c r="X212" t="s">
        <v>47</v>
      </c>
      <c r="Y212" t="s">
        <v>47</v>
      </c>
      <c r="Z212" t="s">
        <v>47</v>
      </c>
      <c r="AA212" t="s">
        <v>47</v>
      </c>
      <c r="AB212" t="s">
        <v>47</v>
      </c>
      <c r="AC212" t="s">
        <v>47</v>
      </c>
    </row>
    <row r="213" spans="1:29" x14ac:dyDescent="0.25">
      <c r="A213" t="s">
        <v>125</v>
      </c>
      <c r="B213">
        <v>0</v>
      </c>
      <c r="C213" t="s">
        <v>121</v>
      </c>
      <c r="R213" t="s">
        <v>47</v>
      </c>
      <c r="S213" t="s">
        <v>47</v>
      </c>
      <c r="T213" t="s">
        <v>47</v>
      </c>
      <c r="U213" t="s">
        <v>47</v>
      </c>
      <c r="V213" t="s">
        <v>47</v>
      </c>
      <c r="W213" t="s">
        <v>47</v>
      </c>
      <c r="X213" t="s">
        <v>47</v>
      </c>
      <c r="Y213" t="s">
        <v>47</v>
      </c>
      <c r="Z213" t="s">
        <v>47</v>
      </c>
      <c r="AA213" t="s">
        <v>47</v>
      </c>
      <c r="AB213" t="s">
        <v>47</v>
      </c>
      <c r="AC213" t="s">
        <v>47</v>
      </c>
    </row>
    <row r="214" spans="1:29" x14ac:dyDescent="0.25">
      <c r="A214" t="s">
        <v>126</v>
      </c>
      <c r="R214" t="s">
        <v>47</v>
      </c>
      <c r="S214" t="s">
        <v>47</v>
      </c>
      <c r="T214" t="s">
        <v>47</v>
      </c>
      <c r="U214" t="s">
        <v>47</v>
      </c>
      <c r="V214" t="s">
        <v>47</v>
      </c>
      <c r="W214" t="s">
        <v>47</v>
      </c>
      <c r="X214" t="s">
        <v>47</v>
      </c>
      <c r="Y214" t="s">
        <v>47</v>
      </c>
      <c r="Z214" t="s">
        <v>47</v>
      </c>
      <c r="AA214" t="s">
        <v>47</v>
      </c>
      <c r="AB214" t="s">
        <v>47</v>
      </c>
      <c r="AC214" t="s">
        <v>47</v>
      </c>
    </row>
    <row r="215" spans="1:29" x14ac:dyDescent="0.25">
      <c r="A215" t="s">
        <v>127</v>
      </c>
      <c r="B215">
        <v>2</v>
      </c>
      <c r="C215" t="s">
        <v>45</v>
      </c>
      <c r="D215" t="s">
        <v>44</v>
      </c>
      <c r="E215" t="s">
        <v>43</v>
      </c>
      <c r="F215" t="s">
        <v>42</v>
      </c>
      <c r="G215" t="s">
        <v>41</v>
      </c>
      <c r="H215" t="s">
        <v>40</v>
      </c>
      <c r="I215" t="s">
        <v>39</v>
      </c>
      <c r="J215" t="s">
        <v>38</v>
      </c>
      <c r="K215" t="s">
        <v>37</v>
      </c>
      <c r="L215" t="s">
        <v>36</v>
      </c>
      <c r="M215" t="s">
        <v>35</v>
      </c>
      <c r="N215" t="s">
        <v>34</v>
      </c>
      <c r="R215" t="s">
        <v>47</v>
      </c>
      <c r="S215" t="s">
        <v>47</v>
      </c>
      <c r="T215" t="s">
        <v>47</v>
      </c>
      <c r="U215" t="s">
        <v>47</v>
      </c>
      <c r="V215" t="s">
        <v>47</v>
      </c>
      <c r="W215" t="s">
        <v>47</v>
      </c>
      <c r="X215" t="s">
        <v>47</v>
      </c>
      <c r="Y215" t="s">
        <v>47</v>
      </c>
      <c r="Z215" t="s">
        <v>47</v>
      </c>
      <c r="AA215" t="s">
        <v>47</v>
      </c>
      <c r="AB215" t="s">
        <v>47</v>
      </c>
      <c r="AC215" t="s">
        <v>47</v>
      </c>
    </row>
    <row r="216" spans="1:29" x14ac:dyDescent="0.25">
      <c r="A216" t="s">
        <v>128</v>
      </c>
      <c r="B216">
        <v>2</v>
      </c>
      <c r="C216" t="s">
        <v>45</v>
      </c>
      <c r="D216" t="s">
        <v>44</v>
      </c>
      <c r="E216" t="s">
        <v>43</v>
      </c>
      <c r="F216" t="s">
        <v>42</v>
      </c>
      <c r="G216" t="s">
        <v>41</v>
      </c>
      <c r="H216" t="s">
        <v>40</v>
      </c>
      <c r="I216" t="s">
        <v>39</v>
      </c>
      <c r="J216" t="s">
        <v>38</v>
      </c>
      <c r="K216" t="s">
        <v>37</v>
      </c>
      <c r="L216" t="s">
        <v>36</v>
      </c>
      <c r="M216" t="s">
        <v>35</v>
      </c>
      <c r="N216" t="s">
        <v>34</v>
      </c>
      <c r="R216" t="s">
        <v>47</v>
      </c>
      <c r="S216" t="s">
        <v>47</v>
      </c>
      <c r="T216" t="s">
        <v>47</v>
      </c>
      <c r="U216" t="s">
        <v>47</v>
      </c>
      <c r="V216" t="s">
        <v>47</v>
      </c>
      <c r="W216" t="s">
        <v>47</v>
      </c>
      <c r="X216" t="s">
        <v>47</v>
      </c>
      <c r="Y216" t="s">
        <v>47</v>
      </c>
      <c r="Z216" t="s">
        <v>47</v>
      </c>
      <c r="AA216" t="s">
        <v>47</v>
      </c>
      <c r="AB216" t="s">
        <v>47</v>
      </c>
      <c r="AC216" t="s">
        <v>47</v>
      </c>
    </row>
    <row r="217" spans="1:29" x14ac:dyDescent="0.25">
      <c r="A217" t="s">
        <v>129</v>
      </c>
      <c r="B217">
        <v>0</v>
      </c>
      <c r="C217" t="s">
        <v>121</v>
      </c>
      <c r="R217" t="s">
        <v>47</v>
      </c>
      <c r="S217" t="s">
        <v>47</v>
      </c>
      <c r="T217" t="s">
        <v>47</v>
      </c>
      <c r="U217" t="s">
        <v>47</v>
      </c>
      <c r="V217" t="s">
        <v>47</v>
      </c>
      <c r="W217" t="s">
        <v>47</v>
      </c>
      <c r="X217" t="s">
        <v>47</v>
      </c>
      <c r="Y217" t="s">
        <v>47</v>
      </c>
      <c r="Z217" t="s">
        <v>47</v>
      </c>
      <c r="AA217" t="s">
        <v>47</v>
      </c>
      <c r="AB217" t="s">
        <v>47</v>
      </c>
      <c r="AC217" t="s">
        <v>47</v>
      </c>
    </row>
    <row r="218" spans="1:29" x14ac:dyDescent="0.25">
      <c r="A218" t="s">
        <v>130</v>
      </c>
      <c r="R218" t="s">
        <v>47</v>
      </c>
      <c r="S218" t="s">
        <v>47</v>
      </c>
      <c r="T218" t="s">
        <v>47</v>
      </c>
      <c r="U218" t="s">
        <v>47</v>
      </c>
      <c r="V218" t="s">
        <v>47</v>
      </c>
      <c r="W218" t="s">
        <v>47</v>
      </c>
      <c r="X218" t="s">
        <v>47</v>
      </c>
      <c r="Y218" t="s">
        <v>47</v>
      </c>
      <c r="Z218" t="s">
        <v>47</v>
      </c>
      <c r="AA218" t="s">
        <v>47</v>
      </c>
      <c r="AB218" t="s">
        <v>47</v>
      </c>
      <c r="AC218" t="s">
        <v>47</v>
      </c>
    </row>
    <row r="219" spans="1:29" x14ac:dyDescent="0.25">
      <c r="A219" t="s">
        <v>131</v>
      </c>
      <c r="B219">
        <v>0</v>
      </c>
      <c r="C219" t="s">
        <v>121</v>
      </c>
      <c r="R219" t="s">
        <v>47</v>
      </c>
      <c r="S219" t="s">
        <v>47</v>
      </c>
      <c r="T219" t="s">
        <v>47</v>
      </c>
      <c r="U219" t="s">
        <v>47</v>
      </c>
      <c r="V219" t="s">
        <v>47</v>
      </c>
      <c r="W219" t="s">
        <v>47</v>
      </c>
      <c r="X219" t="s">
        <v>47</v>
      </c>
      <c r="Y219" t="s">
        <v>47</v>
      </c>
      <c r="Z219" t="s">
        <v>47</v>
      </c>
      <c r="AA219" t="s">
        <v>47</v>
      </c>
      <c r="AB219" t="s">
        <v>47</v>
      </c>
      <c r="AC219" t="s">
        <v>47</v>
      </c>
    </row>
    <row r="220" spans="1:29" x14ac:dyDescent="0.25">
      <c r="A220" t="s">
        <v>132</v>
      </c>
      <c r="R220" t="s">
        <v>47</v>
      </c>
      <c r="S220" t="s">
        <v>47</v>
      </c>
      <c r="T220" t="s">
        <v>47</v>
      </c>
      <c r="U220" t="s">
        <v>47</v>
      </c>
      <c r="V220" t="s">
        <v>47</v>
      </c>
      <c r="W220" t="s">
        <v>47</v>
      </c>
      <c r="X220" t="s">
        <v>47</v>
      </c>
      <c r="Y220" t="s">
        <v>47</v>
      </c>
      <c r="Z220" t="s">
        <v>47</v>
      </c>
      <c r="AA220" t="s">
        <v>47</v>
      </c>
      <c r="AB220" t="s">
        <v>47</v>
      </c>
      <c r="AC220" t="s">
        <v>47</v>
      </c>
    </row>
    <row r="221" spans="1:29" x14ac:dyDescent="0.25">
      <c r="A221" t="s">
        <v>133</v>
      </c>
      <c r="B221">
        <v>0</v>
      </c>
      <c r="C221" t="s">
        <v>121</v>
      </c>
      <c r="R221" t="s">
        <v>47</v>
      </c>
      <c r="S221" t="s">
        <v>47</v>
      </c>
      <c r="T221" t="s">
        <v>47</v>
      </c>
      <c r="U221" t="s">
        <v>47</v>
      </c>
      <c r="V221" t="s">
        <v>47</v>
      </c>
      <c r="W221" t="s">
        <v>47</v>
      </c>
      <c r="X221" t="s">
        <v>47</v>
      </c>
      <c r="Y221" t="s">
        <v>47</v>
      </c>
      <c r="Z221" t="s">
        <v>47</v>
      </c>
      <c r="AA221" t="s">
        <v>47</v>
      </c>
      <c r="AB221" t="s">
        <v>47</v>
      </c>
      <c r="AC221" t="s">
        <v>47</v>
      </c>
    </row>
    <row r="222" spans="1:29" x14ac:dyDescent="0.25">
      <c r="A222" t="s">
        <v>134</v>
      </c>
      <c r="R222" t="s">
        <v>47</v>
      </c>
      <c r="S222" t="s">
        <v>47</v>
      </c>
      <c r="T222" t="s">
        <v>47</v>
      </c>
      <c r="U222" t="s">
        <v>47</v>
      </c>
      <c r="V222" t="s">
        <v>47</v>
      </c>
      <c r="W222" t="s">
        <v>47</v>
      </c>
      <c r="X222" t="s">
        <v>47</v>
      </c>
      <c r="Y222" t="s">
        <v>47</v>
      </c>
      <c r="Z222" t="s">
        <v>47</v>
      </c>
      <c r="AA222" t="s">
        <v>47</v>
      </c>
      <c r="AB222" t="s">
        <v>47</v>
      </c>
      <c r="AC222" t="s">
        <v>47</v>
      </c>
    </row>
    <row r="223" spans="1:29" x14ac:dyDescent="0.25">
      <c r="A223" t="s">
        <v>135</v>
      </c>
      <c r="B223">
        <v>2</v>
      </c>
      <c r="C223" t="s">
        <v>45</v>
      </c>
      <c r="D223" t="s">
        <v>44</v>
      </c>
      <c r="E223" t="s">
        <v>43</v>
      </c>
      <c r="F223" t="s">
        <v>42</v>
      </c>
      <c r="G223" t="s">
        <v>41</v>
      </c>
      <c r="H223" t="s">
        <v>40</v>
      </c>
      <c r="I223" t="s">
        <v>39</v>
      </c>
      <c r="J223" t="s">
        <v>38</v>
      </c>
      <c r="K223" t="s">
        <v>37</v>
      </c>
      <c r="L223" t="s">
        <v>36</v>
      </c>
      <c r="M223" t="s">
        <v>35</v>
      </c>
      <c r="N223" t="s">
        <v>34</v>
      </c>
      <c r="R223" t="s">
        <v>47</v>
      </c>
      <c r="S223" t="s">
        <v>47</v>
      </c>
      <c r="T223" t="s">
        <v>47</v>
      </c>
      <c r="U223" t="s">
        <v>47</v>
      </c>
      <c r="V223" t="s">
        <v>47</v>
      </c>
      <c r="W223" t="s">
        <v>47</v>
      </c>
      <c r="X223" t="s">
        <v>47</v>
      </c>
      <c r="Y223" t="s">
        <v>47</v>
      </c>
      <c r="Z223" t="s">
        <v>47</v>
      </c>
      <c r="AA223" t="s">
        <v>47</v>
      </c>
      <c r="AB223" t="s">
        <v>47</v>
      </c>
      <c r="AC223" t="s">
        <v>47</v>
      </c>
    </row>
    <row r="224" spans="1:29" x14ac:dyDescent="0.25">
      <c r="A224" t="s">
        <v>136</v>
      </c>
      <c r="B224">
        <v>2</v>
      </c>
      <c r="C224" t="s">
        <v>45</v>
      </c>
      <c r="D224" t="s">
        <v>44</v>
      </c>
      <c r="E224" t="s">
        <v>43</v>
      </c>
      <c r="F224" t="s">
        <v>42</v>
      </c>
      <c r="G224" t="s">
        <v>41</v>
      </c>
      <c r="H224" t="s">
        <v>40</v>
      </c>
      <c r="I224" t="s">
        <v>39</v>
      </c>
      <c r="J224" t="s">
        <v>38</v>
      </c>
      <c r="K224" t="s">
        <v>37</v>
      </c>
      <c r="L224" t="s">
        <v>36</v>
      </c>
      <c r="M224" t="s">
        <v>35</v>
      </c>
      <c r="N224" t="s">
        <v>34</v>
      </c>
      <c r="R224" t="s">
        <v>47</v>
      </c>
      <c r="S224" t="s">
        <v>47</v>
      </c>
      <c r="T224" t="s">
        <v>47</v>
      </c>
      <c r="U224" t="s">
        <v>47</v>
      </c>
      <c r="V224" t="s">
        <v>47</v>
      </c>
      <c r="W224" t="s">
        <v>47</v>
      </c>
      <c r="X224" t="s">
        <v>47</v>
      </c>
      <c r="Y224" t="s">
        <v>47</v>
      </c>
      <c r="Z224" t="s">
        <v>47</v>
      </c>
      <c r="AA224" t="s">
        <v>47</v>
      </c>
      <c r="AB224" t="s">
        <v>47</v>
      </c>
      <c r="AC224" t="s">
        <v>47</v>
      </c>
    </row>
    <row r="225" spans="1:29" x14ac:dyDescent="0.25">
      <c r="A225" t="s">
        <v>137</v>
      </c>
      <c r="B225" t="s">
        <v>47</v>
      </c>
      <c r="C225" t="s">
        <v>47</v>
      </c>
      <c r="D225" t="s">
        <v>47</v>
      </c>
      <c r="E225" t="s">
        <v>47</v>
      </c>
      <c r="R225" t="s">
        <v>47</v>
      </c>
      <c r="S225" t="s">
        <v>47</v>
      </c>
      <c r="T225" t="s">
        <v>47</v>
      </c>
      <c r="U225" t="s">
        <v>47</v>
      </c>
      <c r="V225" t="s">
        <v>47</v>
      </c>
      <c r="W225" t="s">
        <v>47</v>
      </c>
      <c r="X225" t="s">
        <v>47</v>
      </c>
      <c r="Y225" t="s">
        <v>47</v>
      </c>
      <c r="Z225" t="s">
        <v>47</v>
      </c>
      <c r="AA225" t="s">
        <v>47</v>
      </c>
      <c r="AB225" t="s">
        <v>47</v>
      </c>
      <c r="AC225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3"/>
  <sheetViews>
    <sheetView workbookViewId="0"/>
  </sheetViews>
  <sheetFormatPr defaultRowHeight="15" x14ac:dyDescent="0.25"/>
  <cols>
    <col min="1" max="1" width="9.140625" bestFit="1" customWidth="1"/>
  </cols>
  <sheetData>
    <row r="1" spans="1:1" x14ac:dyDescent="0.25">
      <c r="A1" s="1"/>
    </row>
    <row r="2" spans="1:1" x14ac:dyDescent="0.25">
      <c r="A2" t="s">
        <v>1</v>
      </c>
    </row>
    <row r="3" spans="1:1" x14ac:dyDescent="0.25">
      <c r="A3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1" spans="1:1" x14ac:dyDescent="0.25">
      <c r="A11" t="s">
        <v>8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  <row r="26" spans="1:1" x14ac:dyDescent="0.25">
      <c r="A26" t="s">
        <v>22</v>
      </c>
    </row>
    <row r="27" spans="1:1" x14ac:dyDescent="0.25">
      <c r="A27" t="s">
        <v>23</v>
      </c>
    </row>
    <row r="28" spans="1:1" x14ac:dyDescent="0.25">
      <c r="A28" t="s">
        <v>24</v>
      </c>
    </row>
    <row r="29" spans="1:1" x14ac:dyDescent="0.25">
      <c r="A29" t="s">
        <v>25</v>
      </c>
    </row>
    <row r="30" spans="1:1" x14ac:dyDescent="0.25">
      <c r="A30" t="s">
        <v>26</v>
      </c>
    </row>
    <row r="31" spans="1:1" x14ac:dyDescent="0.25">
      <c r="A31" t="s">
        <v>3</v>
      </c>
    </row>
    <row r="32" spans="1:1" x14ac:dyDescent="0.25">
      <c r="A32" t="s">
        <v>27</v>
      </c>
    </row>
    <row r="33" spans="1:1" x14ac:dyDescent="0.25">
      <c r="A3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BIData</vt:lpstr>
      <vt:lpstr>Sheet1</vt:lpstr>
      <vt:lpstr>ReferenceData</vt:lpstr>
      <vt:lpstr>Sheet2</vt:lpstr>
      <vt:lpstr>Help-Reference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F20180290</cp:lastModifiedBy>
  <dcterms:created xsi:type="dcterms:W3CDTF">2013-04-03T15:49:21Z</dcterms:created>
  <dcterms:modified xsi:type="dcterms:W3CDTF">2020-06-17T00:22:52Z</dcterms:modified>
</cp:coreProperties>
</file>