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76B80940-1CA6-4414-ABC9-5E7F2721853B}" xr6:coauthVersionLast="36" xr6:coauthVersionMax="36" xr10:uidLastSave="{00000000-0000-0000-0000-000000000000}"/>
  <bookViews>
    <workbookView xWindow="10395" yWindow="-105" windowWidth="14850" windowHeight="12735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C317" i="3" l="1"/>
  <c r="C319" i="3"/>
  <c r="C315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E331" i="3"/>
  <c r="D331" i="3"/>
  <c r="C331" i="3"/>
  <c r="B331" i="3"/>
  <c r="A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A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A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A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A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A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A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A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A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A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A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A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A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A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A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A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A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E313" i="3"/>
  <c r="D313" i="3"/>
  <c r="C313" i="3"/>
  <c r="B313" i="3"/>
  <c r="A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E312" i="3"/>
  <c r="D312" i="3"/>
  <c r="C312" i="3"/>
  <c r="B312" i="3"/>
  <c r="A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E311" i="3"/>
  <c r="D311" i="3"/>
  <c r="C311" i="3"/>
  <c r="A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E310" i="3"/>
  <c r="D310" i="3"/>
  <c r="C310" i="3"/>
  <c r="B310" i="3"/>
  <c r="A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A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E308" i="3"/>
  <c r="D308" i="3"/>
  <c r="C308" i="3"/>
  <c r="B308" i="3"/>
  <c r="A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E307" i="3"/>
  <c r="D307" i="3"/>
  <c r="C307" i="3"/>
  <c r="B307" i="3"/>
  <c r="A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E306" i="3"/>
  <c r="D306" i="3"/>
  <c r="C306" i="3"/>
  <c r="B306" i="3"/>
  <c r="A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E305" i="3"/>
  <c r="D305" i="3"/>
  <c r="C305" i="3"/>
  <c r="B305" i="3"/>
  <c r="A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E304" i="3"/>
  <c r="D304" i="3"/>
  <c r="C304" i="3"/>
  <c r="B304" i="3"/>
  <c r="A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E303" i="3"/>
  <c r="D303" i="3"/>
  <c r="C303" i="3"/>
  <c r="B303" i="3"/>
  <c r="A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A165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B164" i="3"/>
  <c r="A164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B163" i="3"/>
  <c r="A163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B162" i="3"/>
  <c r="A162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C161" i="3"/>
  <c r="B161" i="3"/>
  <c r="A161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B160" i="3"/>
  <c r="A160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A158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E149" i="3"/>
  <c r="B149" i="3"/>
  <c r="A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E148" i="3"/>
  <c r="E302" i="3" s="1"/>
  <c r="D148" i="3"/>
  <c r="D302" i="3" s="1"/>
  <c r="C148" i="3"/>
  <c r="C302" i="3" s="1"/>
  <c r="B148" i="3"/>
  <c r="B302" i="3" s="1"/>
  <c r="A148" i="3"/>
  <c r="A302" i="3" s="1"/>
  <c r="AC147" i="3"/>
  <c r="AB147" i="3"/>
  <c r="AA147" i="3"/>
  <c r="Z147" i="3"/>
  <c r="Y147" i="3"/>
  <c r="X147" i="3"/>
  <c r="W147" i="3"/>
  <c r="V147" i="3"/>
  <c r="U147" i="3"/>
  <c r="T147" i="3"/>
  <c r="S147" i="3"/>
  <c r="R147" i="3"/>
  <c r="E147" i="3"/>
  <c r="E301" i="3" s="1"/>
  <c r="D147" i="3"/>
  <c r="D301" i="3" s="1"/>
  <c r="C147" i="3"/>
  <c r="C301" i="3" s="1"/>
  <c r="B147" i="3"/>
  <c r="B301" i="3" s="1"/>
  <c r="A147" i="3"/>
  <c r="A301" i="3" s="1"/>
  <c r="AC146" i="3"/>
  <c r="AB146" i="3"/>
  <c r="AA146" i="3"/>
  <c r="Z146" i="3"/>
  <c r="Y146" i="3"/>
  <c r="X146" i="3"/>
  <c r="W146" i="3"/>
  <c r="V146" i="3"/>
  <c r="U146" i="3"/>
  <c r="T146" i="3"/>
  <c r="S146" i="3"/>
  <c r="R146" i="3"/>
  <c r="E146" i="3"/>
  <c r="E300" i="3" s="1"/>
  <c r="D146" i="3"/>
  <c r="D300" i="3" s="1"/>
  <c r="C146" i="3"/>
  <c r="C300" i="3" s="1"/>
  <c r="B146" i="3"/>
  <c r="B300" i="3" s="1"/>
  <c r="A146" i="3"/>
  <c r="A300" i="3" s="1"/>
  <c r="AC145" i="3"/>
  <c r="AB145" i="3"/>
  <c r="AA145" i="3"/>
  <c r="Z145" i="3"/>
  <c r="Y145" i="3"/>
  <c r="X145" i="3"/>
  <c r="W145" i="3"/>
  <c r="V145" i="3"/>
  <c r="U145" i="3"/>
  <c r="T145" i="3"/>
  <c r="S145" i="3"/>
  <c r="R145" i="3"/>
  <c r="E145" i="3"/>
  <c r="E299" i="3" s="1"/>
  <c r="D145" i="3"/>
  <c r="D299" i="3" s="1"/>
  <c r="C145" i="3"/>
  <c r="C299" i="3" s="1"/>
  <c r="B145" i="3"/>
  <c r="B299" i="3" s="1"/>
  <c r="A145" i="3"/>
  <c r="A299" i="3" s="1"/>
  <c r="AC144" i="3"/>
  <c r="AB144" i="3"/>
  <c r="AA144" i="3"/>
  <c r="Z144" i="3"/>
  <c r="Y144" i="3"/>
  <c r="X144" i="3"/>
  <c r="W144" i="3"/>
  <c r="V144" i="3"/>
  <c r="U144" i="3"/>
  <c r="T144" i="3"/>
  <c r="S144" i="3"/>
  <c r="R144" i="3"/>
  <c r="E144" i="3"/>
  <c r="E298" i="3" s="1"/>
  <c r="D144" i="3"/>
  <c r="D298" i="3" s="1"/>
  <c r="C144" i="3"/>
  <c r="C298" i="3" s="1"/>
  <c r="B144" i="3"/>
  <c r="B298" i="3" s="1"/>
  <c r="A144" i="3"/>
  <c r="A298" i="3" s="1"/>
  <c r="AC143" i="3"/>
  <c r="AB143" i="3"/>
  <c r="AA143" i="3"/>
  <c r="Z143" i="3"/>
  <c r="Y143" i="3"/>
  <c r="X143" i="3"/>
  <c r="W143" i="3"/>
  <c r="V143" i="3"/>
  <c r="U143" i="3"/>
  <c r="T143" i="3"/>
  <c r="S143" i="3"/>
  <c r="R143" i="3"/>
  <c r="E143" i="3"/>
  <c r="E297" i="3" s="1"/>
  <c r="D143" i="3"/>
  <c r="D297" i="3" s="1"/>
  <c r="C143" i="3"/>
  <c r="C297" i="3" s="1"/>
  <c r="B143" i="3"/>
  <c r="B297" i="3" s="1"/>
  <c r="A143" i="3"/>
  <c r="A297" i="3" s="1"/>
  <c r="AC142" i="3"/>
  <c r="AB142" i="3"/>
  <c r="AA142" i="3"/>
  <c r="Z142" i="3"/>
  <c r="Y142" i="3"/>
  <c r="X142" i="3"/>
  <c r="W142" i="3"/>
  <c r="V142" i="3"/>
  <c r="U142" i="3"/>
  <c r="T142" i="3"/>
  <c r="S142" i="3"/>
  <c r="R142" i="3"/>
  <c r="E142" i="3"/>
  <c r="E296" i="3" s="1"/>
  <c r="D142" i="3"/>
  <c r="D296" i="3" s="1"/>
  <c r="C142" i="3"/>
  <c r="C296" i="3" s="1"/>
  <c r="B142" i="3"/>
  <c r="B296" i="3" s="1"/>
  <c r="A142" i="3"/>
  <c r="A296" i="3" s="1"/>
  <c r="AC141" i="3"/>
  <c r="AB141" i="3"/>
  <c r="AA141" i="3"/>
  <c r="Z141" i="3"/>
  <c r="Y141" i="3"/>
  <c r="X141" i="3"/>
  <c r="W141" i="3"/>
  <c r="V141" i="3"/>
  <c r="U141" i="3"/>
  <c r="T141" i="3"/>
  <c r="S141" i="3"/>
  <c r="R141" i="3"/>
  <c r="E141" i="3"/>
  <c r="E295" i="3" s="1"/>
  <c r="D141" i="3"/>
  <c r="D295" i="3" s="1"/>
  <c r="C141" i="3"/>
  <c r="C295" i="3" s="1"/>
  <c r="B141" i="3"/>
  <c r="B295" i="3" s="1"/>
  <c r="A141" i="3"/>
  <c r="A295" i="3" s="1"/>
  <c r="AC140" i="3"/>
  <c r="AB140" i="3"/>
  <c r="AA140" i="3"/>
  <c r="Z140" i="3"/>
  <c r="Y140" i="3"/>
  <c r="X140" i="3"/>
  <c r="W140" i="3"/>
  <c r="V140" i="3"/>
  <c r="U140" i="3"/>
  <c r="T140" i="3"/>
  <c r="S140" i="3"/>
  <c r="R140" i="3"/>
  <c r="E140" i="3"/>
  <c r="E294" i="3" s="1"/>
  <c r="D140" i="3"/>
  <c r="D294" i="3" s="1"/>
  <c r="C140" i="3"/>
  <c r="C294" i="3" s="1"/>
  <c r="B140" i="3"/>
  <c r="B294" i="3" s="1"/>
  <c r="A140" i="3"/>
  <c r="A294" i="3" s="1"/>
  <c r="AC139" i="3"/>
  <c r="AB139" i="3"/>
  <c r="AA139" i="3"/>
  <c r="Z139" i="3"/>
  <c r="Y139" i="3"/>
  <c r="X139" i="3"/>
  <c r="W139" i="3"/>
  <c r="V139" i="3"/>
  <c r="U139" i="3"/>
  <c r="T139" i="3"/>
  <c r="S139" i="3"/>
  <c r="R139" i="3"/>
  <c r="E139" i="3"/>
  <c r="E293" i="3" s="1"/>
  <c r="D139" i="3"/>
  <c r="D293" i="3" s="1"/>
  <c r="C139" i="3"/>
  <c r="C293" i="3" s="1"/>
  <c r="B139" i="3"/>
  <c r="B293" i="3" s="1"/>
  <c r="A139" i="3"/>
  <c r="A293" i="3" s="1"/>
  <c r="AC138" i="3"/>
  <c r="AB138" i="3"/>
  <c r="AA138" i="3"/>
  <c r="Z138" i="3"/>
  <c r="Y138" i="3"/>
  <c r="X138" i="3"/>
  <c r="W138" i="3"/>
  <c r="V138" i="3"/>
  <c r="U138" i="3"/>
  <c r="T138" i="3"/>
  <c r="S138" i="3"/>
  <c r="R138" i="3"/>
  <c r="E138" i="3"/>
  <c r="E292" i="3" s="1"/>
  <c r="D138" i="3"/>
  <c r="D292" i="3" s="1"/>
  <c r="C138" i="3"/>
  <c r="C292" i="3" s="1"/>
  <c r="B138" i="3"/>
  <c r="B292" i="3" s="1"/>
  <c r="A138" i="3"/>
  <c r="A292" i="3" s="1"/>
  <c r="AC137" i="3"/>
  <c r="AB137" i="3"/>
  <c r="AA137" i="3"/>
  <c r="Z137" i="3"/>
  <c r="Y137" i="3"/>
  <c r="X137" i="3"/>
  <c r="W137" i="3"/>
  <c r="V137" i="3"/>
  <c r="U137" i="3"/>
  <c r="T137" i="3"/>
  <c r="S137" i="3"/>
  <c r="R137" i="3"/>
  <c r="E137" i="3"/>
  <c r="E291" i="3" s="1"/>
  <c r="D137" i="3"/>
  <c r="D291" i="3" s="1"/>
  <c r="C137" i="3"/>
  <c r="C291" i="3" s="1"/>
  <c r="B137" i="3"/>
  <c r="B291" i="3" s="1"/>
  <c r="A137" i="3"/>
  <c r="A291" i="3" s="1"/>
  <c r="AC136" i="3"/>
  <c r="AB136" i="3"/>
  <c r="AA136" i="3"/>
  <c r="Z136" i="3"/>
  <c r="Y136" i="3"/>
  <c r="X136" i="3"/>
  <c r="W136" i="3"/>
  <c r="V136" i="3"/>
  <c r="U136" i="3"/>
  <c r="T136" i="3"/>
  <c r="S136" i="3"/>
  <c r="R136" i="3"/>
  <c r="E136" i="3"/>
  <c r="E290" i="3" s="1"/>
  <c r="D136" i="3"/>
  <c r="D290" i="3" s="1"/>
  <c r="C136" i="3"/>
  <c r="C290" i="3" s="1"/>
  <c r="B136" i="3"/>
  <c r="B290" i="3" s="1"/>
  <c r="A136" i="3"/>
  <c r="A290" i="3" s="1"/>
  <c r="AC135" i="3"/>
  <c r="AB135" i="3"/>
  <c r="AA135" i="3"/>
  <c r="Z135" i="3"/>
  <c r="Y135" i="3"/>
  <c r="X135" i="3"/>
  <c r="W135" i="3"/>
  <c r="V135" i="3"/>
  <c r="U135" i="3"/>
  <c r="T135" i="3"/>
  <c r="S135" i="3"/>
  <c r="R135" i="3"/>
  <c r="E135" i="3"/>
  <c r="E289" i="3" s="1"/>
  <c r="D135" i="3"/>
  <c r="D289" i="3" s="1"/>
  <c r="C135" i="3"/>
  <c r="C289" i="3" s="1"/>
  <c r="B135" i="3"/>
  <c r="B289" i="3" s="1"/>
  <c r="A135" i="3"/>
  <c r="A289" i="3" s="1"/>
  <c r="AC134" i="3"/>
  <c r="AB134" i="3"/>
  <c r="AA134" i="3"/>
  <c r="Z134" i="3"/>
  <c r="Y134" i="3"/>
  <c r="X134" i="3"/>
  <c r="W134" i="3"/>
  <c r="V134" i="3"/>
  <c r="U134" i="3"/>
  <c r="T134" i="3"/>
  <c r="S134" i="3"/>
  <c r="R134" i="3"/>
  <c r="E134" i="3"/>
  <c r="E288" i="3" s="1"/>
  <c r="D134" i="3"/>
  <c r="D288" i="3" s="1"/>
  <c r="C134" i="3"/>
  <c r="C288" i="3" s="1"/>
  <c r="B134" i="3"/>
  <c r="B288" i="3" s="1"/>
  <c r="A134" i="3"/>
  <c r="A288" i="3" s="1"/>
  <c r="AC133" i="3"/>
  <c r="AB133" i="3"/>
  <c r="AA133" i="3"/>
  <c r="Z133" i="3"/>
  <c r="Y133" i="3"/>
  <c r="X133" i="3"/>
  <c r="W133" i="3"/>
  <c r="V133" i="3"/>
  <c r="U133" i="3"/>
  <c r="T133" i="3"/>
  <c r="S133" i="3"/>
  <c r="R133" i="3"/>
  <c r="E133" i="3"/>
  <c r="E287" i="3" s="1"/>
  <c r="D133" i="3"/>
  <c r="D287" i="3" s="1"/>
  <c r="C133" i="3"/>
  <c r="C287" i="3" s="1"/>
  <c r="B133" i="3"/>
  <c r="B287" i="3" s="1"/>
  <c r="A133" i="3"/>
  <c r="A287" i="3" s="1"/>
  <c r="AC132" i="3"/>
  <c r="AB132" i="3"/>
  <c r="AA132" i="3"/>
  <c r="Z132" i="3"/>
  <c r="Y132" i="3"/>
  <c r="X132" i="3"/>
  <c r="W132" i="3"/>
  <c r="V132" i="3"/>
  <c r="U132" i="3"/>
  <c r="T132" i="3"/>
  <c r="S132" i="3"/>
  <c r="R132" i="3"/>
  <c r="E132" i="3"/>
  <c r="E286" i="3" s="1"/>
  <c r="D132" i="3"/>
  <c r="D286" i="3" s="1"/>
  <c r="C132" i="3"/>
  <c r="C286" i="3" s="1"/>
  <c r="B132" i="3"/>
  <c r="B286" i="3" s="1"/>
  <c r="A132" i="3"/>
  <c r="A286" i="3" s="1"/>
  <c r="AC131" i="3"/>
  <c r="AB131" i="3"/>
  <c r="AA131" i="3"/>
  <c r="Z131" i="3"/>
  <c r="Y131" i="3"/>
  <c r="X131" i="3"/>
  <c r="W131" i="3"/>
  <c r="V131" i="3"/>
  <c r="U131" i="3"/>
  <c r="T131" i="3"/>
  <c r="S131" i="3"/>
  <c r="R131" i="3"/>
  <c r="E131" i="3"/>
  <c r="B131" i="3"/>
  <c r="A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E130" i="3"/>
  <c r="E285" i="3" s="1"/>
  <c r="D130" i="3"/>
  <c r="D285" i="3" s="1"/>
  <c r="C130" i="3"/>
  <c r="C285" i="3" s="1"/>
  <c r="B130" i="3"/>
  <c r="B285" i="3" s="1"/>
  <c r="A130" i="3"/>
  <c r="A285" i="3" s="1"/>
  <c r="AC129" i="3"/>
  <c r="AB129" i="3"/>
  <c r="AA129" i="3"/>
  <c r="Z129" i="3"/>
  <c r="Y129" i="3"/>
  <c r="X129" i="3"/>
  <c r="W129" i="3"/>
  <c r="V129" i="3"/>
  <c r="U129" i="3"/>
  <c r="T129" i="3"/>
  <c r="S129" i="3"/>
  <c r="R129" i="3"/>
  <c r="E129" i="3"/>
  <c r="E284" i="3" s="1"/>
  <c r="D129" i="3"/>
  <c r="D284" i="3" s="1"/>
  <c r="C129" i="3"/>
  <c r="C284" i="3" s="1"/>
  <c r="B129" i="3"/>
  <c r="B284" i="3" s="1"/>
  <c r="A129" i="3"/>
  <c r="A284" i="3" s="1"/>
  <c r="AC128" i="3"/>
  <c r="AB128" i="3"/>
  <c r="AA128" i="3"/>
  <c r="Z128" i="3"/>
  <c r="Y128" i="3"/>
  <c r="X128" i="3"/>
  <c r="W128" i="3"/>
  <c r="V128" i="3"/>
  <c r="U128" i="3"/>
  <c r="T128" i="3"/>
  <c r="S128" i="3"/>
  <c r="R128" i="3"/>
  <c r="E128" i="3"/>
  <c r="E283" i="3" s="1"/>
  <c r="D128" i="3"/>
  <c r="D283" i="3" s="1"/>
  <c r="C128" i="3"/>
  <c r="C283" i="3" s="1"/>
  <c r="B128" i="3"/>
  <c r="B283" i="3" s="1"/>
  <c r="A128" i="3"/>
  <c r="A283" i="3" s="1"/>
  <c r="AC127" i="3"/>
  <c r="AB127" i="3"/>
  <c r="AA127" i="3"/>
  <c r="Z127" i="3"/>
  <c r="Y127" i="3"/>
  <c r="X127" i="3"/>
  <c r="W127" i="3"/>
  <c r="V127" i="3"/>
  <c r="U127" i="3"/>
  <c r="T127" i="3"/>
  <c r="S127" i="3"/>
  <c r="R127" i="3"/>
  <c r="E127" i="3"/>
  <c r="E282" i="3" s="1"/>
  <c r="D127" i="3"/>
  <c r="D282" i="3" s="1"/>
  <c r="C127" i="3"/>
  <c r="C282" i="3" s="1"/>
  <c r="B127" i="3"/>
  <c r="B282" i="3" s="1"/>
  <c r="A127" i="3"/>
  <c r="A282" i="3" s="1"/>
  <c r="AC126" i="3"/>
  <c r="AB126" i="3"/>
  <c r="AA126" i="3"/>
  <c r="Z126" i="3"/>
  <c r="Y126" i="3"/>
  <c r="X126" i="3"/>
  <c r="W126" i="3"/>
  <c r="V126" i="3"/>
  <c r="U126" i="3"/>
  <c r="T126" i="3"/>
  <c r="S126" i="3"/>
  <c r="R126" i="3"/>
  <c r="E126" i="3"/>
  <c r="E281" i="3" s="1"/>
  <c r="D126" i="3"/>
  <c r="D281" i="3" s="1"/>
  <c r="C126" i="3"/>
  <c r="C281" i="3" s="1"/>
  <c r="B126" i="3"/>
  <c r="B281" i="3" s="1"/>
  <c r="A126" i="3"/>
  <c r="A281" i="3" s="1"/>
  <c r="AC125" i="3"/>
  <c r="AB125" i="3"/>
  <c r="AA125" i="3"/>
  <c r="Z125" i="3"/>
  <c r="Y125" i="3"/>
  <c r="X125" i="3"/>
  <c r="W125" i="3"/>
  <c r="V125" i="3"/>
  <c r="U125" i="3"/>
  <c r="T125" i="3"/>
  <c r="S125" i="3"/>
  <c r="R125" i="3"/>
  <c r="E125" i="3"/>
  <c r="E280" i="3" s="1"/>
  <c r="D125" i="3"/>
  <c r="D280" i="3" s="1"/>
  <c r="C125" i="3"/>
  <c r="C280" i="3" s="1"/>
  <c r="B125" i="3"/>
  <c r="B280" i="3" s="1"/>
  <c r="A125" i="3"/>
  <c r="A280" i="3" s="1"/>
  <c r="AC124" i="3"/>
  <c r="AB124" i="3"/>
  <c r="AA124" i="3"/>
  <c r="Z124" i="3"/>
  <c r="Y124" i="3"/>
  <c r="X124" i="3"/>
  <c r="W124" i="3"/>
  <c r="V124" i="3"/>
  <c r="U124" i="3"/>
  <c r="T124" i="3"/>
  <c r="S124" i="3"/>
  <c r="R124" i="3"/>
  <c r="E124" i="3"/>
  <c r="E279" i="3" s="1"/>
  <c r="D124" i="3"/>
  <c r="D279" i="3" s="1"/>
  <c r="C124" i="3"/>
  <c r="C279" i="3" s="1"/>
  <c r="B124" i="3"/>
  <c r="B279" i="3" s="1"/>
  <c r="A124" i="3"/>
  <c r="A279" i="3" s="1"/>
  <c r="AC123" i="3"/>
  <c r="AB123" i="3"/>
  <c r="AA123" i="3"/>
  <c r="Z123" i="3"/>
  <c r="Y123" i="3"/>
  <c r="X123" i="3"/>
  <c r="W123" i="3"/>
  <c r="V123" i="3"/>
  <c r="U123" i="3"/>
  <c r="T123" i="3"/>
  <c r="S123" i="3"/>
  <c r="R123" i="3"/>
  <c r="E123" i="3"/>
  <c r="E278" i="3" s="1"/>
  <c r="D123" i="3"/>
  <c r="D278" i="3" s="1"/>
  <c r="C123" i="3"/>
  <c r="C278" i="3" s="1"/>
  <c r="B123" i="3"/>
  <c r="B278" i="3" s="1"/>
  <c r="A123" i="3"/>
  <c r="A278" i="3" s="1"/>
  <c r="AC122" i="3"/>
  <c r="AB122" i="3"/>
  <c r="AA122" i="3"/>
  <c r="Z122" i="3"/>
  <c r="Y122" i="3"/>
  <c r="X122" i="3"/>
  <c r="W122" i="3"/>
  <c r="V122" i="3"/>
  <c r="U122" i="3"/>
  <c r="T122" i="3"/>
  <c r="S122" i="3"/>
  <c r="R122" i="3"/>
  <c r="E122" i="3"/>
  <c r="E277" i="3" s="1"/>
  <c r="D122" i="3"/>
  <c r="D277" i="3" s="1"/>
  <c r="C122" i="3"/>
  <c r="C277" i="3" s="1"/>
  <c r="B122" i="3"/>
  <c r="B277" i="3" s="1"/>
  <c r="A122" i="3"/>
  <c r="A277" i="3" s="1"/>
  <c r="AC121" i="3"/>
  <c r="AB121" i="3"/>
  <c r="AA121" i="3"/>
  <c r="Z121" i="3"/>
  <c r="Y121" i="3"/>
  <c r="X121" i="3"/>
  <c r="W121" i="3"/>
  <c r="V121" i="3"/>
  <c r="U121" i="3"/>
  <c r="T121" i="3"/>
  <c r="S121" i="3"/>
  <c r="R121" i="3"/>
  <c r="E121" i="3"/>
  <c r="E276" i="3" s="1"/>
  <c r="D121" i="3"/>
  <c r="D276" i="3" s="1"/>
  <c r="C121" i="3"/>
  <c r="C276" i="3" s="1"/>
  <c r="B121" i="3"/>
  <c r="B276" i="3" s="1"/>
  <c r="A121" i="3"/>
  <c r="A276" i="3" s="1"/>
  <c r="AC120" i="3"/>
  <c r="AB120" i="3"/>
  <c r="AA120" i="3"/>
  <c r="Z120" i="3"/>
  <c r="Y120" i="3"/>
  <c r="X120" i="3"/>
  <c r="W120" i="3"/>
  <c r="V120" i="3"/>
  <c r="U120" i="3"/>
  <c r="T120" i="3"/>
  <c r="S120" i="3"/>
  <c r="R120" i="3"/>
  <c r="E120" i="3"/>
  <c r="E275" i="3" s="1"/>
  <c r="D120" i="3"/>
  <c r="D275" i="3" s="1"/>
  <c r="C120" i="3"/>
  <c r="C275" i="3" s="1"/>
  <c r="B120" i="3"/>
  <c r="B275" i="3" s="1"/>
  <c r="A120" i="3"/>
  <c r="A275" i="3" s="1"/>
  <c r="AC119" i="3"/>
  <c r="AB119" i="3"/>
  <c r="AA119" i="3"/>
  <c r="Z119" i="3"/>
  <c r="Y119" i="3"/>
  <c r="X119" i="3"/>
  <c r="W119" i="3"/>
  <c r="V119" i="3"/>
  <c r="U119" i="3"/>
  <c r="T119" i="3"/>
  <c r="S119" i="3"/>
  <c r="R119" i="3"/>
  <c r="E119" i="3"/>
  <c r="E274" i="3" s="1"/>
  <c r="D119" i="3"/>
  <c r="D274" i="3" s="1"/>
  <c r="C119" i="3"/>
  <c r="C274" i="3" s="1"/>
  <c r="B119" i="3"/>
  <c r="B274" i="3" s="1"/>
  <c r="A119" i="3"/>
  <c r="A274" i="3" s="1"/>
  <c r="AC118" i="3"/>
  <c r="AB118" i="3"/>
  <c r="AA118" i="3"/>
  <c r="Z118" i="3"/>
  <c r="Y118" i="3"/>
  <c r="X118" i="3"/>
  <c r="W118" i="3"/>
  <c r="V118" i="3"/>
  <c r="U118" i="3"/>
  <c r="T118" i="3"/>
  <c r="S118" i="3"/>
  <c r="R118" i="3"/>
  <c r="E118" i="3"/>
  <c r="E273" i="3" s="1"/>
  <c r="D118" i="3"/>
  <c r="D273" i="3" s="1"/>
  <c r="C118" i="3"/>
  <c r="C273" i="3" s="1"/>
  <c r="B118" i="3"/>
  <c r="B273" i="3" s="1"/>
  <c r="A118" i="3"/>
  <c r="A273" i="3" s="1"/>
  <c r="AC117" i="3"/>
  <c r="AB117" i="3"/>
  <c r="AA117" i="3"/>
  <c r="Z117" i="3"/>
  <c r="Y117" i="3"/>
  <c r="X117" i="3"/>
  <c r="W117" i="3"/>
  <c r="V117" i="3"/>
  <c r="U117" i="3"/>
  <c r="T117" i="3"/>
  <c r="S117" i="3"/>
  <c r="R117" i="3"/>
  <c r="E117" i="3"/>
  <c r="E272" i="3" s="1"/>
  <c r="D117" i="3"/>
  <c r="D272" i="3" s="1"/>
  <c r="C117" i="3"/>
  <c r="C272" i="3" s="1"/>
  <c r="B117" i="3"/>
  <c r="B272" i="3" s="1"/>
  <c r="A117" i="3"/>
  <c r="A272" i="3" s="1"/>
  <c r="AC116" i="3"/>
  <c r="AB116" i="3"/>
  <c r="AA116" i="3"/>
  <c r="Z116" i="3"/>
  <c r="Y116" i="3"/>
  <c r="X116" i="3"/>
  <c r="W116" i="3"/>
  <c r="V116" i="3"/>
  <c r="U116" i="3"/>
  <c r="T116" i="3"/>
  <c r="S116" i="3"/>
  <c r="R116" i="3"/>
  <c r="E116" i="3"/>
  <c r="E271" i="3" s="1"/>
  <c r="D116" i="3"/>
  <c r="D271" i="3" s="1"/>
  <c r="C116" i="3"/>
  <c r="C271" i="3" s="1"/>
  <c r="B116" i="3"/>
  <c r="B271" i="3" s="1"/>
  <c r="A116" i="3"/>
  <c r="A271" i="3" s="1"/>
  <c r="AC115" i="3"/>
  <c r="AB115" i="3"/>
  <c r="AA115" i="3"/>
  <c r="Z115" i="3"/>
  <c r="Y115" i="3"/>
  <c r="X115" i="3"/>
  <c r="W115" i="3"/>
  <c r="V115" i="3"/>
  <c r="U115" i="3"/>
  <c r="T115" i="3"/>
  <c r="S115" i="3"/>
  <c r="R115" i="3"/>
  <c r="E115" i="3"/>
  <c r="E270" i="3" s="1"/>
  <c r="D115" i="3"/>
  <c r="D270" i="3" s="1"/>
  <c r="C115" i="3"/>
  <c r="C270" i="3" s="1"/>
  <c r="B115" i="3"/>
  <c r="B270" i="3" s="1"/>
  <c r="A115" i="3"/>
  <c r="A270" i="3" s="1"/>
  <c r="AC114" i="3"/>
  <c r="AB114" i="3"/>
  <c r="AA114" i="3"/>
  <c r="Z114" i="3"/>
  <c r="Y114" i="3"/>
  <c r="X114" i="3"/>
  <c r="W114" i="3"/>
  <c r="V114" i="3"/>
  <c r="U114" i="3"/>
  <c r="T114" i="3"/>
  <c r="S114" i="3"/>
  <c r="R114" i="3"/>
  <c r="E114" i="3"/>
  <c r="E269" i="3" s="1"/>
  <c r="D114" i="3"/>
  <c r="D269" i="3" s="1"/>
  <c r="C114" i="3"/>
  <c r="C269" i="3" s="1"/>
  <c r="B114" i="3"/>
  <c r="B269" i="3" s="1"/>
  <c r="A114" i="3"/>
  <c r="A269" i="3" s="1"/>
  <c r="AC113" i="3"/>
  <c r="AB113" i="3"/>
  <c r="AA113" i="3"/>
  <c r="Z113" i="3"/>
  <c r="Y113" i="3"/>
  <c r="X113" i="3"/>
  <c r="W113" i="3"/>
  <c r="V113" i="3"/>
  <c r="U113" i="3"/>
  <c r="T113" i="3"/>
  <c r="S113" i="3"/>
  <c r="R113" i="3"/>
  <c r="E113" i="3"/>
  <c r="B113" i="3"/>
  <c r="A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E112" i="3"/>
  <c r="E268" i="3" s="1"/>
  <c r="D112" i="3"/>
  <c r="D268" i="3" s="1"/>
  <c r="C112" i="3"/>
  <c r="C268" i="3" s="1"/>
  <c r="B112" i="3"/>
  <c r="B268" i="3" s="1"/>
  <c r="A112" i="3"/>
  <c r="A268" i="3" s="1"/>
  <c r="AC111" i="3"/>
  <c r="AB111" i="3"/>
  <c r="AA111" i="3"/>
  <c r="Z111" i="3"/>
  <c r="Y111" i="3"/>
  <c r="X111" i="3"/>
  <c r="W111" i="3"/>
  <c r="V111" i="3"/>
  <c r="U111" i="3"/>
  <c r="T111" i="3"/>
  <c r="S111" i="3"/>
  <c r="R111" i="3"/>
  <c r="E111" i="3"/>
  <c r="E267" i="3" s="1"/>
  <c r="D111" i="3"/>
  <c r="D267" i="3" s="1"/>
  <c r="C111" i="3"/>
  <c r="C267" i="3" s="1"/>
  <c r="B111" i="3"/>
  <c r="B267" i="3" s="1"/>
  <c r="A111" i="3"/>
  <c r="A267" i="3" s="1"/>
  <c r="AC110" i="3"/>
  <c r="AB110" i="3"/>
  <c r="AA110" i="3"/>
  <c r="Z110" i="3"/>
  <c r="Y110" i="3"/>
  <c r="X110" i="3"/>
  <c r="W110" i="3"/>
  <c r="V110" i="3"/>
  <c r="U110" i="3"/>
  <c r="T110" i="3"/>
  <c r="S110" i="3"/>
  <c r="R110" i="3"/>
  <c r="E110" i="3"/>
  <c r="E266" i="3" s="1"/>
  <c r="D110" i="3"/>
  <c r="D266" i="3" s="1"/>
  <c r="C110" i="3"/>
  <c r="C266" i="3" s="1"/>
  <c r="B110" i="3"/>
  <c r="B266" i="3" s="1"/>
  <c r="A110" i="3"/>
  <c r="A266" i="3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E109" i="3"/>
  <c r="E265" i="3" s="1"/>
  <c r="D109" i="3"/>
  <c r="D265" i="3" s="1"/>
  <c r="C109" i="3"/>
  <c r="C265" i="3" s="1"/>
  <c r="B109" i="3"/>
  <c r="B265" i="3" s="1"/>
  <c r="A109" i="3"/>
  <c r="A265" i="3" s="1"/>
  <c r="AC108" i="3"/>
  <c r="AB108" i="3"/>
  <c r="AA108" i="3"/>
  <c r="Z108" i="3"/>
  <c r="Y108" i="3"/>
  <c r="X108" i="3"/>
  <c r="W108" i="3"/>
  <c r="V108" i="3"/>
  <c r="U108" i="3"/>
  <c r="T108" i="3"/>
  <c r="S108" i="3"/>
  <c r="R108" i="3"/>
  <c r="E108" i="3"/>
  <c r="E264" i="3" s="1"/>
  <c r="D108" i="3"/>
  <c r="D264" i="3" s="1"/>
  <c r="C108" i="3"/>
  <c r="C264" i="3" s="1"/>
  <c r="B108" i="3"/>
  <c r="B264" i="3" s="1"/>
  <c r="A108" i="3"/>
  <c r="A264" i="3" s="1"/>
  <c r="AC107" i="3"/>
  <c r="AB107" i="3"/>
  <c r="AA107" i="3"/>
  <c r="Z107" i="3"/>
  <c r="Y107" i="3"/>
  <c r="X107" i="3"/>
  <c r="W107" i="3"/>
  <c r="V107" i="3"/>
  <c r="U107" i="3"/>
  <c r="T107" i="3"/>
  <c r="S107" i="3"/>
  <c r="R107" i="3"/>
  <c r="E107" i="3"/>
  <c r="E263" i="3" s="1"/>
  <c r="D107" i="3"/>
  <c r="D263" i="3" s="1"/>
  <c r="C107" i="3"/>
  <c r="C263" i="3" s="1"/>
  <c r="B107" i="3"/>
  <c r="B263" i="3" s="1"/>
  <c r="A107" i="3"/>
  <c r="A263" i="3" s="1"/>
  <c r="AC106" i="3"/>
  <c r="AB106" i="3"/>
  <c r="AA106" i="3"/>
  <c r="Z106" i="3"/>
  <c r="Y106" i="3"/>
  <c r="X106" i="3"/>
  <c r="W106" i="3"/>
  <c r="V106" i="3"/>
  <c r="U106" i="3"/>
  <c r="T106" i="3"/>
  <c r="S106" i="3"/>
  <c r="R106" i="3"/>
  <c r="E106" i="3"/>
  <c r="E262" i="3" s="1"/>
  <c r="D106" i="3"/>
  <c r="D262" i="3" s="1"/>
  <c r="C106" i="3"/>
  <c r="C262" i="3" s="1"/>
  <c r="B106" i="3"/>
  <c r="B262" i="3" s="1"/>
  <c r="A106" i="3"/>
  <c r="A262" i="3" s="1"/>
  <c r="AC105" i="3"/>
  <c r="AB105" i="3"/>
  <c r="AA105" i="3"/>
  <c r="Z105" i="3"/>
  <c r="Y105" i="3"/>
  <c r="X105" i="3"/>
  <c r="W105" i="3"/>
  <c r="V105" i="3"/>
  <c r="U105" i="3"/>
  <c r="T105" i="3"/>
  <c r="S105" i="3"/>
  <c r="R105" i="3"/>
  <c r="E105" i="3"/>
  <c r="E261" i="3" s="1"/>
  <c r="D105" i="3"/>
  <c r="D261" i="3" s="1"/>
  <c r="C105" i="3"/>
  <c r="C261" i="3" s="1"/>
  <c r="B105" i="3"/>
  <c r="B261" i="3" s="1"/>
  <c r="A105" i="3"/>
  <c r="A261" i="3" s="1"/>
  <c r="AC104" i="3"/>
  <c r="AB104" i="3"/>
  <c r="AA104" i="3"/>
  <c r="Z104" i="3"/>
  <c r="Y104" i="3"/>
  <c r="X104" i="3"/>
  <c r="W104" i="3"/>
  <c r="V104" i="3"/>
  <c r="U104" i="3"/>
  <c r="T104" i="3"/>
  <c r="S104" i="3"/>
  <c r="R104" i="3"/>
  <c r="E104" i="3"/>
  <c r="E260" i="3" s="1"/>
  <c r="D104" i="3"/>
  <c r="D260" i="3" s="1"/>
  <c r="C104" i="3"/>
  <c r="C260" i="3" s="1"/>
  <c r="B104" i="3"/>
  <c r="B260" i="3" s="1"/>
  <c r="A104" i="3"/>
  <c r="A260" i="3" s="1"/>
  <c r="AC103" i="3"/>
  <c r="AB103" i="3"/>
  <c r="AA103" i="3"/>
  <c r="Z103" i="3"/>
  <c r="Y103" i="3"/>
  <c r="X103" i="3"/>
  <c r="W103" i="3"/>
  <c r="V103" i="3"/>
  <c r="U103" i="3"/>
  <c r="T103" i="3"/>
  <c r="S103" i="3"/>
  <c r="R103" i="3"/>
  <c r="E103" i="3"/>
  <c r="E259" i="3" s="1"/>
  <c r="D103" i="3"/>
  <c r="D259" i="3" s="1"/>
  <c r="C103" i="3"/>
  <c r="C259" i="3" s="1"/>
  <c r="B103" i="3"/>
  <c r="B259" i="3" s="1"/>
  <c r="A103" i="3"/>
  <c r="A259" i="3" s="1"/>
  <c r="AC102" i="3"/>
  <c r="AB102" i="3"/>
  <c r="AA102" i="3"/>
  <c r="Z102" i="3"/>
  <c r="Y102" i="3"/>
  <c r="X102" i="3"/>
  <c r="W102" i="3"/>
  <c r="V102" i="3"/>
  <c r="U102" i="3"/>
  <c r="T102" i="3"/>
  <c r="S102" i="3"/>
  <c r="R102" i="3"/>
  <c r="E102" i="3"/>
  <c r="E258" i="3" s="1"/>
  <c r="D102" i="3"/>
  <c r="D258" i="3" s="1"/>
  <c r="C102" i="3"/>
  <c r="C258" i="3" s="1"/>
  <c r="B102" i="3"/>
  <c r="B258" i="3" s="1"/>
  <c r="A102" i="3"/>
  <c r="A258" i="3" s="1"/>
  <c r="AC101" i="3"/>
  <c r="AB101" i="3"/>
  <c r="AA101" i="3"/>
  <c r="Z101" i="3"/>
  <c r="Y101" i="3"/>
  <c r="X101" i="3"/>
  <c r="W101" i="3"/>
  <c r="V101" i="3"/>
  <c r="U101" i="3"/>
  <c r="T101" i="3"/>
  <c r="S101" i="3"/>
  <c r="R101" i="3"/>
  <c r="E101" i="3"/>
  <c r="E257" i="3" s="1"/>
  <c r="D101" i="3"/>
  <c r="D257" i="3" s="1"/>
  <c r="C101" i="3"/>
  <c r="C257" i="3" s="1"/>
  <c r="B101" i="3"/>
  <c r="B257" i="3" s="1"/>
  <c r="A101" i="3"/>
  <c r="A257" i="3" s="1"/>
  <c r="AC100" i="3"/>
  <c r="AB100" i="3"/>
  <c r="AA100" i="3"/>
  <c r="Z100" i="3"/>
  <c r="Y100" i="3"/>
  <c r="X100" i="3"/>
  <c r="W100" i="3"/>
  <c r="V100" i="3"/>
  <c r="U100" i="3"/>
  <c r="T100" i="3"/>
  <c r="S100" i="3"/>
  <c r="R100" i="3"/>
  <c r="E100" i="3"/>
  <c r="E256" i="3" s="1"/>
  <c r="D100" i="3"/>
  <c r="D256" i="3" s="1"/>
  <c r="C100" i="3"/>
  <c r="C256" i="3" s="1"/>
  <c r="B100" i="3"/>
  <c r="B256" i="3" s="1"/>
  <c r="A100" i="3"/>
  <c r="A256" i="3" s="1"/>
  <c r="AC99" i="3"/>
  <c r="AB99" i="3"/>
  <c r="AA99" i="3"/>
  <c r="Z99" i="3"/>
  <c r="Y99" i="3"/>
  <c r="X99" i="3"/>
  <c r="W99" i="3"/>
  <c r="V99" i="3"/>
  <c r="U99" i="3"/>
  <c r="T99" i="3"/>
  <c r="S99" i="3"/>
  <c r="R99" i="3"/>
  <c r="E99" i="3"/>
  <c r="E255" i="3" s="1"/>
  <c r="D99" i="3"/>
  <c r="D255" i="3" s="1"/>
  <c r="C99" i="3"/>
  <c r="C255" i="3" s="1"/>
  <c r="B99" i="3"/>
  <c r="B255" i="3" s="1"/>
  <c r="A99" i="3"/>
  <c r="A255" i="3" s="1"/>
  <c r="AC98" i="3"/>
  <c r="AB98" i="3"/>
  <c r="AA98" i="3"/>
  <c r="Z98" i="3"/>
  <c r="Y98" i="3"/>
  <c r="X98" i="3"/>
  <c r="W98" i="3"/>
  <c r="V98" i="3"/>
  <c r="U98" i="3"/>
  <c r="T98" i="3"/>
  <c r="S98" i="3"/>
  <c r="R98" i="3"/>
  <c r="E98" i="3"/>
  <c r="E254" i="3" s="1"/>
  <c r="D98" i="3"/>
  <c r="D254" i="3" s="1"/>
  <c r="C98" i="3"/>
  <c r="C254" i="3" s="1"/>
  <c r="B98" i="3"/>
  <c r="B254" i="3" s="1"/>
  <c r="A98" i="3"/>
  <c r="A254" i="3" s="1"/>
  <c r="AC97" i="3"/>
  <c r="AB97" i="3"/>
  <c r="AA97" i="3"/>
  <c r="Z97" i="3"/>
  <c r="Y97" i="3"/>
  <c r="X97" i="3"/>
  <c r="W97" i="3"/>
  <c r="V97" i="3"/>
  <c r="U97" i="3"/>
  <c r="T97" i="3"/>
  <c r="S97" i="3"/>
  <c r="R97" i="3"/>
  <c r="E97" i="3"/>
  <c r="E253" i="3" s="1"/>
  <c r="D97" i="3"/>
  <c r="D253" i="3" s="1"/>
  <c r="C97" i="3"/>
  <c r="C253" i="3" s="1"/>
  <c r="B97" i="3"/>
  <c r="B253" i="3" s="1"/>
  <c r="A97" i="3"/>
  <c r="A253" i="3" s="1"/>
  <c r="AC96" i="3"/>
  <c r="AB96" i="3"/>
  <c r="AA96" i="3"/>
  <c r="Z96" i="3"/>
  <c r="Y96" i="3"/>
  <c r="X96" i="3"/>
  <c r="W96" i="3"/>
  <c r="V96" i="3"/>
  <c r="U96" i="3"/>
  <c r="T96" i="3"/>
  <c r="S96" i="3"/>
  <c r="R96" i="3"/>
  <c r="E96" i="3"/>
  <c r="E252" i="3" s="1"/>
  <c r="D96" i="3"/>
  <c r="D252" i="3" s="1"/>
  <c r="C96" i="3"/>
  <c r="C252" i="3" s="1"/>
  <c r="B96" i="3"/>
  <c r="B252" i="3" s="1"/>
  <c r="A96" i="3"/>
  <c r="A252" i="3" s="1"/>
  <c r="AC95" i="3"/>
  <c r="AB95" i="3"/>
  <c r="AA95" i="3"/>
  <c r="Z95" i="3"/>
  <c r="Y95" i="3"/>
  <c r="X95" i="3"/>
  <c r="W95" i="3"/>
  <c r="V95" i="3"/>
  <c r="U95" i="3"/>
  <c r="T95" i="3"/>
  <c r="S95" i="3"/>
  <c r="R95" i="3"/>
  <c r="E95" i="3"/>
  <c r="B95" i="3"/>
  <c r="A95" i="3"/>
  <c r="AC94" i="3"/>
  <c r="AB94" i="3"/>
  <c r="AA94" i="3"/>
  <c r="Z94" i="3"/>
  <c r="Y94" i="3"/>
  <c r="X94" i="3"/>
  <c r="W94" i="3"/>
  <c r="V94" i="3"/>
  <c r="U94" i="3"/>
  <c r="T94" i="3"/>
  <c r="S94" i="3"/>
  <c r="R94" i="3"/>
  <c r="E94" i="3"/>
  <c r="E251" i="3" s="1"/>
  <c r="D94" i="3"/>
  <c r="D251" i="3" s="1"/>
  <c r="C94" i="3"/>
  <c r="C251" i="3" s="1"/>
  <c r="B94" i="3"/>
  <c r="B251" i="3" s="1"/>
  <c r="A94" i="3"/>
  <c r="A251" i="3" s="1"/>
  <c r="AC93" i="3"/>
  <c r="AB93" i="3"/>
  <c r="AA93" i="3"/>
  <c r="Z93" i="3"/>
  <c r="Y93" i="3"/>
  <c r="X93" i="3"/>
  <c r="W93" i="3"/>
  <c r="V93" i="3"/>
  <c r="U93" i="3"/>
  <c r="T93" i="3"/>
  <c r="S93" i="3"/>
  <c r="R93" i="3"/>
  <c r="E93" i="3"/>
  <c r="E250" i="3" s="1"/>
  <c r="D93" i="3"/>
  <c r="D250" i="3" s="1"/>
  <c r="C93" i="3"/>
  <c r="C250" i="3" s="1"/>
  <c r="B93" i="3"/>
  <c r="B250" i="3" s="1"/>
  <c r="A93" i="3"/>
  <c r="A250" i="3" s="1"/>
  <c r="AC92" i="3"/>
  <c r="AB92" i="3"/>
  <c r="AA92" i="3"/>
  <c r="Z92" i="3"/>
  <c r="Y92" i="3"/>
  <c r="X92" i="3"/>
  <c r="W92" i="3"/>
  <c r="V92" i="3"/>
  <c r="U92" i="3"/>
  <c r="T92" i="3"/>
  <c r="S92" i="3"/>
  <c r="R92" i="3"/>
  <c r="E92" i="3"/>
  <c r="E249" i="3" s="1"/>
  <c r="D92" i="3"/>
  <c r="D249" i="3" s="1"/>
  <c r="C92" i="3"/>
  <c r="C249" i="3" s="1"/>
  <c r="B92" i="3"/>
  <c r="B249" i="3" s="1"/>
  <c r="A92" i="3"/>
  <c r="A249" i="3" s="1"/>
  <c r="AC91" i="3"/>
  <c r="AB91" i="3"/>
  <c r="AA91" i="3"/>
  <c r="Z91" i="3"/>
  <c r="Y91" i="3"/>
  <c r="X91" i="3"/>
  <c r="W91" i="3"/>
  <c r="V91" i="3"/>
  <c r="U91" i="3"/>
  <c r="T91" i="3"/>
  <c r="S91" i="3"/>
  <c r="R91" i="3"/>
  <c r="E91" i="3"/>
  <c r="E248" i="3" s="1"/>
  <c r="D91" i="3"/>
  <c r="D248" i="3" s="1"/>
  <c r="C91" i="3"/>
  <c r="C248" i="3" s="1"/>
  <c r="B91" i="3"/>
  <c r="B248" i="3" s="1"/>
  <c r="A91" i="3"/>
  <c r="A248" i="3" s="1"/>
  <c r="AC90" i="3"/>
  <c r="AB90" i="3"/>
  <c r="AA90" i="3"/>
  <c r="Z90" i="3"/>
  <c r="Y90" i="3"/>
  <c r="X90" i="3"/>
  <c r="W90" i="3"/>
  <c r="V90" i="3"/>
  <c r="U90" i="3"/>
  <c r="T90" i="3"/>
  <c r="S90" i="3"/>
  <c r="R90" i="3"/>
  <c r="E90" i="3"/>
  <c r="E247" i="3" s="1"/>
  <c r="D90" i="3"/>
  <c r="D247" i="3" s="1"/>
  <c r="C90" i="3"/>
  <c r="C247" i="3" s="1"/>
  <c r="B90" i="3"/>
  <c r="B247" i="3" s="1"/>
  <c r="A90" i="3"/>
  <c r="A247" i="3" s="1"/>
  <c r="AC89" i="3"/>
  <c r="AB89" i="3"/>
  <c r="AA89" i="3"/>
  <c r="Z89" i="3"/>
  <c r="Y89" i="3"/>
  <c r="X89" i="3"/>
  <c r="W89" i="3"/>
  <c r="V89" i="3"/>
  <c r="U89" i="3"/>
  <c r="T89" i="3"/>
  <c r="S89" i="3"/>
  <c r="R89" i="3"/>
  <c r="E89" i="3"/>
  <c r="E246" i="3" s="1"/>
  <c r="D89" i="3"/>
  <c r="D246" i="3" s="1"/>
  <c r="C89" i="3"/>
  <c r="C246" i="3" s="1"/>
  <c r="B89" i="3"/>
  <c r="B246" i="3" s="1"/>
  <c r="A89" i="3"/>
  <c r="A246" i="3" s="1"/>
  <c r="AC88" i="3"/>
  <c r="AB88" i="3"/>
  <c r="AA88" i="3"/>
  <c r="Z88" i="3"/>
  <c r="Y88" i="3"/>
  <c r="X88" i="3"/>
  <c r="W88" i="3"/>
  <c r="V88" i="3"/>
  <c r="U88" i="3"/>
  <c r="T88" i="3"/>
  <c r="S88" i="3"/>
  <c r="R88" i="3"/>
  <c r="E88" i="3"/>
  <c r="E245" i="3" s="1"/>
  <c r="D88" i="3"/>
  <c r="D245" i="3" s="1"/>
  <c r="C88" i="3"/>
  <c r="C245" i="3" s="1"/>
  <c r="B88" i="3"/>
  <c r="B245" i="3" s="1"/>
  <c r="A88" i="3"/>
  <c r="A245" i="3" s="1"/>
  <c r="AC87" i="3"/>
  <c r="AB87" i="3"/>
  <c r="AA87" i="3"/>
  <c r="Z87" i="3"/>
  <c r="Y87" i="3"/>
  <c r="X87" i="3"/>
  <c r="W87" i="3"/>
  <c r="V87" i="3"/>
  <c r="U87" i="3"/>
  <c r="T87" i="3"/>
  <c r="S87" i="3"/>
  <c r="R87" i="3"/>
  <c r="E87" i="3"/>
  <c r="E244" i="3" s="1"/>
  <c r="D87" i="3"/>
  <c r="D244" i="3" s="1"/>
  <c r="C87" i="3"/>
  <c r="C244" i="3" s="1"/>
  <c r="B87" i="3"/>
  <c r="B244" i="3" s="1"/>
  <c r="A87" i="3"/>
  <c r="A244" i="3" s="1"/>
  <c r="AC86" i="3"/>
  <c r="AB86" i="3"/>
  <c r="AA86" i="3"/>
  <c r="Z86" i="3"/>
  <c r="Y86" i="3"/>
  <c r="X86" i="3"/>
  <c r="W86" i="3"/>
  <c r="V86" i="3"/>
  <c r="U86" i="3"/>
  <c r="T86" i="3"/>
  <c r="S86" i="3"/>
  <c r="R86" i="3"/>
  <c r="E86" i="3"/>
  <c r="E243" i="3" s="1"/>
  <c r="D86" i="3"/>
  <c r="D243" i="3" s="1"/>
  <c r="C86" i="3"/>
  <c r="C243" i="3" s="1"/>
  <c r="B86" i="3"/>
  <c r="B243" i="3" s="1"/>
  <c r="A86" i="3"/>
  <c r="A243" i="3" s="1"/>
  <c r="AC85" i="3"/>
  <c r="AB85" i="3"/>
  <c r="AA85" i="3"/>
  <c r="Z85" i="3"/>
  <c r="Y85" i="3"/>
  <c r="X85" i="3"/>
  <c r="W85" i="3"/>
  <c r="V85" i="3"/>
  <c r="U85" i="3"/>
  <c r="T85" i="3"/>
  <c r="S85" i="3"/>
  <c r="R85" i="3"/>
  <c r="E85" i="3"/>
  <c r="E242" i="3" s="1"/>
  <c r="D85" i="3"/>
  <c r="D242" i="3" s="1"/>
  <c r="C85" i="3"/>
  <c r="C242" i="3" s="1"/>
  <c r="B85" i="3"/>
  <c r="B242" i="3" s="1"/>
  <c r="A85" i="3"/>
  <c r="A242" i="3" s="1"/>
  <c r="AC84" i="3"/>
  <c r="AB84" i="3"/>
  <c r="AA84" i="3"/>
  <c r="Z84" i="3"/>
  <c r="Y84" i="3"/>
  <c r="X84" i="3"/>
  <c r="W84" i="3"/>
  <c r="V84" i="3"/>
  <c r="U84" i="3"/>
  <c r="T84" i="3"/>
  <c r="S84" i="3"/>
  <c r="R84" i="3"/>
  <c r="E84" i="3"/>
  <c r="E241" i="3" s="1"/>
  <c r="D84" i="3"/>
  <c r="D241" i="3" s="1"/>
  <c r="C84" i="3"/>
  <c r="C241" i="3" s="1"/>
  <c r="B84" i="3"/>
  <c r="B241" i="3" s="1"/>
  <c r="A84" i="3"/>
  <c r="A241" i="3" s="1"/>
  <c r="AC83" i="3"/>
  <c r="AB83" i="3"/>
  <c r="AA83" i="3"/>
  <c r="Z83" i="3"/>
  <c r="Y83" i="3"/>
  <c r="X83" i="3"/>
  <c r="W83" i="3"/>
  <c r="V83" i="3"/>
  <c r="U83" i="3"/>
  <c r="T83" i="3"/>
  <c r="S83" i="3"/>
  <c r="R83" i="3"/>
  <c r="E83" i="3"/>
  <c r="E240" i="3" s="1"/>
  <c r="D83" i="3"/>
  <c r="D240" i="3" s="1"/>
  <c r="C83" i="3"/>
  <c r="C240" i="3" s="1"/>
  <c r="B83" i="3"/>
  <c r="B240" i="3" s="1"/>
  <c r="A83" i="3"/>
  <c r="A240" i="3" s="1"/>
  <c r="AC82" i="3"/>
  <c r="AB82" i="3"/>
  <c r="AA82" i="3"/>
  <c r="Z82" i="3"/>
  <c r="Y82" i="3"/>
  <c r="X82" i="3"/>
  <c r="W82" i="3"/>
  <c r="V82" i="3"/>
  <c r="U82" i="3"/>
  <c r="T82" i="3"/>
  <c r="S82" i="3"/>
  <c r="R82" i="3"/>
  <c r="E82" i="3"/>
  <c r="E239" i="3" s="1"/>
  <c r="D82" i="3"/>
  <c r="D239" i="3" s="1"/>
  <c r="C82" i="3"/>
  <c r="C239" i="3" s="1"/>
  <c r="B82" i="3"/>
  <c r="B239" i="3" s="1"/>
  <c r="A82" i="3"/>
  <c r="A239" i="3" s="1"/>
  <c r="AC81" i="3"/>
  <c r="AB81" i="3"/>
  <c r="AA81" i="3"/>
  <c r="Z81" i="3"/>
  <c r="Y81" i="3"/>
  <c r="X81" i="3"/>
  <c r="W81" i="3"/>
  <c r="V81" i="3"/>
  <c r="U81" i="3"/>
  <c r="T81" i="3"/>
  <c r="S81" i="3"/>
  <c r="R81" i="3"/>
  <c r="E81" i="3"/>
  <c r="E238" i="3" s="1"/>
  <c r="D81" i="3"/>
  <c r="D238" i="3" s="1"/>
  <c r="C81" i="3"/>
  <c r="C238" i="3" s="1"/>
  <c r="B81" i="3"/>
  <c r="B238" i="3" s="1"/>
  <c r="A81" i="3"/>
  <c r="A238" i="3" s="1"/>
  <c r="AC80" i="3"/>
  <c r="AB80" i="3"/>
  <c r="AA80" i="3"/>
  <c r="Z80" i="3"/>
  <c r="Y80" i="3"/>
  <c r="X80" i="3"/>
  <c r="W80" i="3"/>
  <c r="V80" i="3"/>
  <c r="U80" i="3"/>
  <c r="T80" i="3"/>
  <c r="S80" i="3"/>
  <c r="R80" i="3"/>
  <c r="E80" i="3"/>
  <c r="E237" i="3" s="1"/>
  <c r="D80" i="3"/>
  <c r="D237" i="3" s="1"/>
  <c r="C80" i="3"/>
  <c r="C237" i="3" s="1"/>
  <c r="B80" i="3"/>
  <c r="B237" i="3" s="1"/>
  <c r="A80" i="3"/>
  <c r="A237" i="3" s="1"/>
  <c r="AC79" i="3"/>
  <c r="AB79" i="3"/>
  <c r="AA79" i="3"/>
  <c r="Z79" i="3"/>
  <c r="Y79" i="3"/>
  <c r="X79" i="3"/>
  <c r="W79" i="3"/>
  <c r="V79" i="3"/>
  <c r="U79" i="3"/>
  <c r="T79" i="3"/>
  <c r="S79" i="3"/>
  <c r="R79" i="3"/>
  <c r="E79" i="3"/>
  <c r="E236" i="3" s="1"/>
  <c r="D79" i="3"/>
  <c r="D236" i="3" s="1"/>
  <c r="C79" i="3"/>
  <c r="C236" i="3" s="1"/>
  <c r="B79" i="3"/>
  <c r="B236" i="3" s="1"/>
  <c r="A79" i="3"/>
  <c r="A236" i="3" s="1"/>
  <c r="AC78" i="3"/>
  <c r="AB78" i="3"/>
  <c r="AA78" i="3"/>
  <c r="Z78" i="3"/>
  <c r="Y78" i="3"/>
  <c r="X78" i="3"/>
  <c r="W78" i="3"/>
  <c r="V78" i="3"/>
  <c r="U78" i="3"/>
  <c r="T78" i="3"/>
  <c r="S78" i="3"/>
  <c r="R78" i="3"/>
  <c r="E78" i="3"/>
  <c r="E235" i="3" s="1"/>
  <c r="D78" i="3"/>
  <c r="D235" i="3" s="1"/>
  <c r="C78" i="3"/>
  <c r="C235" i="3" s="1"/>
  <c r="B78" i="3"/>
  <c r="B235" i="3" s="1"/>
  <c r="A78" i="3"/>
  <c r="A235" i="3" s="1"/>
  <c r="AC77" i="3"/>
  <c r="AB77" i="3"/>
  <c r="AA77" i="3"/>
  <c r="Z77" i="3"/>
  <c r="Y77" i="3"/>
  <c r="X77" i="3"/>
  <c r="W77" i="3"/>
  <c r="V77" i="3"/>
  <c r="U77" i="3"/>
  <c r="T77" i="3"/>
  <c r="S77" i="3"/>
  <c r="R77" i="3"/>
  <c r="E77" i="3"/>
  <c r="B77" i="3"/>
  <c r="A77" i="3"/>
  <c r="AC76" i="3"/>
  <c r="AB76" i="3"/>
  <c r="AA76" i="3"/>
  <c r="Z76" i="3"/>
  <c r="Y76" i="3"/>
  <c r="X76" i="3"/>
  <c r="W76" i="3"/>
  <c r="V76" i="3"/>
  <c r="U76" i="3"/>
  <c r="T76" i="3"/>
  <c r="S76" i="3"/>
  <c r="R76" i="3"/>
  <c r="E76" i="3"/>
  <c r="E234" i="3" s="1"/>
  <c r="D76" i="3"/>
  <c r="D234" i="3" s="1"/>
  <c r="C76" i="3"/>
  <c r="C234" i="3" s="1"/>
  <c r="B76" i="3"/>
  <c r="B234" i="3" s="1"/>
  <c r="A76" i="3"/>
  <c r="A234" i="3" s="1"/>
  <c r="AC75" i="3"/>
  <c r="AB75" i="3"/>
  <c r="AA75" i="3"/>
  <c r="Z75" i="3"/>
  <c r="Y75" i="3"/>
  <c r="X75" i="3"/>
  <c r="W75" i="3"/>
  <c r="V75" i="3"/>
  <c r="U75" i="3"/>
  <c r="T75" i="3"/>
  <c r="S75" i="3"/>
  <c r="R75" i="3"/>
  <c r="E75" i="3"/>
  <c r="E233" i="3" s="1"/>
  <c r="D75" i="3"/>
  <c r="D233" i="3" s="1"/>
  <c r="C75" i="3"/>
  <c r="C233" i="3" s="1"/>
  <c r="B75" i="3"/>
  <c r="B233" i="3" s="1"/>
  <c r="A75" i="3"/>
  <c r="A233" i="3" s="1"/>
  <c r="AC74" i="3"/>
  <c r="AB74" i="3"/>
  <c r="AA74" i="3"/>
  <c r="Z74" i="3"/>
  <c r="Y74" i="3"/>
  <c r="X74" i="3"/>
  <c r="W74" i="3"/>
  <c r="V74" i="3"/>
  <c r="U74" i="3"/>
  <c r="T74" i="3"/>
  <c r="S74" i="3"/>
  <c r="R74" i="3"/>
  <c r="E74" i="3"/>
  <c r="E232" i="3" s="1"/>
  <c r="D74" i="3"/>
  <c r="D232" i="3" s="1"/>
  <c r="C74" i="3"/>
  <c r="C232" i="3" s="1"/>
  <c r="B74" i="3"/>
  <c r="B232" i="3" s="1"/>
  <c r="A74" i="3"/>
  <c r="A232" i="3" s="1"/>
  <c r="AC73" i="3"/>
  <c r="AB73" i="3"/>
  <c r="AA73" i="3"/>
  <c r="Z73" i="3"/>
  <c r="Y73" i="3"/>
  <c r="X73" i="3"/>
  <c r="W73" i="3"/>
  <c r="V73" i="3"/>
  <c r="U73" i="3"/>
  <c r="T73" i="3"/>
  <c r="S73" i="3"/>
  <c r="R73" i="3"/>
  <c r="E73" i="3"/>
  <c r="E231" i="3" s="1"/>
  <c r="D73" i="3"/>
  <c r="D231" i="3" s="1"/>
  <c r="C73" i="3"/>
  <c r="C231" i="3" s="1"/>
  <c r="B73" i="3"/>
  <c r="B231" i="3" s="1"/>
  <c r="A73" i="3"/>
  <c r="A231" i="3" s="1"/>
  <c r="AC72" i="3"/>
  <c r="AB72" i="3"/>
  <c r="AA72" i="3"/>
  <c r="Z72" i="3"/>
  <c r="Y72" i="3"/>
  <c r="X72" i="3"/>
  <c r="W72" i="3"/>
  <c r="V72" i="3"/>
  <c r="U72" i="3"/>
  <c r="T72" i="3"/>
  <c r="S72" i="3"/>
  <c r="R72" i="3"/>
  <c r="E72" i="3"/>
  <c r="E230" i="3" s="1"/>
  <c r="D72" i="3"/>
  <c r="D230" i="3" s="1"/>
  <c r="C72" i="3"/>
  <c r="C230" i="3" s="1"/>
  <c r="B72" i="3"/>
  <c r="B230" i="3" s="1"/>
  <c r="A72" i="3"/>
  <c r="A230" i="3" s="1"/>
  <c r="AC71" i="3"/>
  <c r="AB71" i="3"/>
  <c r="AA71" i="3"/>
  <c r="Z71" i="3"/>
  <c r="Y71" i="3"/>
  <c r="X71" i="3"/>
  <c r="W71" i="3"/>
  <c r="V71" i="3"/>
  <c r="U71" i="3"/>
  <c r="T71" i="3"/>
  <c r="S71" i="3"/>
  <c r="R71" i="3"/>
  <c r="E71" i="3"/>
  <c r="E229" i="3" s="1"/>
  <c r="D71" i="3"/>
  <c r="D229" i="3" s="1"/>
  <c r="C71" i="3"/>
  <c r="C229" i="3" s="1"/>
  <c r="B71" i="3"/>
  <c r="B229" i="3" s="1"/>
  <c r="A71" i="3"/>
  <c r="A229" i="3" s="1"/>
  <c r="AC70" i="3"/>
  <c r="AB70" i="3"/>
  <c r="AA70" i="3"/>
  <c r="Z70" i="3"/>
  <c r="Y70" i="3"/>
  <c r="X70" i="3"/>
  <c r="W70" i="3"/>
  <c r="V70" i="3"/>
  <c r="U70" i="3"/>
  <c r="T70" i="3"/>
  <c r="S70" i="3"/>
  <c r="R70" i="3"/>
  <c r="E70" i="3"/>
  <c r="E228" i="3" s="1"/>
  <c r="D70" i="3"/>
  <c r="D228" i="3" s="1"/>
  <c r="C70" i="3"/>
  <c r="C228" i="3" s="1"/>
  <c r="B70" i="3"/>
  <c r="B228" i="3" s="1"/>
  <c r="A70" i="3"/>
  <c r="A228" i="3" s="1"/>
  <c r="AC69" i="3"/>
  <c r="AB69" i="3"/>
  <c r="AA69" i="3"/>
  <c r="Z69" i="3"/>
  <c r="Y69" i="3"/>
  <c r="X69" i="3"/>
  <c r="W69" i="3"/>
  <c r="V69" i="3"/>
  <c r="U69" i="3"/>
  <c r="T69" i="3"/>
  <c r="S69" i="3"/>
  <c r="R69" i="3"/>
  <c r="E69" i="3"/>
  <c r="E227" i="3" s="1"/>
  <c r="D69" i="3"/>
  <c r="D227" i="3" s="1"/>
  <c r="C69" i="3"/>
  <c r="C227" i="3" s="1"/>
  <c r="B69" i="3"/>
  <c r="B227" i="3" s="1"/>
  <c r="A69" i="3"/>
  <c r="A227" i="3" s="1"/>
  <c r="AC68" i="3"/>
  <c r="AB68" i="3"/>
  <c r="AA68" i="3"/>
  <c r="Z68" i="3"/>
  <c r="Y68" i="3"/>
  <c r="X68" i="3"/>
  <c r="W68" i="3"/>
  <c r="V68" i="3"/>
  <c r="U68" i="3"/>
  <c r="T68" i="3"/>
  <c r="S68" i="3"/>
  <c r="R68" i="3"/>
  <c r="E68" i="3"/>
  <c r="E226" i="3" s="1"/>
  <c r="D68" i="3"/>
  <c r="D226" i="3" s="1"/>
  <c r="C68" i="3"/>
  <c r="C226" i="3" s="1"/>
  <c r="B68" i="3"/>
  <c r="B226" i="3" s="1"/>
  <c r="A68" i="3"/>
  <c r="A226" i="3" s="1"/>
  <c r="AC67" i="3"/>
  <c r="AB67" i="3"/>
  <c r="AA67" i="3"/>
  <c r="Z67" i="3"/>
  <c r="Y67" i="3"/>
  <c r="X67" i="3"/>
  <c r="W67" i="3"/>
  <c r="V67" i="3"/>
  <c r="U67" i="3"/>
  <c r="T67" i="3"/>
  <c r="S67" i="3"/>
  <c r="R67" i="3"/>
  <c r="E67" i="3"/>
  <c r="E225" i="3" s="1"/>
  <c r="D67" i="3"/>
  <c r="D225" i="3" s="1"/>
  <c r="C67" i="3"/>
  <c r="C225" i="3" s="1"/>
  <c r="B67" i="3"/>
  <c r="B225" i="3" s="1"/>
  <c r="A67" i="3"/>
  <c r="A225" i="3" s="1"/>
  <c r="AC66" i="3"/>
  <c r="AB66" i="3"/>
  <c r="AA66" i="3"/>
  <c r="Z66" i="3"/>
  <c r="Y66" i="3"/>
  <c r="X66" i="3"/>
  <c r="W66" i="3"/>
  <c r="V66" i="3"/>
  <c r="U66" i="3"/>
  <c r="T66" i="3"/>
  <c r="S66" i="3"/>
  <c r="R66" i="3"/>
  <c r="E66" i="3"/>
  <c r="E224" i="3" s="1"/>
  <c r="D66" i="3"/>
  <c r="D224" i="3" s="1"/>
  <c r="C66" i="3"/>
  <c r="C224" i="3" s="1"/>
  <c r="B66" i="3"/>
  <c r="B224" i="3" s="1"/>
  <c r="A66" i="3"/>
  <c r="A224" i="3" s="1"/>
  <c r="AC65" i="3"/>
  <c r="AB65" i="3"/>
  <c r="AA65" i="3"/>
  <c r="Z65" i="3"/>
  <c r="Y65" i="3"/>
  <c r="X65" i="3"/>
  <c r="W65" i="3"/>
  <c r="V65" i="3"/>
  <c r="U65" i="3"/>
  <c r="T65" i="3"/>
  <c r="S65" i="3"/>
  <c r="R65" i="3"/>
  <c r="E65" i="3"/>
  <c r="E223" i="3" s="1"/>
  <c r="D65" i="3"/>
  <c r="D223" i="3" s="1"/>
  <c r="C65" i="3"/>
  <c r="C223" i="3" s="1"/>
  <c r="B65" i="3"/>
  <c r="B223" i="3" s="1"/>
  <c r="A65" i="3"/>
  <c r="A223" i="3" s="1"/>
  <c r="AC64" i="3"/>
  <c r="AB64" i="3"/>
  <c r="AA64" i="3"/>
  <c r="Z64" i="3"/>
  <c r="Y64" i="3"/>
  <c r="X64" i="3"/>
  <c r="W64" i="3"/>
  <c r="V64" i="3"/>
  <c r="U64" i="3"/>
  <c r="T64" i="3"/>
  <c r="S64" i="3"/>
  <c r="R64" i="3"/>
  <c r="E64" i="3"/>
  <c r="E222" i="3" s="1"/>
  <c r="D64" i="3"/>
  <c r="D222" i="3" s="1"/>
  <c r="C64" i="3"/>
  <c r="C222" i="3" s="1"/>
  <c r="B64" i="3"/>
  <c r="B222" i="3" s="1"/>
  <c r="A64" i="3"/>
  <c r="A222" i="3" s="1"/>
  <c r="AC63" i="3"/>
  <c r="AB63" i="3"/>
  <c r="AA63" i="3"/>
  <c r="Z63" i="3"/>
  <c r="Y63" i="3"/>
  <c r="X63" i="3"/>
  <c r="W63" i="3"/>
  <c r="V63" i="3"/>
  <c r="U63" i="3"/>
  <c r="T63" i="3"/>
  <c r="S63" i="3"/>
  <c r="R63" i="3"/>
  <c r="E63" i="3"/>
  <c r="E221" i="3" s="1"/>
  <c r="D63" i="3"/>
  <c r="D221" i="3" s="1"/>
  <c r="C63" i="3"/>
  <c r="C221" i="3" s="1"/>
  <c r="B63" i="3"/>
  <c r="B221" i="3" s="1"/>
  <c r="A63" i="3"/>
  <c r="A221" i="3" s="1"/>
  <c r="AC62" i="3"/>
  <c r="AB62" i="3"/>
  <c r="AA62" i="3"/>
  <c r="Z62" i="3"/>
  <c r="Y62" i="3"/>
  <c r="X62" i="3"/>
  <c r="W62" i="3"/>
  <c r="V62" i="3"/>
  <c r="U62" i="3"/>
  <c r="T62" i="3"/>
  <c r="S62" i="3"/>
  <c r="R62" i="3"/>
  <c r="E62" i="3"/>
  <c r="E220" i="3" s="1"/>
  <c r="D62" i="3"/>
  <c r="D220" i="3" s="1"/>
  <c r="C62" i="3"/>
  <c r="C220" i="3" s="1"/>
  <c r="B62" i="3"/>
  <c r="B220" i="3" s="1"/>
  <c r="A62" i="3"/>
  <c r="A220" i="3" s="1"/>
  <c r="AC61" i="3"/>
  <c r="AB61" i="3"/>
  <c r="AA61" i="3"/>
  <c r="Z61" i="3"/>
  <c r="Y61" i="3"/>
  <c r="X61" i="3"/>
  <c r="W61" i="3"/>
  <c r="V61" i="3"/>
  <c r="U61" i="3"/>
  <c r="T61" i="3"/>
  <c r="S61" i="3"/>
  <c r="R61" i="3"/>
  <c r="E61" i="3"/>
  <c r="E219" i="3" s="1"/>
  <c r="D61" i="3"/>
  <c r="D219" i="3" s="1"/>
  <c r="C61" i="3"/>
  <c r="C219" i="3" s="1"/>
  <c r="B61" i="3"/>
  <c r="B219" i="3" s="1"/>
  <c r="A61" i="3"/>
  <c r="A219" i="3" s="1"/>
  <c r="AC60" i="3"/>
  <c r="AB60" i="3"/>
  <c r="AA60" i="3"/>
  <c r="Z60" i="3"/>
  <c r="Y60" i="3"/>
  <c r="X60" i="3"/>
  <c r="W60" i="3"/>
  <c r="V60" i="3"/>
  <c r="U60" i="3"/>
  <c r="T60" i="3"/>
  <c r="S60" i="3"/>
  <c r="R60" i="3"/>
  <c r="E60" i="3"/>
  <c r="E218" i="3" s="1"/>
  <c r="D60" i="3"/>
  <c r="D218" i="3" s="1"/>
  <c r="C60" i="3"/>
  <c r="C218" i="3" s="1"/>
  <c r="B60" i="3"/>
  <c r="B218" i="3" s="1"/>
  <c r="A60" i="3"/>
  <c r="A218" i="3" s="1"/>
  <c r="AC59" i="3"/>
  <c r="AB59" i="3"/>
  <c r="AA59" i="3"/>
  <c r="Z59" i="3"/>
  <c r="Y59" i="3"/>
  <c r="X59" i="3"/>
  <c r="W59" i="3"/>
  <c r="V59" i="3"/>
  <c r="U59" i="3"/>
  <c r="T59" i="3"/>
  <c r="S59" i="3"/>
  <c r="R59" i="3"/>
  <c r="E59" i="3"/>
  <c r="B59" i="3"/>
  <c r="A59" i="3"/>
  <c r="AC58" i="3"/>
  <c r="AB58" i="3"/>
  <c r="AA58" i="3"/>
  <c r="Z58" i="3"/>
  <c r="Y58" i="3"/>
  <c r="X58" i="3"/>
  <c r="W58" i="3"/>
  <c r="V58" i="3"/>
  <c r="U58" i="3"/>
  <c r="T58" i="3"/>
  <c r="S58" i="3"/>
  <c r="R58" i="3"/>
  <c r="E58" i="3"/>
  <c r="B58" i="3"/>
  <c r="A58" i="3"/>
  <c r="AC57" i="3"/>
  <c r="AB57" i="3"/>
  <c r="AA57" i="3"/>
  <c r="Z57" i="3"/>
  <c r="Y57" i="3"/>
  <c r="X57" i="3"/>
  <c r="W57" i="3"/>
  <c r="V57" i="3"/>
  <c r="U57" i="3"/>
  <c r="T57" i="3"/>
  <c r="S57" i="3"/>
  <c r="R57" i="3"/>
  <c r="E57" i="3"/>
  <c r="E217" i="3" s="1"/>
  <c r="D57" i="3"/>
  <c r="D217" i="3" s="1"/>
  <c r="C57" i="3"/>
  <c r="C217" i="3" s="1"/>
  <c r="B57" i="3"/>
  <c r="B217" i="3" s="1"/>
  <c r="A57" i="3"/>
  <c r="A217" i="3" s="1"/>
  <c r="AC56" i="3"/>
  <c r="AB56" i="3"/>
  <c r="AA56" i="3"/>
  <c r="Z56" i="3"/>
  <c r="Y56" i="3"/>
  <c r="X56" i="3"/>
  <c r="W56" i="3"/>
  <c r="V56" i="3"/>
  <c r="U56" i="3"/>
  <c r="T56" i="3"/>
  <c r="S56" i="3"/>
  <c r="R56" i="3"/>
  <c r="E56" i="3"/>
  <c r="E216" i="3" s="1"/>
  <c r="D56" i="3"/>
  <c r="D216" i="3" s="1"/>
  <c r="C56" i="3"/>
  <c r="C216" i="3" s="1"/>
  <c r="B56" i="3"/>
  <c r="B216" i="3" s="1"/>
  <c r="A56" i="3"/>
  <c r="A216" i="3" s="1"/>
  <c r="AC55" i="3"/>
  <c r="AB55" i="3"/>
  <c r="AA55" i="3"/>
  <c r="Z55" i="3"/>
  <c r="Y55" i="3"/>
  <c r="X55" i="3"/>
  <c r="W55" i="3"/>
  <c r="V55" i="3"/>
  <c r="U55" i="3"/>
  <c r="T55" i="3"/>
  <c r="S55" i="3"/>
  <c r="R55" i="3"/>
  <c r="E55" i="3"/>
  <c r="E215" i="3" s="1"/>
  <c r="D55" i="3"/>
  <c r="D215" i="3" s="1"/>
  <c r="C55" i="3"/>
  <c r="C215" i="3" s="1"/>
  <c r="B55" i="3"/>
  <c r="B215" i="3" s="1"/>
  <c r="A55" i="3"/>
  <c r="A215" i="3" s="1"/>
  <c r="AC54" i="3"/>
  <c r="AB54" i="3"/>
  <c r="AA54" i="3"/>
  <c r="Z54" i="3"/>
  <c r="Y54" i="3"/>
  <c r="X54" i="3"/>
  <c r="W54" i="3"/>
  <c r="V54" i="3"/>
  <c r="U54" i="3"/>
  <c r="T54" i="3"/>
  <c r="S54" i="3"/>
  <c r="R54" i="3"/>
  <c r="E54" i="3"/>
  <c r="E214" i="3" s="1"/>
  <c r="D54" i="3"/>
  <c r="D214" i="3" s="1"/>
  <c r="C54" i="3"/>
  <c r="C214" i="3" s="1"/>
  <c r="B54" i="3"/>
  <c r="B214" i="3" s="1"/>
  <c r="A54" i="3"/>
  <c r="A214" i="3" s="1"/>
  <c r="AC53" i="3"/>
  <c r="AB53" i="3"/>
  <c r="AA53" i="3"/>
  <c r="Z53" i="3"/>
  <c r="Y53" i="3"/>
  <c r="X53" i="3"/>
  <c r="W53" i="3"/>
  <c r="V53" i="3"/>
  <c r="U53" i="3"/>
  <c r="T53" i="3"/>
  <c r="S53" i="3"/>
  <c r="R53" i="3"/>
  <c r="E53" i="3"/>
  <c r="E213" i="3" s="1"/>
  <c r="D53" i="3"/>
  <c r="D213" i="3" s="1"/>
  <c r="C53" i="3"/>
  <c r="C213" i="3" s="1"/>
  <c r="B53" i="3"/>
  <c r="B213" i="3" s="1"/>
  <c r="A53" i="3"/>
  <c r="A213" i="3" s="1"/>
  <c r="AC52" i="3"/>
  <c r="AB52" i="3"/>
  <c r="AA52" i="3"/>
  <c r="Z52" i="3"/>
  <c r="Y52" i="3"/>
  <c r="X52" i="3"/>
  <c r="W52" i="3"/>
  <c r="V52" i="3"/>
  <c r="U52" i="3"/>
  <c r="T52" i="3"/>
  <c r="S52" i="3"/>
  <c r="R52" i="3"/>
  <c r="E52" i="3"/>
  <c r="E212" i="3" s="1"/>
  <c r="D52" i="3"/>
  <c r="D212" i="3" s="1"/>
  <c r="C52" i="3"/>
  <c r="C212" i="3" s="1"/>
  <c r="B52" i="3"/>
  <c r="B212" i="3" s="1"/>
  <c r="A52" i="3"/>
  <c r="A212" i="3" s="1"/>
  <c r="AC51" i="3"/>
  <c r="AB51" i="3"/>
  <c r="AA51" i="3"/>
  <c r="Z51" i="3"/>
  <c r="Y51" i="3"/>
  <c r="X51" i="3"/>
  <c r="W51" i="3"/>
  <c r="V51" i="3"/>
  <c r="U51" i="3"/>
  <c r="T51" i="3"/>
  <c r="S51" i="3"/>
  <c r="R51" i="3"/>
  <c r="E51" i="3"/>
  <c r="E211" i="3" s="1"/>
  <c r="D51" i="3"/>
  <c r="D211" i="3" s="1"/>
  <c r="C51" i="3"/>
  <c r="C211" i="3" s="1"/>
  <c r="B51" i="3"/>
  <c r="B211" i="3" s="1"/>
  <c r="A51" i="3"/>
  <c r="A211" i="3" s="1"/>
  <c r="AC50" i="3"/>
  <c r="AB50" i="3"/>
  <c r="AA50" i="3"/>
  <c r="Z50" i="3"/>
  <c r="Y50" i="3"/>
  <c r="X50" i="3"/>
  <c r="W50" i="3"/>
  <c r="V50" i="3"/>
  <c r="U50" i="3"/>
  <c r="T50" i="3"/>
  <c r="S50" i="3"/>
  <c r="R50" i="3"/>
  <c r="E50" i="3"/>
  <c r="E210" i="3" s="1"/>
  <c r="D50" i="3"/>
  <c r="D210" i="3" s="1"/>
  <c r="C50" i="3"/>
  <c r="C210" i="3" s="1"/>
  <c r="B50" i="3"/>
  <c r="B210" i="3" s="1"/>
  <c r="A50" i="3"/>
  <c r="A210" i="3" s="1"/>
  <c r="AC49" i="3"/>
  <c r="AB49" i="3"/>
  <c r="AA49" i="3"/>
  <c r="Z49" i="3"/>
  <c r="Y49" i="3"/>
  <c r="X49" i="3"/>
  <c r="W49" i="3"/>
  <c r="V49" i="3"/>
  <c r="U49" i="3"/>
  <c r="T49" i="3"/>
  <c r="S49" i="3"/>
  <c r="R49" i="3"/>
  <c r="E49" i="3"/>
  <c r="E209" i="3" s="1"/>
  <c r="D49" i="3"/>
  <c r="D209" i="3" s="1"/>
  <c r="C49" i="3"/>
  <c r="C209" i="3" s="1"/>
  <c r="B49" i="3"/>
  <c r="B209" i="3" s="1"/>
  <c r="A49" i="3"/>
  <c r="A209" i="3" s="1"/>
  <c r="AC48" i="3"/>
  <c r="AB48" i="3"/>
  <c r="AA48" i="3"/>
  <c r="Z48" i="3"/>
  <c r="Y48" i="3"/>
  <c r="X48" i="3"/>
  <c r="W48" i="3"/>
  <c r="V48" i="3"/>
  <c r="U48" i="3"/>
  <c r="T48" i="3"/>
  <c r="S48" i="3"/>
  <c r="R48" i="3"/>
  <c r="E48" i="3"/>
  <c r="E208" i="3" s="1"/>
  <c r="D48" i="3"/>
  <c r="D208" i="3" s="1"/>
  <c r="C48" i="3"/>
  <c r="C208" i="3" s="1"/>
  <c r="B48" i="3"/>
  <c r="B208" i="3" s="1"/>
  <c r="A48" i="3"/>
  <c r="A208" i="3" s="1"/>
  <c r="AC47" i="3"/>
  <c r="AB47" i="3"/>
  <c r="AA47" i="3"/>
  <c r="Z47" i="3"/>
  <c r="Y47" i="3"/>
  <c r="X47" i="3"/>
  <c r="W47" i="3"/>
  <c r="V47" i="3"/>
  <c r="U47" i="3"/>
  <c r="T47" i="3"/>
  <c r="S47" i="3"/>
  <c r="R47" i="3"/>
  <c r="E47" i="3"/>
  <c r="E207" i="3" s="1"/>
  <c r="D47" i="3"/>
  <c r="D207" i="3" s="1"/>
  <c r="C47" i="3"/>
  <c r="C207" i="3" s="1"/>
  <c r="B47" i="3"/>
  <c r="B207" i="3" s="1"/>
  <c r="A47" i="3"/>
  <c r="A207" i="3" s="1"/>
  <c r="AC46" i="3"/>
  <c r="AB46" i="3"/>
  <c r="AA46" i="3"/>
  <c r="Z46" i="3"/>
  <c r="Y46" i="3"/>
  <c r="X46" i="3"/>
  <c r="W46" i="3"/>
  <c r="V46" i="3"/>
  <c r="U46" i="3"/>
  <c r="T46" i="3"/>
  <c r="S46" i="3"/>
  <c r="R46" i="3"/>
  <c r="E46" i="3"/>
  <c r="E206" i="3" s="1"/>
  <c r="D46" i="3"/>
  <c r="D206" i="3" s="1"/>
  <c r="C46" i="3"/>
  <c r="C206" i="3" s="1"/>
  <c r="B46" i="3"/>
  <c r="B206" i="3" s="1"/>
  <c r="A46" i="3"/>
  <c r="A206" i="3" s="1"/>
  <c r="AC45" i="3"/>
  <c r="AB45" i="3"/>
  <c r="AA45" i="3"/>
  <c r="Z45" i="3"/>
  <c r="Y45" i="3"/>
  <c r="X45" i="3"/>
  <c r="W45" i="3"/>
  <c r="V45" i="3"/>
  <c r="U45" i="3"/>
  <c r="T45" i="3"/>
  <c r="S45" i="3"/>
  <c r="R45" i="3"/>
  <c r="E45" i="3"/>
  <c r="E205" i="3" s="1"/>
  <c r="D45" i="3"/>
  <c r="D205" i="3" s="1"/>
  <c r="C45" i="3"/>
  <c r="C205" i="3" s="1"/>
  <c r="B45" i="3"/>
  <c r="B205" i="3" s="1"/>
  <c r="A45" i="3"/>
  <c r="A205" i="3" s="1"/>
  <c r="AC44" i="3"/>
  <c r="AB44" i="3"/>
  <c r="AA44" i="3"/>
  <c r="Z44" i="3"/>
  <c r="Y44" i="3"/>
  <c r="X44" i="3"/>
  <c r="W44" i="3"/>
  <c r="V44" i="3"/>
  <c r="U44" i="3"/>
  <c r="T44" i="3"/>
  <c r="S44" i="3"/>
  <c r="R44" i="3"/>
  <c r="E44" i="3"/>
  <c r="E204" i="3" s="1"/>
  <c r="D44" i="3"/>
  <c r="D204" i="3" s="1"/>
  <c r="C44" i="3"/>
  <c r="C204" i="3" s="1"/>
  <c r="B44" i="3"/>
  <c r="B204" i="3" s="1"/>
  <c r="A44" i="3"/>
  <c r="A204" i="3" s="1"/>
  <c r="AC43" i="3"/>
  <c r="AB43" i="3"/>
  <c r="AA43" i="3"/>
  <c r="Z43" i="3"/>
  <c r="Y43" i="3"/>
  <c r="X43" i="3"/>
  <c r="W43" i="3"/>
  <c r="V43" i="3"/>
  <c r="U43" i="3"/>
  <c r="T43" i="3"/>
  <c r="S43" i="3"/>
  <c r="R43" i="3"/>
  <c r="E43" i="3"/>
  <c r="E203" i="3" s="1"/>
  <c r="D43" i="3"/>
  <c r="D203" i="3" s="1"/>
  <c r="C43" i="3"/>
  <c r="C203" i="3" s="1"/>
  <c r="B43" i="3"/>
  <c r="B203" i="3" s="1"/>
  <c r="A43" i="3"/>
  <c r="A203" i="3" s="1"/>
  <c r="AC42" i="3"/>
  <c r="AB42" i="3"/>
  <c r="AA42" i="3"/>
  <c r="Z42" i="3"/>
  <c r="Y42" i="3"/>
  <c r="X42" i="3"/>
  <c r="W42" i="3"/>
  <c r="V42" i="3"/>
  <c r="U42" i="3"/>
  <c r="T42" i="3"/>
  <c r="S42" i="3"/>
  <c r="R42" i="3"/>
  <c r="E42" i="3"/>
  <c r="E202" i="3" s="1"/>
  <c r="D42" i="3"/>
  <c r="D202" i="3" s="1"/>
  <c r="C42" i="3"/>
  <c r="C202" i="3" s="1"/>
  <c r="B42" i="3"/>
  <c r="B202" i="3" s="1"/>
  <c r="A42" i="3"/>
  <c r="A202" i="3" s="1"/>
  <c r="AC41" i="3"/>
  <c r="AB41" i="3"/>
  <c r="AA41" i="3"/>
  <c r="Z41" i="3"/>
  <c r="Y41" i="3"/>
  <c r="X41" i="3"/>
  <c r="W41" i="3"/>
  <c r="V41" i="3"/>
  <c r="U41" i="3"/>
  <c r="T41" i="3"/>
  <c r="S41" i="3"/>
  <c r="R41" i="3"/>
  <c r="E41" i="3"/>
  <c r="E201" i="3" s="1"/>
  <c r="D41" i="3"/>
  <c r="D201" i="3" s="1"/>
  <c r="C41" i="3"/>
  <c r="C201" i="3" s="1"/>
  <c r="B41" i="3"/>
  <c r="B201" i="3" s="1"/>
  <c r="A41" i="3"/>
  <c r="A201" i="3" s="1"/>
  <c r="AC40" i="3"/>
  <c r="AB40" i="3"/>
  <c r="AA40" i="3"/>
  <c r="Z40" i="3"/>
  <c r="Y40" i="3"/>
  <c r="X40" i="3"/>
  <c r="W40" i="3"/>
  <c r="V40" i="3"/>
  <c r="U40" i="3"/>
  <c r="T40" i="3"/>
  <c r="S40" i="3"/>
  <c r="R40" i="3"/>
  <c r="E40" i="3"/>
  <c r="B40" i="3"/>
  <c r="A40" i="3"/>
  <c r="AC39" i="3"/>
  <c r="AB39" i="3"/>
  <c r="AA39" i="3"/>
  <c r="Z39" i="3"/>
  <c r="Y39" i="3"/>
  <c r="X39" i="3"/>
  <c r="W39" i="3"/>
  <c r="V39" i="3"/>
  <c r="U39" i="3"/>
  <c r="T39" i="3"/>
  <c r="S39" i="3"/>
  <c r="R39" i="3"/>
  <c r="E39" i="3"/>
  <c r="E200" i="3" s="1"/>
  <c r="D39" i="3"/>
  <c r="D200" i="3" s="1"/>
  <c r="C39" i="3"/>
  <c r="C200" i="3" s="1"/>
  <c r="B39" i="3"/>
  <c r="B200" i="3" s="1"/>
  <c r="A39" i="3"/>
  <c r="A200" i="3" s="1"/>
  <c r="AC38" i="3"/>
  <c r="AB38" i="3"/>
  <c r="AA38" i="3"/>
  <c r="Z38" i="3"/>
  <c r="Y38" i="3"/>
  <c r="X38" i="3"/>
  <c r="W38" i="3"/>
  <c r="V38" i="3"/>
  <c r="U38" i="3"/>
  <c r="T38" i="3"/>
  <c r="S38" i="3"/>
  <c r="R38" i="3"/>
  <c r="E38" i="3"/>
  <c r="E199" i="3" s="1"/>
  <c r="D38" i="3"/>
  <c r="D199" i="3" s="1"/>
  <c r="C38" i="3"/>
  <c r="C199" i="3" s="1"/>
  <c r="B38" i="3"/>
  <c r="B199" i="3" s="1"/>
  <c r="A38" i="3"/>
  <c r="A199" i="3" s="1"/>
  <c r="AC37" i="3"/>
  <c r="AB37" i="3"/>
  <c r="AA37" i="3"/>
  <c r="Z37" i="3"/>
  <c r="Y37" i="3"/>
  <c r="X37" i="3"/>
  <c r="W37" i="3"/>
  <c r="V37" i="3"/>
  <c r="U37" i="3"/>
  <c r="T37" i="3"/>
  <c r="S37" i="3"/>
  <c r="R37" i="3"/>
  <c r="E37" i="3"/>
  <c r="E198" i="3" s="1"/>
  <c r="D37" i="3"/>
  <c r="D198" i="3" s="1"/>
  <c r="C37" i="3"/>
  <c r="C198" i="3" s="1"/>
  <c r="B37" i="3"/>
  <c r="B198" i="3" s="1"/>
  <c r="A37" i="3"/>
  <c r="A198" i="3" s="1"/>
  <c r="AC36" i="3"/>
  <c r="AB36" i="3"/>
  <c r="AA36" i="3"/>
  <c r="Z36" i="3"/>
  <c r="Y36" i="3"/>
  <c r="X36" i="3"/>
  <c r="W36" i="3"/>
  <c r="V36" i="3"/>
  <c r="U36" i="3"/>
  <c r="T36" i="3"/>
  <c r="S36" i="3"/>
  <c r="R36" i="3"/>
  <c r="E36" i="3"/>
  <c r="E197" i="3" s="1"/>
  <c r="D36" i="3"/>
  <c r="D197" i="3" s="1"/>
  <c r="C36" i="3"/>
  <c r="C197" i="3" s="1"/>
  <c r="B36" i="3"/>
  <c r="B197" i="3" s="1"/>
  <c r="A36" i="3"/>
  <c r="A197" i="3" s="1"/>
  <c r="AC35" i="3"/>
  <c r="AB35" i="3"/>
  <c r="AA35" i="3"/>
  <c r="Z35" i="3"/>
  <c r="Y35" i="3"/>
  <c r="X35" i="3"/>
  <c r="W35" i="3"/>
  <c r="V35" i="3"/>
  <c r="U35" i="3"/>
  <c r="T35" i="3"/>
  <c r="S35" i="3"/>
  <c r="R35" i="3"/>
  <c r="E35" i="3"/>
  <c r="E196" i="3" s="1"/>
  <c r="D35" i="3"/>
  <c r="D196" i="3" s="1"/>
  <c r="C35" i="3"/>
  <c r="C196" i="3" s="1"/>
  <c r="B35" i="3"/>
  <c r="B196" i="3" s="1"/>
  <c r="A35" i="3"/>
  <c r="A196" i="3" s="1"/>
  <c r="AC34" i="3"/>
  <c r="AB34" i="3"/>
  <c r="AA34" i="3"/>
  <c r="Z34" i="3"/>
  <c r="Y34" i="3"/>
  <c r="X34" i="3"/>
  <c r="W34" i="3"/>
  <c r="V34" i="3"/>
  <c r="U34" i="3"/>
  <c r="T34" i="3"/>
  <c r="S34" i="3"/>
  <c r="R34" i="3"/>
  <c r="E34" i="3"/>
  <c r="E195" i="3" s="1"/>
  <c r="D34" i="3"/>
  <c r="D195" i="3" s="1"/>
  <c r="C34" i="3"/>
  <c r="C195" i="3" s="1"/>
  <c r="B34" i="3"/>
  <c r="B195" i="3" s="1"/>
  <c r="A34" i="3"/>
  <c r="A195" i="3" s="1"/>
  <c r="AC33" i="3"/>
  <c r="AB33" i="3"/>
  <c r="AA33" i="3"/>
  <c r="Z33" i="3"/>
  <c r="Y33" i="3"/>
  <c r="X33" i="3"/>
  <c r="W33" i="3"/>
  <c r="V33" i="3"/>
  <c r="U33" i="3"/>
  <c r="T33" i="3"/>
  <c r="S33" i="3"/>
  <c r="R33" i="3"/>
  <c r="E33" i="3"/>
  <c r="E194" i="3" s="1"/>
  <c r="D33" i="3"/>
  <c r="D194" i="3" s="1"/>
  <c r="C33" i="3"/>
  <c r="C194" i="3" s="1"/>
  <c r="B33" i="3"/>
  <c r="B194" i="3" s="1"/>
  <c r="A33" i="3"/>
  <c r="A194" i="3" s="1"/>
  <c r="AC32" i="3"/>
  <c r="AB32" i="3"/>
  <c r="AA32" i="3"/>
  <c r="Z32" i="3"/>
  <c r="Y32" i="3"/>
  <c r="X32" i="3"/>
  <c r="W32" i="3"/>
  <c r="V32" i="3"/>
  <c r="U32" i="3"/>
  <c r="T32" i="3"/>
  <c r="S32" i="3"/>
  <c r="R32" i="3"/>
  <c r="E32" i="3"/>
  <c r="E193" i="3" s="1"/>
  <c r="D32" i="3"/>
  <c r="D193" i="3" s="1"/>
  <c r="C32" i="3"/>
  <c r="C193" i="3" s="1"/>
  <c r="B32" i="3"/>
  <c r="B193" i="3" s="1"/>
  <c r="A32" i="3"/>
  <c r="A193" i="3" s="1"/>
  <c r="AC31" i="3"/>
  <c r="AB31" i="3"/>
  <c r="AA31" i="3"/>
  <c r="Z31" i="3"/>
  <c r="Y31" i="3"/>
  <c r="X31" i="3"/>
  <c r="W31" i="3"/>
  <c r="V31" i="3"/>
  <c r="U31" i="3"/>
  <c r="T31" i="3"/>
  <c r="S31" i="3"/>
  <c r="R31" i="3"/>
  <c r="E31" i="3"/>
  <c r="E192" i="3" s="1"/>
  <c r="D31" i="3"/>
  <c r="D192" i="3" s="1"/>
  <c r="C31" i="3"/>
  <c r="C192" i="3" s="1"/>
  <c r="B31" i="3"/>
  <c r="B192" i="3" s="1"/>
  <c r="A31" i="3"/>
  <c r="A192" i="3" s="1"/>
  <c r="AC30" i="3"/>
  <c r="AB30" i="3"/>
  <c r="AA30" i="3"/>
  <c r="Z30" i="3"/>
  <c r="Y30" i="3"/>
  <c r="X30" i="3"/>
  <c r="W30" i="3"/>
  <c r="V30" i="3"/>
  <c r="U30" i="3"/>
  <c r="T30" i="3"/>
  <c r="S30" i="3"/>
  <c r="R30" i="3"/>
  <c r="E30" i="3"/>
  <c r="E191" i="3" s="1"/>
  <c r="D30" i="3"/>
  <c r="D191" i="3" s="1"/>
  <c r="C30" i="3"/>
  <c r="C191" i="3" s="1"/>
  <c r="B30" i="3"/>
  <c r="B191" i="3" s="1"/>
  <c r="A30" i="3"/>
  <c r="A191" i="3" s="1"/>
  <c r="AC29" i="3"/>
  <c r="AB29" i="3"/>
  <c r="AA29" i="3"/>
  <c r="Z29" i="3"/>
  <c r="Y29" i="3"/>
  <c r="X29" i="3"/>
  <c r="W29" i="3"/>
  <c r="V29" i="3"/>
  <c r="U29" i="3"/>
  <c r="T29" i="3"/>
  <c r="S29" i="3"/>
  <c r="R29" i="3"/>
  <c r="E29" i="3"/>
  <c r="E190" i="3" s="1"/>
  <c r="D29" i="3"/>
  <c r="D190" i="3" s="1"/>
  <c r="C29" i="3"/>
  <c r="C190" i="3" s="1"/>
  <c r="B29" i="3"/>
  <c r="B190" i="3" s="1"/>
  <c r="A29" i="3"/>
  <c r="A190" i="3" s="1"/>
  <c r="AC28" i="3"/>
  <c r="AB28" i="3"/>
  <c r="AA28" i="3"/>
  <c r="Z28" i="3"/>
  <c r="Y28" i="3"/>
  <c r="X28" i="3"/>
  <c r="W28" i="3"/>
  <c r="V28" i="3"/>
  <c r="U28" i="3"/>
  <c r="T28" i="3"/>
  <c r="S28" i="3"/>
  <c r="R28" i="3"/>
  <c r="E28" i="3"/>
  <c r="E189" i="3" s="1"/>
  <c r="D28" i="3"/>
  <c r="D189" i="3" s="1"/>
  <c r="C28" i="3"/>
  <c r="C189" i="3" s="1"/>
  <c r="B28" i="3"/>
  <c r="B189" i="3" s="1"/>
  <c r="A28" i="3"/>
  <c r="A189" i="3" s="1"/>
  <c r="AC27" i="3"/>
  <c r="AB27" i="3"/>
  <c r="AA27" i="3"/>
  <c r="Z27" i="3"/>
  <c r="Y27" i="3"/>
  <c r="X27" i="3"/>
  <c r="W27" i="3"/>
  <c r="V27" i="3"/>
  <c r="U27" i="3"/>
  <c r="T27" i="3"/>
  <c r="S27" i="3"/>
  <c r="R27" i="3"/>
  <c r="E27" i="3"/>
  <c r="E188" i="3" s="1"/>
  <c r="D27" i="3"/>
  <c r="D188" i="3" s="1"/>
  <c r="C27" i="3"/>
  <c r="C188" i="3" s="1"/>
  <c r="B27" i="3"/>
  <c r="B188" i="3" s="1"/>
  <c r="A27" i="3"/>
  <c r="A188" i="3" s="1"/>
  <c r="AC26" i="3"/>
  <c r="AB26" i="3"/>
  <c r="AA26" i="3"/>
  <c r="Z26" i="3"/>
  <c r="Y26" i="3"/>
  <c r="X26" i="3"/>
  <c r="W26" i="3"/>
  <c r="V26" i="3"/>
  <c r="U26" i="3"/>
  <c r="T26" i="3"/>
  <c r="S26" i="3"/>
  <c r="R26" i="3"/>
  <c r="E26" i="3"/>
  <c r="E187" i="3" s="1"/>
  <c r="D26" i="3"/>
  <c r="D187" i="3" s="1"/>
  <c r="C26" i="3"/>
  <c r="C187" i="3" s="1"/>
  <c r="B26" i="3"/>
  <c r="B187" i="3" s="1"/>
  <c r="A26" i="3"/>
  <c r="A187" i="3" s="1"/>
  <c r="AC25" i="3"/>
  <c r="AB25" i="3"/>
  <c r="AA25" i="3"/>
  <c r="Z25" i="3"/>
  <c r="Y25" i="3"/>
  <c r="X25" i="3"/>
  <c r="W25" i="3"/>
  <c r="V25" i="3"/>
  <c r="U25" i="3"/>
  <c r="T25" i="3"/>
  <c r="S25" i="3"/>
  <c r="R25" i="3"/>
  <c r="E25" i="3"/>
  <c r="E186" i="3" s="1"/>
  <c r="D25" i="3"/>
  <c r="D186" i="3" s="1"/>
  <c r="C25" i="3"/>
  <c r="C186" i="3" s="1"/>
  <c r="B25" i="3"/>
  <c r="B186" i="3" s="1"/>
  <c r="A25" i="3"/>
  <c r="A186" i="3" s="1"/>
  <c r="AC24" i="3"/>
  <c r="AB24" i="3"/>
  <c r="AA24" i="3"/>
  <c r="Z24" i="3"/>
  <c r="Y24" i="3"/>
  <c r="X24" i="3"/>
  <c r="W24" i="3"/>
  <c r="V24" i="3"/>
  <c r="U24" i="3"/>
  <c r="T24" i="3"/>
  <c r="S24" i="3"/>
  <c r="R24" i="3"/>
  <c r="E24" i="3"/>
  <c r="E185" i="3" s="1"/>
  <c r="D24" i="3"/>
  <c r="D185" i="3" s="1"/>
  <c r="C24" i="3"/>
  <c r="C185" i="3" s="1"/>
  <c r="B24" i="3"/>
  <c r="B185" i="3" s="1"/>
  <c r="A24" i="3"/>
  <c r="A185" i="3" s="1"/>
  <c r="AC23" i="3"/>
  <c r="AB23" i="3"/>
  <c r="AA23" i="3"/>
  <c r="Z23" i="3"/>
  <c r="Y23" i="3"/>
  <c r="X23" i="3"/>
  <c r="W23" i="3"/>
  <c r="V23" i="3"/>
  <c r="U23" i="3"/>
  <c r="T23" i="3"/>
  <c r="S23" i="3"/>
  <c r="R23" i="3"/>
  <c r="E23" i="3"/>
  <c r="E184" i="3" s="1"/>
  <c r="D23" i="3"/>
  <c r="D184" i="3" s="1"/>
  <c r="C23" i="3"/>
  <c r="C184" i="3" s="1"/>
  <c r="B23" i="3"/>
  <c r="B184" i="3" s="1"/>
  <c r="A23" i="3"/>
  <c r="A184" i="3" s="1"/>
  <c r="AC22" i="3"/>
  <c r="AB22" i="3"/>
  <c r="AA22" i="3"/>
  <c r="Z22" i="3"/>
  <c r="Y22" i="3"/>
  <c r="X22" i="3"/>
  <c r="W22" i="3"/>
  <c r="V22" i="3"/>
  <c r="U22" i="3"/>
  <c r="T22" i="3"/>
  <c r="S22" i="3"/>
  <c r="R22" i="3"/>
  <c r="E22" i="3"/>
  <c r="B22" i="3"/>
  <c r="A22" i="3"/>
  <c r="AC21" i="3"/>
  <c r="AB21" i="3"/>
  <c r="AA21" i="3"/>
  <c r="Z21" i="3"/>
  <c r="Y21" i="3"/>
  <c r="X21" i="3"/>
  <c r="W21" i="3"/>
  <c r="V21" i="3"/>
  <c r="U21" i="3"/>
  <c r="T21" i="3"/>
  <c r="S21" i="3"/>
  <c r="R21" i="3"/>
  <c r="E21" i="3"/>
  <c r="E183" i="3" s="1"/>
  <c r="D21" i="3"/>
  <c r="D183" i="3" s="1"/>
  <c r="C21" i="3"/>
  <c r="C183" i="3" s="1"/>
  <c r="B21" i="3"/>
  <c r="B183" i="3" s="1"/>
  <c r="A21" i="3"/>
  <c r="A183" i="3" s="1"/>
  <c r="AC20" i="3"/>
  <c r="AB20" i="3"/>
  <c r="AA20" i="3"/>
  <c r="Z20" i="3"/>
  <c r="Y20" i="3"/>
  <c r="X20" i="3"/>
  <c r="W20" i="3"/>
  <c r="V20" i="3"/>
  <c r="U20" i="3"/>
  <c r="T20" i="3"/>
  <c r="S20" i="3"/>
  <c r="R20" i="3"/>
  <c r="E20" i="3"/>
  <c r="E182" i="3" s="1"/>
  <c r="D20" i="3"/>
  <c r="D182" i="3" s="1"/>
  <c r="C20" i="3"/>
  <c r="C182" i="3" s="1"/>
  <c r="B20" i="3"/>
  <c r="B182" i="3" s="1"/>
  <c r="A20" i="3"/>
  <c r="A182" i="3" s="1"/>
  <c r="AC19" i="3"/>
  <c r="AB19" i="3"/>
  <c r="AA19" i="3"/>
  <c r="Z19" i="3"/>
  <c r="Y19" i="3"/>
  <c r="X19" i="3"/>
  <c r="W19" i="3"/>
  <c r="V19" i="3"/>
  <c r="U19" i="3"/>
  <c r="T19" i="3"/>
  <c r="S19" i="3"/>
  <c r="R19" i="3"/>
  <c r="E19" i="3"/>
  <c r="E181" i="3" s="1"/>
  <c r="D19" i="3"/>
  <c r="D181" i="3" s="1"/>
  <c r="C19" i="3"/>
  <c r="C181" i="3" s="1"/>
  <c r="B19" i="3"/>
  <c r="B181" i="3" s="1"/>
  <c r="A19" i="3"/>
  <c r="A181" i="3" s="1"/>
  <c r="AC18" i="3"/>
  <c r="AB18" i="3"/>
  <c r="AA18" i="3"/>
  <c r="Z18" i="3"/>
  <c r="Y18" i="3"/>
  <c r="X18" i="3"/>
  <c r="W18" i="3"/>
  <c r="V18" i="3"/>
  <c r="U18" i="3"/>
  <c r="T18" i="3"/>
  <c r="S18" i="3"/>
  <c r="R18" i="3"/>
  <c r="E18" i="3"/>
  <c r="E180" i="3" s="1"/>
  <c r="D18" i="3"/>
  <c r="D180" i="3" s="1"/>
  <c r="C18" i="3"/>
  <c r="C180" i="3" s="1"/>
  <c r="B18" i="3"/>
  <c r="B180" i="3" s="1"/>
  <c r="A18" i="3"/>
  <c r="A180" i="3" s="1"/>
  <c r="AC17" i="3"/>
  <c r="AB17" i="3"/>
  <c r="AA17" i="3"/>
  <c r="Z17" i="3"/>
  <c r="Y17" i="3"/>
  <c r="X17" i="3"/>
  <c r="W17" i="3"/>
  <c r="V17" i="3"/>
  <c r="U17" i="3"/>
  <c r="T17" i="3"/>
  <c r="S17" i="3"/>
  <c r="R17" i="3"/>
  <c r="E17" i="3"/>
  <c r="E179" i="3" s="1"/>
  <c r="D17" i="3"/>
  <c r="D179" i="3" s="1"/>
  <c r="C17" i="3"/>
  <c r="C179" i="3" s="1"/>
  <c r="B17" i="3"/>
  <c r="B179" i="3" s="1"/>
  <c r="A17" i="3"/>
  <c r="A179" i="3" s="1"/>
  <c r="AC16" i="3"/>
  <c r="AB16" i="3"/>
  <c r="AA16" i="3"/>
  <c r="Z16" i="3"/>
  <c r="Y16" i="3"/>
  <c r="X16" i="3"/>
  <c r="W16" i="3"/>
  <c r="V16" i="3"/>
  <c r="U16" i="3"/>
  <c r="T16" i="3"/>
  <c r="S16" i="3"/>
  <c r="R16" i="3"/>
  <c r="E16" i="3"/>
  <c r="E178" i="3" s="1"/>
  <c r="D16" i="3"/>
  <c r="D178" i="3" s="1"/>
  <c r="C16" i="3"/>
  <c r="C178" i="3" s="1"/>
  <c r="B16" i="3"/>
  <c r="B178" i="3" s="1"/>
  <c r="A16" i="3"/>
  <c r="A178" i="3" s="1"/>
  <c r="AC15" i="3"/>
  <c r="AB15" i="3"/>
  <c r="AA15" i="3"/>
  <c r="Z15" i="3"/>
  <c r="Y15" i="3"/>
  <c r="X15" i="3"/>
  <c r="W15" i="3"/>
  <c r="V15" i="3"/>
  <c r="U15" i="3"/>
  <c r="T15" i="3"/>
  <c r="S15" i="3"/>
  <c r="R15" i="3"/>
  <c r="E15" i="3"/>
  <c r="E177" i="3" s="1"/>
  <c r="D15" i="3"/>
  <c r="D177" i="3" s="1"/>
  <c r="C15" i="3"/>
  <c r="C177" i="3" s="1"/>
  <c r="B15" i="3"/>
  <c r="B177" i="3" s="1"/>
  <c r="A15" i="3"/>
  <c r="A177" i="3" s="1"/>
  <c r="AC14" i="3"/>
  <c r="AB14" i="3"/>
  <c r="AA14" i="3"/>
  <c r="Z14" i="3"/>
  <c r="Y14" i="3"/>
  <c r="X14" i="3"/>
  <c r="W14" i="3"/>
  <c r="V14" i="3"/>
  <c r="U14" i="3"/>
  <c r="T14" i="3"/>
  <c r="S14" i="3"/>
  <c r="R14" i="3"/>
  <c r="E14" i="3"/>
  <c r="E176" i="3" s="1"/>
  <c r="D14" i="3"/>
  <c r="D176" i="3" s="1"/>
  <c r="C14" i="3"/>
  <c r="C176" i="3" s="1"/>
  <c r="B14" i="3"/>
  <c r="B176" i="3" s="1"/>
  <c r="A14" i="3"/>
  <c r="A176" i="3" s="1"/>
  <c r="AC13" i="3"/>
  <c r="AB13" i="3"/>
  <c r="AA13" i="3"/>
  <c r="Z13" i="3"/>
  <c r="Y13" i="3"/>
  <c r="X13" i="3"/>
  <c r="W13" i="3"/>
  <c r="V13" i="3"/>
  <c r="U13" i="3"/>
  <c r="T13" i="3"/>
  <c r="S13" i="3"/>
  <c r="R13" i="3"/>
  <c r="E13" i="3"/>
  <c r="E175" i="3" s="1"/>
  <c r="D13" i="3"/>
  <c r="D175" i="3" s="1"/>
  <c r="C13" i="3"/>
  <c r="C175" i="3" s="1"/>
  <c r="B13" i="3"/>
  <c r="B175" i="3" s="1"/>
  <c r="A13" i="3"/>
  <c r="A175" i="3" s="1"/>
  <c r="AC12" i="3"/>
  <c r="AB12" i="3"/>
  <c r="AA12" i="3"/>
  <c r="Z12" i="3"/>
  <c r="Y12" i="3"/>
  <c r="X12" i="3"/>
  <c r="W12" i="3"/>
  <c r="V12" i="3"/>
  <c r="U12" i="3"/>
  <c r="T12" i="3"/>
  <c r="S12" i="3"/>
  <c r="R12" i="3"/>
  <c r="E12" i="3"/>
  <c r="E174" i="3" s="1"/>
  <c r="D12" i="3"/>
  <c r="D174" i="3" s="1"/>
  <c r="C12" i="3"/>
  <c r="C174" i="3" s="1"/>
  <c r="B12" i="3"/>
  <c r="B174" i="3" s="1"/>
  <c r="A12" i="3"/>
  <c r="A174" i="3" s="1"/>
  <c r="AC11" i="3"/>
  <c r="AB11" i="3"/>
  <c r="AA11" i="3"/>
  <c r="Z11" i="3"/>
  <c r="Y11" i="3"/>
  <c r="X11" i="3"/>
  <c r="W11" i="3"/>
  <c r="V11" i="3"/>
  <c r="U11" i="3"/>
  <c r="T11" i="3"/>
  <c r="S11" i="3"/>
  <c r="R11" i="3"/>
  <c r="E11" i="3"/>
  <c r="E173" i="3" s="1"/>
  <c r="D11" i="3"/>
  <c r="D173" i="3" s="1"/>
  <c r="C11" i="3"/>
  <c r="C173" i="3" s="1"/>
  <c r="B11" i="3"/>
  <c r="B173" i="3" s="1"/>
  <c r="A11" i="3"/>
  <c r="A173" i="3" s="1"/>
  <c r="AC10" i="3"/>
  <c r="AB10" i="3"/>
  <c r="AA10" i="3"/>
  <c r="Z10" i="3"/>
  <c r="Y10" i="3"/>
  <c r="X10" i="3"/>
  <c r="W10" i="3"/>
  <c r="V10" i="3"/>
  <c r="U10" i="3"/>
  <c r="T10" i="3"/>
  <c r="S10" i="3"/>
  <c r="R10" i="3"/>
  <c r="E10" i="3"/>
  <c r="E172" i="3" s="1"/>
  <c r="D10" i="3"/>
  <c r="D172" i="3" s="1"/>
  <c r="C10" i="3"/>
  <c r="C172" i="3" s="1"/>
  <c r="B10" i="3"/>
  <c r="B172" i="3" s="1"/>
  <c r="A10" i="3"/>
  <c r="A172" i="3" s="1"/>
  <c r="AC9" i="3"/>
  <c r="AB9" i="3"/>
  <c r="AA9" i="3"/>
  <c r="Z9" i="3"/>
  <c r="Y9" i="3"/>
  <c r="X9" i="3"/>
  <c r="W9" i="3"/>
  <c r="V9" i="3"/>
  <c r="U9" i="3"/>
  <c r="T9" i="3"/>
  <c r="S9" i="3"/>
  <c r="R9" i="3"/>
  <c r="E9" i="3"/>
  <c r="E171" i="3" s="1"/>
  <c r="D9" i="3"/>
  <c r="D171" i="3" s="1"/>
  <c r="C9" i="3"/>
  <c r="C171" i="3" s="1"/>
  <c r="B9" i="3"/>
  <c r="B171" i="3" s="1"/>
  <c r="A9" i="3"/>
  <c r="A171" i="3" s="1"/>
  <c r="AC8" i="3"/>
  <c r="AB8" i="3"/>
  <c r="AA8" i="3"/>
  <c r="Z8" i="3"/>
  <c r="Y8" i="3"/>
  <c r="X8" i="3"/>
  <c r="W8" i="3"/>
  <c r="V8" i="3"/>
  <c r="U8" i="3"/>
  <c r="T8" i="3"/>
  <c r="S8" i="3"/>
  <c r="R8" i="3"/>
  <c r="E8" i="3"/>
  <c r="E170" i="3" s="1"/>
  <c r="D8" i="3"/>
  <c r="D170" i="3" s="1"/>
  <c r="C8" i="3"/>
  <c r="C170" i="3" s="1"/>
  <c r="B8" i="3"/>
  <c r="B170" i="3" s="1"/>
  <c r="A8" i="3"/>
  <c r="A170" i="3" s="1"/>
  <c r="AC7" i="3"/>
  <c r="AB7" i="3"/>
  <c r="AA7" i="3"/>
  <c r="Z7" i="3"/>
  <c r="Y7" i="3"/>
  <c r="X7" i="3"/>
  <c r="W7" i="3"/>
  <c r="V7" i="3"/>
  <c r="U7" i="3"/>
  <c r="T7" i="3"/>
  <c r="S7" i="3"/>
  <c r="R7" i="3"/>
  <c r="E7" i="3"/>
  <c r="E169" i="3" s="1"/>
  <c r="D7" i="3"/>
  <c r="D169" i="3" s="1"/>
  <c r="C7" i="3"/>
  <c r="C169" i="3" s="1"/>
  <c r="B7" i="3"/>
  <c r="B169" i="3" s="1"/>
  <c r="A7" i="3"/>
  <c r="A169" i="3" s="1"/>
  <c r="AC6" i="3"/>
  <c r="AB6" i="3"/>
  <c r="AA6" i="3"/>
  <c r="Z6" i="3"/>
  <c r="Y6" i="3"/>
  <c r="X6" i="3"/>
  <c r="W6" i="3"/>
  <c r="V6" i="3"/>
  <c r="U6" i="3"/>
  <c r="T6" i="3"/>
  <c r="S6" i="3"/>
  <c r="R6" i="3"/>
  <c r="E6" i="3"/>
  <c r="E168" i="3" s="1"/>
  <c r="D6" i="3"/>
  <c r="D168" i="3" s="1"/>
  <c r="C6" i="3"/>
  <c r="C168" i="3" s="1"/>
  <c r="B6" i="3"/>
  <c r="B168" i="3" s="1"/>
  <c r="A6" i="3"/>
  <c r="A168" i="3" s="1"/>
  <c r="AC5" i="3"/>
  <c r="AB5" i="3"/>
  <c r="AA5" i="3"/>
  <c r="Z5" i="3"/>
  <c r="Y5" i="3"/>
  <c r="X5" i="3"/>
  <c r="W5" i="3"/>
  <c r="V5" i="3"/>
  <c r="U5" i="3"/>
  <c r="T5" i="3"/>
  <c r="S5" i="3"/>
  <c r="R5" i="3"/>
  <c r="E5" i="3"/>
  <c r="E167" i="3" s="1"/>
  <c r="D5" i="3"/>
  <c r="D167" i="3" s="1"/>
  <c r="C5" i="3"/>
  <c r="C167" i="3" s="1"/>
  <c r="B5" i="3"/>
  <c r="B167" i="3" s="1"/>
  <c r="A5" i="3"/>
  <c r="A167" i="3" s="1"/>
  <c r="AC4" i="3"/>
  <c r="AB4" i="3"/>
  <c r="AA4" i="3"/>
  <c r="Z4" i="3"/>
  <c r="Y4" i="3"/>
  <c r="X4" i="3"/>
  <c r="W4" i="3"/>
  <c r="V4" i="3"/>
  <c r="U4" i="3"/>
  <c r="T4" i="3"/>
  <c r="S4" i="3"/>
  <c r="R4" i="3"/>
  <c r="E4" i="3"/>
  <c r="B4" i="3"/>
  <c r="A4" i="3"/>
  <c r="AC3" i="3"/>
  <c r="AB3" i="3"/>
  <c r="AA3" i="3"/>
  <c r="Z3" i="3"/>
  <c r="Y3" i="3"/>
  <c r="X3" i="3"/>
  <c r="W3" i="3"/>
  <c r="V3" i="3"/>
  <c r="U3" i="3"/>
  <c r="T3" i="3"/>
  <c r="S3" i="3"/>
  <c r="R3" i="3"/>
  <c r="E3" i="3"/>
  <c r="B3" i="3"/>
  <c r="A3" i="3"/>
  <c r="E2" i="3"/>
  <c r="D2" i="3"/>
  <c r="C2" i="3"/>
  <c r="B2" i="3"/>
  <c r="A2" i="3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171" i="3"/>
  <c r="F285" i="3"/>
  <c r="F260" i="3"/>
  <c r="F300" i="3"/>
  <c r="F276" i="3"/>
  <c r="F284" i="3"/>
  <c r="F235" i="3"/>
  <c r="F169" i="3"/>
  <c r="F198" i="3"/>
  <c r="F268" i="3"/>
  <c r="F242" i="3"/>
  <c r="F228" i="3"/>
  <c r="F301" i="3"/>
  <c r="F292" i="3"/>
  <c r="F269" i="3"/>
  <c r="F293" i="3"/>
  <c r="F277" i="3"/>
  <c r="F215" i="3"/>
  <c r="F261" i="3"/>
  <c r="F204" i="3"/>
  <c r="F196" i="3"/>
  <c r="F224" i="3"/>
  <c r="F212" i="3"/>
  <c r="F187" i="3"/>
  <c r="F203" i="3"/>
  <c r="F232" i="3"/>
  <c r="F174" i="3"/>
  <c r="F190" i="3"/>
  <c r="F193" i="3"/>
  <c r="F209" i="3"/>
  <c r="F219" i="3"/>
  <c r="F180" i="3"/>
  <c r="F177" i="3"/>
  <c r="F230" i="3"/>
  <c r="F175" i="3"/>
  <c r="F243" i="3"/>
  <c r="F218" i="3"/>
  <c r="F202" i="3"/>
  <c r="F191" i="3"/>
  <c r="F244" i="3"/>
  <c r="F302" i="3"/>
  <c r="F294" i="3"/>
  <c r="F263" i="3"/>
  <c r="F188" i="3"/>
  <c r="F279" i="3"/>
  <c r="F253" i="3"/>
  <c r="F254" i="3"/>
  <c r="F237" i="3"/>
  <c r="F170" i="3"/>
  <c r="F186" i="3"/>
  <c r="F295" i="3"/>
  <c r="F226" i="3"/>
  <c r="F220" i="3"/>
  <c r="F287" i="3"/>
  <c r="F271" i="3"/>
  <c r="F185" i="3"/>
  <c r="F201" i="3"/>
  <c r="F227" i="3"/>
  <c r="F172" i="3"/>
  <c r="F222" i="3"/>
  <c r="F168" i="3"/>
  <c r="F178" i="3"/>
  <c r="F183" i="3"/>
  <c r="F210" i="3"/>
  <c r="F194" i="3"/>
  <c r="F199" i="3"/>
  <c r="F207" i="3"/>
  <c r="F251" i="3"/>
  <c r="F252" i="3"/>
  <c r="F221" i="3"/>
  <c r="F270" i="3"/>
  <c r="F262" i="3"/>
  <c r="F278" i="3"/>
  <c r="F229" i="3"/>
  <c r="F167" i="3"/>
  <c r="F245" i="3"/>
  <c r="F214" i="3"/>
  <c r="F246" i="3"/>
  <c r="F184" i="3"/>
  <c r="F286" i="3"/>
  <c r="F176" i="3"/>
  <c r="F208" i="3"/>
  <c r="F192" i="3"/>
  <c r="F223" i="3"/>
  <c r="F200" i="3"/>
  <c r="F216" i="3"/>
  <c r="F236" i="3"/>
  <c r="F240" i="3"/>
  <c r="F189" i="3"/>
  <c r="F173" i="3"/>
  <c r="F205" i="3"/>
  <c r="F197" i="3"/>
  <c r="F256" i="3"/>
  <c r="F181" i="3"/>
  <c r="F213" i="3"/>
  <c r="F296" i="3"/>
  <c r="F265" i="3"/>
  <c r="F182" i="3"/>
  <c r="F288" i="3"/>
  <c r="F272" i="3"/>
  <c r="F247" i="3"/>
  <c r="F273" i="3"/>
  <c r="F248" i="3"/>
  <c r="F255" i="3"/>
  <c r="F239" i="3"/>
  <c r="F280" i="3"/>
  <c r="F264" i="3"/>
  <c r="F231" i="3"/>
  <c r="F297" i="3"/>
  <c r="F289" i="3"/>
  <c r="F281" i="3"/>
  <c r="F234" i="3"/>
  <c r="F257" i="3"/>
  <c r="F267" i="3"/>
  <c r="F211" i="3"/>
  <c r="F217" i="3"/>
  <c r="F274" i="3"/>
  <c r="F206" i="3"/>
  <c r="F299" i="3"/>
  <c r="F250" i="3"/>
  <c r="F298" i="3"/>
  <c r="F179" i="3"/>
  <c r="F241" i="3"/>
  <c r="F266" i="3"/>
  <c r="F195" i="3"/>
  <c r="C325" i="3"/>
  <c r="F225" i="3"/>
  <c r="F290" i="3"/>
  <c r="F249" i="3"/>
  <c r="F238" i="3"/>
  <c r="F259" i="3"/>
  <c r="F291" i="3"/>
  <c r="F282" i="3"/>
  <c r="C327" i="3"/>
  <c r="F233" i="3"/>
  <c r="F283" i="3"/>
  <c r="F275" i="3"/>
  <c r="F258" i="3"/>
  <c r="C323" i="3"/>
  <c r="A159" i="3"/>
  <c r="B311" i="3" l="1"/>
  <c r="B315" i="3"/>
  <c r="B317" i="3"/>
  <c r="B319" i="3"/>
  <c r="B323" i="3"/>
  <c r="B325" i="3"/>
  <c r="B327" i="3"/>
  <c r="C7" i="2"/>
  <c r="C11" i="2"/>
  <c r="C15" i="2"/>
  <c r="C19" i="2"/>
  <c r="C163" i="3"/>
  <c r="M329" i="3" l="1"/>
  <c r="M330" i="3" s="1"/>
  <c r="I329" i="3"/>
  <c r="I330" i="3" s="1"/>
  <c r="E329" i="3"/>
  <c r="E330" i="3" s="1"/>
  <c r="L329" i="3"/>
  <c r="L330" i="3" s="1"/>
  <c r="H329" i="3"/>
  <c r="H330" i="3" s="1"/>
  <c r="D329" i="3"/>
  <c r="D330" i="3" s="1"/>
  <c r="K329" i="3"/>
  <c r="K330" i="3" s="1"/>
  <c r="G329" i="3"/>
  <c r="G330" i="3" s="1"/>
  <c r="C329" i="3"/>
  <c r="C330" i="3" s="1"/>
  <c r="B329" i="3"/>
  <c r="B330" i="3" s="1"/>
  <c r="N329" i="3"/>
  <c r="N330" i="3" s="1"/>
  <c r="J329" i="3"/>
  <c r="J330" i="3" s="1"/>
  <c r="F329" i="3"/>
  <c r="F330" i="3" s="1"/>
  <c r="M321" i="3"/>
  <c r="M322" i="3" s="1"/>
  <c r="I321" i="3"/>
  <c r="I322" i="3" s="1"/>
  <c r="E321" i="3"/>
  <c r="E322" i="3" s="1"/>
  <c r="L321" i="3"/>
  <c r="L322" i="3" s="1"/>
  <c r="H321" i="3"/>
  <c r="H322" i="3" s="1"/>
  <c r="D321" i="3"/>
  <c r="D322" i="3" s="1"/>
  <c r="K321" i="3"/>
  <c r="K322" i="3" s="1"/>
  <c r="G321" i="3"/>
  <c r="G322" i="3" s="1"/>
  <c r="C321" i="3"/>
  <c r="C322" i="3" s="1"/>
  <c r="J321" i="3"/>
  <c r="J322" i="3" s="1"/>
  <c r="F321" i="3"/>
  <c r="F322" i="3" s="1"/>
  <c r="B321" i="3"/>
  <c r="B322" i="3" s="1"/>
  <c r="N321" i="3"/>
  <c r="N322" i="3" s="1"/>
  <c r="W2" i="3" l="1"/>
  <c r="K2" i="3"/>
  <c r="L2" i="2" s="1"/>
  <c r="B165" i="3"/>
  <c r="AA2" i="3"/>
  <c r="O2" i="3"/>
  <c r="H2" i="2" s="1"/>
  <c r="U2" i="3"/>
  <c r="I2" i="3"/>
  <c r="N2" i="2" s="1"/>
  <c r="Z2" i="3"/>
  <c r="N2" i="3"/>
  <c r="I2" i="2" s="1"/>
  <c r="T2" i="3"/>
  <c r="H2" i="3"/>
  <c r="O2" i="2" s="1"/>
  <c r="R2" i="3"/>
  <c r="F2" i="3"/>
  <c r="Q2" i="2" s="1"/>
  <c r="Y2" i="3"/>
  <c r="M2" i="3"/>
  <c r="J2" i="2" s="1"/>
  <c r="S2" i="3"/>
  <c r="G2" i="3"/>
  <c r="P2" i="2" s="1"/>
  <c r="X2" i="3"/>
  <c r="L2" i="3"/>
  <c r="K2" i="2" s="1"/>
  <c r="P2" i="3"/>
  <c r="G2" i="2" s="1"/>
  <c r="AB2" i="3"/>
  <c r="AC2" i="3"/>
  <c r="Q2" i="3"/>
  <c r="F2" i="2" s="1"/>
  <c r="V2" i="3"/>
  <c r="J2" i="3"/>
  <c r="M2" i="2" s="1"/>
  <c r="Q148" i="3"/>
  <c r="J147" i="3"/>
  <c r="P145" i="3"/>
  <c r="M144" i="3"/>
  <c r="O142" i="3"/>
  <c r="G148" i="3"/>
  <c r="Q146" i="3"/>
  <c r="J145" i="3"/>
  <c r="P143" i="3"/>
  <c r="M142" i="3"/>
  <c r="O140" i="3"/>
  <c r="L139" i="3"/>
  <c r="J146" i="3"/>
  <c r="M143" i="3"/>
  <c r="P140" i="3"/>
  <c r="P138" i="3"/>
  <c r="M137" i="3"/>
  <c r="O135" i="3"/>
  <c r="L134" i="3"/>
  <c r="I133" i="3"/>
  <c r="H146" i="3"/>
  <c r="K143" i="3"/>
  <c r="L141" i="3"/>
  <c r="Q139" i="3"/>
  <c r="G138" i="3"/>
  <c r="Q136" i="3"/>
  <c r="J135" i="3"/>
  <c r="P133" i="3"/>
  <c r="M132" i="3"/>
  <c r="N146" i="3"/>
  <c r="I143" i="3"/>
  <c r="K141" i="3"/>
  <c r="J139" i="3"/>
  <c r="H148" i="3"/>
  <c r="K145" i="3"/>
  <c r="G143" i="3"/>
  <c r="Q140" i="3"/>
  <c r="Q138" i="3"/>
  <c r="J137" i="3"/>
  <c r="P135" i="3"/>
  <c r="M134" i="3"/>
  <c r="O132" i="3"/>
  <c r="K130" i="3"/>
  <c r="H129" i="3"/>
  <c r="N127" i="3"/>
  <c r="G126" i="3"/>
  <c r="Q124" i="3"/>
  <c r="O129" i="3"/>
  <c r="P127" i="3"/>
  <c r="O125" i="3"/>
  <c r="N123" i="3"/>
  <c r="G122" i="3"/>
  <c r="Q120" i="3"/>
  <c r="J119" i="3"/>
  <c r="P117" i="3"/>
  <c r="M116" i="3"/>
  <c r="O114" i="3"/>
  <c r="K112" i="3"/>
  <c r="H111" i="3"/>
  <c r="N109" i="3"/>
  <c r="G108" i="3"/>
  <c r="Q106" i="3"/>
  <c r="J105" i="3"/>
  <c r="P103" i="3"/>
  <c r="M102" i="3"/>
  <c r="O100" i="3"/>
  <c r="L99" i="3"/>
  <c r="I98" i="3"/>
  <c r="K96" i="3"/>
  <c r="G94" i="3"/>
  <c r="Q92" i="3"/>
  <c r="J91" i="3"/>
  <c r="P89" i="3"/>
  <c r="M88" i="3"/>
  <c r="O86" i="3"/>
  <c r="L85" i="3"/>
  <c r="I84" i="3"/>
  <c r="P136" i="3"/>
  <c r="P132" i="3"/>
  <c r="N129" i="3"/>
  <c r="O127" i="3"/>
  <c r="N125" i="3"/>
  <c r="H124" i="3"/>
  <c r="N122" i="3"/>
  <c r="G121" i="3"/>
  <c r="Q119" i="3"/>
  <c r="J118" i="3"/>
  <c r="P116" i="3"/>
  <c r="M115" i="3"/>
  <c r="N112" i="3"/>
  <c r="G111" i="3"/>
  <c r="Q109" i="3"/>
  <c r="J108" i="3"/>
  <c r="P106" i="3"/>
  <c r="M105" i="3"/>
  <c r="O103" i="3"/>
  <c r="L102" i="3"/>
  <c r="I101" i="3"/>
  <c r="K99" i="3"/>
  <c r="H98" i="3"/>
  <c r="N96" i="3"/>
  <c r="O93" i="3"/>
  <c r="L92" i="3"/>
  <c r="I91" i="3"/>
  <c r="K89" i="3"/>
  <c r="H88" i="3"/>
  <c r="N86" i="3"/>
  <c r="G85" i="3"/>
  <c r="K137" i="3"/>
  <c r="K133" i="3"/>
  <c r="J130" i="3"/>
  <c r="J128" i="3"/>
  <c r="J126" i="3"/>
  <c r="K124" i="3"/>
  <c r="H123" i="3"/>
  <c r="N121" i="3"/>
  <c r="G120" i="3"/>
  <c r="Q118" i="3"/>
  <c r="J117" i="3"/>
  <c r="P115" i="3"/>
  <c r="M114" i="3"/>
  <c r="I112" i="3"/>
  <c r="K110" i="3"/>
  <c r="H109" i="3"/>
  <c r="N107" i="3"/>
  <c r="G106" i="3"/>
  <c r="Q104" i="3"/>
  <c r="J103" i="3"/>
  <c r="P101" i="3"/>
  <c r="M100" i="3"/>
  <c r="O98" i="3"/>
  <c r="L97" i="3"/>
  <c r="I96" i="3"/>
  <c r="N93" i="3"/>
  <c r="G92" i="3"/>
  <c r="Q90" i="3"/>
  <c r="J89" i="3"/>
  <c r="P87" i="3"/>
  <c r="M86" i="3"/>
  <c r="O84" i="3"/>
  <c r="L83" i="3"/>
  <c r="I82" i="3"/>
  <c r="K80" i="3"/>
  <c r="H79" i="3"/>
  <c r="Q76" i="3"/>
  <c r="J75" i="3"/>
  <c r="G133" i="3"/>
  <c r="Q129" i="3"/>
  <c r="Q127" i="3"/>
  <c r="I126" i="3"/>
  <c r="J124" i="3"/>
  <c r="P122" i="3"/>
  <c r="M121" i="3"/>
  <c r="O119" i="3"/>
  <c r="L118" i="3"/>
  <c r="I117" i="3"/>
  <c r="K115" i="3"/>
  <c r="H114" i="3"/>
  <c r="Q111" i="3"/>
  <c r="J110" i="3"/>
  <c r="P108" i="3"/>
  <c r="M107" i="3"/>
  <c r="O105" i="3"/>
  <c r="L104" i="3"/>
  <c r="I103" i="3"/>
  <c r="K101" i="3"/>
  <c r="H100" i="3"/>
  <c r="N98" i="3"/>
  <c r="G97" i="3"/>
  <c r="P94" i="3"/>
  <c r="M93" i="3"/>
  <c r="O91" i="3"/>
  <c r="L90" i="3"/>
  <c r="I89" i="3"/>
  <c r="K87" i="3"/>
  <c r="H86" i="3"/>
  <c r="N84" i="3"/>
  <c r="G83" i="3"/>
  <c r="Q81" i="3"/>
  <c r="P81" i="3"/>
  <c r="M79" i="3"/>
  <c r="L76" i="3"/>
  <c r="O74" i="3"/>
  <c r="L73" i="3"/>
  <c r="I72" i="3"/>
  <c r="K70" i="3"/>
  <c r="H69" i="3"/>
  <c r="N67" i="3"/>
  <c r="G66" i="3"/>
  <c r="Q64" i="3"/>
  <c r="J63" i="3"/>
  <c r="P61" i="3"/>
  <c r="M60" i="3"/>
  <c r="H57" i="3"/>
  <c r="N55" i="3"/>
  <c r="G54" i="3"/>
  <c r="Q52" i="3"/>
  <c r="J51" i="3"/>
  <c r="P49" i="3"/>
  <c r="M48" i="3"/>
  <c r="O46" i="3"/>
  <c r="L45" i="3"/>
  <c r="I44" i="3"/>
  <c r="K42" i="3"/>
  <c r="H41" i="3"/>
  <c r="Q38" i="3"/>
  <c r="J37" i="3"/>
  <c r="P35" i="3"/>
  <c r="M34" i="3"/>
  <c r="O32" i="3"/>
  <c r="L31" i="3"/>
  <c r="I30" i="3"/>
  <c r="K28" i="3"/>
  <c r="H27" i="3"/>
  <c r="Q83" i="3"/>
  <c r="G81" i="3"/>
  <c r="K79" i="3"/>
  <c r="K76" i="3"/>
  <c r="J74" i="3"/>
  <c r="P72" i="3"/>
  <c r="M71" i="3"/>
  <c r="O69" i="3"/>
  <c r="L68" i="3"/>
  <c r="I67" i="3"/>
  <c r="K65" i="3"/>
  <c r="H64" i="3"/>
  <c r="N62" i="3"/>
  <c r="G61" i="3"/>
  <c r="O57" i="3"/>
  <c r="L56" i="3"/>
  <c r="I55" i="3"/>
  <c r="K53" i="3"/>
  <c r="H52" i="3"/>
  <c r="N50" i="3"/>
  <c r="G49" i="3"/>
  <c r="Q47" i="3"/>
  <c r="J46" i="3"/>
  <c r="P44" i="3"/>
  <c r="M43" i="3"/>
  <c r="O41" i="3"/>
  <c r="K39" i="3"/>
  <c r="H38" i="3"/>
  <c r="N36" i="3"/>
  <c r="G35" i="3"/>
  <c r="Q33" i="3"/>
  <c r="J32" i="3"/>
  <c r="P30" i="3"/>
  <c r="M29" i="3"/>
  <c r="O27" i="3"/>
  <c r="L26" i="3"/>
  <c r="I25" i="3"/>
  <c r="N82" i="3"/>
  <c r="O79" i="3"/>
  <c r="O76" i="3"/>
  <c r="Q74" i="3"/>
  <c r="J73" i="3"/>
  <c r="P71" i="3"/>
  <c r="M70" i="3"/>
  <c r="O68" i="3"/>
  <c r="L67" i="3"/>
  <c r="I66" i="3"/>
  <c r="K64" i="3"/>
  <c r="H63" i="3"/>
  <c r="N61" i="3"/>
  <c r="G60" i="3"/>
  <c r="K56" i="3"/>
  <c r="H55" i="3"/>
  <c r="N53" i="3"/>
  <c r="G52" i="3"/>
  <c r="Q50" i="3"/>
  <c r="J49" i="3"/>
  <c r="P47" i="3"/>
  <c r="M46" i="3"/>
  <c r="O44" i="3"/>
  <c r="L43" i="3"/>
  <c r="I42" i="3"/>
  <c r="J39" i="3"/>
  <c r="P37" i="3"/>
  <c r="M36" i="3"/>
  <c r="O34" i="3"/>
  <c r="L33" i="3"/>
  <c r="I32" i="3"/>
  <c r="K30" i="3"/>
  <c r="H29" i="3"/>
  <c r="N27" i="3"/>
  <c r="K81" i="3"/>
  <c r="I79" i="3"/>
  <c r="H76" i="3"/>
  <c r="P74" i="3"/>
  <c r="M73" i="3"/>
  <c r="O71" i="3"/>
  <c r="L70" i="3"/>
  <c r="I69" i="3"/>
  <c r="K67" i="3"/>
  <c r="H66" i="3"/>
  <c r="N64" i="3"/>
  <c r="G63" i="3"/>
  <c r="Q61" i="3"/>
  <c r="J60" i="3"/>
  <c r="N56" i="3"/>
  <c r="G55" i="3"/>
  <c r="Q53" i="3"/>
  <c r="J52" i="3"/>
  <c r="P50" i="3"/>
  <c r="M49" i="3"/>
  <c r="O47" i="3"/>
  <c r="L46" i="3"/>
  <c r="I45" i="3"/>
  <c r="K43" i="3"/>
  <c r="H42" i="3"/>
  <c r="Q39" i="3"/>
  <c r="J38" i="3"/>
  <c r="P36" i="3"/>
  <c r="M35" i="3"/>
  <c r="O33" i="3"/>
  <c r="L32" i="3"/>
  <c r="I31" i="3"/>
  <c r="K29" i="3"/>
  <c r="O26" i="3"/>
  <c r="M24" i="3"/>
  <c r="H23" i="3"/>
  <c r="Q20" i="3"/>
  <c r="J19" i="3"/>
  <c r="P17" i="3"/>
  <c r="M16" i="3"/>
  <c r="O14" i="3"/>
  <c r="L13" i="3"/>
  <c r="I12" i="3"/>
  <c r="K10" i="3"/>
  <c r="H9" i="3"/>
  <c r="N7" i="3"/>
  <c r="G6" i="3"/>
  <c r="L28" i="3"/>
  <c r="H25" i="3"/>
  <c r="O23" i="3"/>
  <c r="K21" i="3"/>
  <c r="H20" i="3"/>
  <c r="N18" i="3"/>
  <c r="G17" i="3"/>
  <c r="Q15" i="3"/>
  <c r="J14" i="3"/>
  <c r="P12" i="3"/>
  <c r="M11" i="3"/>
  <c r="O9" i="3"/>
  <c r="L8" i="3"/>
  <c r="I7" i="3"/>
  <c r="K5" i="3"/>
  <c r="K26" i="3"/>
  <c r="K24" i="3"/>
  <c r="J21" i="3"/>
  <c r="P19" i="3"/>
  <c r="M18" i="3"/>
  <c r="O16" i="3"/>
  <c r="L15" i="3"/>
  <c r="I14" i="3"/>
  <c r="K12" i="3"/>
  <c r="H11" i="3"/>
  <c r="N9" i="3"/>
  <c r="G8" i="3"/>
  <c r="Q6" i="3"/>
  <c r="J5" i="3"/>
  <c r="K25" i="3"/>
  <c r="N20" i="3"/>
  <c r="N16" i="3"/>
  <c r="N12" i="3"/>
  <c r="N8" i="3"/>
  <c r="Q23" i="3"/>
  <c r="I17" i="3"/>
  <c r="G11" i="3"/>
  <c r="H6" i="3"/>
  <c r="J16" i="3"/>
  <c r="J8" i="3"/>
  <c r="K19" i="3"/>
  <c r="K11" i="3"/>
  <c r="F70" i="3"/>
  <c r="F55" i="3"/>
  <c r="F61" i="3"/>
  <c r="F124" i="3"/>
  <c r="F16" i="3"/>
  <c r="F39" i="3"/>
  <c r="F82" i="3"/>
  <c r="F20" i="3"/>
  <c r="F128" i="3"/>
  <c r="F112" i="3"/>
  <c r="F8" i="3"/>
  <c r="F5" i="3"/>
  <c r="F121" i="3"/>
  <c r="F60" i="3"/>
  <c r="F63" i="3"/>
  <c r="F57" i="3"/>
  <c r="F129" i="3"/>
  <c r="F30" i="3"/>
  <c r="F45" i="3"/>
  <c r="F67" i="3"/>
  <c r="F114" i="3"/>
  <c r="F69" i="3"/>
  <c r="F126" i="3"/>
  <c r="F144" i="3"/>
  <c r="F73" i="3"/>
  <c r="M148" i="3"/>
  <c r="O146" i="3"/>
  <c r="L145" i="3"/>
  <c r="I144" i="3"/>
  <c r="K142" i="3"/>
  <c r="P147" i="3"/>
  <c r="M146" i="3"/>
  <c r="O144" i="3"/>
  <c r="L143" i="3"/>
  <c r="I142" i="3"/>
  <c r="K140" i="3"/>
  <c r="H139" i="3"/>
  <c r="Q145" i="3"/>
  <c r="J142" i="3"/>
  <c r="J140" i="3"/>
  <c r="L138" i="3"/>
  <c r="I137" i="3"/>
  <c r="K135" i="3"/>
  <c r="H134" i="3"/>
  <c r="L148" i="3"/>
  <c r="O145" i="3"/>
  <c r="P142" i="3"/>
  <c r="G141" i="3"/>
  <c r="K139" i="3"/>
  <c r="P137" i="3"/>
  <c r="M136" i="3"/>
  <c r="O134" i="3"/>
  <c r="L133" i="3"/>
  <c r="J148" i="3"/>
  <c r="M145" i="3"/>
  <c r="N142" i="3"/>
  <c r="M140" i="3"/>
  <c r="N138" i="3"/>
  <c r="O147" i="3"/>
  <c r="P144" i="3"/>
  <c r="L142" i="3"/>
  <c r="L140" i="3"/>
  <c r="M138" i="3"/>
  <c r="O136" i="3"/>
  <c r="L135" i="3"/>
  <c r="I134" i="3"/>
  <c r="K132" i="3"/>
  <c r="G130" i="3"/>
  <c r="Q128" i="3"/>
  <c r="J127" i="3"/>
  <c r="P125" i="3"/>
  <c r="J132" i="3"/>
  <c r="J129" i="3"/>
  <c r="K127" i="3"/>
  <c r="J125" i="3"/>
  <c r="J123" i="3"/>
  <c r="P121" i="3"/>
  <c r="M120" i="3"/>
  <c r="O118" i="3"/>
  <c r="L117" i="3"/>
  <c r="I116" i="3"/>
  <c r="K114" i="3"/>
  <c r="G112" i="3"/>
  <c r="Q110" i="3"/>
  <c r="J109" i="3"/>
  <c r="P107" i="3"/>
  <c r="M106" i="3"/>
  <c r="O104" i="3"/>
  <c r="L103" i="3"/>
  <c r="I102" i="3"/>
  <c r="K100" i="3"/>
  <c r="H99" i="3"/>
  <c r="N97" i="3"/>
  <c r="G96" i="3"/>
  <c r="P93" i="3"/>
  <c r="M92" i="3"/>
  <c r="O90" i="3"/>
  <c r="L89" i="3"/>
  <c r="I88" i="3"/>
  <c r="K86" i="3"/>
  <c r="H85" i="3"/>
  <c r="N83" i="3"/>
  <c r="Q135" i="3"/>
  <c r="I132" i="3"/>
  <c r="I129" i="3"/>
  <c r="I127" i="3"/>
  <c r="I125" i="3"/>
  <c r="Q123" i="3"/>
  <c r="J122" i="3"/>
  <c r="P120" i="3"/>
  <c r="M119" i="3"/>
  <c r="O117" i="3"/>
  <c r="L116" i="3"/>
  <c r="I115" i="3"/>
  <c r="J112" i="3"/>
  <c r="P110" i="3"/>
  <c r="M109" i="3"/>
  <c r="O107" i="3"/>
  <c r="L106" i="3"/>
  <c r="I105" i="3"/>
  <c r="K103" i="3"/>
  <c r="H102" i="3"/>
  <c r="N100" i="3"/>
  <c r="G99" i="3"/>
  <c r="Q97" i="3"/>
  <c r="J96" i="3"/>
  <c r="K93" i="3"/>
  <c r="H92" i="3"/>
  <c r="N90" i="3"/>
  <c r="G89" i="3"/>
  <c r="Q87" i="3"/>
  <c r="J86" i="3"/>
  <c r="P84" i="3"/>
  <c r="L136" i="3"/>
  <c r="N132" i="3"/>
  <c r="M129" i="3"/>
  <c r="M127" i="3"/>
  <c r="M125" i="3"/>
  <c r="G124" i="3"/>
  <c r="Q122" i="3"/>
  <c r="J121" i="3"/>
  <c r="P119" i="3"/>
  <c r="M118" i="3"/>
  <c r="O116" i="3"/>
  <c r="L115" i="3"/>
  <c r="I114" i="3"/>
  <c r="N111" i="3"/>
  <c r="G110" i="3"/>
  <c r="Q108" i="3"/>
  <c r="J107" i="3"/>
  <c r="P105" i="3"/>
  <c r="M104" i="3"/>
  <c r="O102" i="3"/>
  <c r="L101" i="3"/>
  <c r="I100" i="3"/>
  <c r="K98" i="3"/>
  <c r="H97" i="3"/>
  <c r="Q94" i="3"/>
  <c r="J93" i="3"/>
  <c r="P91" i="3"/>
  <c r="M90" i="3"/>
  <c r="O88" i="3"/>
  <c r="L87" i="3"/>
  <c r="I86" i="3"/>
  <c r="K84" i="3"/>
  <c r="H83" i="3"/>
  <c r="N81" i="3"/>
  <c r="G80" i="3"/>
  <c r="Q78" i="3"/>
  <c r="M76" i="3"/>
  <c r="G137" i="3"/>
  <c r="L132" i="3"/>
  <c r="K129" i="3"/>
  <c r="L127" i="3"/>
  <c r="Q125" i="3"/>
  <c r="O123" i="3"/>
  <c r="L122" i="3"/>
  <c r="I121" i="3"/>
  <c r="K119" i="3"/>
  <c r="H118" i="3"/>
  <c r="N116" i="3"/>
  <c r="G115" i="3"/>
  <c r="P112" i="3"/>
  <c r="M111" i="3"/>
  <c r="O109" i="3"/>
  <c r="L108" i="3"/>
  <c r="I107" i="3"/>
  <c r="K105" i="3"/>
  <c r="H104" i="3"/>
  <c r="N102" i="3"/>
  <c r="G101" i="3"/>
  <c r="Q99" i="3"/>
  <c r="J98" i="3"/>
  <c r="P96" i="3"/>
  <c r="L94" i="3"/>
  <c r="I93" i="3"/>
  <c r="K91" i="3"/>
  <c r="H90" i="3"/>
  <c r="N88" i="3"/>
  <c r="G87" i="3"/>
  <c r="Q85" i="3"/>
  <c r="J84" i="3"/>
  <c r="P82" i="3"/>
  <c r="M81" i="3"/>
  <c r="H81" i="3"/>
  <c r="G79" i="3"/>
  <c r="G76" i="3"/>
  <c r="K74" i="3"/>
  <c r="H73" i="3"/>
  <c r="N71" i="3"/>
  <c r="G70" i="3"/>
  <c r="Q68" i="3"/>
  <c r="J67" i="3"/>
  <c r="P65" i="3"/>
  <c r="M64" i="3"/>
  <c r="O62" i="3"/>
  <c r="L61" i="3"/>
  <c r="I60" i="3"/>
  <c r="Q56" i="3"/>
  <c r="J55" i="3"/>
  <c r="P53" i="3"/>
  <c r="M52" i="3"/>
  <c r="O50" i="3"/>
  <c r="L49" i="3"/>
  <c r="I48" i="3"/>
  <c r="K46" i="3"/>
  <c r="H45" i="3"/>
  <c r="N43" i="3"/>
  <c r="G42" i="3"/>
  <c r="P39" i="3"/>
  <c r="M38" i="3"/>
  <c r="O36" i="3"/>
  <c r="L35" i="3"/>
  <c r="I34" i="3"/>
  <c r="K32" i="3"/>
  <c r="H31" i="3"/>
  <c r="N29" i="3"/>
  <c r="G28" i="3"/>
  <c r="Q26" i="3"/>
  <c r="O82" i="3"/>
  <c r="N80" i="3"/>
  <c r="N78" i="3"/>
  <c r="O75" i="3"/>
  <c r="O73" i="3"/>
  <c r="L72" i="3"/>
  <c r="I71" i="3"/>
  <c r="K69" i="3"/>
  <c r="H68" i="3"/>
  <c r="N66" i="3"/>
  <c r="G65" i="3"/>
  <c r="Q63" i="3"/>
  <c r="J62" i="3"/>
  <c r="P60" i="3"/>
  <c r="K57" i="3"/>
  <c r="H56" i="3"/>
  <c r="N54" i="3"/>
  <c r="G53" i="3"/>
  <c r="Q51" i="3"/>
  <c r="J50" i="3"/>
  <c r="P48" i="3"/>
  <c r="M47" i="3"/>
  <c r="O45" i="3"/>
  <c r="L44" i="3"/>
  <c r="I43" i="3"/>
  <c r="K41" i="3"/>
  <c r="G39" i="3"/>
  <c r="Q37" i="3"/>
  <c r="J36" i="3"/>
  <c r="P34" i="3"/>
  <c r="M33" i="3"/>
  <c r="O31" i="3"/>
  <c r="L30" i="3"/>
  <c r="I29" i="3"/>
  <c r="K27" i="3"/>
  <c r="H26" i="3"/>
  <c r="N24" i="3"/>
  <c r="L81" i="3"/>
  <c r="J79" i="3"/>
  <c r="J76" i="3"/>
  <c r="M74" i="3"/>
  <c r="O72" i="3"/>
  <c r="L71" i="3"/>
  <c r="I70" i="3"/>
  <c r="K68" i="3"/>
  <c r="H67" i="3"/>
  <c r="N65" i="3"/>
  <c r="G64" i="3"/>
  <c r="Q62" i="3"/>
  <c r="J61" i="3"/>
  <c r="N57" i="3"/>
  <c r="G56" i="3"/>
  <c r="Q54" i="3"/>
  <c r="J53" i="3"/>
  <c r="P51" i="3"/>
  <c r="M50" i="3"/>
  <c r="O48" i="3"/>
  <c r="L47" i="3"/>
  <c r="I46" i="3"/>
  <c r="K44" i="3"/>
  <c r="H43" i="3"/>
  <c r="N41" i="3"/>
  <c r="O38" i="3"/>
  <c r="L37" i="3"/>
  <c r="I36" i="3"/>
  <c r="K34" i="3"/>
  <c r="H33" i="3"/>
  <c r="N31" i="3"/>
  <c r="G30" i="3"/>
  <c r="Q28" i="3"/>
  <c r="J27" i="3"/>
  <c r="Q80" i="3"/>
  <c r="P78" i="3"/>
  <c r="Q75" i="3"/>
  <c r="L74" i="3"/>
  <c r="I73" i="3"/>
  <c r="K71" i="3"/>
  <c r="H70" i="3"/>
  <c r="N68" i="3"/>
  <c r="G67" i="3"/>
  <c r="Q65" i="3"/>
  <c r="J64" i="3"/>
  <c r="P62" i="3"/>
  <c r="M61" i="3"/>
  <c r="Q57" i="3"/>
  <c r="J56" i="3"/>
  <c r="P54" i="3"/>
  <c r="M53" i="3"/>
  <c r="O51" i="3"/>
  <c r="L50" i="3"/>
  <c r="I49" i="3"/>
  <c r="K47" i="3"/>
  <c r="H46" i="3"/>
  <c r="N44" i="3"/>
  <c r="G43" i="3"/>
  <c r="Q41" i="3"/>
  <c r="M39" i="3"/>
  <c r="O37" i="3"/>
  <c r="L36" i="3"/>
  <c r="I35" i="3"/>
  <c r="K33" i="3"/>
  <c r="H32" i="3"/>
  <c r="N30" i="3"/>
  <c r="G29" i="3"/>
  <c r="G26" i="3"/>
  <c r="H24" i="3"/>
  <c r="P21" i="3"/>
  <c r="M20" i="3"/>
  <c r="O18" i="3"/>
  <c r="L17" i="3"/>
  <c r="I16" i="3"/>
  <c r="K14" i="3"/>
  <c r="H13" i="3"/>
  <c r="N11" i="3"/>
  <c r="G10" i="3"/>
  <c r="Q8" i="3"/>
  <c r="J7" i="3"/>
  <c r="P5" i="3"/>
  <c r="M27" i="3"/>
  <c r="Q24" i="3"/>
  <c r="K23" i="3"/>
  <c r="G21" i="3"/>
  <c r="Q19" i="3"/>
  <c r="J18" i="3"/>
  <c r="P16" i="3"/>
  <c r="M15" i="3"/>
  <c r="O13" i="3"/>
  <c r="L12" i="3"/>
  <c r="I11" i="3"/>
  <c r="K9" i="3"/>
  <c r="H8" i="3"/>
  <c r="N6" i="3"/>
  <c r="G5" i="3"/>
  <c r="L25" i="3"/>
  <c r="N23" i="3"/>
  <c r="O20" i="3"/>
  <c r="L19" i="3"/>
  <c r="I18" i="3"/>
  <c r="K16" i="3"/>
  <c r="H15" i="3"/>
  <c r="N13" i="3"/>
  <c r="G12" i="3"/>
  <c r="Q10" i="3"/>
  <c r="J9" i="3"/>
  <c r="P7" i="3"/>
  <c r="M6" i="3"/>
  <c r="P25" i="3"/>
  <c r="I24" i="3"/>
  <c r="O19" i="3"/>
  <c r="O15" i="3"/>
  <c r="O11" i="3"/>
  <c r="O7" i="3"/>
  <c r="I21" i="3"/>
  <c r="G15" i="3"/>
  <c r="H10" i="3"/>
  <c r="I5" i="3"/>
  <c r="L14" i="3"/>
  <c r="L6" i="3"/>
  <c r="M17" i="3"/>
  <c r="M9" i="3"/>
  <c r="F104" i="3"/>
  <c r="F43" i="3"/>
  <c r="F25" i="3"/>
  <c r="F6" i="3"/>
  <c r="F21" i="3"/>
  <c r="F89" i="3"/>
  <c r="F117" i="3"/>
  <c r="F17" i="3"/>
  <c r="F143" i="3"/>
  <c r="F146" i="3"/>
  <c r="F44" i="3"/>
  <c r="F98" i="3"/>
  <c r="F24" i="3"/>
  <c r="F106" i="3"/>
  <c r="F28" i="3"/>
  <c r="F93" i="3"/>
  <c r="F105" i="3"/>
  <c r="F35" i="3"/>
  <c r="F80" i="3"/>
  <c r="F96" i="3"/>
  <c r="F115" i="3"/>
  <c r="F19" i="3"/>
  <c r="F118" i="3"/>
  <c r="F92" i="3"/>
  <c r="F18" i="3"/>
  <c r="F11" i="3"/>
  <c r="F116" i="3"/>
  <c r="F136" i="3"/>
  <c r="I148" i="3"/>
  <c r="K146" i="3"/>
  <c r="H145" i="3"/>
  <c r="N143" i="3"/>
  <c r="O148" i="3"/>
  <c r="L147" i="3"/>
  <c r="I146" i="3"/>
  <c r="K144" i="3"/>
  <c r="H143" i="3"/>
  <c r="N141" i="3"/>
  <c r="G140" i="3"/>
  <c r="N148" i="3"/>
  <c r="I145" i="3"/>
  <c r="M141" i="3"/>
  <c r="M139" i="3"/>
  <c r="H138" i="3"/>
  <c r="N136" i="3"/>
  <c r="G135" i="3"/>
  <c r="Q133" i="3"/>
  <c r="K147" i="3"/>
  <c r="G145" i="3"/>
  <c r="H142" i="3"/>
  <c r="N140" i="3"/>
  <c r="O138" i="3"/>
  <c r="L137" i="3"/>
  <c r="I136" i="3"/>
  <c r="K134" i="3"/>
  <c r="H133" i="3"/>
  <c r="Q147" i="3"/>
  <c r="J144" i="3"/>
  <c r="G142" i="3"/>
  <c r="H140" i="3"/>
  <c r="J138" i="3"/>
  <c r="G147" i="3"/>
  <c r="H144" i="3"/>
  <c r="O141" i="3"/>
  <c r="N139" i="3"/>
  <c r="I138" i="3"/>
  <c r="K136" i="3"/>
  <c r="H135" i="3"/>
  <c r="N133" i="3"/>
  <c r="G132" i="3"/>
  <c r="P129" i="3"/>
  <c r="M128" i="3"/>
  <c r="O126" i="3"/>
  <c r="L125" i="3"/>
  <c r="M130" i="3"/>
  <c r="L128" i="3"/>
  <c r="M126" i="3"/>
  <c r="M124" i="3"/>
  <c r="O122" i="3"/>
  <c r="L121" i="3"/>
  <c r="I120" i="3"/>
  <c r="K118" i="3"/>
  <c r="H117" i="3"/>
  <c r="N115" i="3"/>
  <c r="G114" i="3"/>
  <c r="P111" i="3"/>
  <c r="M110" i="3"/>
  <c r="O108" i="3"/>
  <c r="L107" i="3"/>
  <c r="I106" i="3"/>
  <c r="K104" i="3"/>
  <c r="H103" i="3"/>
  <c r="N101" i="3"/>
  <c r="G100" i="3"/>
  <c r="Q98" i="3"/>
  <c r="J97" i="3"/>
  <c r="O94" i="3"/>
  <c r="L93" i="3"/>
  <c r="I92" i="3"/>
  <c r="K90" i="3"/>
  <c r="H89" i="3"/>
  <c r="N87" i="3"/>
  <c r="G86" i="3"/>
  <c r="Q84" i="3"/>
  <c r="J83" i="3"/>
  <c r="N134" i="3"/>
  <c r="Q130" i="3"/>
  <c r="P128" i="3"/>
  <c r="Q126" i="3"/>
  <c r="P124" i="3"/>
  <c r="M123" i="3"/>
  <c r="O121" i="3"/>
  <c r="L120" i="3"/>
  <c r="I119" i="3"/>
  <c r="K117" i="3"/>
  <c r="H116" i="3"/>
  <c r="N114" i="3"/>
  <c r="O111" i="3"/>
  <c r="L110" i="3"/>
  <c r="I109" i="3"/>
  <c r="K107" i="3"/>
  <c r="H106" i="3"/>
  <c r="N104" i="3"/>
  <c r="G103" i="3"/>
  <c r="Q101" i="3"/>
  <c r="J100" i="3"/>
  <c r="P98" i="3"/>
  <c r="M97" i="3"/>
  <c r="N94" i="3"/>
  <c r="G93" i="3"/>
  <c r="Q91" i="3"/>
  <c r="J90" i="3"/>
  <c r="P88" i="3"/>
  <c r="M87" i="3"/>
  <c r="O85" i="3"/>
  <c r="L84" i="3"/>
  <c r="M135" i="3"/>
  <c r="H132" i="3"/>
  <c r="G129" i="3"/>
  <c r="H127" i="3"/>
  <c r="G125" i="3"/>
  <c r="P123" i="3"/>
  <c r="M122" i="3"/>
  <c r="O120" i="3"/>
  <c r="L119" i="3"/>
  <c r="I118" i="3"/>
  <c r="K116" i="3"/>
  <c r="H115" i="3"/>
  <c r="Q112" i="3"/>
  <c r="J111" i="3"/>
  <c r="P109" i="3"/>
  <c r="M108" i="3"/>
  <c r="O106" i="3"/>
  <c r="L105" i="3"/>
  <c r="I104" i="3"/>
  <c r="K102" i="3"/>
  <c r="H101" i="3"/>
  <c r="N99" i="3"/>
  <c r="G98" i="3"/>
  <c r="Q96" i="3"/>
  <c r="M94" i="3"/>
  <c r="O92" i="3"/>
  <c r="L91" i="3"/>
  <c r="I90" i="3"/>
  <c r="K88" i="3"/>
  <c r="H87" i="3"/>
  <c r="N85" i="3"/>
  <c r="G84" i="3"/>
  <c r="Q82" i="3"/>
  <c r="J81" i="3"/>
  <c r="P79" i="3"/>
  <c r="M78" i="3"/>
  <c r="I76" i="3"/>
  <c r="H136" i="3"/>
  <c r="N130" i="3"/>
  <c r="N128" i="3"/>
  <c r="G127" i="3"/>
  <c r="K125" i="3"/>
  <c r="K123" i="3"/>
  <c r="H122" i="3"/>
  <c r="N120" i="3"/>
  <c r="G119" i="3"/>
  <c r="Q117" i="3"/>
  <c r="J116" i="3"/>
  <c r="P114" i="3"/>
  <c r="L112" i="3"/>
  <c r="I111" i="3"/>
  <c r="K109" i="3"/>
  <c r="H108" i="3"/>
  <c r="N106" i="3"/>
  <c r="G105" i="3"/>
  <c r="Q103" i="3"/>
  <c r="J102" i="3"/>
  <c r="P100" i="3"/>
  <c r="M99" i="3"/>
  <c r="O97" i="3"/>
  <c r="L96" i="3"/>
  <c r="H94" i="3"/>
  <c r="N92" i="3"/>
  <c r="G91" i="3"/>
  <c r="Q89" i="3"/>
  <c r="J88" i="3"/>
  <c r="P86" i="3"/>
  <c r="M85" i="3"/>
  <c r="O83" i="3"/>
  <c r="L82" i="3"/>
  <c r="I81" i="3"/>
  <c r="P80" i="3"/>
  <c r="O78" i="3"/>
  <c r="P75" i="3"/>
  <c r="G74" i="3"/>
  <c r="Q72" i="3"/>
  <c r="J71" i="3"/>
  <c r="P69" i="3"/>
  <c r="M68" i="3"/>
  <c r="O66" i="3"/>
  <c r="L65" i="3"/>
  <c r="I64" i="3"/>
  <c r="K62" i="3"/>
  <c r="H61" i="3"/>
  <c r="P57" i="3"/>
  <c r="M56" i="3"/>
  <c r="O54" i="3"/>
  <c r="L53" i="3"/>
  <c r="I52" i="3"/>
  <c r="K50" i="3"/>
  <c r="H49" i="3"/>
  <c r="N47" i="3"/>
  <c r="G46" i="3"/>
  <c r="Q44" i="3"/>
  <c r="J43" i="3"/>
  <c r="P41" i="3"/>
  <c r="L39" i="3"/>
  <c r="I38" i="3"/>
  <c r="K36" i="3"/>
  <c r="H35" i="3"/>
  <c r="N33" i="3"/>
  <c r="G32" i="3"/>
  <c r="Q30" i="3"/>
  <c r="J29" i="3"/>
  <c r="P27" i="3"/>
  <c r="M26" i="3"/>
  <c r="G82" i="3"/>
  <c r="I80" i="3"/>
  <c r="H78" i="3"/>
  <c r="I75" i="3"/>
  <c r="K73" i="3"/>
  <c r="H72" i="3"/>
  <c r="N70" i="3"/>
  <c r="G69" i="3"/>
  <c r="Q67" i="3"/>
  <c r="J66" i="3"/>
  <c r="P64" i="3"/>
  <c r="M63" i="3"/>
  <c r="O61" i="3"/>
  <c r="L60" i="3"/>
  <c r="G57" i="3"/>
  <c r="Q55" i="3"/>
  <c r="J54" i="3"/>
  <c r="P52" i="3"/>
  <c r="M51" i="3"/>
  <c r="O49" i="3"/>
  <c r="L48" i="3"/>
  <c r="I47" i="3"/>
  <c r="K45" i="3"/>
  <c r="H44" i="3"/>
  <c r="N42" i="3"/>
  <c r="G41" i="3"/>
  <c r="P38" i="3"/>
  <c r="M37" i="3"/>
  <c r="O35" i="3"/>
  <c r="L34" i="3"/>
  <c r="I33" i="3"/>
  <c r="K31" i="3"/>
  <c r="H30" i="3"/>
  <c r="N28" i="3"/>
  <c r="G27" i="3"/>
  <c r="Q25" i="3"/>
  <c r="J24" i="3"/>
  <c r="M80" i="3"/>
  <c r="L78" i="3"/>
  <c r="M75" i="3"/>
  <c r="I74" i="3"/>
  <c r="K72" i="3"/>
  <c r="H71" i="3"/>
  <c r="N69" i="3"/>
  <c r="G68" i="3"/>
  <c r="Q66" i="3"/>
  <c r="J65" i="3"/>
  <c r="P63" i="3"/>
  <c r="M62" i="3"/>
  <c r="O60" i="3"/>
  <c r="J57" i="3"/>
  <c r="P55" i="3"/>
  <c r="M54" i="3"/>
  <c r="O52" i="3"/>
  <c r="L51" i="3"/>
  <c r="I50" i="3"/>
  <c r="K48" i="3"/>
  <c r="H47" i="3"/>
  <c r="N45" i="3"/>
  <c r="G44" i="3"/>
  <c r="Q42" i="3"/>
  <c r="J41" i="3"/>
  <c r="K38" i="3"/>
  <c r="H37" i="3"/>
  <c r="N35" i="3"/>
  <c r="G34" i="3"/>
  <c r="Q32" i="3"/>
  <c r="J31" i="3"/>
  <c r="P29" i="3"/>
  <c r="M28" i="3"/>
  <c r="I83" i="3"/>
  <c r="L80" i="3"/>
  <c r="K78" i="3"/>
  <c r="L75" i="3"/>
  <c r="H74" i="3"/>
  <c r="N72" i="3"/>
  <c r="G71" i="3"/>
  <c r="Q69" i="3"/>
  <c r="J68" i="3"/>
  <c r="P66" i="3"/>
  <c r="M65" i="3"/>
  <c r="O63" i="3"/>
  <c r="L62" i="3"/>
  <c r="I61" i="3"/>
  <c r="M57" i="3"/>
  <c r="O55" i="3"/>
  <c r="L54" i="3"/>
  <c r="I53" i="3"/>
  <c r="K51" i="3"/>
  <c r="H50" i="3"/>
  <c r="N48" i="3"/>
  <c r="G47" i="3"/>
  <c r="Q45" i="3"/>
  <c r="J44" i="3"/>
  <c r="P42" i="3"/>
  <c r="M41" i="3"/>
  <c r="I39" i="3"/>
  <c r="K37" i="3"/>
  <c r="H36" i="3"/>
  <c r="N34" i="3"/>
  <c r="G33" i="3"/>
  <c r="Q31" i="3"/>
  <c r="J30" i="3"/>
  <c r="P28" i="3"/>
  <c r="O25" i="3"/>
  <c r="P23" i="3"/>
  <c r="L21" i="3"/>
  <c r="I20" i="3"/>
  <c r="K18" i="3"/>
  <c r="H17" i="3"/>
  <c r="N15" i="3"/>
  <c r="G14" i="3"/>
  <c r="Q12" i="3"/>
  <c r="J11" i="3"/>
  <c r="P9" i="3"/>
  <c r="M8" i="3"/>
  <c r="O6" i="3"/>
  <c r="L5" i="3"/>
  <c r="N26" i="3"/>
  <c r="L24" i="3"/>
  <c r="G23" i="3"/>
  <c r="P20" i="3"/>
  <c r="M19" i="3"/>
  <c r="O17" i="3"/>
  <c r="L16" i="3"/>
  <c r="I15" i="3"/>
  <c r="K13" i="3"/>
  <c r="H12" i="3"/>
  <c r="N10" i="3"/>
  <c r="G9" i="3"/>
  <c r="Q7" i="3"/>
  <c r="J6" i="3"/>
  <c r="H28" i="3"/>
  <c r="G25" i="3"/>
  <c r="J23" i="3"/>
  <c r="K20" i="3"/>
  <c r="H19" i="3"/>
  <c r="N17" i="3"/>
  <c r="G16" i="3"/>
  <c r="Q14" i="3"/>
  <c r="J13" i="3"/>
  <c r="P11" i="3"/>
  <c r="M10" i="3"/>
  <c r="O8" i="3"/>
  <c r="L7" i="3"/>
  <c r="I6" i="3"/>
  <c r="O24" i="3"/>
  <c r="I23" i="3"/>
  <c r="P18" i="3"/>
  <c r="P14" i="3"/>
  <c r="P10" i="3"/>
  <c r="P6" i="3"/>
  <c r="G19" i="3"/>
  <c r="H14" i="3"/>
  <c r="I9" i="3"/>
  <c r="J20" i="3"/>
  <c r="J12" i="3"/>
  <c r="J26" i="3"/>
  <c r="K15" i="3"/>
  <c r="K7" i="3"/>
  <c r="F138" i="3"/>
  <c r="F52" i="3"/>
  <c r="F13" i="3"/>
  <c r="F41" i="3"/>
  <c r="F88" i="3"/>
  <c r="F36" i="3"/>
  <c r="F101" i="3"/>
  <c r="F75" i="3"/>
  <c r="F119" i="3"/>
  <c r="F130" i="3"/>
  <c r="F49" i="3"/>
  <c r="F148" i="3"/>
  <c r="F62" i="3"/>
  <c r="F79" i="3"/>
  <c r="F100" i="3"/>
  <c r="F137" i="3"/>
  <c r="F139" i="3"/>
  <c r="F32" i="3"/>
  <c r="F107" i="3"/>
  <c r="F50" i="3"/>
  <c r="F56" i="3"/>
  <c r="F65" i="3"/>
  <c r="F76" i="3"/>
  <c r="F127" i="3"/>
  <c r="F84" i="3"/>
  <c r="F147" i="3"/>
  <c r="F15" i="3"/>
  <c r="F48" i="3"/>
  <c r="F81" i="3"/>
  <c r="N147" i="3"/>
  <c r="G146" i="3"/>
  <c r="Q144" i="3"/>
  <c r="J143" i="3"/>
  <c r="K148" i="3"/>
  <c r="H147" i="3"/>
  <c r="N145" i="3"/>
  <c r="G144" i="3"/>
  <c r="Q142" i="3"/>
  <c r="J141" i="3"/>
  <c r="P139" i="3"/>
  <c r="M147" i="3"/>
  <c r="N144" i="3"/>
  <c r="H141" i="3"/>
  <c r="G139" i="3"/>
  <c r="Q137" i="3"/>
  <c r="J136" i="3"/>
  <c r="P134" i="3"/>
  <c r="M133" i="3"/>
  <c r="P146" i="3"/>
  <c r="L144" i="3"/>
  <c r="Q141" i="3"/>
  <c r="I140" i="3"/>
  <c r="K138" i="3"/>
  <c r="H137" i="3"/>
  <c r="N135" i="3"/>
  <c r="G134" i="3"/>
  <c r="Q132" i="3"/>
  <c r="I147" i="3"/>
  <c r="Q143" i="3"/>
  <c r="P141" i="3"/>
  <c r="O139" i="3"/>
  <c r="P148" i="3"/>
  <c r="L146" i="3"/>
  <c r="O143" i="3"/>
  <c r="I141" i="3"/>
  <c r="I139" i="3"/>
  <c r="N137" i="3"/>
  <c r="G136" i="3"/>
  <c r="Q134" i="3"/>
  <c r="J133" i="3"/>
  <c r="O130" i="3"/>
  <c r="L129" i="3"/>
  <c r="I128" i="3"/>
  <c r="K126" i="3"/>
  <c r="H125" i="3"/>
  <c r="H130" i="3"/>
  <c r="G128" i="3"/>
  <c r="H126" i="3"/>
  <c r="I124" i="3"/>
  <c r="K122" i="3"/>
  <c r="H121" i="3"/>
  <c r="N119" i="3"/>
  <c r="G118" i="3"/>
  <c r="Q116" i="3"/>
  <c r="J115" i="3"/>
  <c r="O112" i="3"/>
  <c r="L111" i="3"/>
  <c r="I110" i="3"/>
  <c r="K108" i="3"/>
  <c r="H107" i="3"/>
  <c r="N105" i="3"/>
  <c r="G104" i="3"/>
  <c r="Q102" i="3"/>
  <c r="J101" i="3"/>
  <c r="P99" i="3"/>
  <c r="M98" i="3"/>
  <c r="O96" i="3"/>
  <c r="K94" i="3"/>
  <c r="H93" i="3"/>
  <c r="N91" i="3"/>
  <c r="G90" i="3"/>
  <c r="Q88" i="3"/>
  <c r="J87" i="3"/>
  <c r="P85" i="3"/>
  <c r="M84" i="3"/>
  <c r="O137" i="3"/>
  <c r="O133" i="3"/>
  <c r="L130" i="3"/>
  <c r="K128" i="3"/>
  <c r="L126" i="3"/>
  <c r="L124" i="3"/>
  <c r="I123" i="3"/>
  <c r="K121" i="3"/>
  <c r="H120" i="3"/>
  <c r="N118" i="3"/>
  <c r="G117" i="3"/>
  <c r="Q115" i="3"/>
  <c r="J114" i="3"/>
  <c r="K111" i="3"/>
  <c r="H110" i="3"/>
  <c r="N108" i="3"/>
  <c r="G107" i="3"/>
  <c r="Q105" i="3"/>
  <c r="J104" i="3"/>
  <c r="P102" i="3"/>
  <c r="M101" i="3"/>
  <c r="O99" i="3"/>
  <c r="L98" i="3"/>
  <c r="I97" i="3"/>
  <c r="J94" i="3"/>
  <c r="P92" i="3"/>
  <c r="M91" i="3"/>
  <c r="O89" i="3"/>
  <c r="L88" i="3"/>
  <c r="I87" i="3"/>
  <c r="K85" i="3"/>
  <c r="H84" i="3"/>
  <c r="J134" i="3"/>
  <c r="P130" i="3"/>
  <c r="O128" i="3"/>
  <c r="P126" i="3"/>
  <c r="O124" i="3"/>
  <c r="L123" i="3"/>
  <c r="I122" i="3"/>
  <c r="K120" i="3"/>
  <c r="H119" i="3"/>
  <c r="N117" i="3"/>
  <c r="G116" i="3"/>
  <c r="Q114" i="3"/>
  <c r="M112" i="3"/>
  <c r="O110" i="3"/>
  <c r="L109" i="3"/>
  <c r="I108" i="3"/>
  <c r="K106" i="3"/>
  <c r="H105" i="3"/>
  <c r="N103" i="3"/>
  <c r="G102" i="3"/>
  <c r="Q100" i="3"/>
  <c r="J99" i="3"/>
  <c r="P97" i="3"/>
  <c r="M96" i="3"/>
  <c r="I94" i="3"/>
  <c r="K92" i="3"/>
  <c r="H91" i="3"/>
  <c r="N89" i="3"/>
  <c r="G88" i="3"/>
  <c r="Q86" i="3"/>
  <c r="J85" i="3"/>
  <c r="P83" i="3"/>
  <c r="M82" i="3"/>
  <c r="O80" i="3"/>
  <c r="L79" i="3"/>
  <c r="I78" i="3"/>
  <c r="N75" i="3"/>
  <c r="I135" i="3"/>
  <c r="I130" i="3"/>
  <c r="H128" i="3"/>
  <c r="N126" i="3"/>
  <c r="N124" i="3"/>
  <c r="G123" i="3"/>
  <c r="Q121" i="3"/>
  <c r="J120" i="3"/>
  <c r="P118" i="3"/>
  <c r="M117" i="3"/>
  <c r="O115" i="3"/>
  <c r="L114" i="3"/>
  <c r="H112" i="3"/>
  <c r="N110" i="3"/>
  <c r="G109" i="3"/>
  <c r="Q107" i="3"/>
  <c r="J106" i="3"/>
  <c r="P104" i="3"/>
  <c r="M103" i="3"/>
  <c r="O101" i="3"/>
  <c r="L100" i="3"/>
  <c r="I99" i="3"/>
  <c r="K97" i="3"/>
  <c r="H96" i="3"/>
  <c r="Q93" i="3"/>
  <c r="J92" i="3"/>
  <c r="P90" i="3"/>
  <c r="M89" i="3"/>
  <c r="O87" i="3"/>
  <c r="L86" i="3"/>
  <c r="I85" i="3"/>
  <c r="K83" i="3"/>
  <c r="H82" i="3"/>
  <c r="J82" i="3"/>
  <c r="J80" i="3"/>
  <c r="J78" i="3"/>
  <c r="K75" i="3"/>
  <c r="P73" i="3"/>
  <c r="M72" i="3"/>
  <c r="O70" i="3"/>
  <c r="L69" i="3"/>
  <c r="I68" i="3"/>
  <c r="K66" i="3"/>
  <c r="H65" i="3"/>
  <c r="N63" i="3"/>
  <c r="G62" i="3"/>
  <c r="Q60" i="3"/>
  <c r="L57" i="3"/>
  <c r="I56" i="3"/>
  <c r="K54" i="3"/>
  <c r="H53" i="3"/>
  <c r="N51" i="3"/>
  <c r="G50" i="3"/>
  <c r="Q48" i="3"/>
  <c r="J47" i="3"/>
  <c r="P45" i="3"/>
  <c r="M44" i="3"/>
  <c r="O42" i="3"/>
  <c r="L41" i="3"/>
  <c r="H39" i="3"/>
  <c r="N37" i="3"/>
  <c r="G36" i="3"/>
  <c r="Q34" i="3"/>
  <c r="J33" i="3"/>
  <c r="P31" i="3"/>
  <c r="M30" i="3"/>
  <c r="O28" i="3"/>
  <c r="L27" i="3"/>
  <c r="I26" i="3"/>
  <c r="O81" i="3"/>
  <c r="Q79" i="3"/>
  <c r="P76" i="3"/>
  <c r="N74" i="3"/>
  <c r="G73" i="3"/>
  <c r="Q71" i="3"/>
  <c r="J70" i="3"/>
  <c r="P68" i="3"/>
  <c r="M67" i="3"/>
  <c r="O65" i="3"/>
  <c r="L64" i="3"/>
  <c r="I63" i="3"/>
  <c r="K61" i="3"/>
  <c r="H60" i="3"/>
  <c r="P56" i="3"/>
  <c r="M55" i="3"/>
  <c r="O53" i="3"/>
  <c r="L52" i="3"/>
  <c r="I51" i="3"/>
  <c r="K49" i="3"/>
  <c r="H48" i="3"/>
  <c r="N46" i="3"/>
  <c r="G45" i="3"/>
  <c r="Q43" i="3"/>
  <c r="J42" i="3"/>
  <c r="O39" i="3"/>
  <c r="L38" i="3"/>
  <c r="I37" i="3"/>
  <c r="K35" i="3"/>
  <c r="H34" i="3"/>
  <c r="N32" i="3"/>
  <c r="G31" i="3"/>
  <c r="Q29" i="3"/>
  <c r="J28" i="3"/>
  <c r="P26" i="3"/>
  <c r="M25" i="3"/>
  <c r="M83" i="3"/>
  <c r="H80" i="3"/>
  <c r="G78" i="3"/>
  <c r="H75" i="3"/>
  <c r="N73" i="3"/>
  <c r="G72" i="3"/>
  <c r="Q70" i="3"/>
  <c r="J69" i="3"/>
  <c r="P67" i="3"/>
  <c r="M66" i="3"/>
  <c r="O64" i="3"/>
  <c r="L63" i="3"/>
  <c r="I62" i="3"/>
  <c r="K60" i="3"/>
  <c r="O56" i="3"/>
  <c r="L55" i="3"/>
  <c r="I54" i="3"/>
  <c r="K52" i="3"/>
  <c r="H51" i="3"/>
  <c r="N49" i="3"/>
  <c r="G48" i="3"/>
  <c r="Q46" i="3"/>
  <c r="J45" i="3"/>
  <c r="P43" i="3"/>
  <c r="M42" i="3"/>
  <c r="N39" i="3"/>
  <c r="G38" i="3"/>
  <c r="Q36" i="3"/>
  <c r="J35" i="3"/>
  <c r="P33" i="3"/>
  <c r="M32" i="3"/>
  <c r="O30" i="3"/>
  <c r="L29" i="3"/>
  <c r="I28" i="3"/>
  <c r="K82" i="3"/>
  <c r="N79" i="3"/>
  <c r="N76" i="3"/>
  <c r="G75" i="3"/>
  <c r="Q73" i="3"/>
  <c r="J72" i="3"/>
  <c r="P70" i="3"/>
  <c r="M69" i="3"/>
  <c r="O67" i="3"/>
  <c r="L66" i="3"/>
  <c r="I65" i="3"/>
  <c r="K63" i="3"/>
  <c r="H62" i="3"/>
  <c r="N60" i="3"/>
  <c r="I57" i="3"/>
  <c r="K55" i="3"/>
  <c r="H54" i="3"/>
  <c r="N52" i="3"/>
  <c r="G51" i="3"/>
  <c r="Q49" i="3"/>
  <c r="J48" i="3"/>
  <c r="P46" i="3"/>
  <c r="M45" i="3"/>
  <c r="O43" i="3"/>
  <c r="L42" i="3"/>
  <c r="I41" i="3"/>
  <c r="N38" i="3"/>
  <c r="G37" i="3"/>
  <c r="Q35" i="3"/>
  <c r="J34" i="3"/>
  <c r="P32" i="3"/>
  <c r="M31" i="3"/>
  <c r="O29" i="3"/>
  <c r="Q27" i="3"/>
  <c r="J25" i="3"/>
  <c r="L23" i="3"/>
  <c r="H21" i="3"/>
  <c r="N19" i="3"/>
  <c r="G18" i="3"/>
  <c r="Q16" i="3"/>
  <c r="J15" i="3"/>
  <c r="P13" i="3"/>
  <c r="M12" i="3"/>
  <c r="O10" i="3"/>
  <c r="L9" i="3"/>
  <c r="I8" i="3"/>
  <c r="K6" i="3"/>
  <c r="H5" i="3"/>
  <c r="N25" i="3"/>
  <c r="G24" i="3"/>
  <c r="O21" i="3"/>
  <c r="L20" i="3"/>
  <c r="I19" i="3"/>
  <c r="K17" i="3"/>
  <c r="H16" i="3"/>
  <c r="N14" i="3"/>
  <c r="G13" i="3"/>
  <c r="Q11" i="3"/>
  <c r="J10" i="3"/>
  <c r="P8" i="3"/>
  <c r="M7" i="3"/>
  <c r="O5" i="3"/>
  <c r="I27" i="3"/>
  <c r="P24" i="3"/>
  <c r="N21" i="3"/>
  <c r="G20" i="3"/>
  <c r="Q18" i="3"/>
  <c r="J17" i="3"/>
  <c r="P15" i="3"/>
  <c r="M14" i="3"/>
  <c r="O12" i="3"/>
  <c r="L11" i="3"/>
  <c r="I10" i="3"/>
  <c r="K8" i="3"/>
  <c r="H7" i="3"/>
  <c r="N5" i="3"/>
  <c r="M23" i="3"/>
  <c r="Q21" i="3"/>
  <c r="Q17" i="3"/>
  <c r="Q13" i="3"/>
  <c r="Q9" i="3"/>
  <c r="Q5" i="3"/>
  <c r="H18" i="3"/>
  <c r="I13" i="3"/>
  <c r="G7" i="3"/>
  <c r="L18" i="3"/>
  <c r="L10" i="3"/>
  <c r="M21" i="3"/>
  <c r="M13" i="3"/>
  <c r="M5" i="3"/>
  <c r="F122" i="3"/>
  <c r="F72" i="3"/>
  <c r="F140" i="3"/>
  <c r="F94" i="3"/>
  <c r="F132" i="3"/>
  <c r="F91" i="3"/>
  <c r="F135" i="3"/>
  <c r="F110" i="3"/>
  <c r="F37" i="3"/>
  <c r="F29" i="3"/>
  <c r="F86" i="3"/>
  <c r="F133" i="3"/>
  <c r="F54" i="3"/>
  <c r="F31" i="3"/>
  <c r="F125" i="3"/>
  <c r="F7" i="3"/>
  <c r="F12" i="3"/>
  <c r="F87" i="3"/>
  <c r="F141" i="3"/>
  <c r="F47" i="3"/>
  <c r="F23" i="3"/>
  <c r="F99" i="3"/>
  <c r="F51" i="3"/>
  <c r="F111" i="3"/>
  <c r="F78" i="3"/>
  <c r="F74" i="3"/>
  <c r="F42" i="3"/>
  <c r="F68" i="3"/>
  <c r="F38" i="3"/>
  <c r="F14" i="3"/>
  <c r="F108" i="3"/>
  <c r="F34" i="3"/>
  <c r="F120" i="3"/>
  <c r="F103" i="3"/>
  <c r="F26" i="3"/>
  <c r="F27" i="3"/>
  <c r="F83" i="3"/>
  <c r="F109" i="3"/>
  <c r="F9" i="3"/>
  <c r="F10" i="3"/>
  <c r="F53" i="3"/>
  <c r="F134" i="3"/>
  <c r="F145" i="3"/>
  <c r="F66" i="3"/>
  <c r="F64" i="3"/>
  <c r="F71" i="3"/>
  <c r="F142" i="3"/>
  <c r="F85" i="3"/>
  <c r="F90" i="3"/>
  <c r="F97" i="3"/>
  <c r="F123" i="3"/>
  <c r="F102" i="3"/>
  <c r="F33" i="3"/>
  <c r="F46" i="3"/>
  <c r="Q46" i="2" l="1"/>
  <c r="Q33" i="2"/>
  <c r="Q102" i="2"/>
  <c r="Q123" i="2"/>
  <c r="Q97" i="2"/>
  <c r="Q90" i="2"/>
  <c r="Q85" i="2"/>
  <c r="Q142" i="2"/>
  <c r="Q71" i="2"/>
  <c r="Q64" i="2"/>
  <c r="Q66" i="2"/>
  <c r="Q145" i="2"/>
  <c r="Q134" i="2"/>
  <c r="Q53" i="2"/>
  <c r="Q10" i="2"/>
  <c r="Q9" i="2"/>
  <c r="Q109" i="2"/>
  <c r="Q83" i="2"/>
  <c r="Q27" i="2"/>
  <c r="Q26" i="2"/>
  <c r="Q103" i="2"/>
  <c r="Q120" i="2"/>
  <c r="Q34" i="2"/>
  <c r="Q108" i="2"/>
  <c r="Q14" i="2"/>
  <c r="Q38" i="2"/>
  <c r="Q68" i="2"/>
  <c r="Q42" i="2"/>
  <c r="Q74" i="2"/>
  <c r="F77" i="3"/>
  <c r="Q77" i="2" s="1"/>
  <c r="Q78" i="2"/>
  <c r="Q111" i="2"/>
  <c r="Q51" i="2"/>
  <c r="Q99" i="2"/>
  <c r="F22" i="3"/>
  <c r="Q22" i="2" s="1"/>
  <c r="Q23" i="2"/>
  <c r="Q47" i="2"/>
  <c r="Q141" i="2"/>
  <c r="Q87" i="2"/>
  <c r="Q12" i="2"/>
  <c r="Q7" i="2"/>
  <c r="Q125" i="2"/>
  <c r="Q31" i="2"/>
  <c r="Q54" i="2"/>
  <c r="Q133" i="2"/>
  <c r="Q86" i="2"/>
  <c r="Q29" i="2"/>
  <c r="Q37" i="2"/>
  <c r="Q110" i="2"/>
  <c r="Q135" i="2"/>
  <c r="Q91" i="2"/>
  <c r="F131" i="3"/>
  <c r="Q131" i="2" s="1"/>
  <c r="Q132" i="2"/>
  <c r="Q94" i="2"/>
  <c r="Q140" i="2"/>
  <c r="Q72" i="2"/>
  <c r="Q122" i="2"/>
  <c r="M4" i="3"/>
  <c r="J4" i="2" s="1"/>
  <c r="J5" i="2"/>
  <c r="J13" i="2"/>
  <c r="J21" i="2"/>
  <c r="K10" i="2"/>
  <c r="K18" i="2"/>
  <c r="P7" i="2"/>
  <c r="N13" i="2"/>
  <c r="O18" i="2"/>
  <c r="Q4" i="3"/>
  <c r="F4" i="2" s="1"/>
  <c r="F5" i="2"/>
  <c r="F9" i="2"/>
  <c r="F13" i="2"/>
  <c r="F17" i="2"/>
  <c r="F21" i="2"/>
  <c r="M22" i="3"/>
  <c r="J22" i="2" s="1"/>
  <c r="J23" i="2"/>
  <c r="N4" i="3"/>
  <c r="I4" i="2" s="1"/>
  <c r="I5" i="2"/>
  <c r="O7" i="2"/>
  <c r="L8" i="2"/>
  <c r="N10" i="2"/>
  <c r="K11" i="2"/>
  <c r="H12" i="2"/>
  <c r="J14" i="2"/>
  <c r="G15" i="2"/>
  <c r="M17" i="2"/>
  <c r="F18" i="2"/>
  <c r="P20" i="2"/>
  <c r="I21" i="2"/>
  <c r="G24" i="2"/>
  <c r="N27" i="2"/>
  <c r="O4" i="3"/>
  <c r="H4" i="2" s="1"/>
  <c r="H5" i="2"/>
  <c r="J7" i="2"/>
  <c r="G8" i="2"/>
  <c r="M10" i="2"/>
  <c r="F11" i="2"/>
  <c r="P13" i="2"/>
  <c r="I14" i="2"/>
  <c r="O16" i="2"/>
  <c r="L17" i="2"/>
  <c r="N19" i="2"/>
  <c r="K20" i="2"/>
  <c r="H21" i="2"/>
  <c r="P24" i="2"/>
  <c r="I25" i="2"/>
  <c r="H4" i="3"/>
  <c r="O4" i="2" s="1"/>
  <c r="O5" i="2"/>
  <c r="L6" i="2"/>
  <c r="N8" i="2"/>
  <c r="K9" i="2"/>
  <c r="H10" i="2"/>
  <c r="J12" i="2"/>
  <c r="G13" i="2"/>
  <c r="M15" i="2"/>
  <c r="F16" i="2"/>
  <c r="P18" i="2"/>
  <c r="I19" i="2"/>
  <c r="O21" i="2"/>
  <c r="L22" i="3"/>
  <c r="K22" i="2" s="1"/>
  <c r="K23" i="2"/>
  <c r="M25" i="2"/>
  <c r="F27" i="2"/>
  <c r="H29" i="2"/>
  <c r="J31" i="2"/>
  <c r="G32" i="2"/>
  <c r="M34" i="2"/>
  <c r="F35" i="2"/>
  <c r="P37" i="2"/>
  <c r="I38" i="2"/>
  <c r="I40" i="3"/>
  <c r="N40" i="2" s="1"/>
  <c r="N41" i="2"/>
  <c r="K42" i="2"/>
  <c r="H43" i="2"/>
  <c r="J45" i="2"/>
  <c r="G46" i="2"/>
  <c r="M48" i="2"/>
  <c r="F49" i="2"/>
  <c r="P51" i="2"/>
  <c r="I52" i="2"/>
  <c r="O54" i="2"/>
  <c r="L55" i="2"/>
  <c r="N57" i="2"/>
  <c r="N59" i="3"/>
  <c r="I59" i="2" s="1"/>
  <c r="I60" i="2"/>
  <c r="O62" i="2"/>
  <c r="L63" i="2"/>
  <c r="N65" i="2"/>
  <c r="K66" i="2"/>
  <c r="H67" i="2"/>
  <c r="J69" i="2"/>
  <c r="G70" i="2"/>
  <c r="M72" i="2"/>
  <c r="F73" i="2"/>
  <c r="P75" i="2"/>
  <c r="I76" i="2"/>
  <c r="I79" i="2"/>
  <c r="L82" i="2"/>
  <c r="N28" i="2"/>
  <c r="K29" i="2"/>
  <c r="H30" i="2"/>
  <c r="J32" i="2"/>
  <c r="G33" i="2"/>
  <c r="M35" i="2"/>
  <c r="F36" i="2"/>
  <c r="P38" i="2"/>
  <c r="I39" i="2"/>
  <c r="J42" i="2"/>
  <c r="G43" i="2"/>
  <c r="M45" i="2"/>
  <c r="F46" i="2"/>
  <c r="P48" i="2"/>
  <c r="I49" i="2"/>
  <c r="O51" i="2"/>
  <c r="L52" i="2"/>
  <c r="N54" i="2"/>
  <c r="K55" i="2"/>
  <c r="H56" i="2"/>
  <c r="K59" i="3"/>
  <c r="L59" i="2" s="1"/>
  <c r="L60" i="2"/>
  <c r="N62" i="2"/>
  <c r="K63" i="2"/>
  <c r="H64" i="2"/>
  <c r="J66" i="2"/>
  <c r="G67" i="2"/>
  <c r="M69" i="2"/>
  <c r="F70" i="2"/>
  <c r="P72" i="2"/>
  <c r="I73" i="2"/>
  <c r="O75" i="2"/>
  <c r="G77" i="3"/>
  <c r="P77" i="2" s="1"/>
  <c r="P78" i="2"/>
  <c r="O80" i="2"/>
  <c r="J83" i="2"/>
  <c r="J25" i="2"/>
  <c r="G26" i="2"/>
  <c r="M28" i="2"/>
  <c r="F29" i="2"/>
  <c r="P31" i="2"/>
  <c r="I32" i="2"/>
  <c r="O34" i="2"/>
  <c r="L35" i="2"/>
  <c r="N37" i="2"/>
  <c r="K38" i="2"/>
  <c r="H39" i="2"/>
  <c r="M42" i="2"/>
  <c r="F43" i="2"/>
  <c r="P45" i="2"/>
  <c r="I46" i="2"/>
  <c r="O48" i="2"/>
  <c r="L49" i="2"/>
  <c r="N51" i="2"/>
  <c r="K52" i="2"/>
  <c r="H53" i="2"/>
  <c r="J55" i="2"/>
  <c r="G56" i="2"/>
  <c r="H59" i="3"/>
  <c r="O59" i="2" s="1"/>
  <c r="O60" i="2"/>
  <c r="L61" i="2"/>
  <c r="N63" i="2"/>
  <c r="K64" i="2"/>
  <c r="H65" i="2"/>
  <c r="J67" i="2"/>
  <c r="G68" i="2"/>
  <c r="M70" i="2"/>
  <c r="F71" i="2"/>
  <c r="P73" i="2"/>
  <c r="I74" i="2"/>
  <c r="G76" i="2"/>
  <c r="F79" i="2"/>
  <c r="H81" i="2"/>
  <c r="N26" i="2"/>
  <c r="K27" i="2"/>
  <c r="H28" i="2"/>
  <c r="J30" i="2"/>
  <c r="G31" i="2"/>
  <c r="M33" i="2"/>
  <c r="F34" i="2"/>
  <c r="P36" i="2"/>
  <c r="I37" i="2"/>
  <c r="O39" i="2"/>
  <c r="L40" i="3"/>
  <c r="K40" i="2" s="1"/>
  <c r="K41" i="2"/>
  <c r="H42" i="2"/>
  <c r="J44" i="2"/>
  <c r="G45" i="2"/>
  <c r="M47" i="2"/>
  <c r="F48" i="2"/>
  <c r="P50" i="2"/>
  <c r="I51" i="2"/>
  <c r="O53" i="2"/>
  <c r="L54" i="2"/>
  <c r="N56" i="2"/>
  <c r="K57" i="2"/>
  <c r="Q59" i="3"/>
  <c r="F59" i="2" s="1"/>
  <c r="F60" i="2"/>
  <c r="P62" i="2"/>
  <c r="I63" i="2"/>
  <c r="O65" i="2"/>
  <c r="L66" i="2"/>
  <c r="N68" i="2"/>
  <c r="K69" i="2"/>
  <c r="H70" i="2"/>
  <c r="J72" i="2"/>
  <c r="G73" i="2"/>
  <c r="L75" i="2"/>
  <c r="J77" i="3"/>
  <c r="M77" i="2" s="1"/>
  <c r="M78" i="2"/>
  <c r="M80" i="2"/>
  <c r="M82" i="2"/>
  <c r="O82" i="2"/>
  <c r="L83" i="2"/>
  <c r="N85" i="2"/>
  <c r="K86" i="2"/>
  <c r="H87" i="2"/>
  <c r="J89" i="2"/>
  <c r="G90" i="2"/>
  <c r="M92" i="2"/>
  <c r="F93" i="2"/>
  <c r="H95" i="3"/>
  <c r="O95" i="2" s="1"/>
  <c r="O96" i="2"/>
  <c r="L97" i="2"/>
  <c r="N99" i="2"/>
  <c r="K100" i="2"/>
  <c r="H101" i="2"/>
  <c r="J103" i="2"/>
  <c r="G104" i="2"/>
  <c r="M106" i="2"/>
  <c r="F107" i="2"/>
  <c r="P109" i="2"/>
  <c r="I110" i="2"/>
  <c r="O112" i="2"/>
  <c r="L113" i="3"/>
  <c r="K113" i="2" s="1"/>
  <c r="K114" i="2"/>
  <c r="H115" i="2"/>
  <c r="J117" i="2"/>
  <c r="G118" i="2"/>
  <c r="M120" i="2"/>
  <c r="F121" i="2"/>
  <c r="P123" i="2"/>
  <c r="I124" i="2"/>
  <c r="I126" i="2"/>
  <c r="O128" i="2"/>
  <c r="N130" i="2"/>
  <c r="N135" i="2"/>
  <c r="I75" i="2"/>
  <c r="I77" i="3"/>
  <c r="N77" i="2" s="1"/>
  <c r="N78" i="2"/>
  <c r="K79" i="2"/>
  <c r="H80" i="2"/>
  <c r="J82" i="2"/>
  <c r="G83" i="2"/>
  <c r="M85" i="2"/>
  <c r="F86" i="2"/>
  <c r="P88" i="2"/>
  <c r="I89" i="2"/>
  <c r="O91" i="2"/>
  <c r="L92" i="2"/>
  <c r="N94" i="2"/>
  <c r="M95" i="3"/>
  <c r="J95" i="2" s="1"/>
  <c r="J96" i="2"/>
  <c r="G97" i="2"/>
  <c r="M99" i="2"/>
  <c r="F100" i="2"/>
  <c r="P102" i="2"/>
  <c r="I103" i="2"/>
  <c r="O105" i="2"/>
  <c r="L106" i="2"/>
  <c r="N108" i="2"/>
  <c r="K109" i="2"/>
  <c r="H110" i="2"/>
  <c r="J112" i="2"/>
  <c r="Q113" i="3"/>
  <c r="F113" i="2" s="1"/>
  <c r="F114" i="2"/>
  <c r="P116" i="2"/>
  <c r="I117" i="2"/>
  <c r="O119" i="2"/>
  <c r="L120" i="2"/>
  <c r="N122" i="2"/>
  <c r="K123" i="2"/>
  <c r="H124" i="2"/>
  <c r="G126" i="2"/>
  <c r="H128" i="2"/>
  <c r="G130" i="2"/>
  <c r="M134" i="2"/>
  <c r="O84" i="2"/>
  <c r="L85" i="2"/>
  <c r="N87" i="2"/>
  <c r="K88" i="2"/>
  <c r="H89" i="2"/>
  <c r="J91" i="2"/>
  <c r="G92" i="2"/>
  <c r="M94" i="2"/>
  <c r="N97" i="2"/>
  <c r="K98" i="2"/>
  <c r="H99" i="2"/>
  <c r="J101" i="2"/>
  <c r="G102" i="2"/>
  <c r="M104" i="2"/>
  <c r="F105" i="2"/>
  <c r="P107" i="2"/>
  <c r="I108" i="2"/>
  <c r="O110" i="2"/>
  <c r="L111" i="2"/>
  <c r="J113" i="3"/>
  <c r="M113" i="2" s="1"/>
  <c r="M114" i="2"/>
  <c r="F115" i="2"/>
  <c r="P117" i="2"/>
  <c r="I118" i="2"/>
  <c r="O120" i="2"/>
  <c r="L121" i="2"/>
  <c r="N123" i="2"/>
  <c r="K124" i="2"/>
  <c r="K126" i="2"/>
  <c r="L128" i="2"/>
  <c r="K130" i="2"/>
  <c r="H133" i="2"/>
  <c r="H137" i="2"/>
  <c r="J84" i="2"/>
  <c r="G85" i="2"/>
  <c r="M87" i="2"/>
  <c r="F88" i="2"/>
  <c r="P90" i="2"/>
  <c r="I91" i="2"/>
  <c r="O93" i="2"/>
  <c r="L94" i="2"/>
  <c r="O95" i="3"/>
  <c r="H95" i="2" s="1"/>
  <c r="H96" i="2"/>
  <c r="J98" i="2"/>
  <c r="G99" i="2"/>
  <c r="M101" i="2"/>
  <c r="F102" i="2"/>
  <c r="P104" i="2"/>
  <c r="I105" i="2"/>
  <c r="O107" i="2"/>
  <c r="L108" i="2"/>
  <c r="N110" i="2"/>
  <c r="K111" i="2"/>
  <c r="H112" i="2"/>
  <c r="M115" i="2"/>
  <c r="F116" i="2"/>
  <c r="P118" i="2"/>
  <c r="I119" i="2"/>
  <c r="O121" i="2"/>
  <c r="L122" i="2"/>
  <c r="N124" i="2"/>
  <c r="O126" i="2"/>
  <c r="P128" i="2"/>
  <c r="O130" i="2"/>
  <c r="O125" i="2"/>
  <c r="L126" i="2"/>
  <c r="N128" i="2"/>
  <c r="K129" i="2"/>
  <c r="H130" i="2"/>
  <c r="M133" i="2"/>
  <c r="F134" i="2"/>
  <c r="P136" i="2"/>
  <c r="I137" i="2"/>
  <c r="N139" i="2"/>
  <c r="N141" i="2"/>
  <c r="H143" i="2"/>
  <c r="K146" i="2"/>
  <c r="G148" i="2"/>
  <c r="H139" i="2"/>
  <c r="G141" i="2"/>
  <c r="F143" i="2"/>
  <c r="N147" i="2"/>
  <c r="Q131" i="3"/>
  <c r="F131" i="2" s="1"/>
  <c r="F132" i="2"/>
  <c r="P134" i="2"/>
  <c r="I135" i="2"/>
  <c r="O137" i="2"/>
  <c r="L138" i="2"/>
  <c r="N140" i="2"/>
  <c r="F141" i="2"/>
  <c r="K144" i="2"/>
  <c r="G146" i="2"/>
  <c r="J133" i="2"/>
  <c r="G134" i="2"/>
  <c r="M136" i="2"/>
  <c r="F137" i="2"/>
  <c r="P139" i="2"/>
  <c r="O141" i="2"/>
  <c r="I144" i="2"/>
  <c r="J147" i="2"/>
  <c r="G139" i="2"/>
  <c r="M141" i="2"/>
  <c r="F142" i="2"/>
  <c r="P144" i="2"/>
  <c r="I145" i="2"/>
  <c r="O147" i="2"/>
  <c r="L148" i="2"/>
  <c r="M143" i="2"/>
  <c r="F144" i="2"/>
  <c r="P146" i="2"/>
  <c r="I147" i="2"/>
  <c r="Q81" i="2"/>
  <c r="Q48" i="2"/>
  <c r="Q15" i="2"/>
  <c r="Q147" i="2"/>
  <c r="Q84" i="2"/>
  <c r="Q127" i="2"/>
  <c r="Q76" i="2"/>
  <c r="Q65" i="2"/>
  <c r="Q56" i="2"/>
  <c r="Q50" i="2"/>
  <c r="Q107" i="2"/>
  <c r="Q32" i="2"/>
  <c r="Q139" i="2"/>
  <c r="Q137" i="2"/>
  <c r="Q100" i="2"/>
  <c r="Q79" i="2"/>
  <c r="Q62" i="2"/>
  <c r="Q148" i="2"/>
  <c r="Q49" i="2"/>
  <c r="Q130" i="2"/>
  <c r="Q119" i="2"/>
  <c r="Q75" i="2"/>
  <c r="Q101" i="2"/>
  <c r="Q36" i="2"/>
  <c r="Q88" i="2"/>
  <c r="F40" i="3"/>
  <c r="Q40" i="2" s="1"/>
  <c r="Q41" i="2"/>
  <c r="Q13" i="2"/>
  <c r="Q52" i="2"/>
  <c r="Q138" i="2"/>
  <c r="L7" i="2"/>
  <c r="L15" i="2"/>
  <c r="M26" i="2"/>
  <c r="M12" i="2"/>
  <c r="M20" i="2"/>
  <c r="N9" i="2"/>
  <c r="O14" i="2"/>
  <c r="P19" i="2"/>
  <c r="G6" i="2"/>
  <c r="G10" i="2"/>
  <c r="G14" i="2"/>
  <c r="G18" i="2"/>
  <c r="I22" i="3"/>
  <c r="N22" i="2" s="1"/>
  <c r="N23" i="2"/>
  <c r="H24" i="2"/>
  <c r="N6" i="2"/>
  <c r="K7" i="2"/>
  <c r="H8" i="2"/>
  <c r="J10" i="2"/>
  <c r="G11" i="2"/>
  <c r="M13" i="2"/>
  <c r="F14" i="2"/>
  <c r="P16" i="2"/>
  <c r="I17" i="2"/>
  <c r="O19" i="2"/>
  <c r="L20" i="2"/>
  <c r="J22" i="3"/>
  <c r="M22" i="2" s="1"/>
  <c r="M23" i="2"/>
  <c r="P25" i="2"/>
  <c r="O28" i="2"/>
  <c r="M6" i="2"/>
  <c r="F7" i="2"/>
  <c r="P9" i="2"/>
  <c r="I10" i="2"/>
  <c r="O12" i="2"/>
  <c r="L13" i="2"/>
  <c r="N15" i="2"/>
  <c r="K16" i="2"/>
  <c r="H17" i="2"/>
  <c r="J19" i="2"/>
  <c r="G20" i="2"/>
  <c r="G22" i="3"/>
  <c r="P22" i="2" s="1"/>
  <c r="P23" i="2"/>
  <c r="K24" i="2"/>
  <c r="I26" i="2"/>
  <c r="L4" i="3"/>
  <c r="K4" i="2" s="1"/>
  <c r="K5" i="2"/>
  <c r="H6" i="2"/>
  <c r="J8" i="2"/>
  <c r="G9" i="2"/>
  <c r="M11" i="2"/>
  <c r="F12" i="2"/>
  <c r="P14" i="2"/>
  <c r="I15" i="2"/>
  <c r="O17" i="2"/>
  <c r="L18" i="2"/>
  <c r="N20" i="2"/>
  <c r="K21" i="2"/>
  <c r="P22" i="3"/>
  <c r="G22" i="2" s="1"/>
  <c r="G23" i="2"/>
  <c r="H25" i="2"/>
  <c r="G28" i="2"/>
  <c r="M30" i="2"/>
  <c r="F31" i="2"/>
  <c r="P33" i="2"/>
  <c r="I34" i="2"/>
  <c r="O36" i="2"/>
  <c r="L37" i="2"/>
  <c r="N39" i="2"/>
  <c r="M40" i="3"/>
  <c r="J40" i="2" s="1"/>
  <c r="J41" i="2"/>
  <c r="G42" i="2"/>
  <c r="M44" i="2"/>
  <c r="F45" i="2"/>
  <c r="P47" i="2"/>
  <c r="I48" i="2"/>
  <c r="O50" i="2"/>
  <c r="L51" i="2"/>
  <c r="N53" i="2"/>
  <c r="K54" i="2"/>
  <c r="H55" i="2"/>
  <c r="J57" i="2"/>
  <c r="N61" i="2"/>
  <c r="K62" i="2"/>
  <c r="H63" i="2"/>
  <c r="J65" i="2"/>
  <c r="G66" i="2"/>
  <c r="M68" i="2"/>
  <c r="F69" i="2"/>
  <c r="P71" i="2"/>
  <c r="I72" i="2"/>
  <c r="O74" i="2"/>
  <c r="K75" i="2"/>
  <c r="K77" i="3"/>
  <c r="L77" i="2" s="1"/>
  <c r="L78" i="2"/>
  <c r="K80" i="2"/>
  <c r="N83" i="2"/>
  <c r="J28" i="2"/>
  <c r="G29" i="2"/>
  <c r="M31" i="2"/>
  <c r="F32" i="2"/>
  <c r="P34" i="2"/>
  <c r="I35" i="2"/>
  <c r="O37" i="2"/>
  <c r="L38" i="2"/>
  <c r="J40" i="3"/>
  <c r="M40" i="2" s="1"/>
  <c r="M41" i="2"/>
  <c r="F42" i="2"/>
  <c r="P44" i="2"/>
  <c r="I45" i="2"/>
  <c r="O47" i="2"/>
  <c r="L48" i="2"/>
  <c r="N50" i="2"/>
  <c r="K51" i="2"/>
  <c r="H52" i="2"/>
  <c r="J54" i="2"/>
  <c r="G55" i="2"/>
  <c r="M57" i="2"/>
  <c r="O59" i="3"/>
  <c r="H59" i="2" s="1"/>
  <c r="H60" i="2"/>
  <c r="J62" i="2"/>
  <c r="G63" i="2"/>
  <c r="M65" i="2"/>
  <c r="F66" i="2"/>
  <c r="P68" i="2"/>
  <c r="I69" i="2"/>
  <c r="O71" i="2"/>
  <c r="L72" i="2"/>
  <c r="N74" i="2"/>
  <c r="J75" i="2"/>
  <c r="L77" i="3"/>
  <c r="K77" i="2" s="1"/>
  <c r="K78" i="2"/>
  <c r="J80" i="2"/>
  <c r="M24" i="2"/>
  <c r="F25" i="2"/>
  <c r="P27" i="2"/>
  <c r="I28" i="2"/>
  <c r="O30" i="2"/>
  <c r="L31" i="2"/>
  <c r="N33" i="2"/>
  <c r="K34" i="2"/>
  <c r="H35" i="2"/>
  <c r="J37" i="2"/>
  <c r="G38" i="2"/>
  <c r="G40" i="3"/>
  <c r="P40" i="2" s="1"/>
  <c r="P41" i="2"/>
  <c r="I42" i="2"/>
  <c r="O44" i="2"/>
  <c r="L45" i="2"/>
  <c r="N47" i="2"/>
  <c r="K48" i="2"/>
  <c r="H49" i="2"/>
  <c r="J51" i="2"/>
  <c r="G52" i="2"/>
  <c r="M54" i="2"/>
  <c r="F55" i="2"/>
  <c r="P57" i="2"/>
  <c r="L59" i="3"/>
  <c r="K59" i="2" s="1"/>
  <c r="K60" i="2"/>
  <c r="H61" i="2"/>
  <c r="J63" i="2"/>
  <c r="G64" i="2"/>
  <c r="M66" i="2"/>
  <c r="F67" i="2"/>
  <c r="P69" i="2"/>
  <c r="I70" i="2"/>
  <c r="O72" i="2"/>
  <c r="L73" i="2"/>
  <c r="N75" i="2"/>
  <c r="H77" i="3"/>
  <c r="O77" i="2" s="1"/>
  <c r="O78" i="2"/>
  <c r="N80" i="2"/>
  <c r="P82" i="2"/>
  <c r="J26" i="2"/>
  <c r="G27" i="2"/>
  <c r="M29" i="2"/>
  <c r="F30" i="2"/>
  <c r="P32" i="2"/>
  <c r="I33" i="2"/>
  <c r="O35" i="2"/>
  <c r="L36" i="2"/>
  <c r="N38" i="2"/>
  <c r="K39" i="2"/>
  <c r="P40" i="3"/>
  <c r="G40" i="2" s="1"/>
  <c r="G41" i="2"/>
  <c r="M43" i="2"/>
  <c r="F44" i="2"/>
  <c r="P46" i="2"/>
  <c r="I47" i="2"/>
  <c r="O49" i="2"/>
  <c r="L50" i="2"/>
  <c r="N52" i="2"/>
  <c r="K53" i="2"/>
  <c r="H54" i="2"/>
  <c r="J56" i="2"/>
  <c r="G57" i="2"/>
  <c r="O61" i="2"/>
  <c r="L62" i="2"/>
  <c r="N64" i="2"/>
  <c r="K65" i="2"/>
  <c r="H66" i="2"/>
  <c r="J68" i="2"/>
  <c r="G69" i="2"/>
  <c r="M71" i="2"/>
  <c r="F72" i="2"/>
  <c r="P74" i="2"/>
  <c r="G75" i="2"/>
  <c r="O77" i="3"/>
  <c r="H77" i="2" s="1"/>
  <c r="H78" i="2"/>
  <c r="G80" i="2"/>
  <c r="N81" i="2"/>
  <c r="K82" i="2"/>
  <c r="H83" i="2"/>
  <c r="J85" i="2"/>
  <c r="G86" i="2"/>
  <c r="M88" i="2"/>
  <c r="F89" i="2"/>
  <c r="P91" i="2"/>
  <c r="I92" i="2"/>
  <c r="O94" i="2"/>
  <c r="L95" i="3"/>
  <c r="K95" i="2" s="1"/>
  <c r="K96" i="2"/>
  <c r="H97" i="2"/>
  <c r="J99" i="2"/>
  <c r="G100" i="2"/>
  <c r="M102" i="2"/>
  <c r="F103" i="2"/>
  <c r="P105" i="2"/>
  <c r="I106" i="2"/>
  <c r="O108" i="2"/>
  <c r="L109" i="2"/>
  <c r="N111" i="2"/>
  <c r="K112" i="2"/>
  <c r="P113" i="3"/>
  <c r="G113" i="2" s="1"/>
  <c r="G114" i="2"/>
  <c r="M116" i="2"/>
  <c r="F117" i="2"/>
  <c r="P119" i="2"/>
  <c r="I120" i="2"/>
  <c r="O122" i="2"/>
  <c r="L123" i="2"/>
  <c r="L125" i="2"/>
  <c r="P127" i="2"/>
  <c r="I128" i="2"/>
  <c r="I130" i="2"/>
  <c r="O136" i="2"/>
  <c r="N76" i="2"/>
  <c r="M77" i="3"/>
  <c r="J77" i="2" s="1"/>
  <c r="J78" i="2"/>
  <c r="G79" i="2"/>
  <c r="M81" i="2"/>
  <c r="F82" i="2"/>
  <c r="P84" i="2"/>
  <c r="I85" i="2"/>
  <c r="O87" i="2"/>
  <c r="L88" i="2"/>
  <c r="N90" i="2"/>
  <c r="K91" i="2"/>
  <c r="H92" i="2"/>
  <c r="J94" i="2"/>
  <c r="Q95" i="3"/>
  <c r="F95" i="2" s="1"/>
  <c r="F96" i="2"/>
  <c r="P98" i="2"/>
  <c r="I99" i="2"/>
  <c r="O101" i="2"/>
  <c r="L102" i="2"/>
  <c r="N104" i="2"/>
  <c r="K105" i="2"/>
  <c r="H106" i="2"/>
  <c r="J108" i="2"/>
  <c r="G109" i="2"/>
  <c r="M111" i="2"/>
  <c r="F112" i="2"/>
  <c r="O115" i="2"/>
  <c r="L116" i="2"/>
  <c r="N118" i="2"/>
  <c r="K119" i="2"/>
  <c r="H120" i="2"/>
  <c r="J122" i="2"/>
  <c r="G123" i="2"/>
  <c r="P125" i="2"/>
  <c r="O127" i="2"/>
  <c r="P129" i="2"/>
  <c r="H131" i="3"/>
  <c r="O131" i="2" s="1"/>
  <c r="O132" i="2"/>
  <c r="J135" i="2"/>
  <c r="K84" i="2"/>
  <c r="H85" i="2"/>
  <c r="J87" i="2"/>
  <c r="G88" i="2"/>
  <c r="M90" i="2"/>
  <c r="F91" i="2"/>
  <c r="P93" i="2"/>
  <c r="I94" i="2"/>
  <c r="J97" i="2"/>
  <c r="G98" i="2"/>
  <c r="M100" i="2"/>
  <c r="F101" i="2"/>
  <c r="P103" i="2"/>
  <c r="I104" i="2"/>
  <c r="O106" i="2"/>
  <c r="L107" i="2"/>
  <c r="N109" i="2"/>
  <c r="K110" i="2"/>
  <c r="H111" i="2"/>
  <c r="N113" i="3"/>
  <c r="I113" i="2" s="1"/>
  <c r="I114" i="2"/>
  <c r="O116" i="2"/>
  <c r="L117" i="2"/>
  <c r="N119" i="2"/>
  <c r="K120" i="2"/>
  <c r="H121" i="2"/>
  <c r="J123" i="2"/>
  <c r="G124" i="2"/>
  <c r="F126" i="2"/>
  <c r="G128" i="2"/>
  <c r="F130" i="2"/>
  <c r="I134" i="2"/>
  <c r="M83" i="2"/>
  <c r="F84" i="2"/>
  <c r="P86" i="2"/>
  <c r="I87" i="2"/>
  <c r="O89" i="2"/>
  <c r="L90" i="2"/>
  <c r="N92" i="2"/>
  <c r="K93" i="2"/>
  <c r="H94" i="2"/>
  <c r="M97" i="2"/>
  <c r="F98" i="2"/>
  <c r="P100" i="2"/>
  <c r="I101" i="2"/>
  <c r="O103" i="2"/>
  <c r="L104" i="2"/>
  <c r="N106" i="2"/>
  <c r="K107" i="2"/>
  <c r="H108" i="2"/>
  <c r="J110" i="2"/>
  <c r="G111" i="2"/>
  <c r="G113" i="3"/>
  <c r="P113" i="2" s="1"/>
  <c r="P114" i="2"/>
  <c r="I115" i="2"/>
  <c r="O117" i="2"/>
  <c r="L118" i="2"/>
  <c r="N120" i="2"/>
  <c r="K121" i="2"/>
  <c r="H122" i="2"/>
  <c r="J124" i="2"/>
  <c r="J126" i="2"/>
  <c r="K128" i="2"/>
  <c r="J130" i="2"/>
  <c r="K125" i="2"/>
  <c r="H126" i="2"/>
  <c r="J128" i="2"/>
  <c r="G129" i="2"/>
  <c r="G131" i="3"/>
  <c r="P131" i="2" s="1"/>
  <c r="P132" i="2"/>
  <c r="I133" i="2"/>
  <c r="O135" i="2"/>
  <c r="L136" i="2"/>
  <c r="N138" i="2"/>
  <c r="I139" i="2"/>
  <c r="H141" i="2"/>
  <c r="O144" i="2"/>
  <c r="P147" i="2"/>
  <c r="M138" i="2"/>
  <c r="O140" i="2"/>
  <c r="P142" i="2"/>
  <c r="M144" i="2"/>
  <c r="F147" i="2"/>
  <c r="O133" i="2"/>
  <c r="L134" i="2"/>
  <c r="N136" i="2"/>
  <c r="K137" i="2"/>
  <c r="H138" i="2"/>
  <c r="I140" i="2"/>
  <c r="O142" i="2"/>
  <c r="P145" i="2"/>
  <c r="L147" i="2"/>
  <c r="F133" i="2"/>
  <c r="P135" i="2"/>
  <c r="I136" i="2"/>
  <c r="O138" i="2"/>
  <c r="J139" i="2"/>
  <c r="J141" i="2"/>
  <c r="N145" i="2"/>
  <c r="I148" i="2"/>
  <c r="P140" i="2"/>
  <c r="I141" i="2"/>
  <c r="O143" i="2"/>
  <c r="L144" i="2"/>
  <c r="N146" i="2"/>
  <c r="K147" i="2"/>
  <c r="H148" i="2"/>
  <c r="I143" i="2"/>
  <c r="O145" i="2"/>
  <c r="L146" i="2"/>
  <c r="N148" i="2"/>
  <c r="Q136" i="2"/>
  <c r="Q116" i="2"/>
  <c r="Q11" i="2"/>
  <c r="Q18" i="2"/>
  <c r="Q92" i="2"/>
  <c r="Q118" i="2"/>
  <c r="Q19" i="2"/>
  <c r="Q115" i="2"/>
  <c r="F95" i="3"/>
  <c r="Q95" i="2" s="1"/>
  <c r="Q96" i="2"/>
  <c r="Q80" i="2"/>
  <c r="Q35" i="2"/>
  <c r="Q105" i="2"/>
  <c r="Q93" i="2"/>
  <c r="Q28" i="2"/>
  <c r="Q106" i="2"/>
  <c r="Q24" i="2"/>
  <c r="Q98" i="2"/>
  <c r="Q44" i="2"/>
  <c r="Q146" i="2"/>
  <c r="Q143" i="2"/>
  <c r="Q17" i="2"/>
  <c r="Q117" i="2"/>
  <c r="Q89" i="2"/>
  <c r="Q21" i="2"/>
  <c r="Q6" i="2"/>
  <c r="Q25" i="2"/>
  <c r="Q43" i="2"/>
  <c r="Q104" i="2"/>
  <c r="J9" i="2"/>
  <c r="J17" i="2"/>
  <c r="K6" i="2"/>
  <c r="K14" i="2"/>
  <c r="I4" i="3"/>
  <c r="N4" i="2" s="1"/>
  <c r="N5" i="2"/>
  <c r="O10" i="2"/>
  <c r="P15" i="2"/>
  <c r="N21" i="2"/>
  <c r="H7" i="2"/>
  <c r="H11" i="2"/>
  <c r="H15" i="2"/>
  <c r="H19" i="2"/>
  <c r="N24" i="2"/>
  <c r="G25" i="2"/>
  <c r="J6" i="2"/>
  <c r="G7" i="2"/>
  <c r="M9" i="2"/>
  <c r="F10" i="2"/>
  <c r="P12" i="2"/>
  <c r="I13" i="2"/>
  <c r="O15" i="2"/>
  <c r="L16" i="2"/>
  <c r="N18" i="2"/>
  <c r="K19" i="2"/>
  <c r="H20" i="2"/>
  <c r="N22" i="3"/>
  <c r="I22" i="2" s="1"/>
  <c r="I23" i="2"/>
  <c r="K25" i="2"/>
  <c r="G4" i="3"/>
  <c r="P4" i="2" s="1"/>
  <c r="P5" i="2"/>
  <c r="I6" i="2"/>
  <c r="O8" i="2"/>
  <c r="L9" i="2"/>
  <c r="N11" i="2"/>
  <c r="K12" i="2"/>
  <c r="H13" i="2"/>
  <c r="J15" i="2"/>
  <c r="G16" i="2"/>
  <c r="M18" i="2"/>
  <c r="F19" i="2"/>
  <c r="P21" i="2"/>
  <c r="K22" i="3"/>
  <c r="L22" i="2" s="1"/>
  <c r="L23" i="2"/>
  <c r="F24" i="2"/>
  <c r="J27" i="2"/>
  <c r="P4" i="3"/>
  <c r="G4" i="2" s="1"/>
  <c r="G5" i="2"/>
  <c r="M7" i="2"/>
  <c r="F8" i="2"/>
  <c r="P10" i="2"/>
  <c r="I11" i="2"/>
  <c r="O13" i="2"/>
  <c r="L14" i="2"/>
  <c r="N16" i="2"/>
  <c r="K17" i="2"/>
  <c r="H18" i="2"/>
  <c r="J20" i="2"/>
  <c r="G21" i="2"/>
  <c r="O24" i="2"/>
  <c r="P26" i="2"/>
  <c r="P29" i="2"/>
  <c r="I30" i="2"/>
  <c r="O32" i="2"/>
  <c r="L33" i="2"/>
  <c r="N35" i="2"/>
  <c r="K36" i="2"/>
  <c r="H37" i="2"/>
  <c r="J39" i="2"/>
  <c r="Q40" i="3"/>
  <c r="F40" i="2" s="1"/>
  <c r="F41" i="2"/>
  <c r="P43" i="2"/>
  <c r="I44" i="2"/>
  <c r="O46" i="2"/>
  <c r="L47" i="2"/>
  <c r="N49" i="2"/>
  <c r="K50" i="2"/>
  <c r="H51" i="2"/>
  <c r="J53" i="2"/>
  <c r="G54" i="2"/>
  <c r="M56" i="2"/>
  <c r="F57" i="2"/>
  <c r="J61" i="2"/>
  <c r="G62" i="2"/>
  <c r="M64" i="2"/>
  <c r="F65" i="2"/>
  <c r="P67" i="2"/>
  <c r="I68" i="2"/>
  <c r="O70" i="2"/>
  <c r="L71" i="2"/>
  <c r="N73" i="2"/>
  <c r="K74" i="2"/>
  <c r="F75" i="2"/>
  <c r="P77" i="3"/>
  <c r="G77" i="2" s="1"/>
  <c r="G78" i="2"/>
  <c r="F80" i="2"/>
  <c r="M27" i="2"/>
  <c r="F28" i="2"/>
  <c r="P30" i="2"/>
  <c r="I31" i="2"/>
  <c r="O33" i="2"/>
  <c r="L34" i="2"/>
  <c r="N36" i="2"/>
  <c r="K37" i="2"/>
  <c r="H38" i="2"/>
  <c r="N40" i="3"/>
  <c r="I40" i="2" s="1"/>
  <c r="I41" i="2"/>
  <c r="O43" i="2"/>
  <c r="L44" i="2"/>
  <c r="N46" i="2"/>
  <c r="K47" i="2"/>
  <c r="H48" i="2"/>
  <c r="J50" i="2"/>
  <c r="G51" i="2"/>
  <c r="M53" i="2"/>
  <c r="F54" i="2"/>
  <c r="P56" i="2"/>
  <c r="I57" i="2"/>
  <c r="M61" i="2"/>
  <c r="F62" i="2"/>
  <c r="P64" i="2"/>
  <c r="I65" i="2"/>
  <c r="O67" i="2"/>
  <c r="L68" i="2"/>
  <c r="N70" i="2"/>
  <c r="K71" i="2"/>
  <c r="H72" i="2"/>
  <c r="J74" i="2"/>
  <c r="M76" i="2"/>
  <c r="M79" i="2"/>
  <c r="K81" i="2"/>
  <c r="I24" i="2"/>
  <c r="O26" i="2"/>
  <c r="L27" i="2"/>
  <c r="N29" i="2"/>
  <c r="K30" i="2"/>
  <c r="H31" i="2"/>
  <c r="J33" i="2"/>
  <c r="G34" i="2"/>
  <c r="M36" i="2"/>
  <c r="F37" i="2"/>
  <c r="P39" i="2"/>
  <c r="K40" i="3"/>
  <c r="L40" i="2" s="1"/>
  <c r="L41" i="2"/>
  <c r="N43" i="2"/>
  <c r="K44" i="2"/>
  <c r="H45" i="2"/>
  <c r="J47" i="2"/>
  <c r="G48" i="2"/>
  <c r="M50" i="2"/>
  <c r="F51" i="2"/>
  <c r="P53" i="2"/>
  <c r="I54" i="2"/>
  <c r="O56" i="2"/>
  <c r="L57" i="2"/>
  <c r="P59" i="3"/>
  <c r="G59" i="2" s="1"/>
  <c r="G60" i="2"/>
  <c r="M62" i="2"/>
  <c r="F63" i="2"/>
  <c r="P65" i="2"/>
  <c r="I66" i="2"/>
  <c r="O68" i="2"/>
  <c r="L69" i="2"/>
  <c r="N71" i="2"/>
  <c r="K72" i="2"/>
  <c r="H73" i="2"/>
  <c r="H75" i="2"/>
  <c r="N77" i="3"/>
  <c r="I77" i="2" s="1"/>
  <c r="I78" i="2"/>
  <c r="I80" i="2"/>
  <c r="H82" i="2"/>
  <c r="F26" i="2"/>
  <c r="P28" i="2"/>
  <c r="I29" i="2"/>
  <c r="O31" i="2"/>
  <c r="L32" i="2"/>
  <c r="N34" i="2"/>
  <c r="K35" i="2"/>
  <c r="H36" i="2"/>
  <c r="J38" i="2"/>
  <c r="G39" i="2"/>
  <c r="P42" i="2"/>
  <c r="I43" i="2"/>
  <c r="O45" i="2"/>
  <c r="L46" i="2"/>
  <c r="N48" i="2"/>
  <c r="K49" i="2"/>
  <c r="H50" i="2"/>
  <c r="J52" i="2"/>
  <c r="G53" i="2"/>
  <c r="M55" i="2"/>
  <c r="F56" i="2"/>
  <c r="I59" i="3"/>
  <c r="N59" i="2" s="1"/>
  <c r="N60" i="2"/>
  <c r="K61" i="2"/>
  <c r="H62" i="2"/>
  <c r="J64" i="2"/>
  <c r="G65" i="2"/>
  <c r="M67" i="2"/>
  <c r="F68" i="2"/>
  <c r="P70" i="2"/>
  <c r="I71" i="2"/>
  <c r="O73" i="2"/>
  <c r="L74" i="2"/>
  <c r="P76" i="2"/>
  <c r="P79" i="2"/>
  <c r="O81" i="2"/>
  <c r="J81" i="2"/>
  <c r="G82" i="2"/>
  <c r="M84" i="2"/>
  <c r="F85" i="2"/>
  <c r="P87" i="2"/>
  <c r="I88" i="2"/>
  <c r="O90" i="2"/>
  <c r="L91" i="2"/>
  <c r="N93" i="2"/>
  <c r="K94" i="2"/>
  <c r="P95" i="3"/>
  <c r="G95" i="2" s="1"/>
  <c r="G96" i="2"/>
  <c r="M98" i="2"/>
  <c r="F99" i="2"/>
  <c r="P101" i="2"/>
  <c r="I102" i="2"/>
  <c r="O104" i="2"/>
  <c r="L105" i="2"/>
  <c r="N107" i="2"/>
  <c r="K108" i="2"/>
  <c r="H109" i="2"/>
  <c r="J111" i="2"/>
  <c r="G112" i="2"/>
  <c r="P115" i="2"/>
  <c r="I116" i="2"/>
  <c r="O118" i="2"/>
  <c r="L119" i="2"/>
  <c r="N121" i="2"/>
  <c r="K122" i="2"/>
  <c r="H123" i="2"/>
  <c r="F125" i="2"/>
  <c r="K127" i="2"/>
  <c r="L129" i="2"/>
  <c r="L131" i="3"/>
  <c r="K131" i="2" s="1"/>
  <c r="K132" i="2"/>
  <c r="P137" i="2"/>
  <c r="J76" i="2"/>
  <c r="Q77" i="3"/>
  <c r="F77" i="2" s="1"/>
  <c r="F78" i="2"/>
  <c r="P80" i="2"/>
  <c r="I81" i="2"/>
  <c r="O83" i="2"/>
  <c r="L84" i="2"/>
  <c r="N86" i="2"/>
  <c r="K87" i="2"/>
  <c r="H88" i="2"/>
  <c r="J90" i="2"/>
  <c r="G91" i="2"/>
  <c r="M93" i="2"/>
  <c r="F94" i="2"/>
  <c r="O97" i="2"/>
  <c r="L98" i="2"/>
  <c r="N100" i="2"/>
  <c r="K101" i="2"/>
  <c r="H102" i="2"/>
  <c r="J104" i="2"/>
  <c r="G105" i="2"/>
  <c r="M107" i="2"/>
  <c r="F108" i="2"/>
  <c r="P110" i="2"/>
  <c r="I111" i="2"/>
  <c r="I113" i="3"/>
  <c r="N113" i="2" s="1"/>
  <c r="N114" i="2"/>
  <c r="K115" i="2"/>
  <c r="H116" i="2"/>
  <c r="J118" i="2"/>
  <c r="G119" i="2"/>
  <c r="M121" i="2"/>
  <c r="F122" i="2"/>
  <c r="P124" i="2"/>
  <c r="J125" i="2"/>
  <c r="J127" i="2"/>
  <c r="J129" i="2"/>
  <c r="N131" i="3"/>
  <c r="I131" i="2" s="1"/>
  <c r="I132" i="2"/>
  <c r="K136" i="2"/>
  <c r="G84" i="2"/>
  <c r="M86" i="2"/>
  <c r="F87" i="2"/>
  <c r="P89" i="2"/>
  <c r="I90" i="2"/>
  <c r="O92" i="2"/>
  <c r="L93" i="2"/>
  <c r="J95" i="3"/>
  <c r="M95" i="2" s="1"/>
  <c r="M96" i="2"/>
  <c r="F97" i="2"/>
  <c r="P99" i="2"/>
  <c r="I100" i="2"/>
  <c r="O102" i="2"/>
  <c r="L103" i="2"/>
  <c r="N105" i="2"/>
  <c r="K106" i="2"/>
  <c r="H107" i="2"/>
  <c r="J109" i="2"/>
  <c r="G110" i="2"/>
  <c r="M112" i="2"/>
  <c r="N115" i="2"/>
  <c r="K116" i="2"/>
  <c r="H117" i="2"/>
  <c r="J119" i="2"/>
  <c r="G120" i="2"/>
  <c r="M122" i="2"/>
  <c r="F123" i="2"/>
  <c r="N125" i="2"/>
  <c r="N127" i="2"/>
  <c r="N129" i="2"/>
  <c r="I131" i="3"/>
  <c r="N131" i="2" s="1"/>
  <c r="N132" i="2"/>
  <c r="F135" i="2"/>
  <c r="I83" i="2"/>
  <c r="O85" i="2"/>
  <c r="L86" i="2"/>
  <c r="N88" i="2"/>
  <c r="K89" i="2"/>
  <c r="H90" i="2"/>
  <c r="J92" i="2"/>
  <c r="G93" i="2"/>
  <c r="G95" i="3"/>
  <c r="P95" i="2" s="1"/>
  <c r="P96" i="2"/>
  <c r="I97" i="2"/>
  <c r="O99" i="2"/>
  <c r="L100" i="2"/>
  <c r="N102" i="2"/>
  <c r="K103" i="2"/>
  <c r="H104" i="2"/>
  <c r="J106" i="2"/>
  <c r="G107" i="2"/>
  <c r="M109" i="2"/>
  <c r="F110" i="2"/>
  <c r="P112" i="2"/>
  <c r="K113" i="3"/>
  <c r="L113" i="2" s="1"/>
  <c r="L114" i="2"/>
  <c r="N116" i="2"/>
  <c r="K117" i="2"/>
  <c r="H118" i="2"/>
  <c r="J120" i="2"/>
  <c r="G121" i="2"/>
  <c r="M123" i="2"/>
  <c r="M125" i="2"/>
  <c r="L127" i="2"/>
  <c r="M129" i="2"/>
  <c r="J131" i="3"/>
  <c r="M131" i="2" s="1"/>
  <c r="M132" i="2"/>
  <c r="G125" i="2"/>
  <c r="M127" i="2"/>
  <c r="F128" i="2"/>
  <c r="P130" i="2"/>
  <c r="K131" i="3"/>
  <c r="L131" i="2" s="1"/>
  <c r="L132" i="2"/>
  <c r="N134" i="2"/>
  <c r="K135" i="2"/>
  <c r="H136" i="2"/>
  <c r="J138" i="2"/>
  <c r="K140" i="2"/>
  <c r="K142" i="2"/>
  <c r="G144" i="2"/>
  <c r="H147" i="2"/>
  <c r="I138" i="2"/>
  <c r="J140" i="2"/>
  <c r="I142" i="2"/>
  <c r="J145" i="2"/>
  <c r="M148" i="2"/>
  <c r="K133" i="2"/>
  <c r="H134" i="2"/>
  <c r="J136" i="2"/>
  <c r="G137" i="2"/>
  <c r="L139" i="2"/>
  <c r="P141" i="2"/>
  <c r="G142" i="2"/>
  <c r="H145" i="2"/>
  <c r="K148" i="2"/>
  <c r="O134" i="2"/>
  <c r="L135" i="2"/>
  <c r="N137" i="2"/>
  <c r="K138" i="2"/>
  <c r="M140" i="2"/>
  <c r="M142" i="2"/>
  <c r="F145" i="2"/>
  <c r="O139" i="2"/>
  <c r="L140" i="2"/>
  <c r="N142" i="2"/>
  <c r="K143" i="2"/>
  <c r="H144" i="2"/>
  <c r="J146" i="2"/>
  <c r="G147" i="2"/>
  <c r="L142" i="2"/>
  <c r="N144" i="2"/>
  <c r="K145" i="2"/>
  <c r="H146" i="2"/>
  <c r="J148" i="2"/>
  <c r="Q73" i="2"/>
  <c r="Q144" i="2"/>
  <c r="Q126" i="2"/>
  <c r="Q69" i="2"/>
  <c r="F113" i="3"/>
  <c r="Q113" i="2" s="1"/>
  <c r="Q114" i="2"/>
  <c r="Q67" i="2"/>
  <c r="Q45" i="2"/>
  <c r="Q30" i="2"/>
  <c r="Q129" i="2"/>
  <c r="Q57" i="2"/>
  <c r="Q63" i="2"/>
  <c r="F59" i="3"/>
  <c r="Q59" i="2" s="1"/>
  <c r="Q60" i="2"/>
  <c r="Q121" i="2"/>
  <c r="F4" i="3"/>
  <c r="Q4" i="2" s="1"/>
  <c r="Q5" i="2"/>
  <c r="Q8" i="2"/>
  <c r="Q112" i="2"/>
  <c r="Q128" i="2"/>
  <c r="Q20" i="2"/>
  <c r="Q82" i="2"/>
  <c r="Q39" i="2"/>
  <c r="Q16" i="2"/>
  <c r="Q124" i="2"/>
  <c r="Q61" i="2"/>
  <c r="Q55" i="2"/>
  <c r="Q70" i="2"/>
  <c r="L11" i="2"/>
  <c r="L19" i="2"/>
  <c r="M8" i="2"/>
  <c r="M16" i="2"/>
  <c r="O6" i="2"/>
  <c r="P11" i="2"/>
  <c r="N17" i="2"/>
  <c r="Q22" i="3"/>
  <c r="F22" i="2" s="1"/>
  <c r="F23" i="2"/>
  <c r="I8" i="2"/>
  <c r="I12" i="2"/>
  <c r="I16" i="2"/>
  <c r="I20" i="2"/>
  <c r="L25" i="2"/>
  <c r="J4" i="3"/>
  <c r="M4" i="2" s="1"/>
  <c r="M5" i="2"/>
  <c r="F6" i="2"/>
  <c r="P8" i="2"/>
  <c r="I9" i="2"/>
  <c r="O11" i="2"/>
  <c r="L12" i="2"/>
  <c r="N14" i="2"/>
  <c r="K15" i="2"/>
  <c r="H16" i="2"/>
  <c r="J18" i="2"/>
  <c r="G19" i="2"/>
  <c r="M21" i="2"/>
  <c r="L24" i="2"/>
  <c r="L26" i="2"/>
  <c r="K4" i="3"/>
  <c r="L4" i="2" s="1"/>
  <c r="L5" i="2"/>
  <c r="N7" i="2"/>
  <c r="K8" i="2"/>
  <c r="H9" i="2"/>
  <c r="J11" i="2"/>
  <c r="G12" i="2"/>
  <c r="M14" i="2"/>
  <c r="F15" i="2"/>
  <c r="P17" i="2"/>
  <c r="I18" i="2"/>
  <c r="O20" i="2"/>
  <c r="L21" i="2"/>
  <c r="O22" i="3"/>
  <c r="H22" i="2" s="1"/>
  <c r="H23" i="2"/>
  <c r="O25" i="2"/>
  <c r="K28" i="2"/>
  <c r="P6" i="2"/>
  <c r="I7" i="2"/>
  <c r="O9" i="2"/>
  <c r="L10" i="2"/>
  <c r="N12" i="2"/>
  <c r="K13" i="2"/>
  <c r="H14" i="2"/>
  <c r="J16" i="2"/>
  <c r="G17" i="2"/>
  <c r="M19" i="2"/>
  <c r="F20" i="2"/>
  <c r="H22" i="3"/>
  <c r="O22" i="2" s="1"/>
  <c r="O23" i="2"/>
  <c r="J24" i="2"/>
  <c r="H26" i="2"/>
  <c r="L29" i="2"/>
  <c r="N31" i="2"/>
  <c r="K32" i="2"/>
  <c r="H33" i="2"/>
  <c r="J35" i="2"/>
  <c r="G36" i="2"/>
  <c r="M38" i="2"/>
  <c r="F39" i="2"/>
  <c r="O42" i="2"/>
  <c r="L43" i="2"/>
  <c r="N45" i="2"/>
  <c r="K46" i="2"/>
  <c r="H47" i="2"/>
  <c r="J49" i="2"/>
  <c r="G50" i="2"/>
  <c r="M52" i="2"/>
  <c r="F53" i="2"/>
  <c r="P55" i="2"/>
  <c r="I56" i="2"/>
  <c r="J59" i="3"/>
  <c r="M59" i="2" s="1"/>
  <c r="M60" i="2"/>
  <c r="F61" i="2"/>
  <c r="P63" i="2"/>
  <c r="I64" i="2"/>
  <c r="O66" i="2"/>
  <c r="L67" i="2"/>
  <c r="N69" i="2"/>
  <c r="K70" i="2"/>
  <c r="H71" i="2"/>
  <c r="J73" i="2"/>
  <c r="G74" i="2"/>
  <c r="O76" i="2"/>
  <c r="N79" i="2"/>
  <c r="L81" i="2"/>
  <c r="I27" i="2"/>
  <c r="O29" i="2"/>
  <c r="L30" i="2"/>
  <c r="N32" i="2"/>
  <c r="K33" i="2"/>
  <c r="H34" i="2"/>
  <c r="J36" i="2"/>
  <c r="G37" i="2"/>
  <c r="M39" i="2"/>
  <c r="N42" i="2"/>
  <c r="K43" i="2"/>
  <c r="H44" i="2"/>
  <c r="J46" i="2"/>
  <c r="G47" i="2"/>
  <c r="M49" i="2"/>
  <c r="F50" i="2"/>
  <c r="P52" i="2"/>
  <c r="I53" i="2"/>
  <c r="O55" i="2"/>
  <c r="L56" i="2"/>
  <c r="G59" i="3"/>
  <c r="P59" i="2" s="1"/>
  <c r="P60" i="2"/>
  <c r="I61" i="2"/>
  <c r="O63" i="2"/>
  <c r="L64" i="2"/>
  <c r="N66" i="2"/>
  <c r="K67" i="2"/>
  <c r="H68" i="2"/>
  <c r="J70" i="2"/>
  <c r="G71" i="2"/>
  <c r="M73" i="2"/>
  <c r="F74" i="2"/>
  <c r="H76" i="2"/>
  <c r="H79" i="2"/>
  <c r="I82" i="2"/>
  <c r="N25" i="2"/>
  <c r="K26" i="2"/>
  <c r="H27" i="2"/>
  <c r="J29" i="2"/>
  <c r="G30" i="2"/>
  <c r="M32" i="2"/>
  <c r="F33" i="2"/>
  <c r="P35" i="2"/>
  <c r="I36" i="2"/>
  <c r="O38" i="2"/>
  <c r="L39" i="2"/>
  <c r="O40" i="3"/>
  <c r="H40" i="2" s="1"/>
  <c r="H41" i="2"/>
  <c r="J43" i="2"/>
  <c r="G44" i="2"/>
  <c r="M46" i="2"/>
  <c r="F47" i="2"/>
  <c r="P49" i="2"/>
  <c r="I50" i="2"/>
  <c r="O52" i="2"/>
  <c r="L53" i="2"/>
  <c r="N55" i="2"/>
  <c r="K56" i="2"/>
  <c r="H57" i="2"/>
  <c r="P61" i="2"/>
  <c r="I62" i="2"/>
  <c r="O64" i="2"/>
  <c r="L65" i="2"/>
  <c r="N67" i="2"/>
  <c r="K68" i="2"/>
  <c r="H69" i="2"/>
  <c r="J71" i="2"/>
  <c r="G72" i="2"/>
  <c r="M74" i="2"/>
  <c r="L76" i="2"/>
  <c r="L79" i="2"/>
  <c r="P81" i="2"/>
  <c r="F83" i="2"/>
  <c r="O27" i="2"/>
  <c r="L28" i="2"/>
  <c r="N30" i="2"/>
  <c r="K31" i="2"/>
  <c r="H32" i="2"/>
  <c r="J34" i="2"/>
  <c r="G35" i="2"/>
  <c r="M37" i="2"/>
  <c r="F38" i="2"/>
  <c r="H40" i="3"/>
  <c r="O40" i="2" s="1"/>
  <c r="O41" i="2"/>
  <c r="L42" i="2"/>
  <c r="N44" i="2"/>
  <c r="K45" i="2"/>
  <c r="H46" i="2"/>
  <c r="J48" i="2"/>
  <c r="G49" i="2"/>
  <c r="M51" i="2"/>
  <c r="F52" i="2"/>
  <c r="P54" i="2"/>
  <c r="I55" i="2"/>
  <c r="O57" i="2"/>
  <c r="M59" i="3"/>
  <c r="J59" i="2" s="1"/>
  <c r="J60" i="2"/>
  <c r="G61" i="2"/>
  <c r="M63" i="2"/>
  <c r="F64" i="2"/>
  <c r="P66" i="2"/>
  <c r="I67" i="2"/>
  <c r="O69" i="2"/>
  <c r="L70" i="2"/>
  <c r="N72" i="2"/>
  <c r="K73" i="2"/>
  <c r="H74" i="2"/>
  <c r="K76" i="2"/>
  <c r="J79" i="2"/>
  <c r="G81" i="2"/>
  <c r="F81" i="2"/>
  <c r="P83" i="2"/>
  <c r="I84" i="2"/>
  <c r="O86" i="2"/>
  <c r="L87" i="2"/>
  <c r="N89" i="2"/>
  <c r="K90" i="2"/>
  <c r="H91" i="2"/>
  <c r="J93" i="2"/>
  <c r="G94" i="2"/>
  <c r="P97" i="2"/>
  <c r="I98" i="2"/>
  <c r="O100" i="2"/>
  <c r="L101" i="2"/>
  <c r="N103" i="2"/>
  <c r="K104" i="2"/>
  <c r="H105" i="2"/>
  <c r="J107" i="2"/>
  <c r="G108" i="2"/>
  <c r="M110" i="2"/>
  <c r="F111" i="2"/>
  <c r="H113" i="3"/>
  <c r="O113" i="2" s="1"/>
  <c r="O114" i="2"/>
  <c r="L115" i="2"/>
  <c r="N117" i="2"/>
  <c r="K118" i="2"/>
  <c r="H119" i="2"/>
  <c r="J121" i="2"/>
  <c r="G122" i="2"/>
  <c r="M124" i="2"/>
  <c r="N126" i="2"/>
  <c r="F127" i="2"/>
  <c r="F129" i="2"/>
  <c r="P133" i="2"/>
  <c r="M75" i="2"/>
  <c r="F76" i="2"/>
  <c r="O79" i="2"/>
  <c r="L80" i="2"/>
  <c r="N82" i="2"/>
  <c r="K83" i="2"/>
  <c r="H84" i="2"/>
  <c r="J86" i="2"/>
  <c r="G87" i="2"/>
  <c r="M89" i="2"/>
  <c r="F90" i="2"/>
  <c r="P92" i="2"/>
  <c r="I93" i="2"/>
  <c r="I95" i="3"/>
  <c r="N95" i="2" s="1"/>
  <c r="N96" i="2"/>
  <c r="K97" i="2"/>
  <c r="H98" i="2"/>
  <c r="J100" i="2"/>
  <c r="G101" i="2"/>
  <c r="M103" i="2"/>
  <c r="F104" i="2"/>
  <c r="P106" i="2"/>
  <c r="I107" i="2"/>
  <c r="O109" i="2"/>
  <c r="L110" i="2"/>
  <c r="N112" i="2"/>
  <c r="M113" i="3"/>
  <c r="J113" i="2" s="1"/>
  <c r="J114" i="2"/>
  <c r="G115" i="2"/>
  <c r="M117" i="2"/>
  <c r="F118" i="2"/>
  <c r="P120" i="2"/>
  <c r="I121" i="2"/>
  <c r="O123" i="2"/>
  <c r="L124" i="2"/>
  <c r="M126" i="2"/>
  <c r="M128" i="2"/>
  <c r="M130" i="2"/>
  <c r="L133" i="2"/>
  <c r="L137" i="2"/>
  <c r="P85" i="2"/>
  <c r="I86" i="2"/>
  <c r="O88" i="2"/>
  <c r="L89" i="2"/>
  <c r="N91" i="2"/>
  <c r="K92" i="2"/>
  <c r="H93" i="2"/>
  <c r="N95" i="3"/>
  <c r="I95" i="2" s="1"/>
  <c r="I96" i="2"/>
  <c r="O98" i="2"/>
  <c r="L99" i="2"/>
  <c r="N101" i="2"/>
  <c r="K102" i="2"/>
  <c r="H103" i="2"/>
  <c r="J105" i="2"/>
  <c r="G106" i="2"/>
  <c r="M108" i="2"/>
  <c r="F109" i="2"/>
  <c r="P111" i="2"/>
  <c r="I112" i="2"/>
  <c r="J115" i="2"/>
  <c r="G116" i="2"/>
  <c r="M118" i="2"/>
  <c r="F119" i="2"/>
  <c r="P121" i="2"/>
  <c r="I122" i="2"/>
  <c r="O124" i="2"/>
  <c r="I125" i="2"/>
  <c r="H127" i="2"/>
  <c r="I129" i="2"/>
  <c r="P131" i="3"/>
  <c r="G131" i="2" s="1"/>
  <c r="G132" i="2"/>
  <c r="G136" i="2"/>
  <c r="N84" i="2"/>
  <c r="K85" i="2"/>
  <c r="H86" i="2"/>
  <c r="J88" i="2"/>
  <c r="G89" i="2"/>
  <c r="M91" i="2"/>
  <c r="F92" i="2"/>
  <c r="P94" i="2"/>
  <c r="K95" i="3"/>
  <c r="L95" i="2" s="1"/>
  <c r="L96" i="2"/>
  <c r="N98" i="2"/>
  <c r="K99" i="2"/>
  <c r="H100" i="2"/>
  <c r="J102" i="2"/>
  <c r="G103" i="2"/>
  <c r="M105" i="2"/>
  <c r="F106" i="2"/>
  <c r="P108" i="2"/>
  <c r="I109" i="2"/>
  <c r="O111" i="2"/>
  <c r="L112" i="2"/>
  <c r="O113" i="3"/>
  <c r="H113" i="2" s="1"/>
  <c r="H114" i="2"/>
  <c r="J116" i="2"/>
  <c r="G117" i="2"/>
  <c r="M119" i="2"/>
  <c r="F120" i="2"/>
  <c r="P122" i="2"/>
  <c r="I123" i="2"/>
  <c r="H125" i="2"/>
  <c r="G127" i="2"/>
  <c r="H129" i="2"/>
  <c r="F124" i="2"/>
  <c r="P126" i="2"/>
  <c r="I127" i="2"/>
  <c r="O129" i="2"/>
  <c r="L130" i="2"/>
  <c r="O131" i="3"/>
  <c r="H131" i="2" s="1"/>
  <c r="H132" i="2"/>
  <c r="J134" i="2"/>
  <c r="G135" i="2"/>
  <c r="M137" i="2"/>
  <c r="F138" i="2"/>
  <c r="F140" i="2"/>
  <c r="P143" i="2"/>
  <c r="L145" i="2"/>
  <c r="O148" i="2"/>
  <c r="M139" i="2"/>
  <c r="L141" i="2"/>
  <c r="N143" i="2"/>
  <c r="I146" i="2"/>
  <c r="M131" i="3"/>
  <c r="J131" i="2" s="1"/>
  <c r="J132" i="2"/>
  <c r="G133" i="2"/>
  <c r="M135" i="2"/>
  <c r="F136" i="2"/>
  <c r="P138" i="2"/>
  <c r="F139" i="2"/>
  <c r="K141" i="2"/>
  <c r="L143" i="2"/>
  <c r="O146" i="2"/>
  <c r="N133" i="2"/>
  <c r="K134" i="2"/>
  <c r="H135" i="2"/>
  <c r="J137" i="2"/>
  <c r="G138" i="2"/>
  <c r="G140" i="2"/>
  <c r="J143" i="2"/>
  <c r="M146" i="2"/>
  <c r="K139" i="2"/>
  <c r="H140" i="2"/>
  <c r="J142" i="2"/>
  <c r="G143" i="2"/>
  <c r="M145" i="2"/>
  <c r="F146" i="2"/>
  <c r="P148" i="2"/>
  <c r="H142" i="2"/>
  <c r="J144" i="2"/>
  <c r="G145" i="2"/>
  <c r="M147" i="2"/>
  <c r="F148" i="2"/>
</calcChain>
</file>

<file path=xl/sharedStrings.xml><?xml version="1.0" encoding="utf-8"?>
<sst xmlns="http://schemas.openxmlformats.org/spreadsheetml/2006/main" count="5346" uniqueCount="148">
  <si>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</si>
  <si>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</si>
  <si>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</si>
  <si>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</si>
  <si>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</si>
  <si>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</si>
  <si>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</si>
  <si>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</si>
  <si>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</si>
  <si>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</si>
  <si>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</si>
  <si>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</si>
  <si>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</si>
  <si>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</si>
  <si>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</si>
  <si>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</si>
  <si>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</si>
  <si>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</si>
  <si>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</si>
  <si>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</si>
  <si>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</si>
  <si>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</si>
  <si>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</si>
  <si>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</si>
  <si>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</si>
  <si>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</si>
  <si>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</si>
  <si>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</si>
  <si>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</si>
  <si>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</si>
  <si>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</si>
  <si>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</si>
  <si>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</si>
  <si>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</si>
  <si>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</si>
  <si>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</si>
  <si>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</si>
  <si>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</si>
  <si>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</si>
  <si>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</si>
  <si>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</si>
  <si>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</si>
  <si>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</si>
  <si>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</si>
  <si>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</si>
  <si>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Assets ($M):</t>
  </si>
  <si>
    <t/>
  </si>
  <si>
    <t>Heading</t>
  </si>
  <si>
    <t>Cash &amp; ST Investments</t>
  </si>
  <si>
    <t>BRITBPOV Index</t>
  </si>
  <si>
    <t>Sum</t>
  </si>
  <si>
    <t xml:space="preserve">    Accenture PLC</t>
  </si>
  <si>
    <t>ACN US Equity</t>
  </si>
  <si>
    <t>RR253</t>
  </si>
  <si>
    <t>CASH_AND_MARKETABLE_SECURITIES</t>
  </si>
  <si>
    <t>Dynamic</t>
  </si>
  <si>
    <t xml:space="preserve">    Amdocs Ltd</t>
  </si>
  <si>
    <t>DOX US Equity</t>
  </si>
  <si>
    <t xml:space="preserve">    Atos SE</t>
  </si>
  <si>
    <t>ATO FP Equity</t>
  </si>
  <si>
    <t xml:space="preserve">    Capgemini SE</t>
  </si>
  <si>
    <t>CAP FP Equity</t>
  </si>
  <si>
    <t xml:space="preserve">    CGI Inc</t>
  </si>
  <si>
    <t>GIB US Equity</t>
  </si>
  <si>
    <t xml:space="preserve">    Cognizant Technology Solutions Corp</t>
  </si>
  <si>
    <t>CTSH US Equity</t>
  </si>
  <si>
    <t xml:space="preserve">    Conduent Inc</t>
  </si>
  <si>
    <t>CNDT US Equity</t>
  </si>
  <si>
    <t xml:space="preserve">    DXC Technology Co</t>
  </si>
  <si>
    <t>DXC US Equity</t>
  </si>
  <si>
    <t xml:space="preserve">    EPAM Systems Inc</t>
  </si>
  <si>
    <t>EPAM US Equity</t>
  </si>
  <si>
    <t xml:space="preserve">    Genpact Ltd</t>
  </si>
  <si>
    <t>G US Equity</t>
  </si>
  <si>
    <t xml:space="preserve">    HCL Technologies Ltd</t>
  </si>
  <si>
    <t>HCLT IN Equity</t>
  </si>
  <si>
    <t xml:space="preserve">    Indra Sistemas SA</t>
  </si>
  <si>
    <t>IDR SM Equity</t>
  </si>
  <si>
    <t xml:space="preserve">    Infosys Ltd</t>
  </si>
  <si>
    <t>INFY US Equity</t>
  </si>
  <si>
    <t xml:space="preserve">    International Business Machines Corp</t>
  </si>
  <si>
    <t>IBM US Equity</t>
  </si>
  <si>
    <t xml:space="preserve">    Tata Consultancy Services Ltd</t>
  </si>
  <si>
    <t>TCS IN Equity</t>
  </si>
  <si>
    <t xml:space="preserve">    Tech Mahindra Ltd</t>
  </si>
  <si>
    <t>TECHM IN Equity</t>
  </si>
  <si>
    <t xml:space="preserve">    Wipro Ltd</t>
  </si>
  <si>
    <t>WIT US Equity</t>
  </si>
  <si>
    <t>Accounts &amp; Notes Receivable</t>
  </si>
  <si>
    <t>BS012</t>
  </si>
  <si>
    <t>BS_ACCT_NOTE_RCV</t>
  </si>
  <si>
    <t>Total Assets</t>
  </si>
  <si>
    <t>BS035</t>
  </si>
  <si>
    <t>BS_TOT_ASSET</t>
  </si>
  <si>
    <t>Liabilities &amp; Equity ($M):</t>
  </si>
  <si>
    <t>Accounts Payable</t>
  </si>
  <si>
    <t>BS036</t>
  </si>
  <si>
    <t>BS_ACCT_PAYABLE</t>
  </si>
  <si>
    <t>ST Borrowings</t>
  </si>
  <si>
    <t>BS047</t>
  </si>
  <si>
    <t>BS_ST_BORROW</t>
  </si>
  <si>
    <t>LT Borrowings</t>
  </si>
  <si>
    <t>BS051</t>
  </si>
  <si>
    <t>BS_LT_BORROW</t>
  </si>
  <si>
    <t>Total Liabilities</t>
  </si>
  <si>
    <t>RR005</t>
  </si>
  <si>
    <t>BS_TOT_LIAB2</t>
  </si>
  <si>
    <t>Total Shareholders Equity</t>
  </si>
  <si>
    <t>RR007</t>
  </si>
  <si>
    <t>TOTAL_EQUITY</t>
  </si>
  <si>
    <t>Source: Company Filings</t>
  </si>
  <si>
    <t>~~~~~~~~~~</t>
  </si>
  <si>
    <t>All rows below have been added for reference by formula rows above.</t>
  </si>
  <si>
    <t>Currency</t>
  </si>
  <si>
    <t>USD</t>
  </si>
  <si>
    <t>Periodicity</t>
  </si>
  <si>
    <t>CQ</t>
  </si>
  <si>
    <t>AQ</t>
  </si>
  <si>
    <t>Number of Periods</t>
  </si>
  <si>
    <t>Start Date</t>
  </si>
  <si>
    <t>-12CQ</t>
  </si>
  <si>
    <t>-12AQ</t>
  </si>
  <si>
    <t>End Date</t>
  </si>
  <si>
    <t>HeaderStatus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</si>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</sst>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BDH|12789657967979484118</stp>
        <tr r="F207" s="3"/>
      </tp>
      <tp t="s">
        <v>#N/A N/A</v>
        <stp/>
        <stp>BDH|16152548594003016373</stp>
        <tr r="F263" s="3"/>
      </tp>
      <tp t="s">
        <v>#N/A N/A</v>
        <stp/>
        <stp>BDH|12389133586687873638</stp>
        <tr r="F183" s="3"/>
      </tp>
      <tp t="s">
        <v>#N/A N/A</v>
        <stp/>
        <stp>BDH|10141846694078256234</stp>
        <tr r="F229" s="3"/>
      </tp>
      <tp t="s">
        <v>#N/A N/A</v>
        <stp/>
        <stp>BDH|10692600215764942885</stp>
        <tr r="F201" s="3"/>
      </tp>
      <tp t="s">
        <v>#N/A N/A</v>
        <stp/>
        <stp>BDH|15647319628669814659</stp>
        <tr r="F264" s="3"/>
      </tp>
      <tp t="s">
        <v>#N/A N/A</v>
        <stp/>
        <stp>BDH|12119846023270727367</stp>
        <tr r="F191" s="3"/>
      </tp>
      <tp t="s">
        <v>#N/A N/A</v>
        <stp/>
        <stp>BDH|12391790307766231894</stp>
        <tr r="F180" s="3"/>
      </tp>
      <tp t="s">
        <v>#N/A N/A</v>
        <stp/>
        <stp>BDH|15972437099216171589</stp>
        <tr r="F193" s="3"/>
      </tp>
      <tp t="s">
        <v>#N/A N/A</v>
        <stp/>
        <stp>BDH|12770020217312527963</stp>
        <tr r="F299" s="3"/>
      </tp>
      <tp t="s">
        <v>#N/A N/A</v>
        <stp/>
        <stp>BDH|11271753483301768758</stp>
        <tr r="F216" s="3"/>
      </tp>
      <tp t="s">
        <v>#N/A N/A</v>
        <stp/>
        <stp>BDH|11928119590210378173</stp>
        <tr r="F220" s="3"/>
      </tp>
      <tp t="s">
        <v>#N/A N/A</v>
        <stp/>
        <stp>BDH|10156579951350887834</stp>
        <tr r="F174" s="3"/>
      </tp>
      <tp t="s">
        <v>#N/A N/A</v>
        <stp/>
        <stp>BDH|16192646734908982369</stp>
        <tr r="F301" s="3"/>
      </tp>
      <tp t="s">
        <v>#N/A N/A</v>
        <stp/>
        <stp>BDH|14056810651300510009</stp>
        <tr r="F258" s="3"/>
      </tp>
      <tp t="s">
        <v>#N/A N/A</v>
        <stp/>
        <stp>BDH|10509220744056611921</stp>
        <tr r="F293" s="3"/>
      </tp>
      <tp t="s">
        <v>#N/A N/A</v>
        <stp/>
        <stp>BDH|14084952769253552172</stp>
        <tr r="F190" s="3"/>
      </tp>
      <tp t="s">
        <v>#N/A N/A</v>
        <stp/>
        <stp>BDH|17586948201513299351</stp>
        <tr r="F217" s="3"/>
      </tp>
      <tp t="s">
        <v>#N/A N/A</v>
        <stp/>
        <stp>BDH|10438964506494798254</stp>
        <tr r="F221" s="3"/>
      </tp>
      <tp t="s">
        <v>#N/A N/A</v>
        <stp/>
        <stp>BDH|15708497878530040900</stp>
        <tr r="F178" s="3"/>
      </tp>
      <tp t="s">
        <v>#N/A N/A</v>
        <stp/>
        <stp>BDH|11528862993279191686</stp>
        <tr r="F210" s="3"/>
      </tp>
      <tp t="s">
        <v>#N/A N/A</v>
        <stp/>
        <stp>BDH|14447824169606246357</stp>
        <tr r="F172" s="3"/>
      </tp>
      <tp t="s">
        <v>#N/A N/A</v>
        <stp/>
        <stp>BDH|12065642571438846464</stp>
        <tr r="F236" s="3"/>
      </tp>
      <tp t="s">
        <v>#N/A N/A</v>
        <stp/>
        <stp>BDH|17462360628011267853</stp>
        <tr r="F272" s="3"/>
      </tp>
      <tp t="s">
        <v>#N/A N/A</v>
        <stp/>
        <stp>BDH|12382256003075146903</stp>
        <tr r="F252" s="3"/>
      </tp>
      <tp t="s">
        <v>#N/A N/A</v>
        <stp/>
        <stp>BDH|12373340764399342299</stp>
        <tr r="F215" s="3"/>
      </tp>
      <tp t="s">
        <v>#N/A N/A</v>
        <stp/>
        <stp>BDH|10069735493176837410</stp>
        <tr r="F240" s="3"/>
      </tp>
      <tp t="s">
        <v>#N/A N/A</v>
        <stp/>
        <stp>BDH|15488371756537346955</stp>
        <tr r="F257" s="3"/>
      </tp>
      <tp t="s">
        <v>#N/A N/A</v>
        <stp/>
        <stp>BDH|15155144130569754378</stp>
        <tr r="F280" s="3"/>
      </tp>
      <tp t="s">
        <v>#N/A N/A</v>
        <stp/>
        <stp>BDH|10429161585514713045</stp>
        <tr r="F176" s="3"/>
      </tp>
      <tp t="s">
        <v>#N/A N/A</v>
        <stp/>
        <stp>BDH|17110231665519975709</stp>
        <tr r="F302" s="3"/>
      </tp>
      <tp t="s">
        <v>#N/A N/A</v>
        <stp/>
        <stp>BDH|14745048535836252359</stp>
        <tr r="F208" s="3"/>
      </tp>
      <tp t="s">
        <v>#N/A N/A</v>
        <stp/>
        <stp>BDH|13171114631685606608</stp>
        <tr r="F187" s="3"/>
      </tp>
      <tp t="s">
        <v>#N/A N/A</v>
        <stp/>
        <stp>BDH|12369257409170384250</stp>
        <tr r="F184" s="3"/>
      </tp>
      <tp t="s">
        <v>#N/A N/A</v>
        <stp/>
        <stp>BDH|17132365065367894775</stp>
        <tr r="F196" s="3"/>
      </tp>
      <tp t="s">
        <v>#N/A N/A</v>
        <stp/>
        <stp>BDH|12012063236001757348</stp>
        <tr r="F259" s="3"/>
      </tp>
      <tp t="s">
        <v>#N/A N/A</v>
        <stp/>
        <stp>BDH|14635958055913146800</stp>
        <tr r="F278" s="3"/>
      </tp>
      <tp t="s">
        <v>#N/A N/A</v>
        <stp/>
        <stp>BDH|15790448901561435034</stp>
        <tr r="F211" s="3"/>
      </tp>
      <tp t="s">
        <v>#N/A N/A</v>
        <stp/>
        <stp>BDH|13815035424834203597</stp>
        <tr r="F214" s="3"/>
      </tp>
      <tp t="s">
        <v>#N/A N/A</v>
        <stp/>
        <stp>BDH|17832321645679132807</stp>
        <tr r="F298" s="3"/>
      </tp>
      <tp t="s">
        <v>#N/A N/A</v>
        <stp/>
        <stp>BDH|12792674181983580968</stp>
        <tr r="F169" s="3"/>
      </tp>
      <tp t="s">
        <v>#N/A N/A</v>
        <stp/>
        <stp>BDH|14051698196624000917</stp>
        <tr r="F247" s="3"/>
      </tp>
      <tp t="s">
        <v>#N/A N/A</v>
        <stp/>
        <stp>BDH|12692465062363279411</stp>
        <tr r="F233" s="3"/>
      </tp>
      <tp t="s">
        <v>#N/A N/A</v>
        <stp/>
        <stp>BDH|13458759941374594367</stp>
        <tr r="F281" s="3"/>
      </tp>
      <tp t="s">
        <v>#N/A N/A</v>
        <stp/>
        <stp>BDH|11702737231714591624</stp>
        <tr r="F282" s="3"/>
      </tp>
      <tp t="s">
        <v>#N/A N/A</v>
        <stp/>
        <stp>BDH|16559548844274298425</stp>
        <tr r="F273" s="3"/>
      </tp>
      <tp t="s">
        <v>#N/A N/A</v>
        <stp/>
        <stp>BDH|11534322031000817610</stp>
        <tr r="F171" s="3"/>
      </tp>
      <tp t="s">
        <v>#N/A N/A</v>
        <stp/>
        <stp>BDH|11452331066359519910</stp>
        <tr r="F222" s="3"/>
      </tp>
      <tp t="s">
        <v>#N/A N/A</v>
        <stp/>
        <stp>BDH|11900558439492594144</stp>
        <tr r="C325" s="3"/>
        <tr r="C317" s="3"/>
      </tp>
      <tp t="s">
        <v>#N/A N/A</v>
        <stp/>
        <stp>BDH|15094032141806714328</stp>
        <tr r="F181" s="3"/>
      </tp>
      <tp t="s">
        <v>#N/A N/A</v>
        <stp/>
        <stp>BDH|13654251703146858355</stp>
        <tr r="F249" s="3"/>
      </tp>
      <tp t="s">
        <v>#N/A N/A</v>
        <stp/>
        <stp>BDH|11970775859133009489</stp>
        <tr r="F276" s="3"/>
      </tp>
      <tp t="s">
        <v>#N/A N/A</v>
        <stp/>
        <stp>BDH|16260109184189816390</stp>
        <tr r="F295" s="3"/>
      </tp>
      <tp t="s">
        <v>#N/A N/A</v>
        <stp/>
        <stp>BDH|13968377581618607534</stp>
        <tr r="F227" s="3"/>
      </tp>
      <tp t="s">
        <v>#N/A N/A</v>
        <stp/>
        <stp>BDH|15628625719567838083</stp>
        <tr r="F248" s="3"/>
      </tp>
    </main>
    <main first="bloomberg.ccyreader">
      <tp>
        <v>0</v>
        <stp/>
        <stp>#track</stp>
        <stp>DBG</stp>
        <stp>BIHITX</stp>
        <stp>1.0</stp>
        <stp>RepeatHit</stp>
        <tr r="A159" s="3"/>
      </tp>
    </main>
    <main first="bofaddin.rtdserver">
      <tp t="s">
        <v>#N/A N/A</v>
        <stp/>
        <stp>BDH|6828025178734850909</stp>
        <tr r="F246" s="3"/>
      </tp>
      <tp t="s">
        <v>#N/A N/A</v>
        <stp/>
        <stp>BDH|8381156517401252589</stp>
        <tr r="F274" s="3"/>
      </tp>
      <tp t="s">
        <v>#N/A N/A</v>
        <stp/>
        <stp>BDH|8667552821355839612</stp>
        <tr r="F203" s="3"/>
      </tp>
      <tp t="s">
        <v>#N/A N/A</v>
        <stp/>
        <stp>BDH|4122538356371302941</stp>
        <tr r="F245" s="3"/>
      </tp>
      <tp t="s">
        <v>#N/A N/A</v>
        <stp/>
        <stp>BDH|5864537697510971553</stp>
        <tr r="F300" s="3"/>
      </tp>
      <tp t="s">
        <v>#N/A N/A</v>
        <stp/>
        <stp>BDH|5305829149413489712</stp>
        <tr r="F243" s="3"/>
      </tp>
      <tp t="s">
        <v>#N/A N/A</v>
        <stp/>
        <stp>BDH|4198572223317156976</stp>
        <tr r="F167" s="3"/>
      </tp>
      <tp t="s">
        <v>#N/A N/A</v>
        <stp/>
        <stp>BDH|8132241929961254481</stp>
        <tr r="F260" s="3"/>
      </tp>
      <tp t="s">
        <v>#N/A N/A</v>
        <stp/>
        <stp>BDH|7928286183241807297</stp>
        <tr r="F177" s="3"/>
      </tp>
      <tp t="s">
        <v>#N/A N/A</v>
        <stp/>
        <stp>BDH|8161061962870408078</stp>
        <tr r="F267" s="3"/>
      </tp>
      <tp t="s">
        <v>#N/A N/A</v>
        <stp/>
        <stp>BDH|1376899165696592640</stp>
        <tr r="F286" s="3"/>
      </tp>
      <tp t="s">
        <v>#N/A N/A</v>
        <stp/>
        <stp>BDH|6474564695846939317</stp>
        <tr r="F253" s="3"/>
      </tp>
      <tp t="s">
        <v>#N/A N/A</v>
        <stp/>
        <stp>BDH|7753849573173285415</stp>
        <tr r="F288" s="3"/>
      </tp>
      <tp t="s">
        <v>#N/A N/A</v>
        <stp/>
        <stp>BDH|4003732889753826768</stp>
        <tr r="F268" s="3"/>
      </tp>
      <tp t="s">
        <v>#N/A N/A</v>
        <stp/>
        <stp>BDH|2872922781095685981</stp>
        <tr r="F188" s="3"/>
      </tp>
      <tp t="s">
        <v>#N/A N/A</v>
        <stp/>
        <stp>BDH|7550795881002787229</stp>
        <tr r="F205" s="3"/>
      </tp>
      <tp t="s">
        <v>#N/A N/A</v>
        <stp/>
        <stp>BDH|3034698851500193813</stp>
        <tr r="F218" s="3"/>
      </tp>
      <tp t="s">
        <v>#N/A N/A</v>
        <stp/>
        <stp>BDH|8325848049258254420</stp>
        <tr r="F242" s="3"/>
      </tp>
      <tp t="s">
        <v>#N/A N/A</v>
        <stp/>
        <stp>BDH|2337069962334846804</stp>
        <tr r="F226" s="3"/>
      </tp>
      <tp t="s">
        <v>#N/A N/A</v>
        <stp/>
        <stp>BDH|1887071607869599009</stp>
        <tr r="F230" s="3"/>
      </tp>
      <tp t="s">
        <v>#N/A N/A</v>
        <stp/>
        <stp>BDH|2227746807929455482</stp>
        <tr r="F223" s="3"/>
      </tp>
      <tp t="s">
        <v>#N/A N/A</v>
        <stp/>
        <stp>BDH|6977959688297715830</stp>
        <tr r="F297" s="3"/>
      </tp>
      <tp t="s">
        <v>#N/A N/A</v>
        <stp/>
        <stp>BDH|5132356563910355850</stp>
        <tr r="F250" s="3"/>
      </tp>
      <tp t="s">
        <v>#N/A N/A</v>
        <stp/>
        <stp>BDH|4868627480101521387</stp>
        <tr r="F231" s="3"/>
      </tp>
      <tp t="s">
        <v>#N/A N/A</v>
        <stp/>
        <stp>BDH|5277865102897909351</stp>
        <tr r="F213" s="3"/>
      </tp>
      <tp t="s">
        <v>#N/A N/A</v>
        <stp/>
        <stp>BDH|9853744155295617742</stp>
        <tr r="F256" s="3"/>
      </tp>
      <tp t="s">
        <v>#N/A N/A</v>
        <stp/>
        <stp>BDH|9789884100790319838</stp>
        <tr r="F206" s="3"/>
      </tp>
      <tp t="s">
        <v>#N/A N/A</v>
        <stp/>
        <stp>BDH|5496949704074318155</stp>
        <tr r="C323" s="3"/>
        <tr r="C315" s="3"/>
      </tp>
      <tp t="s">
        <v>#N/A N/A</v>
        <stp/>
        <stp>BDH|5751849260073408114</stp>
        <tr r="F241" s="3"/>
      </tp>
      <tp t="s">
        <v>#N/A N/A</v>
        <stp/>
        <stp>BDH|8852699449202191207</stp>
        <tr r="F219" s="3"/>
      </tp>
      <tp t="s">
        <v>#N/A N/A</v>
        <stp/>
        <stp>BDH|7377686738608856069</stp>
        <tr r="F251" s="3"/>
      </tp>
      <tp t="s">
        <v>#N/A N/A</v>
        <stp/>
        <stp>BDH|3127290298327452565</stp>
        <tr r="F291" s="3"/>
      </tp>
      <tp t="s">
        <v>#N/A N/A</v>
        <stp/>
        <stp>BDH|6607331234688173427</stp>
        <tr r="F265" s="3"/>
      </tp>
      <tp t="s">
        <v>#N/A N/A</v>
        <stp/>
        <stp>BDH|9102487777861667022</stp>
        <tr r="F239" s="3"/>
      </tp>
      <tp t="s">
        <v>#N/A N/A</v>
        <stp/>
        <stp>BDH|2493562043029188184</stp>
        <tr r="F283" s="3"/>
      </tp>
      <tp t="s">
        <v>#N/A N/A</v>
        <stp/>
        <stp>BDH|4582584286503454125</stp>
        <tr r="F287" s="3"/>
      </tp>
      <tp t="s">
        <v>#N/A N/A</v>
        <stp/>
        <stp>BDH|8398386477175239284</stp>
        <tr r="F170" s="3"/>
      </tp>
      <tp t="s">
        <v>#N/A N/A</v>
        <stp/>
        <stp>BDH|7788316376839600115</stp>
        <tr r="F234" s="3"/>
      </tp>
      <tp t="s">
        <v>#N/A N/A</v>
        <stp/>
        <stp>BDH|2880643248182642973</stp>
        <tr r="F244" s="3"/>
      </tp>
      <tp t="s">
        <v>#N/A N/A</v>
        <stp/>
        <stp>BDH|5070651064195035480</stp>
        <tr r="F294" s="3"/>
      </tp>
      <tp t="s">
        <v>#N/A N/A</v>
        <stp/>
        <stp>BDH|1327206584876172988</stp>
        <tr r="F225" s="3"/>
      </tp>
      <tp t="s">
        <v>#N/A N/A</v>
        <stp/>
        <stp>BDH|9321575607241829949</stp>
        <tr r="F261" s="3"/>
      </tp>
      <tp t="s">
        <v>#N/A N/A</v>
        <stp/>
        <stp>BDH|1850596035864121775</stp>
        <tr r="F254" s="3"/>
      </tp>
      <tp t="s">
        <v>#N/A N/A</v>
        <stp/>
        <stp>BDH|7323425466543442202</stp>
        <tr r="F200" s="3"/>
      </tp>
      <tp t="s">
        <v>#N/A N/A</v>
        <stp/>
        <stp>BDH|5017246900931652245</stp>
        <tr r="F235" s="3"/>
      </tp>
      <tp t="s">
        <v>#N/A N/A</v>
        <stp/>
        <stp>BDH|4007683174665149570</stp>
        <tr r="F290" s="3"/>
      </tp>
      <tp t="s">
        <v>#N/A N/A</v>
        <stp/>
        <stp>BDH|7569230401965288576</stp>
        <tr r="F232" s="3"/>
      </tp>
      <tp t="s">
        <v>#N/A N/A</v>
        <stp/>
        <stp>BDH|1572217045156269446</stp>
        <tr r="F189" s="3"/>
      </tp>
      <tp t="s">
        <v>#N/A N/A</v>
        <stp/>
        <stp>BDH|5523622898795589935</stp>
        <tr r="F179" s="3"/>
      </tp>
      <tp t="s">
        <v>#N/A N/A</v>
        <stp/>
        <stp>BDH|3701283644026783539</stp>
        <tr r="F270" s="3"/>
      </tp>
      <tp t="s">
        <v>#N/A N/A</v>
        <stp/>
        <stp>BDH|4172019467865250190</stp>
        <tr r="F224" s="3"/>
      </tp>
      <tp t="s">
        <v>#N/A N/A</v>
        <stp/>
        <stp>BDH|1946092166398820924</stp>
        <tr r="F289" s="3"/>
      </tp>
      <tp t="s">
        <v>#N/A N/A</v>
        <stp/>
        <stp>BDH|6892803025638848267</stp>
        <tr r="F199" s="3"/>
      </tp>
      <tp t="s">
        <v>#N/A N/A</v>
        <stp/>
        <stp>BDH|5941364855896891333</stp>
        <tr r="F173" s="3"/>
      </tp>
      <tp t="s">
        <v>#N/A N/A</v>
        <stp/>
        <stp>BDH|9026261993766207210</stp>
        <tr r="F197" s="3"/>
      </tp>
      <tp t="s">
        <v>#N/A N/A</v>
        <stp/>
        <stp>BDH|4625655844341377134</stp>
        <tr r="F271" s="3"/>
      </tp>
      <tp t="s">
        <v>#N/A N/A</v>
        <stp/>
        <stp>BDH|8342895687089366791</stp>
        <tr r="F292" s="3"/>
      </tp>
      <tp t="s">
        <v>#N/A N/A</v>
        <stp/>
        <stp>BDH|2736759968740102402</stp>
        <tr r="F284" s="3"/>
      </tp>
      <tp t="s">
        <v>#N/A N/A</v>
        <stp/>
        <stp>BDH|2102944155551854858</stp>
        <tr r="F296" s="3"/>
      </tp>
      <tp t="s">
        <v>#N/A N/A</v>
        <stp/>
        <stp>BDH|27833396283348866</stp>
        <tr r="F269" s="3"/>
      </tp>
      <tp t="s">
        <v>#N/A N/A</v>
        <stp/>
        <stp>BDH|8453767492810796660</stp>
        <tr r="F185" s="3"/>
      </tp>
      <tp t="s">
        <v>#N/A N/A</v>
        <stp/>
        <stp>BDH|8401183540469069563</stp>
        <tr r="F255" s="3"/>
      </tp>
      <tp t="s">
        <v>#N/A N/A</v>
        <stp/>
        <stp>BDH|2209422383966804902</stp>
        <tr r="F198" s="3"/>
      </tp>
      <tp t="s">
        <v>#N/A N/A</v>
        <stp/>
        <stp>BDH|5838673493412258913</stp>
        <tr r="F275" s="3"/>
      </tp>
      <tp t="s">
        <v>#N/A N/A</v>
        <stp/>
        <stp>BDH|2427305923776533404</stp>
        <tr r="F266" s="3"/>
      </tp>
      <tp t="s">
        <v>#N/A N/A</v>
        <stp/>
        <stp>BDH|6595360784655206939</stp>
        <tr r="F277" s="3"/>
      </tp>
      <tp t="s">
        <v>#N/A N/A</v>
        <stp/>
        <stp>BDH|6802493448222748588</stp>
        <tr r="F192" s="3"/>
      </tp>
      <tp t="s">
        <v>#N/A N/A</v>
        <stp/>
        <stp>BDH|1634298328729555946</stp>
        <tr r="F194" s="3"/>
      </tp>
      <tp t="s">
        <v>#N/A N/A</v>
        <stp/>
        <stp>BDH|6989070662525263494</stp>
        <tr r="C327" s="3"/>
        <tr r="C319" s="3"/>
      </tp>
      <tp t="s">
        <v>#N/A N/A</v>
        <stp/>
        <stp>BDH|9722872298892412868</stp>
        <tr r="F238" s="3"/>
      </tp>
      <tp t="s">
        <v>#N/A N/A</v>
        <stp/>
        <stp>BDH|5548254273232464099</stp>
        <tr r="F186" s="3"/>
      </tp>
      <tp t="s">
        <v>#N/A N/A</v>
        <stp/>
        <stp>BDH|7854400645754425165</stp>
        <tr r="F195" s="3"/>
      </tp>
      <tp t="s">
        <v>#N/A N/A</v>
        <stp/>
        <stp>BDH|9310773082425240168</stp>
        <tr r="F175" s="3"/>
      </tp>
      <tp t="s">
        <v>#N/A N/A</v>
        <stp/>
        <stp>BDH|5716578735379238840</stp>
        <tr r="F182" s="3"/>
      </tp>
      <tp t="s">
        <v>#N/A N/A</v>
        <stp/>
        <stp>BDH|9708962020555657519</stp>
        <tr r="F237" s="3"/>
      </tp>
      <tp t="s">
        <v>#N/A N/A</v>
        <stp/>
        <stp>BDH|3073615523764284150</stp>
        <tr r="F202" s="3"/>
      </tp>
      <tp t="s">
        <v>#N/A N/A</v>
        <stp/>
        <stp>BDH|3890809533549290233</stp>
        <tr r="F285" s="3"/>
      </tp>
      <tp t="s">
        <v>#N/A N/A</v>
        <stp/>
        <stp>BDH|4112454019383781113</stp>
        <tr r="F168" s="3"/>
      </tp>
      <tp t="s">
        <v>#N/A N/A</v>
        <stp/>
        <stp>BDH|3928084854925294046</stp>
        <tr r="F212" s="3"/>
      </tp>
      <tp t="s">
        <v>#N/A N/A</v>
        <stp/>
        <stp>BDH|895270018431460763</stp>
        <tr r="F279" s="3"/>
      </tp>
      <tp t="s">
        <v>#N/A N/A</v>
        <stp/>
        <stp>BDH|348619842053755676</stp>
        <tr r="F204" s="3"/>
      </tp>
      <tp t="s">
        <v>#N/A N/A</v>
        <stp/>
        <stp>BDH|207853143309499786</stp>
        <tr r="F228" s="3"/>
      </tp>
      <tp t="s">
        <v>#N/A N/A</v>
        <stp/>
        <stp>BDH|423077436204558955</stp>
        <tr r="F262" s="3"/>
      </tp>
      <tp t="s">
        <v>#N/A N/A</v>
        <stp/>
        <stp>BDH|963907041335045224</stp>
        <tr r="F209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9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IFERROR(IF(0=LEN(ReferenceData!$Q$2),"",ReferenceData!$Q$2),"")</f>
        <v>2017 Q2</v>
      </c>
      <c r="G2" t="str">
        <f>IFERROR(IF(0=LEN(ReferenceData!$P$2),"",ReferenceData!$P$2),"")</f>
        <v>2017 Q3</v>
      </c>
      <c r="H2" t="str">
        <f>IFERROR(IF(0=LEN(ReferenceData!$O$2),"",ReferenceData!$O$2),"")</f>
        <v>2017 Q4</v>
      </c>
      <c r="I2" t="str">
        <f>IFERROR(IF(0=LEN(ReferenceData!$N$2),"",ReferenceData!$N$2),"")</f>
        <v>2018 Q1</v>
      </c>
      <c r="J2" t="str">
        <f>IFERROR(IF(0=LEN(ReferenceData!$M$2),"",ReferenceData!$M$2),"")</f>
        <v>2018 Q2</v>
      </c>
      <c r="K2" t="str">
        <f>IFERROR(IF(0=LEN(ReferenceData!$L$2),"",ReferenceData!$L$2),"")</f>
        <v>2018 Q3</v>
      </c>
      <c r="L2" t="str">
        <f>IFERROR(IF(0=LEN(ReferenceData!$K$2),"",ReferenceData!$K$2),"")</f>
        <v>2018 Q4</v>
      </c>
      <c r="M2" t="str">
        <f>IFERROR(IF(0=LEN(ReferenceData!$J$2),"",ReferenceData!$J$2),"")</f>
        <v>2019 Q1</v>
      </c>
      <c r="N2" t="str">
        <f>IFERROR(IF(0=LEN(ReferenceData!$I$2),"",ReferenceData!$I$2),"")</f>
        <v>2019 Q2</v>
      </c>
      <c r="O2" t="str">
        <f>IFERROR(IF(0=LEN(ReferenceData!$H$2),"",ReferenceData!$H$2),"")</f>
        <v>2019 Q3</v>
      </c>
      <c r="P2" t="str">
        <f>IFERROR(IF(0=LEN(ReferenceData!$G$2),"",ReferenceData!$G$2),"")</f>
        <v>2019 Q4</v>
      </c>
      <c r="Q2" t="str">
        <f>IFERROR(IF(0=LEN(ReferenceData!$F$2),"",ReferenceData!$F$2),"")</f>
        <v>2020 Q1</v>
      </c>
    </row>
    <row r="3" spans="1:17" x14ac:dyDescent="0.25">
      <c r="A3" t="str">
        <f>IFERROR(IF(0=LEN(ReferenceData!$A$3),"",ReferenceData!$A$3),"")</f>
        <v>Assets ($M):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IFERROR(IF(0=LEN(ReferenceData!$Q$3),"",ReferenceData!$Q$3),"")</f>
        <v/>
      </c>
      <c r="G3" t="str">
        <f>IFERROR(IF(0=LEN(ReferenceData!$P$3),"",ReferenceData!$P$3),"")</f>
        <v/>
      </c>
      <c r="H3" t="str">
        <f>IFERROR(IF(0=LEN(ReferenceData!$O$3),"",ReferenceData!$O$3),"")</f>
        <v/>
      </c>
      <c r="I3" t="str">
        <f>IFERROR(IF(0=LEN(ReferenceData!$N$3),"",ReferenceData!$N$3),"")</f>
        <v/>
      </c>
      <c r="J3" t="str">
        <f>IFERROR(IF(0=LEN(ReferenceData!$M$3),"",ReferenceData!$M$3),"")</f>
        <v/>
      </c>
      <c r="K3" t="str">
        <f>IFERROR(IF(0=LEN(ReferenceData!$L$3),"",ReferenceData!$L$3),"")</f>
        <v/>
      </c>
      <c r="L3" t="str">
        <f>IFERROR(IF(0=LEN(ReferenceData!$K$3),"",ReferenceData!$K$3),"")</f>
        <v/>
      </c>
      <c r="M3" t="str">
        <f>IFERROR(IF(0=LEN(ReferenceData!$J$3),"",ReferenceData!$J$3),"")</f>
        <v/>
      </c>
      <c r="N3" t="str">
        <f>IFERROR(IF(0=LEN(ReferenceData!$I$3),"",ReferenceData!$I$3),"")</f>
        <v/>
      </c>
      <c r="O3" t="str">
        <f>IFERROR(IF(0=LEN(ReferenceData!$H$3),"",ReferenceData!$H$3),"")</f>
        <v/>
      </c>
      <c r="P3" t="str">
        <f>IFERROR(IF(0=LEN(ReferenceData!$G$3),"",ReferenceData!$G$3),"")</f>
        <v/>
      </c>
      <c r="Q3" t="str">
        <f>IFERROR(IF(0=LEN(ReferenceData!$F$3),"",ReferenceData!$F$3),"")</f>
        <v/>
      </c>
    </row>
    <row r="4" spans="1:17" x14ac:dyDescent="0.25">
      <c r="A4" t="str">
        <f>IFERROR(IF(0=LEN(ReferenceData!$A$4),"",ReferenceData!$A$4),"")</f>
        <v>Cash &amp; ST Investments</v>
      </c>
      <c r="B4" t="str">
        <f>IFERROR(IF(0=LEN(ReferenceData!$B$4),"",ReferenceData!$B$4),"")</f>
        <v>BRITBPOV Index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Sum</v>
      </c>
      <c r="F4">
        <f ca="1">IFERROR(IF(0=LEN(ReferenceData!$Q$4),"",ReferenceData!$Q$4),"")</f>
        <v>44196.454791600001</v>
      </c>
      <c r="G4">
        <f ca="1">IFERROR(IF(0=LEN(ReferenceData!$P$4),"",ReferenceData!$P$4),"")</f>
        <v>45158.117290999995</v>
      </c>
      <c r="H4">
        <f ca="1">IFERROR(IF(0=LEN(ReferenceData!$O$4),"",ReferenceData!$O$4),"")</f>
        <v>44139.915891800003</v>
      </c>
      <c r="I4">
        <f ca="1">IFERROR(IF(0=LEN(ReferenceData!$N$4),"",ReferenceData!$N$4),"")</f>
        <v>44248.887874700005</v>
      </c>
      <c r="J4">
        <f ca="1">IFERROR(IF(0=LEN(ReferenceData!$M$4),"",ReferenceData!$M$4),"")</f>
        <v>42387.0882643</v>
      </c>
      <c r="K4">
        <f ca="1">IFERROR(IF(0=LEN(ReferenceData!$L$4),"",ReferenceData!$L$4),"")</f>
        <v>45332.222559099995</v>
      </c>
      <c r="L4">
        <f ca="1">IFERROR(IF(0=LEN(ReferenceData!$K$4),"",ReferenceData!$K$4),"")</f>
        <v>43413.318614999996</v>
      </c>
      <c r="M4">
        <f ca="1">IFERROR(IF(0=LEN(ReferenceData!$J$4),"",ReferenceData!$J$4),"")</f>
        <v>50618.185729999997</v>
      </c>
      <c r="N4">
        <f ca="1">IFERROR(IF(0=LEN(ReferenceData!$I$4),"",ReferenceData!$I$4),"")</f>
        <v>76948.2729272</v>
      </c>
      <c r="O4">
        <f ca="1">IFERROR(IF(0=LEN(ReferenceData!$H$4),"",ReferenceData!$H$4),"")</f>
        <v>42078.284508199999</v>
      </c>
      <c r="P4">
        <f ca="1">IFERROR(IF(0=LEN(ReferenceData!$G$4),"",ReferenceData!$G$4),"")</f>
        <v>42973.641259800002</v>
      </c>
      <c r="Q4">
        <f ca="1">IFERROR(IF(0=LEN(ReferenceData!$F$4),"",ReferenceData!$F$4),"")</f>
        <v>44295.5007721</v>
      </c>
    </row>
    <row r="5" spans="1:17" x14ac:dyDescent="0.25">
      <c r="A5" t="str">
        <f>IFERROR(IF(0=LEN(ReferenceData!$A$5),"",ReferenceData!$A$5),"")</f>
        <v xml:space="preserve">    Accenture PLC</v>
      </c>
      <c r="B5" t="str">
        <f>IFERROR(IF(0=LEN(ReferenceData!$B$5),"",ReferenceData!$B$5),"")</f>
        <v>ACN US Equity</v>
      </c>
      <c r="C5" t="str">
        <f>IFERROR(IF(0=LEN(ReferenceData!$C$5),"",ReferenceData!$C$5),"")</f>
        <v>RR253</v>
      </c>
      <c r="D5" t="str">
        <f>IFERROR(IF(0=LEN(ReferenceData!$D$5),"",ReferenceData!$D$5),"")</f>
        <v>CASH_AND_MARKETABLE_SECURITIES</v>
      </c>
      <c r="E5" t="str">
        <f>IFERROR(IF(0=LEN(ReferenceData!$E$5),"",ReferenceData!$E$5),"")</f>
        <v>Dynamic</v>
      </c>
      <c r="F5">
        <f ca="1">IFERROR(IF(0=LEN(ReferenceData!$Q$5),"",ReferenceData!$Q$5),"")</f>
        <v>3384.8470000000002</v>
      </c>
      <c r="G5">
        <f ca="1">IFERROR(IF(0=LEN(ReferenceData!$P$5),"",ReferenceData!$P$5),"")</f>
        <v>4129.8710000000001</v>
      </c>
      <c r="H5">
        <f ca="1">IFERROR(IF(0=LEN(ReferenceData!$O$5),"",ReferenceData!$O$5),"")</f>
        <v>3682.393</v>
      </c>
      <c r="I5">
        <f ca="1">IFERROR(IF(0=LEN(ReferenceData!$N$5),"",ReferenceData!$N$5),"")</f>
        <v>3598.4969999999998</v>
      </c>
      <c r="J5">
        <f ca="1">IFERROR(IF(0=LEN(ReferenceData!$M$5),"",ReferenceData!$M$5),"")</f>
        <v>3932.1060000000002</v>
      </c>
      <c r="K5">
        <f ca="1">IFERROR(IF(0=LEN(ReferenceData!$L$5),"",ReferenceData!$L$5),"")</f>
        <v>5064.5519999999997</v>
      </c>
      <c r="L5">
        <f ca="1">IFERROR(IF(0=LEN(ReferenceData!$K$5),"",ReferenceData!$K$5),"")</f>
        <v>4366.9059999999999</v>
      </c>
      <c r="M5">
        <f ca="1">IFERROR(IF(0=LEN(ReferenceData!$J$5),"",ReferenceData!$J$5),"")</f>
        <v>4468</v>
      </c>
      <c r="N5">
        <f ca="1">IFERROR(IF(0=LEN(ReferenceData!$I$5),"",ReferenceData!$I$5),"")</f>
        <v>4772.4960000000001</v>
      </c>
      <c r="O5">
        <f ca="1">IFERROR(IF(0=LEN(ReferenceData!$H$5),"",ReferenceData!$H$5),"")</f>
        <v>6130.1660000000002</v>
      </c>
      <c r="P5">
        <f ca="1">IFERROR(IF(0=LEN(ReferenceData!$G$5),"",ReferenceData!$G$5),"")</f>
        <v>5813.84</v>
      </c>
      <c r="Q5">
        <f ca="1">IFERROR(IF(0=LEN(ReferenceData!$F$5),"",ReferenceData!$F$5),"")</f>
        <v>5440.0990000000002</v>
      </c>
    </row>
    <row r="6" spans="1:17" x14ac:dyDescent="0.25">
      <c r="A6" t="str">
        <f>IFERROR(IF(0=LEN(ReferenceData!$A$6),"",ReferenceData!$A$6),"")</f>
        <v xml:space="preserve">    Amdocs Ltd</v>
      </c>
      <c r="B6" t="str">
        <f>IFERROR(IF(0=LEN(ReferenceData!$B$6),"",ReferenceData!$B$6),"")</f>
        <v>DOX US Equity</v>
      </c>
      <c r="C6" t="str">
        <f>IFERROR(IF(0=LEN(ReferenceData!$C$6),"",ReferenceData!$C$6),"")</f>
        <v>RR253</v>
      </c>
      <c r="D6" t="str">
        <f>IFERROR(IF(0=LEN(ReferenceData!$D$6),"",ReferenceData!$D$6),"")</f>
        <v>CASH_AND_MARKETABLE_SECURITIES</v>
      </c>
      <c r="E6" t="str">
        <f>IFERROR(IF(0=LEN(ReferenceData!$E$6),"",ReferenceData!$E$6),"")</f>
        <v>Dynamic</v>
      </c>
      <c r="F6">
        <f ca="1">IFERROR(IF(0=LEN(ReferenceData!$Q$6),"",ReferenceData!$Q$6),"")</f>
        <v>963.03899999999999</v>
      </c>
      <c r="G6">
        <f ca="1">IFERROR(IF(0=LEN(ReferenceData!$P$6),"",ReferenceData!$P$6),"")</f>
        <v>979.60799999999995</v>
      </c>
      <c r="H6">
        <f ca="1">IFERROR(IF(0=LEN(ReferenceData!$O$6),"",ReferenceData!$O$6),"")</f>
        <v>965.93799999999999</v>
      </c>
      <c r="I6">
        <f ca="1">IFERROR(IF(0=LEN(ReferenceData!$N$6),"",ReferenceData!$N$6),"")</f>
        <v>666.84299999999996</v>
      </c>
      <c r="J6">
        <f ca="1">IFERROR(IF(0=LEN(ReferenceData!$M$6),"",ReferenceData!$M$6),"")</f>
        <v>561.04100000000005</v>
      </c>
      <c r="K6">
        <f ca="1">IFERROR(IF(0=LEN(ReferenceData!$L$6),"",ReferenceData!$L$6),"")</f>
        <v>519.21600000000001</v>
      </c>
      <c r="L6">
        <f ca="1">IFERROR(IF(0=LEN(ReferenceData!$K$6),"",ReferenceData!$K$6),"")</f>
        <v>458.65</v>
      </c>
      <c r="M6">
        <f ca="1">IFERROR(IF(0=LEN(ReferenceData!$J$6),"",ReferenceData!$J$6),"")</f>
        <v>449.69600000000003</v>
      </c>
      <c r="N6">
        <f ca="1">IFERROR(IF(0=LEN(ReferenceData!$I$6),"",ReferenceData!$I$6),"")</f>
        <v>457.70699999999999</v>
      </c>
      <c r="O6">
        <f ca="1">IFERROR(IF(0=LEN(ReferenceData!$H$6),"",ReferenceData!$H$6),"")</f>
        <v>471.63200000000001</v>
      </c>
      <c r="P6">
        <f ca="1">IFERROR(IF(0=LEN(ReferenceData!$G$6),"",ReferenceData!$G$6),"")</f>
        <v>485.875</v>
      </c>
      <c r="Q6">
        <f ca="1">IFERROR(IF(0=LEN(ReferenceData!$F$6),"",ReferenceData!$F$6),"")</f>
        <v>762.60199999999998</v>
      </c>
    </row>
    <row r="7" spans="1:17" x14ac:dyDescent="0.25">
      <c r="A7" t="str">
        <f>IFERROR(IF(0=LEN(ReferenceData!$A$7),"",ReferenceData!$A$7),"")</f>
        <v xml:space="preserve">    Atos SE</v>
      </c>
      <c r="B7" t="str">
        <f>IFERROR(IF(0=LEN(ReferenceData!$B$7),"",ReferenceData!$B$7),"")</f>
        <v>ATO FP Equity</v>
      </c>
      <c r="C7" t="str">
        <f>IFERROR(IF(0=LEN(ReferenceData!$C$7),"",ReferenceData!$C$7),"")</f>
        <v>RR253</v>
      </c>
      <c r="D7" t="str">
        <f>IFERROR(IF(0=LEN(ReferenceData!$D$7),"",ReferenceData!$D$7),"")</f>
        <v>CASH_AND_MARKETABLE_SECURITIES</v>
      </c>
      <c r="E7" t="str">
        <f>IFERROR(IF(0=LEN(ReferenceData!$E$7),"",ReferenceData!$E$7),"")</f>
        <v>Dynamic</v>
      </c>
      <c r="F7" t="str">
        <f ca="1">IFERROR(IF(0=LEN(ReferenceData!$Q$7),"",ReferenceData!$Q$7),"")</f>
        <v/>
      </c>
      <c r="G7" t="str">
        <f ca="1">IFERROR(IF(0=LEN(ReferenceData!$P$7),"",ReferenceData!$P$7),"")</f>
        <v/>
      </c>
      <c r="H7" t="str">
        <f ca="1">IFERROR(IF(0=LEN(ReferenceData!$O$7),"",ReferenceData!$O$7),"")</f>
        <v/>
      </c>
      <c r="I7" t="str">
        <f ca="1">IFERROR(IF(0=LEN(ReferenceData!$N$7),"",ReferenceData!$N$7),"")</f>
        <v/>
      </c>
      <c r="J7" t="str">
        <f ca="1">IFERROR(IF(0=LEN(ReferenceData!$M$7),"",ReferenceData!$M$7),"")</f>
        <v/>
      </c>
      <c r="K7" t="str">
        <f ca="1">IFERROR(IF(0=LEN(ReferenceData!$L$7),"",ReferenceData!$L$7),"")</f>
        <v/>
      </c>
      <c r="L7" t="str">
        <f ca="1">IFERROR(IF(0=LEN(ReferenceData!$K$7),"",ReferenceData!$K$7),"")</f>
        <v/>
      </c>
      <c r="M7" t="str">
        <f ca="1">IFERROR(IF(0=LEN(ReferenceData!$J$7),"",ReferenceData!$J$7),"")</f>
        <v/>
      </c>
      <c r="N7" t="str">
        <f ca="1">IFERROR(IF(0=LEN(ReferenceData!$I$7),"",ReferenceData!$I$7),"")</f>
        <v/>
      </c>
      <c r="O7" t="str">
        <f ca="1">IFERROR(IF(0=LEN(ReferenceData!$H$7),"",ReferenceData!$H$7),"")</f>
        <v/>
      </c>
      <c r="P7" t="str">
        <f ca="1">IFERROR(IF(0=LEN(ReferenceData!$G$7),"",ReferenceData!$G$7),"")</f>
        <v/>
      </c>
      <c r="Q7" t="str">
        <f ca="1">IFERROR(IF(0=LEN(ReferenceData!$F$7),"",ReferenceData!$F$7),"")</f>
        <v/>
      </c>
    </row>
    <row r="8" spans="1:17" x14ac:dyDescent="0.25">
      <c r="A8" t="str">
        <f>IFERROR(IF(0=LEN(ReferenceData!$A$8),"",ReferenceData!$A$8),"")</f>
        <v xml:space="preserve">    Capgemini SE</v>
      </c>
      <c r="B8" t="str">
        <f>IFERROR(IF(0=LEN(ReferenceData!$B$8),"",ReferenceData!$B$8),"")</f>
        <v>CAP FP Equity</v>
      </c>
      <c r="C8" t="str">
        <f>IFERROR(IF(0=LEN(ReferenceData!$C$8),"",ReferenceData!$C$8),"")</f>
        <v>RR253</v>
      </c>
      <c r="D8" t="str">
        <f>IFERROR(IF(0=LEN(ReferenceData!$D$8),"",ReferenceData!$D$8),"")</f>
        <v>CASH_AND_MARKETABLE_SECURITIES</v>
      </c>
      <c r="E8" t="str">
        <f>IFERROR(IF(0=LEN(ReferenceData!$E$8),"",ReferenceData!$E$8),"")</f>
        <v>Dynamic</v>
      </c>
      <c r="F8" t="str">
        <f ca="1">IFERROR(IF(0=LEN(ReferenceData!$Q$8),"",ReferenceData!$Q$8),"")</f>
        <v/>
      </c>
      <c r="G8" t="str">
        <f ca="1">IFERROR(IF(0=LEN(ReferenceData!$P$8),"",ReferenceData!$P$8),"")</f>
        <v/>
      </c>
      <c r="H8" t="str">
        <f ca="1">IFERROR(IF(0=LEN(ReferenceData!$O$8),"",ReferenceData!$O$8),"")</f>
        <v/>
      </c>
      <c r="I8" t="str">
        <f ca="1">IFERROR(IF(0=LEN(ReferenceData!$N$8),"",ReferenceData!$N$8),"")</f>
        <v/>
      </c>
      <c r="J8" t="str">
        <f ca="1">IFERROR(IF(0=LEN(ReferenceData!$M$8),"",ReferenceData!$M$8),"")</f>
        <v/>
      </c>
      <c r="K8" t="str">
        <f ca="1">IFERROR(IF(0=LEN(ReferenceData!$L$8),"",ReferenceData!$L$8),"")</f>
        <v/>
      </c>
      <c r="L8" t="str">
        <f ca="1">IFERROR(IF(0=LEN(ReferenceData!$K$8),"",ReferenceData!$K$8),"")</f>
        <v/>
      </c>
      <c r="M8" t="str">
        <f ca="1">IFERROR(IF(0=LEN(ReferenceData!$J$8),"",ReferenceData!$J$8),"")</f>
        <v/>
      </c>
      <c r="N8" t="str">
        <f ca="1">IFERROR(IF(0=LEN(ReferenceData!$I$8),"",ReferenceData!$I$8),"")</f>
        <v/>
      </c>
      <c r="O8" t="str">
        <f ca="1">IFERROR(IF(0=LEN(ReferenceData!$H$8),"",ReferenceData!$H$8),"")</f>
        <v/>
      </c>
      <c r="P8">
        <f ca="1">IFERROR(IF(0=LEN(ReferenceData!$G$8),"",ReferenceData!$G$8),"")</f>
        <v>3002.6345999999999</v>
      </c>
      <c r="Q8" t="str">
        <f ca="1">IFERROR(IF(0=LEN(ReferenceData!$F$8),"",ReferenceData!$F$8),"")</f>
        <v/>
      </c>
    </row>
    <row r="9" spans="1:17" x14ac:dyDescent="0.25">
      <c r="A9" t="str">
        <f>IFERROR(IF(0=LEN(ReferenceData!$A$9),"",ReferenceData!$A$9),"")</f>
        <v xml:space="preserve">    CGI Inc</v>
      </c>
      <c r="B9" t="str">
        <f>IFERROR(IF(0=LEN(ReferenceData!$B$9),"",ReferenceData!$B$9),"")</f>
        <v>GIB US Equity</v>
      </c>
      <c r="C9" t="str">
        <f>IFERROR(IF(0=LEN(ReferenceData!$C$9),"",ReferenceData!$C$9),"")</f>
        <v>RR253</v>
      </c>
      <c r="D9" t="str">
        <f>IFERROR(IF(0=LEN(ReferenceData!$D$9),"",ReferenceData!$D$9),"")</f>
        <v>CASH_AND_MARKETABLE_SECURITIES</v>
      </c>
      <c r="E9" t="str">
        <f>IFERROR(IF(0=LEN(ReferenceData!$E$9),"",ReferenceData!$E$9),"")</f>
        <v>Dynamic</v>
      </c>
      <c r="F9">
        <f ca="1">IFERROR(IF(0=LEN(ReferenceData!$Q$9),"",ReferenceData!$Q$9),"")</f>
        <v>233.18990070000001</v>
      </c>
      <c r="G9">
        <f ca="1">IFERROR(IF(0=LEN(ReferenceData!$P$9),"",ReferenceData!$P$9),"")</f>
        <v>132.8676706</v>
      </c>
      <c r="H9">
        <f ca="1">IFERROR(IF(0=LEN(ReferenceData!$O$9),"",ReferenceData!$O$9),"")</f>
        <v>190.7415981</v>
      </c>
      <c r="I9">
        <f ca="1">IFERROR(IF(0=LEN(ReferenceData!$N$9),"",ReferenceData!$N$9),"")</f>
        <v>223.09411130000001</v>
      </c>
      <c r="J9">
        <f ca="1">IFERROR(IF(0=LEN(ReferenceData!$M$9),"",ReferenceData!$M$9),"")</f>
        <v>130.16051730000001</v>
      </c>
      <c r="K9">
        <f ca="1">IFERROR(IF(0=LEN(ReferenceData!$L$9),"",ReferenceData!$L$9),"")</f>
        <v>142.27606460000001</v>
      </c>
      <c r="L9">
        <f ca="1">IFERROR(IF(0=LEN(ReferenceData!$K$9),"",ReferenceData!$K$9),"")</f>
        <v>298.10041100000001</v>
      </c>
      <c r="M9">
        <f ca="1">IFERROR(IF(0=LEN(ReferenceData!$J$9),"",ReferenceData!$J$9),"")</f>
        <v>406.94097399999998</v>
      </c>
      <c r="N9">
        <f ca="1">IFERROR(IF(0=LEN(ReferenceData!$I$9),"",ReferenceData!$I$9),"")</f>
        <v>171.96288089999999</v>
      </c>
      <c r="O9">
        <f ca="1">IFERROR(IF(0=LEN(ReferenceData!$H$9),"",ReferenceData!$H$9),"")</f>
        <v>161.49157919999999</v>
      </c>
      <c r="P9">
        <f ca="1">IFERROR(IF(0=LEN(ReferenceData!$G$9),"",ReferenceData!$G$9),"")</f>
        <v>164.18400370000001</v>
      </c>
      <c r="Q9">
        <f ca="1">IFERROR(IF(0=LEN(ReferenceData!$F$9),"",ReferenceData!$F$9),"")</f>
        <v>213.2292401</v>
      </c>
    </row>
    <row r="10" spans="1:17" x14ac:dyDescent="0.25">
      <c r="A10" t="str">
        <f>IFERROR(IF(0=LEN(ReferenceData!$A$10),"",ReferenceData!$A$10),"")</f>
        <v xml:space="preserve">    Cognizant Technology Solutions Corp</v>
      </c>
      <c r="B10" t="str">
        <f>IFERROR(IF(0=LEN(ReferenceData!$B$10),"",ReferenceData!$B$10),"")</f>
        <v>CTSH US Equity</v>
      </c>
      <c r="C10" t="str">
        <f>IFERROR(IF(0=LEN(ReferenceData!$C$10),"",ReferenceData!$C$10),"")</f>
        <v>RR253</v>
      </c>
      <c r="D10" t="str">
        <f>IFERROR(IF(0=LEN(ReferenceData!$D$10),"",ReferenceData!$D$10),"")</f>
        <v>CASH_AND_MARKETABLE_SECURITIES</v>
      </c>
      <c r="E10" t="str">
        <f>IFERROR(IF(0=LEN(ReferenceData!$E$10),"",ReferenceData!$E$10),"")</f>
        <v>Dynamic</v>
      </c>
      <c r="F10">
        <f ca="1">IFERROR(IF(0=LEN(ReferenceData!$Q$10),"",ReferenceData!$Q$10),"")</f>
        <v>4378</v>
      </c>
      <c r="G10">
        <f ca="1">IFERROR(IF(0=LEN(ReferenceData!$P$10),"",ReferenceData!$P$10),"")</f>
        <v>4713</v>
      </c>
      <c r="H10">
        <f ca="1">IFERROR(IF(0=LEN(ReferenceData!$O$10),"",ReferenceData!$O$10),"")</f>
        <v>5056</v>
      </c>
      <c r="I10">
        <f ca="1">IFERROR(IF(0=LEN(ReferenceData!$N$10),"",ReferenceData!$N$10),"")</f>
        <v>4830</v>
      </c>
      <c r="J10">
        <f ca="1">IFERROR(IF(0=LEN(ReferenceData!$M$10),"",ReferenceData!$M$10),"")</f>
        <v>4247</v>
      </c>
      <c r="K10">
        <f ca="1">IFERROR(IF(0=LEN(ReferenceData!$L$10),"",ReferenceData!$L$10),"")</f>
        <v>4763</v>
      </c>
      <c r="L10">
        <f ca="1">IFERROR(IF(0=LEN(ReferenceData!$K$10),"",ReferenceData!$K$10),"")</f>
        <v>4511</v>
      </c>
      <c r="M10">
        <f ca="1">IFERROR(IF(0=LEN(ReferenceData!$J$10),"",ReferenceData!$J$10),"")</f>
        <v>3668</v>
      </c>
      <c r="N10">
        <f ca="1">IFERROR(IF(0=LEN(ReferenceData!$I$10),"",ReferenceData!$I$10),"")</f>
        <v>3003</v>
      </c>
      <c r="O10">
        <f ca="1">IFERROR(IF(0=LEN(ReferenceData!$H$10),"",ReferenceData!$H$10),"")</f>
        <v>3077</v>
      </c>
      <c r="P10">
        <f ca="1">IFERROR(IF(0=LEN(ReferenceData!$G$10),"",ReferenceData!$G$10),"")</f>
        <v>3424</v>
      </c>
      <c r="Q10">
        <f ca="1">IFERROR(IF(0=LEN(ReferenceData!$F$10),"",ReferenceData!$F$10),"")</f>
        <v>4282</v>
      </c>
    </row>
    <row r="11" spans="1:17" x14ac:dyDescent="0.25">
      <c r="A11" t="str">
        <f>IFERROR(IF(0=LEN(ReferenceData!$A$11),"",ReferenceData!$A$11),"")</f>
        <v xml:space="preserve">    Conduent Inc</v>
      </c>
      <c r="B11" t="str">
        <f>IFERROR(IF(0=LEN(ReferenceData!$B$11),"",ReferenceData!$B$11),"")</f>
        <v>CNDT US Equity</v>
      </c>
      <c r="C11" t="str">
        <f>IFERROR(IF(0=LEN(ReferenceData!$C$11),"",ReferenceData!$C$11),"")</f>
        <v>RR253</v>
      </c>
      <c r="D11" t="str">
        <f>IFERROR(IF(0=LEN(ReferenceData!$D$11),"",ReferenceData!$D$11),"")</f>
        <v>CASH_AND_MARKETABLE_SECURITIES</v>
      </c>
      <c r="E11" t="str">
        <f>IFERROR(IF(0=LEN(ReferenceData!$E$11),"",ReferenceData!$E$11),"")</f>
        <v>Dynamic</v>
      </c>
      <c r="F11">
        <f ca="1">IFERROR(IF(0=LEN(ReferenceData!$Q$11),"",ReferenceData!$Q$11),"")</f>
        <v>309</v>
      </c>
      <c r="G11">
        <f ca="1">IFERROR(IF(0=LEN(ReferenceData!$P$11),"",ReferenceData!$P$11),"")</f>
        <v>468</v>
      </c>
      <c r="H11">
        <f ca="1">IFERROR(IF(0=LEN(ReferenceData!$O$11),"",ReferenceData!$O$11),"")</f>
        <v>658</v>
      </c>
      <c r="I11">
        <f ca="1">IFERROR(IF(0=LEN(ReferenceData!$N$11),"",ReferenceData!$N$11),"")</f>
        <v>553</v>
      </c>
      <c r="J11">
        <f ca="1">IFERROR(IF(0=LEN(ReferenceData!$M$11),"",ReferenceData!$M$11),"")</f>
        <v>993</v>
      </c>
      <c r="K11">
        <f ca="1">IFERROR(IF(0=LEN(ReferenceData!$L$11),"",ReferenceData!$L$11),"")</f>
        <v>586</v>
      </c>
      <c r="L11">
        <f ca="1">IFERROR(IF(0=LEN(ReferenceData!$K$11),"",ReferenceData!$K$11),"")</f>
        <v>756</v>
      </c>
      <c r="M11">
        <f ca="1">IFERROR(IF(0=LEN(ReferenceData!$J$11),"",ReferenceData!$J$11),"")</f>
        <v>520</v>
      </c>
      <c r="N11">
        <f ca="1">IFERROR(IF(0=LEN(ReferenceData!$I$11),"",ReferenceData!$I$11),"")</f>
        <v>276</v>
      </c>
      <c r="O11">
        <f ca="1">IFERROR(IF(0=LEN(ReferenceData!$H$11),"",ReferenceData!$H$11),"")</f>
        <v>228</v>
      </c>
      <c r="P11">
        <f ca="1">IFERROR(IF(0=LEN(ReferenceData!$G$11),"",ReferenceData!$G$11),"")</f>
        <v>496</v>
      </c>
      <c r="Q11">
        <f ca="1">IFERROR(IF(0=LEN(ReferenceData!$F$11),"",ReferenceData!$F$11),"")</f>
        <v>395</v>
      </c>
    </row>
    <row r="12" spans="1:17" x14ac:dyDescent="0.25">
      <c r="A12" t="str">
        <f>IFERROR(IF(0=LEN(ReferenceData!$A$12),"",ReferenceData!$A$12),"")</f>
        <v xml:space="preserve">    DXC Technology Co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>RR253</v>
      </c>
      <c r="D12" t="str">
        <f>IFERROR(IF(0=LEN(ReferenceData!$D$12),"",ReferenceData!$D$12),"")</f>
        <v>CASH_AND_MARKETABLE_SECURITIES</v>
      </c>
      <c r="E12" t="str">
        <f>IFERROR(IF(0=LEN(ReferenceData!$E$12),"",ReferenceData!$E$12),"")</f>
        <v>Dynamic</v>
      </c>
      <c r="F12">
        <f ca="1">IFERROR(IF(0=LEN(ReferenceData!$Q$12),"",ReferenceData!$Q$12),"")</f>
        <v>2517</v>
      </c>
      <c r="G12">
        <f ca="1">IFERROR(IF(0=LEN(ReferenceData!$P$12),"",ReferenceData!$P$12),"")</f>
        <v>2671</v>
      </c>
      <c r="H12">
        <f ca="1">IFERROR(IF(0=LEN(ReferenceData!$O$12),"",ReferenceData!$O$12),"")</f>
        <v>2926</v>
      </c>
      <c r="I12">
        <f ca="1">IFERROR(IF(0=LEN(ReferenceData!$N$12),"",ReferenceData!$N$12),"")</f>
        <v>2593</v>
      </c>
      <c r="J12">
        <f ca="1">IFERROR(IF(0=LEN(ReferenceData!$M$12),"",ReferenceData!$M$12),"")</f>
        <v>2579</v>
      </c>
      <c r="K12">
        <f ca="1">IFERROR(IF(0=LEN(ReferenceData!$L$12),"",ReferenceData!$L$12),"")</f>
        <v>2780</v>
      </c>
      <c r="L12">
        <f ca="1">IFERROR(IF(0=LEN(ReferenceData!$K$12),"",ReferenceData!$K$12),"")</f>
        <v>2475</v>
      </c>
      <c r="M12">
        <f ca="1">IFERROR(IF(0=LEN(ReferenceData!$J$12),"",ReferenceData!$J$12),"")</f>
        <v>2899</v>
      </c>
      <c r="N12">
        <f ca="1">IFERROR(IF(0=LEN(ReferenceData!$I$12),"",ReferenceData!$I$12),"")</f>
        <v>1868</v>
      </c>
      <c r="O12">
        <f ca="1">IFERROR(IF(0=LEN(ReferenceData!$H$12),"",ReferenceData!$H$12),"")</f>
        <v>2880</v>
      </c>
      <c r="P12">
        <f ca="1">IFERROR(IF(0=LEN(ReferenceData!$G$12),"",ReferenceData!$G$12),"")</f>
        <v>2560</v>
      </c>
      <c r="Q12">
        <f ca="1">IFERROR(IF(0=LEN(ReferenceData!$F$12),"",ReferenceData!$F$12),"")</f>
        <v>3679</v>
      </c>
    </row>
    <row r="13" spans="1:17" x14ac:dyDescent="0.25">
      <c r="A13" t="str">
        <f>IFERROR(IF(0=LEN(ReferenceData!$A$13),"",ReferenceData!$A$13),"")</f>
        <v xml:space="preserve">    EPAM Systems Inc</v>
      </c>
      <c r="B13" t="str">
        <f>IFERROR(IF(0=LEN(ReferenceData!$B$13),"",ReferenceData!$B$13),"")</f>
        <v>EPAM US Equity</v>
      </c>
      <c r="C13" t="str">
        <f>IFERROR(IF(0=LEN(ReferenceData!$C$13),"",ReferenceData!$C$13),"")</f>
        <v>RR253</v>
      </c>
      <c r="D13" t="str">
        <f>IFERROR(IF(0=LEN(ReferenceData!$D$13),"",ReferenceData!$D$13),"")</f>
        <v>CASH_AND_MARKETABLE_SECURITIES</v>
      </c>
      <c r="E13" t="str">
        <f>IFERROR(IF(0=LEN(ReferenceData!$E$13),"",ReferenceData!$E$13),"")</f>
        <v>Dynamic</v>
      </c>
      <c r="F13">
        <f ca="1">IFERROR(IF(0=LEN(ReferenceData!$Q$13),"",ReferenceData!$Q$13),"")</f>
        <v>443.50099999999998</v>
      </c>
      <c r="G13">
        <f ca="1">IFERROR(IF(0=LEN(ReferenceData!$P$13),"",ReferenceData!$P$13),"")</f>
        <v>512.49300000000005</v>
      </c>
      <c r="H13">
        <f ca="1">IFERROR(IF(0=LEN(ReferenceData!$O$13),"",ReferenceData!$O$13),"")</f>
        <v>582.58500000000004</v>
      </c>
      <c r="I13">
        <f ca="1">IFERROR(IF(0=LEN(ReferenceData!$N$13),"",ReferenceData!$N$13),"")</f>
        <v>535.85699999999997</v>
      </c>
      <c r="J13">
        <f ca="1">IFERROR(IF(0=LEN(ReferenceData!$M$13),"",ReferenceData!$M$13),"")</f>
        <v>584.08100000000002</v>
      </c>
      <c r="K13">
        <f ca="1">IFERROR(IF(0=LEN(ReferenceData!$L$13),"",ReferenceData!$L$13),"")</f>
        <v>685.10799999999995</v>
      </c>
      <c r="L13">
        <f ca="1">IFERROR(IF(0=LEN(ReferenceData!$K$13),"",ReferenceData!$K$13),"")</f>
        <v>770.56</v>
      </c>
      <c r="M13">
        <f ca="1">IFERROR(IF(0=LEN(ReferenceData!$J$13),"",ReferenceData!$J$13),"")</f>
        <v>762.529</v>
      </c>
      <c r="N13">
        <f ca="1">IFERROR(IF(0=LEN(ReferenceData!$I$13),"",ReferenceData!$I$13),"")</f>
        <v>777.36500000000001</v>
      </c>
      <c r="O13">
        <f ca="1">IFERROR(IF(0=LEN(ReferenceData!$H$13),"",ReferenceData!$H$13),"")</f>
        <v>853.24099999999999</v>
      </c>
      <c r="P13">
        <f ca="1">IFERROR(IF(0=LEN(ReferenceData!$G$13),"",ReferenceData!$G$13),"")</f>
        <v>936.55200000000002</v>
      </c>
      <c r="Q13">
        <f ca="1">IFERROR(IF(0=LEN(ReferenceData!$F$13),"",ReferenceData!$F$13),"")</f>
        <v>916.25300000000004</v>
      </c>
    </row>
    <row r="14" spans="1:17" x14ac:dyDescent="0.25">
      <c r="A14" t="str">
        <f>IFERROR(IF(0=LEN(ReferenceData!$A$14),"",ReferenceData!$A$14),"")</f>
        <v xml:space="preserve">    Genpact Ltd</v>
      </c>
      <c r="B14" t="str">
        <f>IFERROR(IF(0=LEN(ReferenceData!$B$14),"",ReferenceData!$B$14),"")</f>
        <v>G US Equity</v>
      </c>
      <c r="C14" t="str">
        <f>IFERROR(IF(0=LEN(ReferenceData!$C$14),"",ReferenceData!$C$14),"")</f>
        <v>RR253</v>
      </c>
      <c r="D14" t="str">
        <f>IFERROR(IF(0=LEN(ReferenceData!$D$14),"",ReferenceData!$D$14),"")</f>
        <v>CASH_AND_MARKETABLE_SECURITIES</v>
      </c>
      <c r="E14" t="str">
        <f>IFERROR(IF(0=LEN(ReferenceData!$E$14),"",ReferenceData!$E$14),"")</f>
        <v>Dynamic</v>
      </c>
      <c r="F14">
        <f ca="1">IFERROR(IF(0=LEN(ReferenceData!$Q$14),"",ReferenceData!$Q$14),"")</f>
        <v>441.06400000000002</v>
      </c>
      <c r="G14">
        <f ca="1">IFERROR(IF(0=LEN(ReferenceData!$P$14),"",ReferenceData!$P$14),"")</f>
        <v>440.05500000000001</v>
      </c>
      <c r="H14">
        <f ca="1">IFERROR(IF(0=LEN(ReferenceData!$O$14),"",ReferenceData!$O$14),"")</f>
        <v>504.46800000000002</v>
      </c>
      <c r="I14">
        <f ca="1">IFERROR(IF(0=LEN(ReferenceData!$N$14),"",ReferenceData!$N$14),"")</f>
        <v>424.226</v>
      </c>
      <c r="J14">
        <f ca="1">IFERROR(IF(0=LEN(ReferenceData!$M$14),"",ReferenceData!$M$14),"")</f>
        <v>333.90300000000002</v>
      </c>
      <c r="K14">
        <f ca="1">IFERROR(IF(0=LEN(ReferenceData!$L$14),"",ReferenceData!$L$14),"")</f>
        <v>401.23</v>
      </c>
      <c r="L14">
        <f ca="1">IFERROR(IF(0=LEN(ReferenceData!$K$14),"",ReferenceData!$K$14),"")</f>
        <v>368.39600000000002</v>
      </c>
      <c r="M14">
        <f ca="1">IFERROR(IF(0=LEN(ReferenceData!$J$14),"",ReferenceData!$J$14),"")</f>
        <v>325.37700000000001</v>
      </c>
      <c r="N14">
        <f ca="1">IFERROR(IF(0=LEN(ReferenceData!$I$14),"",ReferenceData!$I$14),"")</f>
        <v>378.03</v>
      </c>
      <c r="O14">
        <f ca="1">IFERROR(IF(0=LEN(ReferenceData!$H$14),"",ReferenceData!$H$14),"")</f>
        <v>456.87200000000001</v>
      </c>
      <c r="P14">
        <f ca="1">IFERROR(IF(0=LEN(ReferenceData!$G$14),"",ReferenceData!$G$14),"")</f>
        <v>467.096</v>
      </c>
      <c r="Q14">
        <f ca="1">IFERROR(IF(0=LEN(ReferenceData!$F$14),"",ReferenceData!$F$14),"")</f>
        <v>401.62400000000002</v>
      </c>
    </row>
    <row r="15" spans="1:17" x14ac:dyDescent="0.25">
      <c r="A15" t="str">
        <f>IFERROR(IF(0=LEN(ReferenceData!$A$15),"",ReferenceData!$A$15),"")</f>
        <v xml:space="preserve">    HCL Technologies Ltd</v>
      </c>
      <c r="B15" t="str">
        <f>IFERROR(IF(0=LEN(ReferenceData!$B$15),"",ReferenceData!$B$15),"")</f>
        <v>HCLT IN Equity</v>
      </c>
      <c r="C15" t="str">
        <f>IFERROR(IF(0=LEN(ReferenceData!$C$15),"",ReferenceData!$C$15),"")</f>
        <v>RR253</v>
      </c>
      <c r="D15" t="str">
        <f>IFERROR(IF(0=LEN(ReferenceData!$D$15),"",ReferenceData!$D$15),"")</f>
        <v>CASH_AND_MARKETABLE_SECURITIES</v>
      </c>
      <c r="E15" t="str">
        <f>IFERROR(IF(0=LEN(ReferenceData!$E$15),"",ReferenceData!$E$15),"")</f>
        <v>Dynamic</v>
      </c>
      <c r="F15">
        <f ca="1">IFERROR(IF(0=LEN(ReferenceData!$Q$15),"",ReferenceData!$Q$15),"")</f>
        <v>1808.3</v>
      </c>
      <c r="G15">
        <f ca="1">IFERROR(IF(0=LEN(ReferenceData!$P$15),"",ReferenceData!$P$15),"")</f>
        <v>1488.8</v>
      </c>
      <c r="H15">
        <f ca="1">IFERROR(IF(0=LEN(ReferenceData!$O$15),"",ReferenceData!$O$15),"")</f>
        <v>1300.5999999999999</v>
      </c>
      <c r="I15">
        <f ca="1">IFERROR(IF(0=LEN(ReferenceData!$N$15),"",ReferenceData!$N$15),"")</f>
        <v>977.89376730000004</v>
      </c>
      <c r="J15">
        <f ca="1">IFERROR(IF(0=LEN(ReferenceData!$M$15),"",ReferenceData!$M$15),"")</f>
        <v>1457.2</v>
      </c>
      <c r="K15">
        <f ca="1">IFERROR(IF(0=LEN(ReferenceData!$L$15),"",ReferenceData!$L$15),"")</f>
        <v>1318.6</v>
      </c>
      <c r="L15">
        <f ca="1">IFERROR(IF(0=LEN(ReferenceData!$K$15),"",ReferenceData!$K$15),"")</f>
        <v>1360.9</v>
      </c>
      <c r="M15">
        <f ca="1">IFERROR(IF(0=LEN(ReferenceData!$J$15),"",ReferenceData!$J$15),"")</f>
        <v>1648.1110000000001</v>
      </c>
      <c r="N15">
        <f ca="1">IFERROR(IF(0=LEN(ReferenceData!$I$15),"",ReferenceData!$I$15),"")</f>
        <v>1648.2</v>
      </c>
      <c r="O15">
        <f ca="1">IFERROR(IF(0=LEN(ReferenceData!$H$15),"",ReferenceData!$H$15),"")</f>
        <v>1096.9000000000001</v>
      </c>
      <c r="P15">
        <f ca="1">IFERROR(IF(0=LEN(ReferenceData!$G$15),"",ReferenceData!$G$15),"")</f>
        <v>1673.6</v>
      </c>
      <c r="Q15">
        <f ca="1">IFERROR(IF(0=LEN(ReferenceData!$F$15),"",ReferenceData!$F$15),"")</f>
        <v>2031.9079999999999</v>
      </c>
    </row>
    <row r="16" spans="1:17" x14ac:dyDescent="0.25">
      <c r="A16" t="str">
        <f>IFERROR(IF(0=LEN(ReferenceData!$A$16),"",ReferenceData!$A$16),"")</f>
        <v xml:space="preserve">    Indra Sistemas SA</v>
      </c>
      <c r="B16" t="str">
        <f>IFERROR(IF(0=LEN(ReferenceData!$B$16),"",ReferenceData!$B$16),"")</f>
        <v>IDR SM Equity</v>
      </c>
      <c r="C16" t="str">
        <f>IFERROR(IF(0=LEN(ReferenceData!$C$16),"",ReferenceData!$C$16),"")</f>
        <v>RR253</v>
      </c>
      <c r="D16" t="str">
        <f>IFERROR(IF(0=LEN(ReferenceData!$D$16),"",ReferenceData!$D$16),"")</f>
        <v>CASH_AND_MARKETABLE_SECURITIES</v>
      </c>
      <c r="E16" t="str">
        <f>IFERROR(IF(0=LEN(ReferenceData!$E$16),"",ReferenceData!$E$16),"")</f>
        <v>Dynamic</v>
      </c>
      <c r="F16">
        <f ca="1">IFERROR(IF(0=LEN(ReferenceData!$Q$16),"",ReferenceData!$Q$16),"")</f>
        <v>614.93015739999998</v>
      </c>
      <c r="G16">
        <f ca="1">IFERROR(IF(0=LEN(ReferenceData!$P$16),"",ReferenceData!$P$16),"")</f>
        <v>753.62154999999996</v>
      </c>
      <c r="H16">
        <f ca="1">IFERROR(IF(0=LEN(ReferenceData!$O$16),"",ReferenceData!$O$16),"")</f>
        <v>842.15312200000005</v>
      </c>
      <c r="I16">
        <f ca="1">IFERROR(IF(0=LEN(ReferenceData!$N$16),"",ReferenceData!$N$16),"")</f>
        <v>928.96271999999999</v>
      </c>
      <c r="J16">
        <f ca="1">IFERROR(IF(0=LEN(ReferenceData!$M$16),"",ReferenceData!$M$16),"")</f>
        <v>1104.626685</v>
      </c>
      <c r="K16">
        <f ca="1">IFERROR(IF(0=LEN(ReferenceData!$L$16),"",ReferenceData!$L$16),"")</f>
        <v>996.01664000000005</v>
      </c>
      <c r="L16">
        <f ca="1">IFERROR(IF(0=LEN(ReferenceData!$K$16),"",ReferenceData!$K$16),"")</f>
        <v>1051.09319</v>
      </c>
      <c r="M16">
        <f ca="1">IFERROR(IF(0=LEN(ReferenceData!$J$16),"",ReferenceData!$J$16),"")</f>
        <v>941.89074000000005</v>
      </c>
      <c r="N16">
        <f ca="1">IFERROR(IF(0=LEN(ReferenceData!$I$16),"",ReferenceData!$I$16),"")</f>
        <v>841.57354329999998</v>
      </c>
      <c r="O16">
        <f ca="1">IFERROR(IF(0=LEN(ReferenceData!$H$16),"",ReferenceData!$H$16),"")</f>
        <v>823.83068000000003</v>
      </c>
      <c r="P16">
        <f ca="1">IFERROR(IF(0=LEN(ReferenceData!$G$16),"",ReferenceData!$G$16),"")</f>
        <v>959.52815610000005</v>
      </c>
      <c r="Q16">
        <f ca="1">IFERROR(IF(0=LEN(ReferenceData!$F$16),"",ReferenceData!$F$16),"")</f>
        <v>899.73171000000002</v>
      </c>
    </row>
    <row r="17" spans="1:17" x14ac:dyDescent="0.25">
      <c r="A17" t="str">
        <f>IFERROR(IF(0=LEN(ReferenceData!$A$17),"",ReferenceData!$A$17),"")</f>
        <v xml:space="preserve">    Infosys Ltd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RR253</v>
      </c>
      <c r="D17" t="str">
        <f>IFERROR(IF(0=LEN(ReferenceData!$D$17),"",ReferenceData!$D$17),"")</f>
        <v>CASH_AND_MARKETABLE_SECURITIES</v>
      </c>
      <c r="E17" t="str">
        <f>IFERROR(IF(0=LEN(ReferenceData!$E$17),"",ReferenceData!$E$17),"")</f>
        <v>Dynamic</v>
      </c>
      <c r="F17">
        <f ca="1">IFERROR(IF(0=LEN(ReferenceData!$Q$17),"",ReferenceData!$Q$17),"")</f>
        <v>5184.9352909999998</v>
      </c>
      <c r="G17">
        <f ca="1">IFERROR(IF(0=LEN(ReferenceData!$P$17),"",ReferenceData!$P$17),"")</f>
        <v>5426.3198160000002</v>
      </c>
      <c r="H17">
        <f ca="1">IFERROR(IF(0=LEN(ReferenceData!$O$17),"",ReferenceData!$O$17),"")</f>
        <v>3616.5164479999999</v>
      </c>
      <c r="I17">
        <f ca="1">IFERROR(IF(0=LEN(ReferenceData!$N$17),"",ReferenceData!$N$17),"")</f>
        <v>4025.9441200000001</v>
      </c>
      <c r="J17">
        <f ca="1">IFERROR(IF(0=LEN(ReferenceData!$M$17),"",ReferenceData!$M$17),"")</f>
        <v>3414.6768889999998</v>
      </c>
      <c r="K17">
        <f ca="1">IFERROR(IF(0=LEN(ReferenceData!$L$17),"",ReferenceData!$L$17),"")</f>
        <v>3505.3308430000002</v>
      </c>
      <c r="L17">
        <f ca="1">IFERROR(IF(0=LEN(ReferenceData!$K$17),"",ReferenceData!$K$17),"")</f>
        <v>3769.12039</v>
      </c>
      <c r="M17">
        <f ca="1">IFERROR(IF(0=LEN(ReferenceData!$J$17),"",ReferenceData!$J$17),"")</f>
        <v>3778.6718169999999</v>
      </c>
      <c r="N17">
        <f ca="1">IFERROR(IF(0=LEN(ReferenceData!$I$17),"",ReferenceData!$I$17),"")</f>
        <v>3048.8822220000002</v>
      </c>
      <c r="O17">
        <f ca="1">IFERROR(IF(0=LEN(ReferenceData!$H$17),"",ReferenceData!$H$17),"")</f>
        <v>2828.8417049999998</v>
      </c>
      <c r="P17">
        <f ca="1">IFERROR(IF(0=LEN(ReferenceData!$G$17),"",ReferenceData!$G$17),"")</f>
        <v>2859.4093320000002</v>
      </c>
      <c r="Q17">
        <f ca="1">IFERROR(IF(0=LEN(ReferenceData!$F$17),"",ReferenceData!$F$17),"")</f>
        <v>3091.7946179999999</v>
      </c>
    </row>
    <row r="18" spans="1:17" x14ac:dyDescent="0.25">
      <c r="A18" t="str">
        <f>IFERROR(IF(0=LEN(ReferenceData!$A$18),"",ReferenceData!$A$18),"")</f>
        <v xml:space="preserve">    International Business Machines Corp</v>
      </c>
      <c r="B18" t="str">
        <f>IFERROR(IF(0=LEN(ReferenceData!$B$18),"",ReferenceData!$B$18),"")</f>
        <v>IBM US Equity</v>
      </c>
      <c r="C18" t="str">
        <f>IFERROR(IF(0=LEN(ReferenceData!$C$18),"",ReferenceData!$C$18),"")</f>
        <v>RR253</v>
      </c>
      <c r="D18" t="str">
        <f>IFERROR(IF(0=LEN(ReferenceData!$D$18),"",ReferenceData!$D$18),"")</f>
        <v>CASH_AND_MARKETABLE_SECURITIES</v>
      </c>
      <c r="E18" t="str">
        <f>IFERROR(IF(0=LEN(ReferenceData!$E$18),"",ReferenceData!$E$18),"")</f>
        <v>Dynamic</v>
      </c>
      <c r="F18">
        <f ca="1">IFERROR(IF(0=LEN(ReferenceData!$Q$18),"",ReferenceData!$Q$18),"")</f>
        <v>12295</v>
      </c>
      <c r="G18">
        <f ca="1">IFERROR(IF(0=LEN(ReferenceData!$P$18),"",ReferenceData!$P$18),"")</f>
        <v>11515</v>
      </c>
      <c r="H18">
        <f ca="1">IFERROR(IF(0=LEN(ReferenceData!$O$18),"",ReferenceData!$O$18),"")</f>
        <v>12580</v>
      </c>
      <c r="I18">
        <f ca="1">IFERROR(IF(0=LEN(ReferenceData!$N$18),"",ReferenceData!$N$18),"")</f>
        <v>12842</v>
      </c>
      <c r="J18">
        <f ca="1">IFERROR(IF(0=LEN(ReferenceData!$M$18),"",ReferenceData!$M$18),"")</f>
        <v>11707</v>
      </c>
      <c r="K18">
        <f ca="1">IFERROR(IF(0=LEN(ReferenceData!$L$18),"",ReferenceData!$L$18),"")</f>
        <v>14495</v>
      </c>
      <c r="L18">
        <f ca="1">IFERROR(IF(0=LEN(ReferenceData!$K$18),"",ReferenceData!$K$18),"")</f>
        <v>11997</v>
      </c>
      <c r="M18">
        <f ca="1">IFERROR(IF(0=LEN(ReferenceData!$J$18),"",ReferenceData!$J$18),"")</f>
        <v>18006</v>
      </c>
      <c r="N18">
        <f ca="1">IFERROR(IF(0=LEN(ReferenceData!$I$18),"",ReferenceData!$I$18),"")</f>
        <v>46273</v>
      </c>
      <c r="O18">
        <f ca="1">IFERROR(IF(0=LEN(ReferenceData!$H$18),"",ReferenceData!$H$18),"")</f>
        <v>10820</v>
      </c>
      <c r="P18">
        <f ca="1">IFERROR(IF(0=LEN(ReferenceData!$G$18),"",ReferenceData!$G$18),"")</f>
        <v>8868</v>
      </c>
      <c r="Q18">
        <f ca="1">IFERROR(IF(0=LEN(ReferenceData!$F$18),"",ReferenceData!$F$18),"")</f>
        <v>11865</v>
      </c>
    </row>
    <row r="19" spans="1:17" x14ac:dyDescent="0.25">
      <c r="A19" t="str">
        <f>IFERROR(IF(0=LEN(ReferenceData!$A$19),"",ReferenceData!$A$19),"")</f>
        <v xml:space="preserve">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>RR253</v>
      </c>
      <c r="D19" t="str">
        <f>IFERROR(IF(0=LEN(ReferenceData!$D$19),"",ReferenceData!$D$19),"")</f>
        <v>CASH_AND_MARKETABLE_SECURITIES</v>
      </c>
      <c r="E19" t="str">
        <f>IFERROR(IF(0=LEN(ReferenceData!$E$19),"",ReferenceData!$E$19),"")</f>
        <v>Dynamic</v>
      </c>
      <c r="F19">
        <f ca="1">IFERROR(IF(0=LEN(ReferenceData!$Q$19),"",ReferenceData!$Q$19),"")</f>
        <v>4935.321782</v>
      </c>
      <c r="G19">
        <f ca="1">IFERROR(IF(0=LEN(ReferenceData!$P$19),"",ReferenceData!$P$19),"")</f>
        <v>5132.0581480000001</v>
      </c>
      <c r="H19">
        <f ca="1">IFERROR(IF(0=LEN(ReferenceData!$O$19),"",ReferenceData!$O$19),"")</f>
        <v>5752.5665019999997</v>
      </c>
      <c r="I19">
        <f ca="1">IFERROR(IF(0=LEN(ReferenceData!$N$19),"",ReferenceData!$N$19),"")</f>
        <v>6546.8222290000003</v>
      </c>
      <c r="J19">
        <f ca="1">IFERROR(IF(0=LEN(ReferenceData!$M$19),"",ReferenceData!$M$19),"")</f>
        <v>5601.6064260000003</v>
      </c>
      <c r="K19">
        <f ca="1">IFERROR(IF(0=LEN(ReferenceData!$L$19),"",ReferenceData!$L$19),"")</f>
        <v>4669.6393500000004</v>
      </c>
      <c r="L19">
        <f ca="1">IFERROR(IF(0=LEN(ReferenceData!$K$19),"",ReferenceData!$K$19),"")</f>
        <v>5176.9263879999999</v>
      </c>
      <c r="M19">
        <f ca="1">IFERROR(IF(0=LEN(ReferenceData!$J$19),"",ReferenceData!$J$19),"")</f>
        <v>6021.4963799999996</v>
      </c>
      <c r="N19">
        <f ca="1">IFERROR(IF(0=LEN(ReferenceData!$I$19),"",ReferenceData!$I$19),"")</f>
        <v>6155.2166139999999</v>
      </c>
      <c r="O19">
        <f ca="1">IFERROR(IF(0=LEN(ReferenceData!$H$19),"",ReferenceData!$H$19),"")</f>
        <v>6573.2256950000001</v>
      </c>
      <c r="P19">
        <f ca="1">IFERROR(IF(0=LEN(ReferenceData!$G$19),"",ReferenceData!$G$19),"")</f>
        <v>5187.5408040000002</v>
      </c>
      <c r="Q19">
        <f ca="1">IFERROR(IF(0=LEN(ReferenceData!$F$19),"",ReferenceData!$F$19),"")</f>
        <v>4721.9388200000003</v>
      </c>
    </row>
    <row r="20" spans="1:17" x14ac:dyDescent="0.25">
      <c r="A20" t="str">
        <f>IFERROR(IF(0=LEN(ReferenceData!$A$20),"",ReferenceData!$A$20),"")</f>
        <v xml:space="preserve">    Tech Mahindra Ltd</v>
      </c>
      <c r="B20" t="str">
        <f>IFERROR(IF(0=LEN(ReferenceData!$B$20),"",ReferenceData!$B$20),"")</f>
        <v>TECHM IN Equity</v>
      </c>
      <c r="C20" t="str">
        <f>IFERROR(IF(0=LEN(ReferenceData!$C$20),"",ReferenceData!$C$20),"")</f>
        <v>RR253</v>
      </c>
      <c r="D20" t="str">
        <f>IFERROR(IF(0=LEN(ReferenceData!$D$20),"",ReferenceData!$D$20),"")</f>
        <v>CASH_AND_MARKETABLE_SECURITIES</v>
      </c>
      <c r="E20" t="str">
        <f>IFERROR(IF(0=LEN(ReferenceData!$E$20),"",ReferenceData!$E$20),"")</f>
        <v>Dynamic</v>
      </c>
      <c r="F20">
        <f ca="1">IFERROR(IF(0=LEN(ReferenceData!$Q$20),"",ReferenceData!$Q$20),"")</f>
        <v>931.04446150000001</v>
      </c>
      <c r="G20">
        <f ca="1">IFERROR(IF(0=LEN(ReferenceData!$P$20),"",ReferenceData!$P$20),"")</f>
        <v>912.20964040000001</v>
      </c>
      <c r="H20">
        <f ca="1">IFERROR(IF(0=LEN(ReferenceData!$O$20),"",ReferenceData!$O$20),"")</f>
        <v>950.37704670000005</v>
      </c>
      <c r="I20">
        <f ca="1">IFERROR(IF(0=LEN(ReferenceData!$N$20),"",ReferenceData!$N$20),"")</f>
        <v>989.1003991</v>
      </c>
      <c r="J20">
        <f ca="1">IFERROR(IF(0=LEN(ReferenceData!$M$20),"",ReferenceData!$M$20),"")</f>
        <v>1047.7984670000001</v>
      </c>
      <c r="K20">
        <f ca="1">IFERROR(IF(0=LEN(ReferenceData!$L$20),"",ReferenceData!$L$20),"")</f>
        <v>876.47743949999995</v>
      </c>
      <c r="L20">
        <f ca="1">IFERROR(IF(0=LEN(ReferenceData!$K$20),"",ReferenceData!$K$20),"")</f>
        <v>961.51528199999996</v>
      </c>
      <c r="M20">
        <f ca="1">IFERROR(IF(0=LEN(ReferenceData!$J$20),"",ReferenceData!$J$20),"")</f>
        <v>1251.801342</v>
      </c>
      <c r="N20">
        <f ca="1">IFERROR(IF(0=LEN(ReferenceData!$I$20),"",ReferenceData!$I$20),"")</f>
        <v>1128.978672</v>
      </c>
      <c r="O20">
        <f ca="1">IFERROR(IF(0=LEN(ReferenceData!$H$20),"",ReferenceData!$H$20),"")</f>
        <v>1061.76019</v>
      </c>
      <c r="P20">
        <f ca="1">IFERROR(IF(0=LEN(ReferenceData!$G$20),"",ReferenceData!$G$20),"")</f>
        <v>1148.8041330000001</v>
      </c>
      <c r="Q20">
        <f ca="1">IFERROR(IF(0=LEN(ReferenceData!$F$20),"",ReferenceData!$F$20),"")</f>
        <v>1162.2887029999999</v>
      </c>
    </row>
    <row r="21" spans="1:17" x14ac:dyDescent="0.25">
      <c r="A21" t="str">
        <f>IFERROR(IF(0=LEN(ReferenceData!$A$21),"",ReferenceData!$A$21),"")</f>
        <v xml:space="preserve">    Wipro Ltd</v>
      </c>
      <c r="B21" t="str">
        <f>IFERROR(IF(0=LEN(ReferenceData!$B$21),"",ReferenceData!$B$21),"")</f>
        <v>WIT US Equity</v>
      </c>
      <c r="C21" t="str">
        <f>IFERROR(IF(0=LEN(ReferenceData!$C$21),"",ReferenceData!$C$21),"")</f>
        <v>RR253</v>
      </c>
      <c r="D21" t="str">
        <f>IFERROR(IF(0=LEN(ReferenceData!$D$21),"",ReferenceData!$D$21),"")</f>
        <v>CASH_AND_MARKETABLE_SECURITIES</v>
      </c>
      <c r="E21" t="str">
        <f>IFERROR(IF(0=LEN(ReferenceData!$E$21),"",ReferenceData!$E$21),"")</f>
        <v>Dynamic</v>
      </c>
      <c r="F21">
        <f ca="1">IFERROR(IF(0=LEN(ReferenceData!$Q$21),"",ReferenceData!$Q$21),"")</f>
        <v>5757.2821990000002</v>
      </c>
      <c r="G21">
        <f ca="1">IFERROR(IF(0=LEN(ReferenceData!$P$21),"",ReferenceData!$P$21),"")</f>
        <v>5883.2134660000002</v>
      </c>
      <c r="H21">
        <f ca="1">IFERROR(IF(0=LEN(ReferenceData!$O$21),"",ReferenceData!$O$21),"")</f>
        <v>4531.5771750000004</v>
      </c>
      <c r="I21">
        <f ca="1">IFERROR(IF(0=LEN(ReferenceData!$N$21),"",ReferenceData!$N$21),"")</f>
        <v>4513.6475280000004</v>
      </c>
      <c r="J21">
        <f ca="1">IFERROR(IF(0=LEN(ReferenceData!$M$21),"",ReferenceData!$M$21),"")</f>
        <v>4693.8882800000001</v>
      </c>
      <c r="K21">
        <f ca="1">IFERROR(IF(0=LEN(ReferenceData!$L$21),"",ReferenceData!$L$21),"")</f>
        <v>4529.7762220000004</v>
      </c>
      <c r="L21">
        <f ca="1">IFERROR(IF(0=LEN(ReferenceData!$K$21),"",ReferenceData!$K$21),"")</f>
        <v>5092.1509539999997</v>
      </c>
      <c r="M21">
        <f ca="1">IFERROR(IF(0=LEN(ReferenceData!$J$21),"",ReferenceData!$J$21),"")</f>
        <v>5470.6714769999999</v>
      </c>
      <c r="N21">
        <f ca="1">IFERROR(IF(0=LEN(ReferenceData!$I$21),"",ReferenceData!$I$21),"")</f>
        <v>6147.860995</v>
      </c>
      <c r="O21">
        <f ca="1">IFERROR(IF(0=LEN(ReferenceData!$H$21),"",ReferenceData!$H$21),"")</f>
        <v>4615.3236589999997</v>
      </c>
      <c r="P21">
        <f ca="1">IFERROR(IF(0=LEN(ReferenceData!$G$21),"",ReferenceData!$G$21),"")</f>
        <v>4926.5772310000002</v>
      </c>
      <c r="Q21">
        <f ca="1">IFERROR(IF(0=LEN(ReferenceData!$F$21),"",ReferenceData!$F$21),"")</f>
        <v>4433.0316810000004</v>
      </c>
    </row>
    <row r="22" spans="1:17" x14ac:dyDescent="0.25">
      <c r="A22" t="str">
        <f>IFERROR(IF(0=LEN(ReferenceData!$A$22),"",ReferenceData!$A$22),"")</f>
        <v>Accounts &amp; Notes Receivable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Sum</v>
      </c>
      <c r="F22">
        <f ca="1">IFERROR(IF(0=LEN(ReferenceData!$Q$22),"",ReferenceData!$Q$22),"")</f>
        <v>53600.0539307</v>
      </c>
      <c r="G22">
        <f ca="1">IFERROR(IF(0=LEN(ReferenceData!$P$22),"",ReferenceData!$P$22),"")</f>
        <v>54363.704775700004</v>
      </c>
      <c r="H22">
        <f ca="1">IFERROR(IF(0=LEN(ReferenceData!$O$22),"",ReferenceData!$O$22),"")</f>
        <v>59361.469650999999</v>
      </c>
      <c r="I22">
        <f ca="1">IFERROR(IF(0=LEN(ReferenceData!$N$22),"",ReferenceData!$N$22),"")</f>
        <v>52937.842565400002</v>
      </c>
      <c r="J22">
        <f ca="1">IFERROR(IF(0=LEN(ReferenceData!$M$22),"",ReferenceData!$M$22),"")</f>
        <v>54362.891580900003</v>
      </c>
      <c r="K22">
        <f ca="1">IFERROR(IF(0=LEN(ReferenceData!$L$22),"",ReferenceData!$L$22),"")</f>
        <v>52886.319763300009</v>
      </c>
      <c r="L22">
        <f ca="1">IFERROR(IF(0=LEN(ReferenceData!$K$22),"",ReferenceData!$K$22),"")</f>
        <v>61385.236367000005</v>
      </c>
      <c r="M22">
        <f ca="1">IFERROR(IF(0=LEN(ReferenceData!$J$22),"",ReferenceData!$J$22),"")</f>
        <v>55365.718109999994</v>
      </c>
      <c r="N22">
        <f ca="1">IFERROR(IF(0=LEN(ReferenceData!$I$22),"",ReferenceData!$I$22),"")</f>
        <v>55494.539212800002</v>
      </c>
      <c r="O22">
        <f ca="1">IFERROR(IF(0=LEN(ReferenceData!$H$22),"",ReferenceData!$H$22),"")</f>
        <v>49534.368897599998</v>
      </c>
      <c r="P22">
        <f ca="1">IFERROR(IF(0=LEN(ReferenceData!$G$22),"",ReferenceData!$G$22),"")</f>
        <v>57321.641279999989</v>
      </c>
      <c r="Q22">
        <f ca="1">IFERROR(IF(0=LEN(ReferenceData!$F$22),"",ReferenceData!$F$22),"")</f>
        <v>47597.111195999998</v>
      </c>
    </row>
    <row r="23" spans="1:17" x14ac:dyDescent="0.25">
      <c r="A23" t="str">
        <f>IFERROR(IF(0=LEN(ReferenceData!$A$23),"",ReferenceData!$A$23),"")</f>
        <v xml:space="preserve">    Accenture PLC</v>
      </c>
      <c r="B23" t="str">
        <f>IFERROR(IF(0=LEN(ReferenceData!$B$23),"",ReferenceData!$B$23),"")</f>
        <v>ACN US Equity</v>
      </c>
      <c r="C23" t="str">
        <f>IFERROR(IF(0=LEN(ReferenceData!$C$23),"",ReferenceData!$C$23),"")</f>
        <v>BS012</v>
      </c>
      <c r="D23" t="str">
        <f>IFERROR(IF(0=LEN(ReferenceData!$D$23),"",ReferenceData!$D$23),"")</f>
        <v>BS_ACCT_NOTE_RCV</v>
      </c>
      <c r="E23" t="str">
        <f>IFERROR(IF(0=LEN(ReferenceData!$E$23),"",ReferenceData!$E$23),"")</f>
        <v>Dynamic</v>
      </c>
      <c r="F23">
        <f ca="1">IFERROR(IF(0=LEN(ReferenceData!$Q$23),"",ReferenceData!$Q$23),"")</f>
        <v>4474.415</v>
      </c>
      <c r="G23">
        <f ca="1">IFERROR(IF(0=LEN(ReferenceData!$P$23),"",ReferenceData!$P$23),"")</f>
        <v>4569.2139999999999</v>
      </c>
      <c r="H23">
        <f ca="1">IFERROR(IF(0=LEN(ReferenceData!$O$23),"",ReferenceData!$O$23),"")</f>
        <v>4981.0839999999998</v>
      </c>
      <c r="I23">
        <f ca="1">IFERROR(IF(0=LEN(ReferenceData!$N$23),"",ReferenceData!$N$23),"")</f>
        <v>5030.6980000000003</v>
      </c>
      <c r="J23">
        <f ca="1">IFERROR(IF(0=LEN(ReferenceData!$M$23),"",ReferenceData!$M$23),"")</f>
        <v>4986.652</v>
      </c>
      <c r="K23">
        <f ca="1">IFERROR(IF(0=LEN(ReferenceData!$L$23),"",ReferenceData!$L$23),"")</f>
        <v>4996.4539999999997</v>
      </c>
      <c r="L23">
        <f ca="1">IFERROR(IF(0=LEN(ReferenceData!$K$23),"",ReferenceData!$K$23),"")</f>
        <v>8023.0569999999998</v>
      </c>
      <c r="M23">
        <f ca="1">IFERROR(IF(0=LEN(ReferenceData!$J$23),"",ReferenceData!$J$23),"")</f>
        <v>8151.4110000000001</v>
      </c>
      <c r="N23">
        <f ca="1">IFERROR(IF(0=LEN(ReferenceData!$I$23),"",ReferenceData!$I$23),"")</f>
        <v>8134.1469999999999</v>
      </c>
      <c r="O23">
        <f ca="1">IFERROR(IF(0=LEN(ReferenceData!$H$23),"",ReferenceData!$H$23),"")</f>
        <v>8095.0709999999999</v>
      </c>
      <c r="P23">
        <f ca="1">IFERROR(IF(0=LEN(ReferenceData!$G$23),"",ReferenceData!$G$23),"")</f>
        <v>8577.3860000000004</v>
      </c>
      <c r="Q23">
        <f ca="1">IFERROR(IF(0=LEN(ReferenceData!$F$23),"",ReferenceData!$F$23),"")</f>
        <v>8517.9490000000005</v>
      </c>
    </row>
    <row r="24" spans="1:17" x14ac:dyDescent="0.25">
      <c r="A24" t="str">
        <f>IFERROR(IF(0=LEN(ReferenceData!$A$24),"",ReferenceData!$A$24),"")</f>
        <v xml:space="preserve">    Amdocs Ltd</v>
      </c>
      <c r="B24" t="str">
        <f>IFERROR(IF(0=LEN(ReferenceData!$B$24),"",ReferenceData!$B$24),"")</f>
        <v>DOX US Equity</v>
      </c>
      <c r="C24" t="str">
        <f>IFERROR(IF(0=LEN(ReferenceData!$C$24),"",ReferenceData!$C$24),"")</f>
        <v>BS012</v>
      </c>
      <c r="D24" t="str">
        <f>IFERROR(IF(0=LEN(ReferenceData!$D$24),"",ReferenceData!$D$24),"")</f>
        <v>BS_ACCT_NOTE_RCV</v>
      </c>
      <c r="E24" t="str">
        <f>IFERROR(IF(0=LEN(ReferenceData!$E$24),"",ReferenceData!$E$24),"")</f>
        <v>Dynamic</v>
      </c>
      <c r="F24">
        <f ca="1">IFERROR(IF(0=LEN(ReferenceData!$Q$24),"",ReferenceData!$Q$24),"")</f>
        <v>718.48800000000006</v>
      </c>
      <c r="G24">
        <f ca="1">IFERROR(IF(0=LEN(ReferenceData!$P$24),"",ReferenceData!$P$24),"")</f>
        <v>635.37300000000005</v>
      </c>
      <c r="H24">
        <f ca="1">IFERROR(IF(0=LEN(ReferenceData!$O$24),"",ReferenceData!$O$24),"")</f>
        <v>681.63300000000004</v>
      </c>
      <c r="I24">
        <f ca="1">IFERROR(IF(0=LEN(ReferenceData!$N$24),"",ReferenceData!$N$24),"")</f>
        <v>722.90200000000004</v>
      </c>
      <c r="J24">
        <f ca="1">IFERROR(IF(0=LEN(ReferenceData!$M$24),"",ReferenceData!$M$24),"")</f>
        <v>733.27499999999998</v>
      </c>
      <c r="K24">
        <f ca="1">IFERROR(IF(0=LEN(ReferenceData!$L$24),"",ReferenceData!$L$24),"")</f>
        <v>707.505</v>
      </c>
      <c r="L24">
        <f ca="1">IFERROR(IF(0=LEN(ReferenceData!$K$24),"",ReferenceData!$K$24),"")</f>
        <v>1008.748</v>
      </c>
      <c r="M24">
        <f ca="1">IFERROR(IF(0=LEN(ReferenceData!$J$24),"",ReferenceData!$J$24),"")</f>
        <v>764.928</v>
      </c>
      <c r="N24">
        <f ca="1">IFERROR(IF(0=LEN(ReferenceData!$I$24),"",ReferenceData!$I$24),"")</f>
        <v>952.89099999999996</v>
      </c>
      <c r="O24">
        <f ca="1">IFERROR(IF(0=LEN(ReferenceData!$H$24),"",ReferenceData!$H$24),"")</f>
        <v>987.85799999999995</v>
      </c>
      <c r="P24">
        <f ca="1">IFERROR(IF(0=LEN(ReferenceData!$G$24),"",ReferenceData!$G$24),"")</f>
        <v>1002.264</v>
      </c>
      <c r="Q24">
        <f ca="1">IFERROR(IF(0=LEN(ReferenceData!$F$24),"",ReferenceData!$F$24),"")</f>
        <v>755.39300000000003</v>
      </c>
    </row>
    <row r="25" spans="1:17" x14ac:dyDescent="0.25">
      <c r="A25" t="str">
        <f>IFERROR(IF(0=LEN(ReferenceData!$A$25),"",ReferenceData!$A$25),"")</f>
        <v xml:space="preserve">    Atos SE</v>
      </c>
      <c r="B25" t="str">
        <f>IFERROR(IF(0=LEN(ReferenceData!$B$25),"",ReferenceData!$B$25),"")</f>
        <v>ATO FP Equity</v>
      </c>
      <c r="C25" t="str">
        <f>IFERROR(IF(0=LEN(ReferenceData!$C$25),"",ReferenceData!$C$25),"")</f>
        <v>BS012</v>
      </c>
      <c r="D25" t="str">
        <f>IFERROR(IF(0=LEN(ReferenceData!$D$25),"",ReferenceData!$D$25),"")</f>
        <v>BS_ACCT_NOTE_RCV</v>
      </c>
      <c r="E25" t="str">
        <f>IFERROR(IF(0=LEN(ReferenceData!$E$25),"",ReferenceData!$E$25),"")</f>
        <v>Dynamic</v>
      </c>
      <c r="F25" t="str">
        <f ca="1">IFERROR(IF(0=LEN(ReferenceData!$Q$25),"",ReferenceData!$Q$25),"")</f>
        <v/>
      </c>
      <c r="G25" t="str">
        <f ca="1">IFERROR(IF(0=LEN(ReferenceData!$P$25),"",ReferenceData!$P$25),"")</f>
        <v/>
      </c>
      <c r="H25" t="str">
        <f ca="1">IFERROR(IF(0=LEN(ReferenceData!$O$25),"",ReferenceData!$O$25),"")</f>
        <v/>
      </c>
      <c r="I25" t="str">
        <f ca="1">IFERROR(IF(0=LEN(ReferenceData!$N$25),"",ReferenceData!$N$25),"")</f>
        <v/>
      </c>
      <c r="J25" t="str">
        <f ca="1">IFERROR(IF(0=LEN(ReferenceData!$M$25),"",ReferenceData!$M$25),"")</f>
        <v/>
      </c>
      <c r="K25" t="str">
        <f ca="1">IFERROR(IF(0=LEN(ReferenceData!$L$25),"",ReferenceData!$L$25),"")</f>
        <v/>
      </c>
      <c r="L25" t="str">
        <f ca="1">IFERROR(IF(0=LEN(ReferenceData!$K$25),"",ReferenceData!$K$25),"")</f>
        <v/>
      </c>
      <c r="M25" t="str">
        <f ca="1">IFERROR(IF(0=LEN(ReferenceData!$J$25),"",ReferenceData!$J$25),"")</f>
        <v/>
      </c>
      <c r="N25" t="str">
        <f ca="1">IFERROR(IF(0=LEN(ReferenceData!$I$25),"",ReferenceData!$I$25),"")</f>
        <v/>
      </c>
      <c r="O25" t="str">
        <f ca="1">IFERROR(IF(0=LEN(ReferenceData!$H$25),"",ReferenceData!$H$25),"")</f>
        <v/>
      </c>
      <c r="P25" t="str">
        <f ca="1">IFERROR(IF(0=LEN(ReferenceData!$G$25),"",ReferenceData!$G$25),"")</f>
        <v/>
      </c>
      <c r="Q25" t="str">
        <f ca="1">IFERROR(IF(0=LEN(ReferenceData!$F$25),"",ReferenceData!$F$25),"")</f>
        <v/>
      </c>
    </row>
    <row r="26" spans="1:17" x14ac:dyDescent="0.25">
      <c r="A26" t="str">
        <f>IFERROR(IF(0=LEN(ReferenceData!$A$26),"",ReferenceData!$A$26),"")</f>
        <v xml:space="preserve">    Capgemini SE</v>
      </c>
      <c r="B26" t="str">
        <f>IFERROR(IF(0=LEN(ReferenceData!$B$26),"",ReferenceData!$B$26),"")</f>
        <v>CAP FP Equity</v>
      </c>
      <c r="C26" t="str">
        <f>IFERROR(IF(0=LEN(ReferenceData!$C$26),"",ReferenceData!$C$26),"")</f>
        <v>BS012</v>
      </c>
      <c r="D26" t="str">
        <f>IFERROR(IF(0=LEN(ReferenceData!$D$26),"",ReferenceData!$D$26),"")</f>
        <v>BS_ACCT_NOTE_RCV</v>
      </c>
      <c r="E26" t="str">
        <f>IFERROR(IF(0=LEN(ReferenceData!$E$26),"",ReferenceData!$E$26),"")</f>
        <v>Dynamic</v>
      </c>
      <c r="F26" t="str">
        <f ca="1">IFERROR(IF(0=LEN(ReferenceData!$Q$26),"",ReferenceData!$Q$26),"")</f>
        <v/>
      </c>
      <c r="G26" t="str">
        <f ca="1">IFERROR(IF(0=LEN(ReferenceData!$P$26),"",ReferenceData!$P$26),"")</f>
        <v/>
      </c>
      <c r="H26" t="str">
        <f ca="1">IFERROR(IF(0=LEN(ReferenceData!$O$26),"",ReferenceData!$O$26),"")</f>
        <v/>
      </c>
      <c r="I26" t="str">
        <f ca="1">IFERROR(IF(0=LEN(ReferenceData!$N$26),"",ReferenceData!$N$26),"")</f>
        <v/>
      </c>
      <c r="J26" t="str">
        <f ca="1">IFERROR(IF(0=LEN(ReferenceData!$M$26),"",ReferenceData!$M$26),"")</f>
        <v/>
      </c>
      <c r="K26" t="str">
        <f ca="1">IFERROR(IF(0=LEN(ReferenceData!$L$26),"",ReferenceData!$L$26),"")</f>
        <v/>
      </c>
      <c r="L26" t="str">
        <f ca="1">IFERROR(IF(0=LEN(ReferenceData!$K$26),"",ReferenceData!$K$26),"")</f>
        <v/>
      </c>
      <c r="M26" t="str">
        <f ca="1">IFERROR(IF(0=LEN(ReferenceData!$J$26),"",ReferenceData!$J$26),"")</f>
        <v/>
      </c>
      <c r="N26" t="str">
        <f ca="1">IFERROR(IF(0=LEN(ReferenceData!$I$26),"",ReferenceData!$I$26),"")</f>
        <v/>
      </c>
      <c r="O26" t="str">
        <f ca="1">IFERROR(IF(0=LEN(ReferenceData!$H$26),"",ReferenceData!$H$26),"")</f>
        <v/>
      </c>
      <c r="P26">
        <f ca="1">IFERROR(IF(0=LEN(ReferenceData!$G$26),"",ReferenceData!$G$26),"")</f>
        <v>2381.6709000000001</v>
      </c>
      <c r="Q26" t="str">
        <f ca="1">IFERROR(IF(0=LEN(ReferenceData!$F$26),"",ReferenceData!$F$26),"")</f>
        <v/>
      </c>
    </row>
    <row r="27" spans="1:17" x14ac:dyDescent="0.25">
      <c r="A27" t="str">
        <f>IFERROR(IF(0=LEN(ReferenceData!$A$27),"",ReferenceData!$A$27),"")</f>
        <v xml:space="preserve">    CGI Inc</v>
      </c>
      <c r="B27" t="str">
        <f>IFERROR(IF(0=LEN(ReferenceData!$B$27),"",ReferenceData!$B$27),"")</f>
        <v>GIB US Equity</v>
      </c>
      <c r="C27" t="str">
        <f>IFERROR(IF(0=LEN(ReferenceData!$C$27),"",ReferenceData!$C$27),"")</f>
        <v>BS012</v>
      </c>
      <c r="D27" t="str">
        <f>IFERROR(IF(0=LEN(ReferenceData!$D$27),"",ReferenceData!$D$27),"")</f>
        <v>BS_ACCT_NOTE_RCV</v>
      </c>
      <c r="E27" t="str">
        <f>IFERROR(IF(0=LEN(ReferenceData!$E$27),"",ReferenceData!$E$27),"")</f>
        <v>Dynamic</v>
      </c>
      <c r="F27">
        <f ca="1">IFERROR(IF(0=LEN(ReferenceData!$Q$27),"",ReferenceData!$Q$27),"")</f>
        <v>971.27318909999997</v>
      </c>
      <c r="G27">
        <f ca="1">IFERROR(IF(0=LEN(ReferenceData!$P$27),"",ReferenceData!$P$27),"")</f>
        <v>746.17910930000005</v>
      </c>
      <c r="H27">
        <f ca="1">IFERROR(IF(0=LEN(ReferenceData!$O$27),"",ReferenceData!$O$27),"")</f>
        <v>1146.1818470000001</v>
      </c>
      <c r="I27">
        <f ca="1">IFERROR(IF(0=LEN(ReferenceData!$N$27),"",ReferenceData!$N$27),"")</f>
        <v>1040.626115</v>
      </c>
      <c r="J27" t="str">
        <f ca="1">IFERROR(IF(0=LEN(ReferenceData!$M$27),"",ReferenceData!$M$27),"")</f>
        <v/>
      </c>
      <c r="K27">
        <f ca="1">IFERROR(IF(0=LEN(ReferenceData!$L$27),"",ReferenceData!$L$27),"")</f>
        <v>870.83391300000005</v>
      </c>
      <c r="L27">
        <f ca="1">IFERROR(IF(0=LEN(ReferenceData!$K$27),"",ReferenceData!$K$27),"")</f>
        <v>1118.5298</v>
      </c>
      <c r="M27">
        <f ca="1">IFERROR(IF(0=LEN(ReferenceData!$J$27),"",ReferenceData!$J$27),"")</f>
        <v>1093.7876859999999</v>
      </c>
      <c r="N27">
        <f ca="1">IFERROR(IF(0=LEN(ReferenceData!$I$27),"",ReferenceData!$I$27),"")</f>
        <v>1129.4730010000001</v>
      </c>
      <c r="O27">
        <f ca="1">IFERROR(IF(0=LEN(ReferenceData!$H$27),"",ReferenceData!$H$27),"")</f>
        <v>739.91994560000001</v>
      </c>
      <c r="P27">
        <f ca="1">IFERROR(IF(0=LEN(ReferenceData!$G$27),"",ReferenceData!$G$27),"")</f>
        <v>1201.526429</v>
      </c>
      <c r="Q27">
        <f ca="1">IFERROR(IF(0=LEN(ReferenceData!$F$27),"",ReferenceData!$F$27),"")</f>
        <v>1050.296771</v>
      </c>
    </row>
    <row r="28" spans="1:17" x14ac:dyDescent="0.25">
      <c r="A28" t="str">
        <f>IFERROR(IF(0=LEN(ReferenceData!$A$28),"",ReferenceData!$A$28),"")</f>
        <v xml:space="preserve">    Cognizant Technology Solutions Corp</v>
      </c>
      <c r="B28" t="str">
        <f>IFERROR(IF(0=LEN(ReferenceData!$B$28),"",ReferenceData!$B$28),"")</f>
        <v>CTSH US Equity</v>
      </c>
      <c r="C28" t="str">
        <f>IFERROR(IF(0=LEN(ReferenceData!$C$28),"",ReferenceData!$C$28),"")</f>
        <v>BS012</v>
      </c>
      <c r="D28" t="str">
        <f>IFERROR(IF(0=LEN(ReferenceData!$D$28),"",ReferenceData!$D$28),"")</f>
        <v>BS_ACCT_NOTE_RCV</v>
      </c>
      <c r="E28" t="str">
        <f>IFERROR(IF(0=LEN(ReferenceData!$E$28),"",ReferenceData!$E$28),"")</f>
        <v>Dynamic</v>
      </c>
      <c r="F28">
        <f ca="1">IFERROR(IF(0=LEN(ReferenceData!$Q$28),"",ReferenceData!$Q$28),"")</f>
        <v>2680</v>
      </c>
      <c r="G28">
        <f ca="1">IFERROR(IF(0=LEN(ReferenceData!$P$28),"",ReferenceData!$P$28),"")</f>
        <v>2889</v>
      </c>
      <c r="H28">
        <f ca="1">IFERROR(IF(0=LEN(ReferenceData!$O$28),"",ReferenceData!$O$28),"")</f>
        <v>2865</v>
      </c>
      <c r="I28">
        <f ca="1">IFERROR(IF(0=LEN(ReferenceData!$N$28),"",ReferenceData!$N$28),"")</f>
        <v>3145</v>
      </c>
      <c r="J28">
        <f ca="1">IFERROR(IF(0=LEN(ReferenceData!$M$28),"",ReferenceData!$M$28),"")</f>
        <v>3204</v>
      </c>
      <c r="K28">
        <f ca="1">IFERROR(IF(0=LEN(ReferenceData!$L$28),"",ReferenceData!$L$28),"")</f>
        <v>3187</v>
      </c>
      <c r="L28">
        <f ca="1">IFERROR(IF(0=LEN(ReferenceData!$K$28),"",ReferenceData!$K$28),"")</f>
        <v>3190</v>
      </c>
      <c r="M28">
        <f ca="1">IFERROR(IF(0=LEN(ReferenceData!$J$28),"",ReferenceData!$J$28),"")</f>
        <v>3377</v>
      </c>
      <c r="N28">
        <f ca="1">IFERROR(IF(0=LEN(ReferenceData!$I$28),"",ReferenceData!$I$28),"")</f>
        <v>3386</v>
      </c>
      <c r="O28">
        <f ca="1">IFERROR(IF(0=LEN(ReferenceData!$H$28),"",ReferenceData!$H$28),"")</f>
        <v>3438</v>
      </c>
      <c r="P28">
        <f ca="1">IFERROR(IF(0=LEN(ReferenceData!$G$28),"",ReferenceData!$G$28),"")</f>
        <v>3256</v>
      </c>
      <c r="Q28">
        <f ca="1">IFERROR(IF(0=LEN(ReferenceData!$F$28),"",ReferenceData!$F$28),"")</f>
        <v>3220</v>
      </c>
    </row>
    <row r="29" spans="1:17" x14ac:dyDescent="0.25">
      <c r="A29" t="str">
        <f>IFERROR(IF(0=LEN(ReferenceData!$A$29),"",ReferenceData!$A$29),"")</f>
        <v xml:space="preserve">    Conduent Inc</v>
      </c>
      <c r="B29" t="str">
        <f>IFERROR(IF(0=LEN(ReferenceData!$B$29),"",ReferenceData!$B$29),"")</f>
        <v>CNDT US Equity</v>
      </c>
      <c r="C29" t="str">
        <f>IFERROR(IF(0=LEN(ReferenceData!$C$29),"",ReferenceData!$C$29),"")</f>
        <v>BS012</v>
      </c>
      <c r="D29" t="str">
        <f>IFERROR(IF(0=LEN(ReferenceData!$D$29),"",ReferenceData!$D$29),"")</f>
        <v>BS_ACCT_NOTE_RCV</v>
      </c>
      <c r="E29" t="str">
        <f>IFERROR(IF(0=LEN(ReferenceData!$E$29),"",ReferenceData!$E$29),"")</f>
        <v>Dynamic</v>
      </c>
      <c r="F29">
        <f ca="1">IFERROR(IF(0=LEN(ReferenceData!$Q$29),"",ReferenceData!$Q$29),"")</f>
        <v>1413</v>
      </c>
      <c r="G29">
        <f ca="1">IFERROR(IF(0=LEN(ReferenceData!$P$29),"",ReferenceData!$P$29),"")</f>
        <v>1411</v>
      </c>
      <c r="H29">
        <f ca="1">IFERROR(IF(0=LEN(ReferenceData!$O$29),"",ReferenceData!$O$29),"")</f>
        <v>1115</v>
      </c>
      <c r="I29">
        <f ca="1">IFERROR(IF(0=LEN(ReferenceData!$N$29),"",ReferenceData!$N$29),"")</f>
        <v>1026</v>
      </c>
      <c r="J29">
        <f ca="1">IFERROR(IF(0=LEN(ReferenceData!$M$29),"",ReferenceData!$M$29),"")</f>
        <v>930</v>
      </c>
      <c r="K29">
        <f ca="1">IFERROR(IF(0=LEN(ReferenceData!$L$29),"",ReferenceData!$L$29),"")</f>
        <v>951</v>
      </c>
      <c r="L29">
        <f ca="1">IFERROR(IF(0=LEN(ReferenceData!$K$29),"",ReferenceData!$K$29),"")</f>
        <v>782</v>
      </c>
      <c r="M29">
        <f ca="1">IFERROR(IF(0=LEN(ReferenceData!$J$29),"",ReferenceData!$J$29),"")</f>
        <v>820</v>
      </c>
      <c r="N29">
        <f ca="1">IFERROR(IF(0=LEN(ReferenceData!$I$29),"",ReferenceData!$I$29),"")</f>
        <v>824</v>
      </c>
      <c r="O29">
        <f ca="1">IFERROR(IF(0=LEN(ReferenceData!$H$29),"",ReferenceData!$H$29),"")</f>
        <v>840</v>
      </c>
      <c r="P29">
        <f ca="1">IFERROR(IF(0=LEN(ReferenceData!$G$29),"",ReferenceData!$G$29),"")</f>
        <v>652</v>
      </c>
      <c r="Q29">
        <f ca="1">IFERROR(IF(0=LEN(ReferenceData!$F$29),"",ReferenceData!$F$29),"")</f>
        <v>690</v>
      </c>
    </row>
    <row r="30" spans="1:17" x14ac:dyDescent="0.25">
      <c r="A30" t="str">
        <f>IFERROR(IF(0=LEN(ReferenceData!$A$30),"",ReferenceData!$A$30),"")</f>
        <v xml:space="preserve">    DXC Technology Co</v>
      </c>
      <c r="B30" t="str">
        <f>IFERROR(IF(0=LEN(ReferenceData!$B$30),"",ReferenceData!$B$30),"")</f>
        <v>DXC US Equity</v>
      </c>
      <c r="C30" t="str">
        <f>IFERROR(IF(0=LEN(ReferenceData!$C$30),"",ReferenceData!$C$30),"")</f>
        <v>BS012</v>
      </c>
      <c r="D30" t="str">
        <f>IFERROR(IF(0=LEN(ReferenceData!$D$30),"",ReferenceData!$D$30),"")</f>
        <v>BS_ACCT_NOTE_RCV</v>
      </c>
      <c r="E30" t="str">
        <f>IFERROR(IF(0=LEN(ReferenceData!$E$30),"",ReferenceData!$E$30),"")</f>
        <v>Dynamic</v>
      </c>
      <c r="F30">
        <f ca="1">IFERROR(IF(0=LEN(ReferenceData!$Q$30),"",ReferenceData!$Q$30),"")</f>
        <v>5776</v>
      </c>
      <c r="G30">
        <f ca="1">IFERROR(IF(0=LEN(ReferenceData!$P$30),"",ReferenceData!$P$30),"")</f>
        <v>5676</v>
      </c>
      <c r="H30">
        <f ca="1">IFERROR(IF(0=LEN(ReferenceData!$O$30),"",ReferenceData!$O$30),"")</f>
        <v>5611</v>
      </c>
      <c r="I30">
        <f ca="1">IFERROR(IF(0=LEN(ReferenceData!$N$30),"",ReferenceData!$N$30),"")</f>
        <v>3110</v>
      </c>
      <c r="J30">
        <f ca="1">IFERROR(IF(0=LEN(ReferenceData!$M$30),"",ReferenceData!$M$30),"")</f>
        <v>5271</v>
      </c>
      <c r="K30">
        <f ca="1">IFERROR(IF(0=LEN(ReferenceData!$L$30),"",ReferenceData!$L$30),"")</f>
        <v>4928</v>
      </c>
      <c r="L30">
        <f ca="1">IFERROR(IF(0=LEN(ReferenceData!$K$30),"",ReferenceData!$K$30),"")</f>
        <v>5096</v>
      </c>
      <c r="M30">
        <f ca="1">IFERROR(IF(0=LEN(ReferenceData!$J$30),"",ReferenceData!$J$30),"")</f>
        <v>2508</v>
      </c>
      <c r="N30">
        <f ca="1">IFERROR(IF(0=LEN(ReferenceData!$I$30),"",ReferenceData!$I$30),"")</f>
        <v>5234</v>
      </c>
      <c r="O30">
        <f ca="1">IFERROR(IF(0=LEN(ReferenceData!$H$30),"",ReferenceData!$H$30),"")</f>
        <v>4611</v>
      </c>
      <c r="P30">
        <f ca="1">IFERROR(IF(0=LEN(ReferenceData!$G$30),"",ReferenceData!$G$30),"")</f>
        <v>4619</v>
      </c>
      <c r="Q30">
        <f ca="1">IFERROR(IF(0=LEN(ReferenceData!$F$30),"",ReferenceData!$F$30),"")</f>
        <v>2094</v>
      </c>
    </row>
    <row r="31" spans="1:17" x14ac:dyDescent="0.25">
      <c r="A31" t="str">
        <f>IFERROR(IF(0=LEN(ReferenceData!$A$31),"",ReferenceData!$A$31),"")</f>
        <v xml:space="preserve">    EPAM Systems Inc</v>
      </c>
      <c r="B31" t="str">
        <f>IFERROR(IF(0=LEN(ReferenceData!$B$31),"",ReferenceData!$B$31),"")</f>
        <v>EPAM US Equity</v>
      </c>
      <c r="C31" t="str">
        <f>IFERROR(IF(0=LEN(ReferenceData!$C$31),"",ReferenceData!$C$31),"")</f>
        <v>BS012</v>
      </c>
      <c r="D31" t="str">
        <f>IFERROR(IF(0=LEN(ReferenceData!$D$31),"",ReferenceData!$D$31),"")</f>
        <v>BS_ACCT_NOTE_RCV</v>
      </c>
      <c r="E31" t="str">
        <f>IFERROR(IF(0=LEN(ReferenceData!$E$31),"",ReferenceData!$E$31),"")</f>
        <v>Dynamic</v>
      </c>
      <c r="F31">
        <f ca="1">IFERROR(IF(0=LEN(ReferenceData!$Q$31),"",ReferenceData!$Q$31),"")</f>
        <v>208.273</v>
      </c>
      <c r="G31">
        <f ca="1">IFERROR(IF(0=LEN(ReferenceData!$P$31),"",ReferenceData!$P$31),"")</f>
        <v>230.119</v>
      </c>
      <c r="H31">
        <f ca="1">IFERROR(IF(0=LEN(ReferenceData!$O$31),"",ReferenceData!$O$31),"")</f>
        <v>265.63900000000001</v>
      </c>
      <c r="I31">
        <f ca="1">IFERROR(IF(0=LEN(ReferenceData!$N$31),"",ReferenceData!$N$31),"")</f>
        <v>262.29500000000002</v>
      </c>
      <c r="J31">
        <f ca="1">IFERROR(IF(0=LEN(ReferenceData!$M$31),"",ReferenceData!$M$31),"")</f>
        <v>283.00099999999998</v>
      </c>
      <c r="K31">
        <f ca="1">IFERROR(IF(0=LEN(ReferenceData!$L$31),"",ReferenceData!$L$31),"")</f>
        <v>282.27600000000001</v>
      </c>
      <c r="L31">
        <f ca="1">IFERROR(IF(0=LEN(ReferenceData!$K$31),"",ReferenceData!$K$31),"")</f>
        <v>297.685</v>
      </c>
      <c r="M31">
        <f ca="1">IFERROR(IF(0=LEN(ReferenceData!$J$31),"",ReferenceData!$J$31),"")</f>
        <v>307.202</v>
      </c>
      <c r="N31">
        <f ca="1">IFERROR(IF(0=LEN(ReferenceData!$I$31),"",ReferenceData!$I$31),"")</f>
        <v>343.86399999999998</v>
      </c>
      <c r="O31">
        <f ca="1">IFERROR(IF(0=LEN(ReferenceData!$H$31),"",ReferenceData!$H$31),"")</f>
        <v>339.11200000000002</v>
      </c>
      <c r="P31">
        <f ca="1">IFERROR(IF(0=LEN(ReferenceData!$G$31),"",ReferenceData!$G$31),"")</f>
        <v>497.71600000000001</v>
      </c>
      <c r="Q31">
        <f ca="1">IFERROR(IF(0=LEN(ReferenceData!$F$31),"",ReferenceData!$F$31),"")</f>
        <v>542.69799999999998</v>
      </c>
    </row>
    <row r="32" spans="1:17" x14ac:dyDescent="0.25">
      <c r="A32" t="str">
        <f>IFERROR(IF(0=LEN(ReferenceData!$A$32),"",ReferenceData!$A$32),"")</f>
        <v xml:space="preserve">    Genpact Ltd</v>
      </c>
      <c r="B32" t="str">
        <f>IFERROR(IF(0=LEN(ReferenceData!$B$32),"",ReferenceData!$B$32),"")</f>
        <v>G US Equity</v>
      </c>
      <c r="C32" t="str">
        <f>IFERROR(IF(0=LEN(ReferenceData!$C$32),"",ReferenceData!$C$32),"")</f>
        <v>BS012</v>
      </c>
      <c r="D32" t="str">
        <f>IFERROR(IF(0=LEN(ReferenceData!$D$32),"",ReferenceData!$D$32),"")</f>
        <v>BS_ACCT_NOTE_RCV</v>
      </c>
      <c r="E32" t="str">
        <f>IFERROR(IF(0=LEN(ReferenceData!$E$32),"",ReferenceData!$E$32),"")</f>
        <v>Dynamic</v>
      </c>
      <c r="F32">
        <f ca="1">IFERROR(IF(0=LEN(ReferenceData!$Q$32),"",ReferenceData!$Q$32),"")</f>
        <v>637.61300000000006</v>
      </c>
      <c r="G32">
        <f ca="1">IFERROR(IF(0=LEN(ReferenceData!$P$32),"",ReferenceData!$P$32),"")</f>
        <v>670.69200000000001</v>
      </c>
      <c r="H32">
        <f ca="1">IFERROR(IF(0=LEN(ReferenceData!$O$32),"",ReferenceData!$O$32),"")</f>
        <v>693.08500000000004</v>
      </c>
      <c r="I32">
        <f ca="1">IFERROR(IF(0=LEN(ReferenceData!$N$32),"",ReferenceData!$N$32),"")</f>
        <v>703.06600000000003</v>
      </c>
      <c r="J32">
        <f ca="1">IFERROR(IF(0=LEN(ReferenceData!$M$32),"",ReferenceData!$M$32),"")</f>
        <v>691.34699999999998</v>
      </c>
      <c r="K32">
        <f ca="1">IFERROR(IF(0=LEN(ReferenceData!$L$32),"",ReferenceData!$L$32),"")</f>
        <v>710.04499999999996</v>
      </c>
      <c r="L32">
        <f ca="1">IFERROR(IF(0=LEN(ReferenceData!$K$32),"",ReferenceData!$K$32),"")</f>
        <v>774.18399999999997</v>
      </c>
      <c r="M32">
        <f ca="1">IFERROR(IF(0=LEN(ReferenceData!$J$32),"",ReferenceData!$J$32),"")</f>
        <v>838.99199999999996</v>
      </c>
      <c r="N32">
        <f ca="1">IFERROR(IF(0=LEN(ReferenceData!$I$32),"",ReferenceData!$I$32),"")</f>
        <v>856.60199999999998</v>
      </c>
      <c r="O32">
        <f ca="1">IFERROR(IF(0=LEN(ReferenceData!$H$32),"",ReferenceData!$H$32),"")</f>
        <v>863.23199999999997</v>
      </c>
      <c r="P32">
        <f ca="1">IFERROR(IF(0=LEN(ReferenceData!$G$32),"",ReferenceData!$G$32),"")</f>
        <v>914.255</v>
      </c>
      <c r="Q32">
        <f ca="1">IFERROR(IF(0=LEN(ReferenceData!$F$32),"",ReferenceData!$F$32),"")</f>
        <v>910.95500000000004</v>
      </c>
    </row>
    <row r="33" spans="1:17" x14ac:dyDescent="0.25">
      <c r="A33" t="str">
        <f>IFERROR(IF(0=LEN(ReferenceData!$A$33),"",ReferenceData!$A$33),"")</f>
        <v xml:space="preserve">    HCL Technologies Ltd</v>
      </c>
      <c r="B33" t="str">
        <f>IFERROR(IF(0=LEN(ReferenceData!$B$33),"",ReferenceData!$B$33),"")</f>
        <v>HCLT IN Equity</v>
      </c>
      <c r="C33" t="str">
        <f>IFERROR(IF(0=LEN(ReferenceData!$C$33),"",ReferenceData!$C$33),"")</f>
        <v>BS012</v>
      </c>
      <c r="D33" t="str">
        <f>IFERROR(IF(0=LEN(ReferenceData!$D$33),"",ReferenceData!$D$33),"")</f>
        <v>BS_ACCT_NOTE_RCV</v>
      </c>
      <c r="E33" t="str">
        <f>IFERROR(IF(0=LEN(ReferenceData!$E$33),"",ReferenceData!$E$33),"")</f>
        <v>Dynamic</v>
      </c>
      <c r="F33">
        <f ca="1">IFERROR(IF(0=LEN(ReferenceData!$Q$33),"",ReferenceData!$Q$33),"")</f>
        <v>1321.4</v>
      </c>
      <c r="G33">
        <f ca="1">IFERROR(IF(0=LEN(ReferenceData!$P$33),"",ReferenceData!$P$33),"")</f>
        <v>1362.5</v>
      </c>
      <c r="H33">
        <f ca="1">IFERROR(IF(0=LEN(ReferenceData!$O$33),"",ReferenceData!$O$33),"")</f>
        <v>1463.1</v>
      </c>
      <c r="I33">
        <f ca="1">IFERROR(IF(0=LEN(ReferenceData!$N$33),"",ReferenceData!$N$33),"")</f>
        <v>1479.7359530000001</v>
      </c>
      <c r="J33">
        <f ca="1">IFERROR(IF(0=LEN(ReferenceData!$M$33),"",ReferenceData!$M$33),"")</f>
        <v>1504.9</v>
      </c>
      <c r="K33">
        <f ca="1">IFERROR(IF(0=LEN(ReferenceData!$L$33),"",ReferenceData!$L$33),"")</f>
        <v>1494.3</v>
      </c>
      <c r="L33">
        <f ca="1">IFERROR(IF(0=LEN(ReferenceData!$K$33),"",ReferenceData!$K$33),"")</f>
        <v>1601.3</v>
      </c>
      <c r="M33">
        <f ca="1">IFERROR(IF(0=LEN(ReferenceData!$J$33),"",ReferenceData!$J$33),"")</f>
        <v>1693.5129999999999</v>
      </c>
      <c r="N33">
        <f ca="1">IFERROR(IF(0=LEN(ReferenceData!$I$33),"",ReferenceData!$I$33),"")</f>
        <v>1693.5</v>
      </c>
      <c r="O33">
        <f ca="1">IFERROR(IF(0=LEN(ReferenceData!$H$33),"",ReferenceData!$H$33),"")</f>
        <v>1944.8</v>
      </c>
      <c r="P33">
        <f ca="1">IFERROR(IF(0=LEN(ReferenceData!$G$33),"",ReferenceData!$G$33),"")</f>
        <v>1859.2</v>
      </c>
      <c r="Q33">
        <f ca="1">IFERROR(IF(0=LEN(ReferenceData!$F$33),"",ReferenceData!$F$33),"")</f>
        <v>1867.9970000000001</v>
      </c>
    </row>
    <row r="34" spans="1:17" x14ac:dyDescent="0.25">
      <c r="A34" t="str">
        <f>IFERROR(IF(0=LEN(ReferenceData!$A$34),"",ReferenceData!$A$34),"")</f>
        <v xml:space="preserve">    Indra Sistemas SA</v>
      </c>
      <c r="B34" t="str">
        <f>IFERROR(IF(0=LEN(ReferenceData!$B$34),"",ReferenceData!$B$34),"")</f>
        <v>IDR SM Equity</v>
      </c>
      <c r="C34" t="str">
        <f>IFERROR(IF(0=LEN(ReferenceData!$C$34),"",ReferenceData!$C$34),"")</f>
        <v>BS012</v>
      </c>
      <c r="D34" t="str">
        <f>IFERROR(IF(0=LEN(ReferenceData!$D$34),"",ReferenceData!$D$34),"")</f>
        <v>BS_ACCT_NOTE_RCV</v>
      </c>
      <c r="E34" t="str">
        <f>IFERROR(IF(0=LEN(ReferenceData!$E$34),"",ReferenceData!$E$34),"")</f>
        <v>Dynamic</v>
      </c>
      <c r="F34">
        <f ca="1">IFERROR(IF(0=LEN(ReferenceData!$Q$34),"",ReferenceData!$Q$34),"")</f>
        <v>1564.657246</v>
      </c>
      <c r="G34">
        <f ca="1">IFERROR(IF(0=LEN(ReferenceData!$P$34),"",ReferenceData!$P$34),"")</f>
        <v>1661.5083099999999</v>
      </c>
      <c r="H34">
        <f ca="1">IFERROR(IF(0=LEN(ReferenceData!$O$34),"",ReferenceData!$O$34),"")</f>
        <v>1460.0129919999999</v>
      </c>
      <c r="I34" t="str">
        <f ca="1">IFERROR(IF(0=LEN(ReferenceData!$N$34),"",ReferenceData!$N$34),"")</f>
        <v/>
      </c>
      <c r="J34">
        <f ca="1">IFERROR(IF(0=LEN(ReferenceData!$M$34),"",ReferenceData!$M$34),"")</f>
        <v>1133.1419189999999</v>
      </c>
      <c r="K34" t="str">
        <f ca="1">IFERROR(IF(0=LEN(ReferenceData!$L$34),"",ReferenceData!$L$34),"")</f>
        <v/>
      </c>
      <c r="L34">
        <f ca="1">IFERROR(IF(0=LEN(ReferenceData!$K$34),"",ReferenceData!$K$34),"")</f>
        <v>1095.830428</v>
      </c>
      <c r="M34" t="str">
        <f ca="1">IFERROR(IF(0=LEN(ReferenceData!$J$34),"",ReferenceData!$J$34),"")</f>
        <v/>
      </c>
      <c r="N34">
        <f ca="1">IFERROR(IF(0=LEN(ReferenceData!$I$34),"",ReferenceData!$I$34),"")</f>
        <v>1259.2257990000001</v>
      </c>
      <c r="O34" t="str">
        <f ca="1">IFERROR(IF(0=LEN(ReferenceData!$H$34),"",ReferenceData!$H$34),"")</f>
        <v/>
      </c>
      <c r="P34">
        <f ca="1">IFERROR(IF(0=LEN(ReferenceData!$G$34),"",ReferenceData!$G$34),"")</f>
        <v>1151.5036319999999</v>
      </c>
      <c r="Q34" t="str">
        <f ca="1">IFERROR(IF(0=LEN(ReferenceData!$F$34),"",ReferenceData!$F$34),"")</f>
        <v/>
      </c>
    </row>
    <row r="35" spans="1:17" x14ac:dyDescent="0.25">
      <c r="A35" t="str">
        <f>IFERROR(IF(0=LEN(ReferenceData!$A$35),"",ReferenceData!$A$35),"")</f>
        <v xml:space="preserve">    Infosys Ltd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>BS012</v>
      </c>
      <c r="D35" t="str">
        <f>IFERROR(IF(0=LEN(ReferenceData!$D$35),"",ReferenceData!$D$35),"")</f>
        <v>BS_ACCT_NOTE_RCV</v>
      </c>
      <c r="E35" t="str">
        <f>IFERROR(IF(0=LEN(ReferenceData!$E$35),"",ReferenceData!$E$35),"")</f>
        <v>Dynamic</v>
      </c>
      <c r="F35">
        <f ca="1">IFERROR(IF(0=LEN(ReferenceData!$Q$35),"",ReferenceData!$Q$35),"")</f>
        <v>1932.53162</v>
      </c>
      <c r="G35">
        <f ca="1">IFERROR(IF(0=LEN(ReferenceData!$P$35),"",ReferenceData!$P$35),"")</f>
        <v>2054.0168319999998</v>
      </c>
      <c r="H35">
        <f ca="1">IFERROR(IF(0=LEN(ReferenceData!$O$35),"",ReferenceData!$O$35),"")</f>
        <v>2058.369811</v>
      </c>
      <c r="I35">
        <f ca="1">IFERROR(IF(0=LEN(ReferenceData!$N$35),"",ReferenceData!$N$35),"")</f>
        <v>2017.5007680000001</v>
      </c>
      <c r="J35">
        <f ca="1">IFERROR(IF(0=LEN(ReferenceData!$M$35),"",ReferenceData!$M$35),"")</f>
        <v>2000.584155</v>
      </c>
      <c r="K35">
        <f ca="1">IFERROR(IF(0=LEN(ReferenceData!$L$35),"",ReferenceData!$L$35),"")</f>
        <v>2037.3675900000001</v>
      </c>
      <c r="L35">
        <f ca="1">IFERROR(IF(0=LEN(ReferenceData!$K$35),"",ReferenceData!$K$35),"")</f>
        <v>2132.443679</v>
      </c>
      <c r="M35">
        <f ca="1">IFERROR(IF(0=LEN(ReferenceData!$J$35),"",ReferenceData!$J$35),"")</f>
        <v>2138.8191270000002</v>
      </c>
      <c r="N35">
        <f ca="1">IFERROR(IF(0=LEN(ReferenceData!$I$35),"",ReferenceData!$I$35),"")</f>
        <v>2292.7188080000001</v>
      </c>
      <c r="O35">
        <f ca="1">IFERROR(IF(0=LEN(ReferenceData!$H$35),"",ReferenceData!$H$35),"")</f>
        <v>2271.8750220000002</v>
      </c>
      <c r="P35">
        <f ca="1">IFERROR(IF(0=LEN(ReferenceData!$G$35),"",ReferenceData!$G$35),"")</f>
        <v>2534.9423299999999</v>
      </c>
      <c r="Q35">
        <f ca="1">IFERROR(IF(0=LEN(ReferenceData!$F$35),"",ReferenceData!$F$35),"")</f>
        <v>2452.7122859999999</v>
      </c>
    </row>
    <row r="36" spans="1:17" x14ac:dyDescent="0.25">
      <c r="A36" t="str">
        <f>IFERROR(IF(0=LEN(ReferenceData!$A$36),"",ReferenceData!$A$36),"")</f>
        <v xml:space="preserve">    International Business Machines Corp</v>
      </c>
      <c r="B36" t="str">
        <f>IFERROR(IF(0=LEN(ReferenceData!$B$36),"",ReferenceData!$B$36),"")</f>
        <v>IBM US Equity</v>
      </c>
      <c r="C36" t="str">
        <f>IFERROR(IF(0=LEN(ReferenceData!$C$36),"",ReferenceData!$C$36),"")</f>
        <v>BS012</v>
      </c>
      <c r="D36" t="str">
        <f>IFERROR(IF(0=LEN(ReferenceData!$D$36),"",ReferenceData!$D$36),"")</f>
        <v>BS_ACCT_NOTE_RCV</v>
      </c>
      <c r="E36" t="str">
        <f>IFERROR(IF(0=LEN(ReferenceData!$E$36),"",ReferenceData!$E$36),"")</f>
        <v>Dynamic</v>
      </c>
      <c r="F36">
        <f ca="1">IFERROR(IF(0=LEN(ReferenceData!$Q$36),"",ReferenceData!$Q$36),"")</f>
        <v>25964</v>
      </c>
      <c r="G36">
        <f ca="1">IFERROR(IF(0=LEN(ReferenceData!$P$36),"",ReferenceData!$P$36),"")</f>
        <v>26200</v>
      </c>
      <c r="H36">
        <f ca="1">IFERROR(IF(0=LEN(ReferenceData!$O$36),"",ReferenceData!$O$36),"")</f>
        <v>30649</v>
      </c>
      <c r="I36">
        <f ca="1">IFERROR(IF(0=LEN(ReferenceData!$N$36),"",ReferenceData!$N$36),"")</f>
        <v>28023</v>
      </c>
      <c r="J36">
        <f ca="1">IFERROR(IF(0=LEN(ReferenceData!$M$36),"",ReferenceData!$M$36),"")</f>
        <v>27251</v>
      </c>
      <c r="K36">
        <f ca="1">IFERROR(IF(0=LEN(ReferenceData!$L$36),"",ReferenceData!$L$36),"")</f>
        <v>26320</v>
      </c>
      <c r="L36">
        <f ca="1">IFERROR(IF(0=LEN(ReferenceData!$K$36),"",ReferenceData!$K$36),"")</f>
        <v>29820</v>
      </c>
      <c r="M36">
        <f ca="1">IFERROR(IF(0=LEN(ReferenceData!$J$36),"",ReferenceData!$J$36),"")</f>
        <v>27274</v>
      </c>
      <c r="N36">
        <f ca="1">IFERROR(IF(0=LEN(ReferenceData!$I$36),"",ReferenceData!$I$36),"")</f>
        <v>22957</v>
      </c>
      <c r="O36">
        <f ca="1">IFERROR(IF(0=LEN(ReferenceData!$H$36),"",ReferenceData!$H$36),"")</f>
        <v>19083</v>
      </c>
      <c r="P36">
        <f ca="1">IFERROR(IF(0=LEN(ReferenceData!$G$36),"",ReferenceData!$G$36),"")</f>
        <v>22062</v>
      </c>
      <c r="Q36">
        <f ca="1">IFERROR(IF(0=LEN(ReferenceData!$F$36),"",ReferenceData!$F$36),"")</f>
        <v>19053</v>
      </c>
    </row>
    <row r="37" spans="1:17" x14ac:dyDescent="0.25">
      <c r="A37" t="str">
        <f>IFERROR(IF(0=LEN(ReferenceData!$A$37),"",ReferenceData!$A$37),"")</f>
        <v xml:space="preserve">    Tata Consultancy Services Ltd</v>
      </c>
      <c r="B37" t="str">
        <f>IFERROR(IF(0=LEN(ReferenceData!$B$37),"",ReferenceData!$B$37),"")</f>
        <v>TCS IN Equity</v>
      </c>
      <c r="C37" t="str">
        <f>IFERROR(IF(0=LEN(ReferenceData!$C$37),"",ReferenceData!$C$37),"")</f>
        <v>BS012</v>
      </c>
      <c r="D37" t="str">
        <f>IFERROR(IF(0=LEN(ReferenceData!$D$37),"",ReferenceData!$D$37),"")</f>
        <v>BS_ACCT_NOTE_RCV</v>
      </c>
      <c r="E37" t="str">
        <f>IFERROR(IF(0=LEN(ReferenceData!$E$37),"",ReferenceData!$E$37),"")</f>
        <v>Dynamic</v>
      </c>
      <c r="F37">
        <f ca="1">IFERROR(IF(0=LEN(ReferenceData!$Q$37),"",ReferenceData!$Q$37),"")</f>
        <v>3512.0760009999999</v>
      </c>
      <c r="G37">
        <f ca="1">IFERROR(IF(0=LEN(ReferenceData!$P$37),"",ReferenceData!$P$37),"")</f>
        <v>3786.2280030000002</v>
      </c>
      <c r="H37">
        <f ca="1">IFERROR(IF(0=LEN(ReferenceData!$O$37),"",ReferenceData!$O$37),"")</f>
        <v>3796.9350760000002</v>
      </c>
      <c r="I37">
        <f ca="1">IFERROR(IF(0=LEN(ReferenceData!$N$37),"",ReferenceData!$N$37),"")</f>
        <v>3829.1372430000001</v>
      </c>
      <c r="J37">
        <f ca="1">IFERROR(IF(0=LEN(ReferenceData!$M$37),"",ReferenceData!$M$37),"")</f>
        <v>3977.5100400000001</v>
      </c>
      <c r="K37">
        <f ca="1">IFERROR(IF(0=LEN(ReferenceData!$L$37),"",ReferenceData!$L$37),"")</f>
        <v>3944.0657759999999</v>
      </c>
      <c r="L37">
        <f ca="1">IFERROR(IF(0=LEN(ReferenceData!$K$37),"",ReferenceData!$K$37),"")</f>
        <v>3914.0479270000001</v>
      </c>
      <c r="M37">
        <f ca="1">IFERROR(IF(0=LEN(ReferenceData!$J$37),"",ReferenceData!$J$37),"")</f>
        <v>3944.7054600000001</v>
      </c>
      <c r="N37">
        <f ca="1">IFERROR(IF(0=LEN(ReferenceData!$I$37),"",ReferenceData!$I$37),"")</f>
        <v>4070.2541390000001</v>
      </c>
      <c r="O37">
        <f ca="1">IFERROR(IF(0=LEN(ReferenceData!$H$37),"",ReferenceData!$H$37),"")</f>
        <v>3913.0588590000002</v>
      </c>
      <c r="P37">
        <f ca="1">IFERROR(IF(0=LEN(ReferenceData!$G$37),"",ReferenceData!$G$37),"")</f>
        <v>4090.306004</v>
      </c>
      <c r="Q37">
        <f ca="1">IFERROR(IF(0=LEN(ReferenceData!$F$37),"",ReferenceData!$F$37),"")</f>
        <v>4050.7497969999999</v>
      </c>
    </row>
    <row r="38" spans="1:17" x14ac:dyDescent="0.25">
      <c r="A38" t="str">
        <f>IFERROR(IF(0=LEN(ReferenceData!$A$38),"",ReferenceData!$A$38),"")</f>
        <v xml:space="preserve">    Tech Mahindra Ltd</v>
      </c>
      <c r="B38" t="str">
        <f>IFERROR(IF(0=LEN(ReferenceData!$B$38),"",ReferenceData!$B$38),"")</f>
        <v>TECHM IN Equity</v>
      </c>
      <c r="C38" t="str">
        <f>IFERROR(IF(0=LEN(ReferenceData!$C$38),"",ReferenceData!$C$38),"")</f>
        <v>BS012</v>
      </c>
      <c r="D38" t="str">
        <f>IFERROR(IF(0=LEN(ReferenceData!$D$38),"",ReferenceData!$D$38),"")</f>
        <v>BS_ACCT_NOTE_RCV</v>
      </c>
      <c r="E38" t="str">
        <f>IFERROR(IF(0=LEN(ReferenceData!$E$38),"",ReferenceData!$E$38),"")</f>
        <v>Dynamic</v>
      </c>
      <c r="F38">
        <f ca="1">IFERROR(IF(0=LEN(ReferenceData!$Q$38),"",ReferenceData!$Q$38),"")</f>
        <v>910.47804159999998</v>
      </c>
      <c r="G38">
        <f ca="1">IFERROR(IF(0=LEN(ReferenceData!$P$38),"",ReferenceData!$P$38),"")</f>
        <v>943.3817904</v>
      </c>
      <c r="H38">
        <f ca="1">IFERROR(IF(0=LEN(ReferenceData!$O$38),"",ReferenceData!$O$38),"")</f>
        <v>1009.2950049999999</v>
      </c>
      <c r="I38">
        <f ca="1">IFERROR(IF(0=LEN(ReferenceData!$N$38),"",ReferenceData!$N$38),"")</f>
        <v>997.52840040000001</v>
      </c>
      <c r="J38">
        <f ca="1">IFERROR(IF(0=LEN(ReferenceData!$M$38),"",ReferenceData!$M$38),"")</f>
        <v>971.02592189999996</v>
      </c>
      <c r="K38">
        <f ca="1">IFERROR(IF(0=LEN(ReferenceData!$L$38),"",ReferenceData!$L$38),"")</f>
        <v>991.13570730000004</v>
      </c>
      <c r="L38">
        <f ca="1">IFERROR(IF(0=LEN(ReferenceData!$K$38),"",ReferenceData!$K$38),"")</f>
        <v>1095.8530639999999</v>
      </c>
      <c r="M38">
        <f ca="1">IFERROR(IF(0=LEN(ReferenceData!$J$38),"",ReferenceData!$J$38),"")</f>
        <v>1003.789491</v>
      </c>
      <c r="N38">
        <f ca="1">IFERROR(IF(0=LEN(ReferenceData!$I$38),"",ReferenceData!$I$38),"")</f>
        <v>970.70954879999999</v>
      </c>
      <c r="O38">
        <f ca="1">IFERROR(IF(0=LEN(ReferenceData!$H$38),"",ReferenceData!$H$38),"")</f>
        <v>1036.6615959999999</v>
      </c>
      <c r="P38">
        <f ca="1">IFERROR(IF(0=LEN(ReferenceData!$G$38),"",ReferenceData!$G$38),"")</f>
        <v>1109.126775</v>
      </c>
      <c r="Q38">
        <f ca="1">IFERROR(IF(0=LEN(ReferenceData!$F$38),"",ReferenceData!$F$38),"")</f>
        <v>1005.280051</v>
      </c>
    </row>
    <row r="39" spans="1:17" x14ac:dyDescent="0.25">
      <c r="A39" t="str">
        <f>IFERROR(IF(0=LEN(ReferenceData!$A$39),"",ReferenceData!$A$39),"")</f>
        <v xml:space="preserve">    Wipro Ltd</v>
      </c>
      <c r="B39" t="str">
        <f>IFERROR(IF(0=LEN(ReferenceData!$B$39),"",ReferenceData!$B$39),"")</f>
        <v>WIT US Equity</v>
      </c>
      <c r="C39" t="str">
        <f>IFERROR(IF(0=LEN(ReferenceData!$C$39),"",ReferenceData!$C$39),"")</f>
        <v>BS012</v>
      </c>
      <c r="D39" t="str">
        <f>IFERROR(IF(0=LEN(ReferenceData!$D$39),"",ReferenceData!$D$39),"")</f>
        <v>BS_ACCT_NOTE_RCV</v>
      </c>
      <c r="E39" t="str">
        <f>IFERROR(IF(0=LEN(ReferenceData!$E$39),"",ReferenceData!$E$39),"")</f>
        <v>Dynamic</v>
      </c>
      <c r="F39">
        <f ca="1">IFERROR(IF(0=LEN(ReferenceData!$Q$39),"",ReferenceData!$Q$39),"")</f>
        <v>1515.848833</v>
      </c>
      <c r="G39">
        <f ca="1">IFERROR(IF(0=LEN(ReferenceData!$P$39),"",ReferenceData!$P$39),"")</f>
        <v>1528.492731</v>
      </c>
      <c r="H39">
        <f ca="1">IFERROR(IF(0=LEN(ReferenceData!$O$39),"",ReferenceData!$O$39),"")</f>
        <v>1566.13392</v>
      </c>
      <c r="I39">
        <f ca="1">IFERROR(IF(0=LEN(ReferenceData!$N$39),"",ReferenceData!$N$39),"")</f>
        <v>1550.3530860000001</v>
      </c>
      <c r="J39">
        <f ca="1">IFERROR(IF(0=LEN(ReferenceData!$M$39),"",ReferenceData!$M$39),"")</f>
        <v>1425.4545450000001</v>
      </c>
      <c r="K39">
        <f ca="1">IFERROR(IF(0=LEN(ReferenceData!$L$39),"",ReferenceData!$L$39),"")</f>
        <v>1466.336777</v>
      </c>
      <c r="L39">
        <f ca="1">IFERROR(IF(0=LEN(ReferenceData!$K$39),"",ReferenceData!$K$39),"")</f>
        <v>1435.5574690000001</v>
      </c>
      <c r="M39">
        <f ca="1">IFERROR(IF(0=LEN(ReferenceData!$J$39),"",ReferenceData!$J$39),"")</f>
        <v>1449.570346</v>
      </c>
      <c r="N39">
        <f ca="1">IFERROR(IF(0=LEN(ReferenceData!$I$39),"",ReferenceData!$I$39),"")</f>
        <v>1390.1539170000001</v>
      </c>
      <c r="O39">
        <f ca="1">IFERROR(IF(0=LEN(ReferenceData!$H$39),"",ReferenceData!$H$39),"")</f>
        <v>1370.780475</v>
      </c>
      <c r="P39">
        <f ca="1">IFERROR(IF(0=LEN(ReferenceData!$G$39),"",ReferenceData!$G$39),"")</f>
        <v>1412.7442100000001</v>
      </c>
      <c r="Q39">
        <f ca="1">IFERROR(IF(0=LEN(ReferenceData!$F$39),"",ReferenceData!$F$39),"")</f>
        <v>1386.080291</v>
      </c>
    </row>
    <row r="40" spans="1:17" x14ac:dyDescent="0.25">
      <c r="A40" t="str">
        <f>IFERROR(IF(0=LEN(ReferenceData!$A$40),"",ReferenceData!$A$40),"")</f>
        <v>Total Assets</v>
      </c>
      <c r="B40" t="str">
        <f>IFERROR(IF(0=LEN(ReferenceData!$B$40),"",ReferenceData!$B$40),"")</f>
        <v/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Sum</v>
      </c>
      <c r="F40">
        <f ca="1">IFERROR(IF(0=LEN(ReferenceData!$Q$40),"",ReferenceData!$Q$40),"")</f>
        <v>269052.587895</v>
      </c>
      <c r="G40">
        <f ca="1">IFERROR(IF(0=LEN(ReferenceData!$P$40),"",ReferenceData!$P$40),"")</f>
        <v>275351.11047699995</v>
      </c>
      <c r="H40">
        <f ca="1">IFERROR(IF(0=LEN(ReferenceData!$O$40),"",ReferenceData!$O$40),"")</f>
        <v>279963.96967000002</v>
      </c>
      <c r="I40">
        <f ca="1">IFERROR(IF(0=LEN(ReferenceData!$N$40),"",ReferenceData!$N$40),"")</f>
        <v>282110.84757400001</v>
      </c>
      <c r="J40">
        <f ca="1">IFERROR(IF(0=LEN(ReferenceData!$M$40),"",ReferenceData!$M$40),"")</f>
        <v>271338.69743500004</v>
      </c>
      <c r="K40">
        <f ca="1">IFERROR(IF(0=LEN(ReferenceData!$L$40),"",ReferenceData!$L$40),"")</f>
        <v>270604.81465700001</v>
      </c>
      <c r="L40">
        <f ca="1">IFERROR(IF(0=LEN(ReferenceData!$K$40),"",ReferenceData!$K$40),"")</f>
        <v>277911.04018100002</v>
      </c>
      <c r="M40">
        <f ca="1">IFERROR(IF(0=LEN(ReferenceData!$J$40),"",ReferenceData!$J$40),"")</f>
        <v>290259.77423599997</v>
      </c>
      <c r="N40">
        <f ca="1">IFERROR(IF(0=LEN(ReferenceData!$I$40),"",ReferenceData!$I$40),"")</f>
        <v>318500.58312899998</v>
      </c>
      <c r="O40">
        <f ca="1">IFERROR(IF(0=LEN(ReferenceData!$H$40),"",ReferenceData!$H$40),"")</f>
        <v>312302.02705599996</v>
      </c>
      <c r="P40">
        <f ca="1">IFERROR(IF(0=LEN(ReferenceData!$G$40),"",ReferenceData!$G$40),"")</f>
        <v>340056.02054499998</v>
      </c>
      <c r="Q40">
        <f ca="1">IFERROR(IF(0=LEN(ReferenceData!$F$40),"",ReferenceData!$F$40),"")</f>
        <v>317716.76662800001</v>
      </c>
    </row>
    <row r="41" spans="1:17" x14ac:dyDescent="0.25">
      <c r="A41" t="str">
        <f>IFERROR(IF(0=LEN(ReferenceData!$A$41),"",ReferenceData!$A$41),"")</f>
        <v xml:space="preserve">    Accenture PLC</v>
      </c>
      <c r="B41" t="str">
        <f>IFERROR(IF(0=LEN(ReferenceData!$B$41),"",ReferenceData!$B$41),"")</f>
        <v>ACN US Equity</v>
      </c>
      <c r="C41" t="str">
        <f>IFERROR(IF(0=LEN(ReferenceData!$C$41),"",ReferenceData!$C$41),"")</f>
        <v>BS035</v>
      </c>
      <c r="D41" t="str">
        <f>IFERROR(IF(0=LEN(ReferenceData!$D$41),"",ReferenceData!$D$41),"")</f>
        <v>BS_TOT_ASSET</v>
      </c>
      <c r="E41" t="str">
        <f>IFERROR(IF(0=LEN(ReferenceData!$E$41),"",ReferenceData!$E$41),"")</f>
        <v>Dynamic</v>
      </c>
      <c r="F41">
        <f ca="1">IFERROR(IF(0=LEN(ReferenceData!$Q$41),"",ReferenceData!$Q$41),"")</f>
        <v>21135.592000000001</v>
      </c>
      <c r="G41">
        <f ca="1">IFERROR(IF(0=LEN(ReferenceData!$P$41),"",ReferenceData!$P$41),"")</f>
        <v>22689.89</v>
      </c>
      <c r="H41">
        <f ca="1">IFERROR(IF(0=LEN(ReferenceData!$O$41),"",ReferenceData!$O$41),"")</f>
        <v>22974.152999999998</v>
      </c>
      <c r="I41">
        <f ca="1">IFERROR(IF(0=LEN(ReferenceData!$N$41),"",ReferenceData!$N$41),"")</f>
        <v>23132.978999999999</v>
      </c>
      <c r="J41">
        <f ca="1">IFERROR(IF(0=LEN(ReferenceData!$M$41),"",ReferenceData!$M$41),"")</f>
        <v>23250.793000000001</v>
      </c>
      <c r="K41">
        <f ca="1">IFERROR(IF(0=LEN(ReferenceData!$L$41),"",ReferenceData!$L$41),"")</f>
        <v>24449.082999999999</v>
      </c>
      <c r="L41">
        <f ca="1">IFERROR(IF(0=LEN(ReferenceData!$K$41),"",ReferenceData!$K$41),"")</f>
        <v>26706.412</v>
      </c>
      <c r="M41">
        <f ca="1">IFERROR(IF(0=LEN(ReferenceData!$J$41),"",ReferenceData!$J$41),"")</f>
        <v>27390.207999999999</v>
      </c>
      <c r="N41">
        <f ca="1">IFERROR(IF(0=LEN(ReferenceData!$I$41),"",ReferenceData!$I$41),"")</f>
        <v>28156.36</v>
      </c>
      <c r="O41">
        <f ca="1">IFERROR(IF(0=LEN(ReferenceData!$H$41),"",ReferenceData!$H$41),"")</f>
        <v>29789.88</v>
      </c>
      <c r="P41">
        <f ca="1">IFERROR(IF(0=LEN(ReferenceData!$G$41),"",ReferenceData!$G$41),"")</f>
        <v>33170.712</v>
      </c>
      <c r="Q41">
        <f ca="1">IFERROR(IF(0=LEN(ReferenceData!$F$41),"",ReferenceData!$F$41),"")</f>
        <v>33503.43</v>
      </c>
    </row>
    <row r="42" spans="1:17" x14ac:dyDescent="0.25">
      <c r="A42" t="str">
        <f>IFERROR(IF(0=LEN(ReferenceData!$A$42),"",ReferenceData!$A$42),"")</f>
        <v xml:space="preserve">    Amdocs Ltd</v>
      </c>
      <c r="B42" t="str">
        <f>IFERROR(IF(0=LEN(ReferenceData!$B$42),"",ReferenceData!$B$42),"")</f>
        <v>DOX US Equity</v>
      </c>
      <c r="C42" t="str">
        <f>IFERROR(IF(0=LEN(ReferenceData!$C$42),"",ReferenceData!$C$42),"")</f>
        <v>BS035</v>
      </c>
      <c r="D42" t="str">
        <f>IFERROR(IF(0=LEN(ReferenceData!$D$42),"",ReferenceData!$D$42),"")</f>
        <v>BS_TOT_ASSET</v>
      </c>
      <c r="E42" t="str">
        <f>IFERROR(IF(0=LEN(ReferenceData!$E$42),"",ReferenceData!$E$42),"")</f>
        <v>Dynamic</v>
      </c>
      <c r="F42">
        <f ca="1">IFERROR(IF(0=LEN(ReferenceData!$Q$42),"",ReferenceData!$Q$42),"")</f>
        <v>5293.6170000000002</v>
      </c>
      <c r="G42">
        <f ca="1">IFERROR(IF(0=LEN(ReferenceData!$P$42),"",ReferenceData!$P$42),"")</f>
        <v>5279.38</v>
      </c>
      <c r="H42">
        <f ca="1">IFERROR(IF(0=LEN(ReferenceData!$O$42),"",ReferenceData!$O$42),"")</f>
        <v>5401.8689999999997</v>
      </c>
      <c r="I42">
        <f ca="1">IFERROR(IF(0=LEN(ReferenceData!$N$42),"",ReferenceData!$N$42),"")</f>
        <v>5578.991</v>
      </c>
      <c r="J42">
        <f ca="1">IFERROR(IF(0=LEN(ReferenceData!$M$42),"",ReferenceData!$M$42),"")</f>
        <v>5443.4679999999998</v>
      </c>
      <c r="K42">
        <f ca="1">IFERROR(IF(0=LEN(ReferenceData!$L$42),"",ReferenceData!$L$42),"")</f>
        <v>5347.8149999999996</v>
      </c>
      <c r="L42">
        <f ca="1">IFERROR(IF(0=LEN(ReferenceData!$K$42),"",ReferenceData!$K$42),"")</f>
        <v>5296.0290000000005</v>
      </c>
      <c r="M42">
        <f ca="1">IFERROR(IF(0=LEN(ReferenceData!$J$42),"",ReferenceData!$J$42),"")</f>
        <v>5233.7139999999999</v>
      </c>
      <c r="N42">
        <f ca="1">IFERROR(IF(0=LEN(ReferenceData!$I$42),"",ReferenceData!$I$42),"")</f>
        <v>5234.6189999999997</v>
      </c>
      <c r="O42">
        <f ca="1">IFERROR(IF(0=LEN(ReferenceData!$H$42),"",ReferenceData!$H$42),"")</f>
        <v>5292.826</v>
      </c>
      <c r="P42">
        <f ca="1">IFERROR(IF(0=LEN(ReferenceData!$G$42),"",ReferenceData!$G$42),"")</f>
        <v>5632.2749999999996</v>
      </c>
      <c r="Q42">
        <f ca="1">IFERROR(IF(0=LEN(ReferenceData!$F$42),"",ReferenceData!$F$42),"")</f>
        <v>5905.5780000000004</v>
      </c>
    </row>
    <row r="43" spans="1:17" x14ac:dyDescent="0.25">
      <c r="A43" t="str">
        <f>IFERROR(IF(0=LEN(ReferenceData!$A$43),"",ReferenceData!$A$43),"")</f>
        <v xml:space="preserve">    Atos SE</v>
      </c>
      <c r="B43" t="str">
        <f>IFERROR(IF(0=LEN(ReferenceData!$B$43),"",ReferenceData!$B$43),"")</f>
        <v>ATO FP Equity</v>
      </c>
      <c r="C43" t="str">
        <f>IFERROR(IF(0=LEN(ReferenceData!$C$43),"",ReferenceData!$C$43),"")</f>
        <v>BS035</v>
      </c>
      <c r="D43" t="str">
        <f>IFERROR(IF(0=LEN(ReferenceData!$D$43),"",ReferenceData!$D$43),"")</f>
        <v>BS_TOT_ASSET</v>
      </c>
      <c r="E43" t="str">
        <f>IFERROR(IF(0=LEN(ReferenceData!$E$43),"",ReferenceData!$E$43),"")</f>
        <v>Dynamic</v>
      </c>
      <c r="F43" t="str">
        <f ca="1">IFERROR(IF(0=LEN(ReferenceData!$Q$43),"",ReferenceData!$Q$43),"")</f>
        <v/>
      </c>
      <c r="G43" t="str">
        <f ca="1">IFERROR(IF(0=LEN(ReferenceData!$P$43),"",ReferenceData!$P$43),"")</f>
        <v/>
      </c>
      <c r="H43" t="str">
        <f ca="1">IFERROR(IF(0=LEN(ReferenceData!$O$43),"",ReferenceData!$O$43),"")</f>
        <v/>
      </c>
      <c r="I43" t="str">
        <f ca="1">IFERROR(IF(0=LEN(ReferenceData!$N$43),"",ReferenceData!$N$43),"")</f>
        <v/>
      </c>
      <c r="J43" t="str">
        <f ca="1">IFERROR(IF(0=LEN(ReferenceData!$M$43),"",ReferenceData!$M$43),"")</f>
        <v/>
      </c>
      <c r="K43" t="str">
        <f ca="1">IFERROR(IF(0=LEN(ReferenceData!$L$43),"",ReferenceData!$L$43),"")</f>
        <v/>
      </c>
      <c r="L43" t="str">
        <f ca="1">IFERROR(IF(0=LEN(ReferenceData!$K$43),"",ReferenceData!$K$43),"")</f>
        <v/>
      </c>
      <c r="M43" t="str">
        <f ca="1">IFERROR(IF(0=LEN(ReferenceData!$J$43),"",ReferenceData!$J$43),"")</f>
        <v/>
      </c>
      <c r="N43" t="str">
        <f ca="1">IFERROR(IF(0=LEN(ReferenceData!$I$43),"",ReferenceData!$I$43),"")</f>
        <v/>
      </c>
      <c r="O43" t="str">
        <f ca="1">IFERROR(IF(0=LEN(ReferenceData!$H$43),"",ReferenceData!$H$43),"")</f>
        <v/>
      </c>
      <c r="P43" t="str">
        <f ca="1">IFERROR(IF(0=LEN(ReferenceData!$G$43),"",ReferenceData!$G$43),"")</f>
        <v/>
      </c>
      <c r="Q43" t="str">
        <f ca="1">IFERROR(IF(0=LEN(ReferenceData!$F$43),"",ReferenceData!$F$43),"")</f>
        <v/>
      </c>
    </row>
    <row r="44" spans="1:17" x14ac:dyDescent="0.25">
      <c r="A44" t="str">
        <f>IFERROR(IF(0=LEN(ReferenceData!$A$44),"",ReferenceData!$A$44),"")</f>
        <v xml:space="preserve">    Capgemini SE</v>
      </c>
      <c r="B44" t="str">
        <f>IFERROR(IF(0=LEN(ReferenceData!$B$44),"",ReferenceData!$B$44),"")</f>
        <v>CAP FP Equity</v>
      </c>
      <c r="C44" t="str">
        <f>IFERROR(IF(0=LEN(ReferenceData!$C$44),"",ReferenceData!$C$44),"")</f>
        <v>BS035</v>
      </c>
      <c r="D44" t="str">
        <f>IFERROR(IF(0=LEN(ReferenceData!$D$44),"",ReferenceData!$D$44),"")</f>
        <v>BS_TOT_ASSET</v>
      </c>
      <c r="E44" t="str">
        <f>IFERROR(IF(0=LEN(ReferenceData!$E$44),"",ReferenceData!$E$44),"")</f>
        <v>Dynamic</v>
      </c>
      <c r="F44" t="str">
        <f ca="1">IFERROR(IF(0=LEN(ReferenceData!$Q$44),"",ReferenceData!$Q$44),"")</f>
        <v/>
      </c>
      <c r="G44" t="str">
        <f ca="1">IFERROR(IF(0=LEN(ReferenceData!$P$44),"",ReferenceData!$P$44),"")</f>
        <v/>
      </c>
      <c r="H44" t="str">
        <f ca="1">IFERROR(IF(0=LEN(ReferenceData!$O$44),"",ReferenceData!$O$44),"")</f>
        <v/>
      </c>
      <c r="I44" t="str">
        <f ca="1">IFERROR(IF(0=LEN(ReferenceData!$N$44),"",ReferenceData!$N$44),"")</f>
        <v/>
      </c>
      <c r="J44" t="str">
        <f ca="1">IFERROR(IF(0=LEN(ReferenceData!$M$44),"",ReferenceData!$M$44),"")</f>
        <v/>
      </c>
      <c r="K44" t="str">
        <f ca="1">IFERROR(IF(0=LEN(ReferenceData!$L$44),"",ReferenceData!$L$44),"")</f>
        <v/>
      </c>
      <c r="L44" t="str">
        <f ca="1">IFERROR(IF(0=LEN(ReferenceData!$K$44),"",ReferenceData!$K$44),"")</f>
        <v/>
      </c>
      <c r="M44" t="str">
        <f ca="1">IFERROR(IF(0=LEN(ReferenceData!$J$44),"",ReferenceData!$J$44),"")</f>
        <v/>
      </c>
      <c r="N44" t="str">
        <f ca="1">IFERROR(IF(0=LEN(ReferenceData!$I$44),"",ReferenceData!$I$44),"")</f>
        <v/>
      </c>
      <c r="O44" t="str">
        <f ca="1">IFERROR(IF(0=LEN(ReferenceData!$H$44),"",ReferenceData!$H$44),"")</f>
        <v/>
      </c>
      <c r="P44">
        <f ca="1">IFERROR(IF(0=LEN(ReferenceData!$G$44),"",ReferenceData!$G$44),"")</f>
        <v>20363.791499999999</v>
      </c>
      <c r="Q44" t="str">
        <f ca="1">IFERROR(IF(0=LEN(ReferenceData!$F$44),"",ReferenceData!$F$44),"")</f>
        <v/>
      </c>
    </row>
    <row r="45" spans="1:17" x14ac:dyDescent="0.25">
      <c r="A45" t="str">
        <f>IFERROR(IF(0=LEN(ReferenceData!$A$45),"",ReferenceData!$A$45),"")</f>
        <v xml:space="preserve">    CGI Inc</v>
      </c>
      <c r="B45" t="str">
        <f>IFERROR(IF(0=LEN(ReferenceData!$B$45),"",ReferenceData!$B$45),"")</f>
        <v>GIB US Equity</v>
      </c>
      <c r="C45" t="str">
        <f>IFERROR(IF(0=LEN(ReferenceData!$C$45),"",ReferenceData!$C$45),"")</f>
        <v>BS035</v>
      </c>
      <c r="D45" t="str">
        <f>IFERROR(IF(0=LEN(ReferenceData!$D$45),"",ReferenceData!$D$45),"")</f>
        <v>BS_TOT_ASSET</v>
      </c>
      <c r="E45" t="str">
        <f>IFERROR(IF(0=LEN(ReferenceData!$E$45),"",ReferenceData!$E$45),"")</f>
        <v>Dynamic</v>
      </c>
      <c r="F45">
        <f ca="1">IFERROR(IF(0=LEN(ReferenceData!$Q$45),"",ReferenceData!$Q$45),"")</f>
        <v>9108.3411589999996</v>
      </c>
      <c r="G45">
        <f ca="1">IFERROR(IF(0=LEN(ReferenceData!$P$45),"",ReferenceData!$P$45),"")</f>
        <v>9128.6542769999996</v>
      </c>
      <c r="H45">
        <f ca="1">IFERROR(IF(0=LEN(ReferenceData!$O$45),"",ReferenceData!$O$45),"")</f>
        <v>9545.3851680000007</v>
      </c>
      <c r="I45">
        <f ca="1">IFERROR(IF(0=LEN(ReferenceData!$N$45),"",ReferenceData!$N$45),"")</f>
        <v>9592.4105830000008</v>
      </c>
      <c r="J45">
        <f ca="1">IFERROR(IF(0=LEN(ReferenceData!$M$45),"",ReferenceData!$M$45),"")</f>
        <v>9246.8801829999993</v>
      </c>
      <c r="K45">
        <f ca="1">IFERROR(IF(0=LEN(ReferenceData!$L$45),"",ReferenceData!$L$45),"")</f>
        <v>9211.7366099999999</v>
      </c>
      <c r="L45">
        <f ca="1">IFERROR(IF(0=LEN(ReferenceData!$K$45),"",ReferenceData!$K$45),"")</f>
        <v>9448.3646509999999</v>
      </c>
      <c r="M45">
        <f ca="1">IFERROR(IF(0=LEN(ReferenceData!$J$45),"",ReferenceData!$J$45),"")</f>
        <v>9508.0549109999993</v>
      </c>
      <c r="N45">
        <f ca="1">IFERROR(IF(0=LEN(ReferenceData!$I$45),"",ReferenceData!$I$45),"")</f>
        <v>9786.8509890000005</v>
      </c>
      <c r="O45">
        <f ca="1">IFERROR(IF(0=LEN(ReferenceData!$H$45),"",ReferenceData!$H$45),"")</f>
        <v>9532.3208219999997</v>
      </c>
      <c r="P45">
        <f ca="1">IFERROR(IF(0=LEN(ReferenceData!$G$45),"",ReferenceData!$G$45),"")</f>
        <v>10682.39867</v>
      </c>
      <c r="Q45">
        <f ca="1">IFERROR(IF(0=LEN(ReferenceData!$F$45),"",ReferenceData!$F$45),"")</f>
        <v>10289.890740000001</v>
      </c>
    </row>
    <row r="46" spans="1:17" x14ac:dyDescent="0.25">
      <c r="A46" t="str">
        <f>IFERROR(IF(0=LEN(ReferenceData!$A$46),"",ReferenceData!$A$46),"")</f>
        <v xml:space="preserve">    Cognizant Technology Solutions Corp</v>
      </c>
      <c r="B46" t="str">
        <f>IFERROR(IF(0=LEN(ReferenceData!$B$46),"",ReferenceData!$B$46),"")</f>
        <v>CTSH US Equity</v>
      </c>
      <c r="C46" t="str">
        <f>IFERROR(IF(0=LEN(ReferenceData!$C$46),"",ReferenceData!$C$46),"")</f>
        <v>BS035</v>
      </c>
      <c r="D46" t="str">
        <f>IFERROR(IF(0=LEN(ReferenceData!$D$46),"",ReferenceData!$D$46),"")</f>
        <v>BS_TOT_ASSET</v>
      </c>
      <c r="E46" t="str">
        <f>IFERROR(IF(0=LEN(ReferenceData!$E$46),"",ReferenceData!$E$46),"")</f>
        <v>Dynamic</v>
      </c>
      <c r="F46">
        <f ca="1">IFERROR(IF(0=LEN(ReferenceData!$Q$46),"",ReferenceData!$Q$46),"")</f>
        <v>13938</v>
      </c>
      <c r="G46">
        <f ca="1">IFERROR(IF(0=LEN(ReferenceData!$P$46),"",ReferenceData!$P$46),"")</f>
        <v>14580</v>
      </c>
      <c r="H46">
        <f ca="1">IFERROR(IF(0=LEN(ReferenceData!$O$46),"",ReferenceData!$O$46),"")</f>
        <v>15221</v>
      </c>
      <c r="I46">
        <f ca="1">IFERROR(IF(0=LEN(ReferenceData!$N$46),"",ReferenceData!$N$46),"")</f>
        <v>15045</v>
      </c>
      <c r="J46">
        <f ca="1">IFERROR(IF(0=LEN(ReferenceData!$M$46),"",ReferenceData!$M$46),"")</f>
        <v>14806</v>
      </c>
      <c r="K46">
        <f ca="1">IFERROR(IF(0=LEN(ReferenceData!$L$46),"",ReferenceData!$L$46),"")</f>
        <v>15274</v>
      </c>
      <c r="L46">
        <f ca="1">IFERROR(IF(0=LEN(ReferenceData!$K$46),"",ReferenceData!$K$46),"")</f>
        <v>15846</v>
      </c>
      <c r="M46">
        <f ca="1">IFERROR(IF(0=LEN(ReferenceData!$J$46),"",ReferenceData!$J$46),"")</f>
        <v>16096</v>
      </c>
      <c r="N46">
        <f ca="1">IFERROR(IF(0=LEN(ReferenceData!$I$46),"",ReferenceData!$I$46),"")</f>
        <v>15517</v>
      </c>
      <c r="O46">
        <f ca="1">IFERROR(IF(0=LEN(ReferenceData!$H$46),"",ReferenceData!$H$46),"")</f>
        <v>15844</v>
      </c>
      <c r="P46">
        <f ca="1">IFERROR(IF(0=LEN(ReferenceData!$G$46),"",ReferenceData!$G$46),"")</f>
        <v>16204</v>
      </c>
      <c r="Q46">
        <f ca="1">IFERROR(IF(0=LEN(ReferenceData!$F$46),"",ReferenceData!$F$46),"")</f>
        <v>17429</v>
      </c>
    </row>
    <row r="47" spans="1:17" x14ac:dyDescent="0.25">
      <c r="A47" t="str">
        <f>IFERROR(IF(0=LEN(ReferenceData!$A$47),"",ReferenceData!$A$47),"")</f>
        <v xml:space="preserve">    Conduent Inc</v>
      </c>
      <c r="B47" t="str">
        <f>IFERROR(IF(0=LEN(ReferenceData!$B$47),"",ReferenceData!$B$47),"")</f>
        <v>CNDT US Equity</v>
      </c>
      <c r="C47" t="str">
        <f>IFERROR(IF(0=LEN(ReferenceData!$C$47),"",ReferenceData!$C$47),"")</f>
        <v>BS035</v>
      </c>
      <c r="D47" t="str">
        <f>IFERROR(IF(0=LEN(ReferenceData!$D$47),"",ReferenceData!$D$47),"")</f>
        <v>BS_TOT_ASSET</v>
      </c>
      <c r="E47" t="str">
        <f>IFERROR(IF(0=LEN(ReferenceData!$E$47),"",ReferenceData!$E$47),"")</f>
        <v>Dynamic</v>
      </c>
      <c r="F47">
        <f ca="1">IFERROR(IF(0=LEN(ReferenceData!$Q$47),"",ReferenceData!$Q$47),"")</f>
        <v>7648</v>
      </c>
      <c r="G47">
        <f ca="1">IFERROR(IF(0=LEN(ReferenceData!$P$47),"",ReferenceData!$P$47),"")</f>
        <v>7547</v>
      </c>
      <c r="H47">
        <f ca="1">IFERROR(IF(0=LEN(ReferenceData!$O$47),"",ReferenceData!$O$47),"")</f>
        <v>7548</v>
      </c>
      <c r="I47">
        <f ca="1">IFERROR(IF(0=LEN(ReferenceData!$N$47),"",ReferenceData!$N$47),"")</f>
        <v>7511</v>
      </c>
      <c r="J47">
        <f ca="1">IFERROR(IF(0=LEN(ReferenceData!$M$47),"",ReferenceData!$M$47),"")</f>
        <v>7436</v>
      </c>
      <c r="K47">
        <f ca="1">IFERROR(IF(0=LEN(ReferenceData!$L$47),"",ReferenceData!$L$47),"")</f>
        <v>6730</v>
      </c>
      <c r="L47">
        <f ca="1">IFERROR(IF(0=LEN(ReferenceData!$K$47),"",ReferenceData!$K$47),"")</f>
        <v>6680</v>
      </c>
      <c r="M47">
        <f ca="1">IFERROR(IF(0=LEN(ReferenceData!$J$47),"",ReferenceData!$J$47),"")</f>
        <v>6663</v>
      </c>
      <c r="N47">
        <f ca="1">IFERROR(IF(0=LEN(ReferenceData!$I$47),"",ReferenceData!$I$47),"")</f>
        <v>5303</v>
      </c>
      <c r="O47">
        <f ca="1">IFERROR(IF(0=LEN(ReferenceData!$H$47),"",ReferenceData!$H$47),"")</f>
        <v>5114</v>
      </c>
      <c r="P47">
        <f ca="1">IFERROR(IF(0=LEN(ReferenceData!$G$47),"",ReferenceData!$G$47),"")</f>
        <v>4514</v>
      </c>
      <c r="Q47">
        <f ca="1">IFERROR(IF(0=LEN(ReferenceData!$F$47),"",ReferenceData!$F$47),"")</f>
        <v>4394</v>
      </c>
    </row>
    <row r="48" spans="1:17" x14ac:dyDescent="0.25">
      <c r="A48" t="str">
        <f>IFERROR(IF(0=LEN(ReferenceData!$A$48),"",ReferenceData!$A$48),"")</f>
        <v xml:space="preserve">    DXC Technology Co</v>
      </c>
      <c r="B48" t="str">
        <f>IFERROR(IF(0=LEN(ReferenceData!$B$48),"",ReferenceData!$B$48),"")</f>
        <v>DXC US Equity</v>
      </c>
      <c r="C48" t="str">
        <f>IFERROR(IF(0=LEN(ReferenceData!$C$48),"",ReferenceData!$C$48),"")</f>
        <v>BS035</v>
      </c>
      <c r="D48" t="str">
        <f>IFERROR(IF(0=LEN(ReferenceData!$D$48),"",ReferenceData!$D$48),"")</f>
        <v>BS_TOT_ASSET</v>
      </c>
      <c r="E48" t="str">
        <f>IFERROR(IF(0=LEN(ReferenceData!$E$48),"",ReferenceData!$E$48),"")</f>
        <v>Dynamic</v>
      </c>
      <c r="F48">
        <f ca="1">IFERROR(IF(0=LEN(ReferenceData!$Q$48),"",ReferenceData!$Q$48),"")</f>
        <v>31216</v>
      </c>
      <c r="G48">
        <f ca="1">IFERROR(IF(0=LEN(ReferenceData!$P$48),"",ReferenceData!$P$48),"")</f>
        <v>33176</v>
      </c>
      <c r="H48">
        <f ca="1">IFERROR(IF(0=LEN(ReferenceData!$O$48),"",ReferenceData!$O$48),"")</f>
        <v>33582</v>
      </c>
      <c r="I48">
        <f ca="1">IFERROR(IF(0=LEN(ReferenceData!$N$48),"",ReferenceData!$N$48),"")</f>
        <v>33921</v>
      </c>
      <c r="J48">
        <f ca="1">IFERROR(IF(0=LEN(ReferenceData!$M$48),"",ReferenceData!$M$48),"")</f>
        <v>29126</v>
      </c>
      <c r="K48">
        <f ca="1">IFERROR(IF(0=LEN(ReferenceData!$L$48),"",ReferenceData!$L$48),"")</f>
        <v>28882</v>
      </c>
      <c r="L48">
        <f ca="1">IFERROR(IF(0=LEN(ReferenceData!$K$48),"",ReferenceData!$K$48),"")</f>
        <v>28871</v>
      </c>
      <c r="M48">
        <f ca="1">IFERROR(IF(0=LEN(ReferenceData!$J$48),"",ReferenceData!$J$48),"")</f>
        <v>29574</v>
      </c>
      <c r="N48">
        <f ca="1">IFERROR(IF(0=LEN(ReferenceData!$I$48),"",ReferenceData!$I$48),"")</f>
        <v>32577</v>
      </c>
      <c r="O48">
        <f ca="1">IFERROR(IF(0=LEN(ReferenceData!$H$48),"",ReferenceData!$H$48),"")</f>
        <v>29516</v>
      </c>
      <c r="P48">
        <f ca="1">IFERROR(IF(0=LEN(ReferenceData!$G$48),"",ReferenceData!$G$48),"")</f>
        <v>29599</v>
      </c>
      <c r="Q48">
        <f ca="1">IFERROR(IF(0=LEN(ReferenceData!$F$48),"",ReferenceData!$F$48),"")</f>
        <v>26006</v>
      </c>
    </row>
    <row r="49" spans="1:17" x14ac:dyDescent="0.25">
      <c r="A49" t="str">
        <f>IFERROR(IF(0=LEN(ReferenceData!$A$49),"",ReferenceData!$A$49),"")</f>
        <v xml:space="preserve">    EPAM Systems Inc</v>
      </c>
      <c r="B49" t="str">
        <f>IFERROR(IF(0=LEN(ReferenceData!$B$49),"",ReferenceData!$B$49),"")</f>
        <v>EPAM US Equity</v>
      </c>
      <c r="C49" t="str">
        <f>IFERROR(IF(0=LEN(ReferenceData!$C$49),"",ReferenceData!$C$49),"")</f>
        <v>BS035</v>
      </c>
      <c r="D49" t="str">
        <f>IFERROR(IF(0=LEN(ReferenceData!$D$49),"",ReferenceData!$D$49),"")</f>
        <v>BS_TOT_ASSET</v>
      </c>
      <c r="E49" t="str">
        <f>IFERROR(IF(0=LEN(ReferenceData!$E$49),"",ReferenceData!$E$49),"")</f>
        <v>Dynamic</v>
      </c>
      <c r="F49">
        <f ca="1">IFERROR(IF(0=LEN(ReferenceData!$Q$49),"",ReferenceData!$Q$49),"")</f>
        <v>1079.383</v>
      </c>
      <c r="G49">
        <f ca="1">IFERROR(IF(0=LEN(ReferenceData!$P$49),"",ReferenceData!$P$49),"")</f>
        <v>1173.0060000000001</v>
      </c>
      <c r="H49">
        <f ca="1">IFERROR(IF(0=LEN(ReferenceData!$O$49),"",ReferenceData!$O$49),"")</f>
        <v>1250.2560000000001</v>
      </c>
      <c r="I49">
        <f ca="1">IFERROR(IF(0=LEN(ReferenceData!$N$49),"",ReferenceData!$N$49),"")</f>
        <v>1343.402</v>
      </c>
      <c r="J49">
        <f ca="1">IFERROR(IF(0=LEN(ReferenceData!$M$49),"",ReferenceData!$M$49),"")</f>
        <v>1392.1949999999999</v>
      </c>
      <c r="K49">
        <f ca="1">IFERROR(IF(0=LEN(ReferenceData!$L$49),"",ReferenceData!$L$49),"")</f>
        <v>1503.982</v>
      </c>
      <c r="L49">
        <f ca="1">IFERROR(IF(0=LEN(ReferenceData!$K$49),"",ReferenceData!$K$49),"")</f>
        <v>1611.8019999999999</v>
      </c>
      <c r="M49">
        <f ca="1">IFERROR(IF(0=LEN(ReferenceData!$J$49),"",ReferenceData!$J$49),"")</f>
        <v>1831.4349999999999</v>
      </c>
      <c r="N49">
        <f ca="1">IFERROR(IF(0=LEN(ReferenceData!$I$49),"",ReferenceData!$I$49),"")</f>
        <v>1931.451</v>
      </c>
      <c r="O49">
        <f ca="1">IFERROR(IF(0=LEN(ReferenceData!$H$49),"",ReferenceData!$H$49),"")</f>
        <v>2040.163</v>
      </c>
      <c r="P49">
        <f ca="1">IFERROR(IF(0=LEN(ReferenceData!$G$49),"",ReferenceData!$G$49),"")</f>
        <v>2244.2080000000001</v>
      </c>
      <c r="Q49">
        <f ca="1">IFERROR(IF(0=LEN(ReferenceData!$F$49),"",ReferenceData!$F$49),"")</f>
        <v>2311.8809999999999</v>
      </c>
    </row>
    <row r="50" spans="1:17" x14ac:dyDescent="0.25">
      <c r="A50" t="str">
        <f>IFERROR(IF(0=LEN(ReferenceData!$A$50),"",ReferenceData!$A$50),"")</f>
        <v xml:space="preserve">    Genpact Ltd</v>
      </c>
      <c r="B50" t="str">
        <f>IFERROR(IF(0=LEN(ReferenceData!$B$50),"",ReferenceData!$B$50),"")</f>
        <v>G US Equity</v>
      </c>
      <c r="C50" t="str">
        <f>IFERROR(IF(0=LEN(ReferenceData!$C$50),"",ReferenceData!$C$50),"")</f>
        <v>BS035</v>
      </c>
      <c r="D50" t="str">
        <f>IFERROR(IF(0=LEN(ReferenceData!$D$50),"",ReferenceData!$D$50),"")</f>
        <v>BS_TOT_ASSET</v>
      </c>
      <c r="E50" t="str">
        <f>IFERROR(IF(0=LEN(ReferenceData!$E$50),"",ReferenceData!$E$50),"")</f>
        <v>Dynamic</v>
      </c>
      <c r="F50">
        <f ca="1">IFERROR(IF(0=LEN(ReferenceData!$Q$50),"",ReferenceData!$Q$50),"")</f>
        <v>3239.4340000000002</v>
      </c>
      <c r="G50">
        <f ca="1">IFERROR(IF(0=LEN(ReferenceData!$P$50),"",ReferenceData!$P$50),"")</f>
        <v>3349.8910000000001</v>
      </c>
      <c r="H50">
        <f ca="1">IFERROR(IF(0=LEN(ReferenceData!$O$50),"",ReferenceData!$O$50),"")</f>
        <v>3449.6210000000001</v>
      </c>
      <c r="I50">
        <f ca="1">IFERROR(IF(0=LEN(ReferenceData!$N$50),"",ReferenceData!$N$50),"")</f>
        <v>3397.127</v>
      </c>
      <c r="J50">
        <f ca="1">IFERROR(IF(0=LEN(ReferenceData!$M$50),"",ReferenceData!$M$50),"")</f>
        <v>3266.078</v>
      </c>
      <c r="K50">
        <f ca="1">IFERROR(IF(0=LEN(ReferenceData!$L$50),"",ReferenceData!$L$50),"")</f>
        <v>3456.6289999999999</v>
      </c>
      <c r="L50">
        <f ca="1">IFERROR(IF(0=LEN(ReferenceData!$K$50),"",ReferenceData!$K$50),"")</f>
        <v>3529.4450000000002</v>
      </c>
      <c r="M50">
        <f ca="1">IFERROR(IF(0=LEN(ReferenceData!$J$50),"",ReferenceData!$J$50),"")</f>
        <v>3904.8139999999999</v>
      </c>
      <c r="N50">
        <f ca="1">IFERROR(IF(0=LEN(ReferenceData!$I$50),"",ReferenceData!$I$50),"")</f>
        <v>4012.7570000000001</v>
      </c>
      <c r="O50">
        <f ca="1">IFERROR(IF(0=LEN(ReferenceData!$H$50),"",ReferenceData!$H$50),"")</f>
        <v>4097.7610000000004</v>
      </c>
      <c r="P50">
        <f ca="1">IFERROR(IF(0=LEN(ReferenceData!$G$50),"",ReferenceData!$G$50),"")</f>
        <v>4454.1840000000002</v>
      </c>
      <c r="Q50">
        <f ca="1">IFERROR(IF(0=LEN(ReferenceData!$F$50),"",ReferenceData!$F$50),"")</f>
        <v>4402.78</v>
      </c>
    </row>
    <row r="51" spans="1:17" x14ac:dyDescent="0.25">
      <c r="A51" t="str">
        <f>IFERROR(IF(0=LEN(ReferenceData!$A$51),"",ReferenceData!$A$51),"")</f>
        <v xml:space="preserve">    HCL Technologies Ltd</v>
      </c>
      <c r="B51" t="str">
        <f>IFERROR(IF(0=LEN(ReferenceData!$B$51),"",ReferenceData!$B$51),"")</f>
        <v>HCLT IN Equity</v>
      </c>
      <c r="C51" t="str">
        <f>IFERROR(IF(0=LEN(ReferenceData!$C$51),"",ReferenceData!$C$51),"")</f>
        <v>BS035</v>
      </c>
      <c r="D51" t="str">
        <f>IFERROR(IF(0=LEN(ReferenceData!$D$51),"",ReferenceData!$D$51),"")</f>
        <v>BS_TOT_ASSET</v>
      </c>
      <c r="E51" t="str">
        <f>IFERROR(IF(0=LEN(ReferenceData!$E$51),"",ReferenceData!$E$51),"")</f>
        <v>Dynamic</v>
      </c>
      <c r="F51">
        <f ca="1">IFERROR(IF(0=LEN(ReferenceData!$Q$51),"",ReferenceData!$Q$51),"")</f>
        <v>7395.6</v>
      </c>
      <c r="G51">
        <f ca="1">IFERROR(IF(0=LEN(ReferenceData!$P$51),"",ReferenceData!$P$51),"")</f>
        <v>6980.9</v>
      </c>
      <c r="H51">
        <f ca="1">IFERROR(IF(0=LEN(ReferenceData!$O$51),"",ReferenceData!$O$51),"")</f>
        <v>7245.2</v>
      </c>
      <c r="I51">
        <f ca="1">IFERROR(IF(0=LEN(ReferenceData!$N$51),"",ReferenceData!$N$51),"")</f>
        <v>7372.2750999999998</v>
      </c>
      <c r="J51">
        <f ca="1">IFERROR(IF(0=LEN(ReferenceData!$M$51),"",ReferenceData!$M$51),"")</f>
        <v>7530</v>
      </c>
      <c r="K51">
        <f ca="1">IFERROR(IF(0=LEN(ReferenceData!$L$51),"",ReferenceData!$L$51),"")</f>
        <v>8005</v>
      </c>
      <c r="L51">
        <f ca="1">IFERROR(IF(0=LEN(ReferenceData!$K$51),"",ReferenceData!$K$51),"")</f>
        <v>7994</v>
      </c>
      <c r="M51">
        <f ca="1">IFERROR(IF(0=LEN(ReferenceData!$J$51),"",ReferenceData!$J$51),"")</f>
        <v>8521.17</v>
      </c>
      <c r="N51">
        <f ca="1">IFERROR(IF(0=LEN(ReferenceData!$I$51),"",ReferenceData!$I$51),"")</f>
        <v>8521.2000000000007</v>
      </c>
      <c r="O51">
        <f ca="1">IFERROR(IF(0=LEN(ReferenceData!$H$51),"",ReferenceData!$H$51),"")</f>
        <v>10654.8</v>
      </c>
      <c r="P51">
        <f ca="1">IFERROR(IF(0=LEN(ReferenceData!$G$51),"",ReferenceData!$G$51),"")</f>
        <v>10914.8</v>
      </c>
      <c r="Q51">
        <f ca="1">IFERROR(IF(0=LEN(ReferenceData!$F$51),"",ReferenceData!$F$51),"")</f>
        <v>10998.168</v>
      </c>
    </row>
    <row r="52" spans="1:17" x14ac:dyDescent="0.25">
      <c r="A52" t="str">
        <f>IFERROR(IF(0=LEN(ReferenceData!$A$52),"",ReferenceData!$A$52),"")</f>
        <v xml:space="preserve">    Indra Sistemas SA</v>
      </c>
      <c r="B52" t="str">
        <f>IFERROR(IF(0=LEN(ReferenceData!$B$52),"",ReferenceData!$B$52),"")</f>
        <v>IDR SM Equity</v>
      </c>
      <c r="C52" t="str">
        <f>IFERROR(IF(0=LEN(ReferenceData!$C$52),"",ReferenceData!$C$52),"")</f>
        <v>BS035</v>
      </c>
      <c r="D52" t="str">
        <f>IFERROR(IF(0=LEN(ReferenceData!$D$52),"",ReferenceData!$D$52),"")</f>
        <v>BS_TOT_ASSET</v>
      </c>
      <c r="E52" t="str">
        <f>IFERROR(IF(0=LEN(ReferenceData!$E$52),"",ReferenceData!$E$52),"")</f>
        <v>Dynamic</v>
      </c>
      <c r="F52">
        <f ca="1">IFERROR(IF(0=LEN(ReferenceData!$Q$52),"",ReferenceData!$Q$52),"")</f>
        <v>4209.3243990000001</v>
      </c>
      <c r="G52">
        <f ca="1">IFERROR(IF(0=LEN(ReferenceData!$P$52),"",ReferenceData!$P$52),"")</f>
        <v>4428.4856</v>
      </c>
      <c r="H52">
        <f ca="1">IFERROR(IF(0=LEN(ReferenceData!$O$52),"",ReferenceData!$O$52),"")</f>
        <v>4648.4120940000003</v>
      </c>
      <c r="I52">
        <f ca="1">IFERROR(IF(0=LEN(ReferenceData!$N$52),"",ReferenceData!$N$52),"")</f>
        <v>4675.2612900000004</v>
      </c>
      <c r="J52">
        <f ca="1">IFERROR(IF(0=LEN(ReferenceData!$M$52),"",ReferenceData!$M$52),"")</f>
        <v>4742.6859469999999</v>
      </c>
      <c r="K52">
        <f ca="1">IFERROR(IF(0=LEN(ReferenceData!$L$52),"",ReferenceData!$L$52),"")</f>
        <v>4639.0961600000001</v>
      </c>
      <c r="L52">
        <f ca="1">IFERROR(IF(0=LEN(ReferenceData!$K$52),"",ReferenceData!$K$52),"")</f>
        <v>4628.0509519999996</v>
      </c>
      <c r="M52">
        <f ca="1">IFERROR(IF(0=LEN(ReferenceData!$J$52),"",ReferenceData!$J$52),"")</f>
        <v>4659.29583</v>
      </c>
      <c r="N52">
        <f ca="1">IFERROR(IF(0=LEN(ReferenceData!$I$52),"",ReferenceData!$I$52),"")</f>
        <v>4758.1499279999998</v>
      </c>
      <c r="O52">
        <f ca="1">IFERROR(IF(0=LEN(ReferenceData!$H$52),"",ReferenceData!$H$52),"")</f>
        <v>4569.8834200000001</v>
      </c>
      <c r="P52">
        <f ca="1">IFERROR(IF(0=LEN(ReferenceData!$G$52),"",ReferenceData!$G$52),"")</f>
        <v>4846.9641629999996</v>
      </c>
      <c r="Q52">
        <f ca="1">IFERROR(IF(0=LEN(ReferenceData!$F$52),"",ReferenceData!$F$52),"")</f>
        <v>4648.9612500000003</v>
      </c>
    </row>
    <row r="53" spans="1:17" x14ac:dyDescent="0.25">
      <c r="A53" t="str">
        <f>IFERROR(IF(0=LEN(ReferenceData!$A$53),"",ReferenceData!$A$53),"")</f>
        <v xml:space="preserve">    Infosys Ltd</v>
      </c>
      <c r="B53" t="str">
        <f>IFERROR(IF(0=LEN(ReferenceData!$B$53),"",ReferenceData!$B$53),"")</f>
        <v>INFY US Equity</v>
      </c>
      <c r="C53" t="str">
        <f>IFERROR(IF(0=LEN(ReferenceData!$C$53),"",ReferenceData!$C$53),"")</f>
        <v>BS035</v>
      </c>
      <c r="D53" t="str">
        <f>IFERROR(IF(0=LEN(ReferenceData!$D$53),"",ReferenceData!$D$53),"")</f>
        <v>BS_TOT_ASSET</v>
      </c>
      <c r="E53" t="str">
        <f>IFERROR(IF(0=LEN(ReferenceData!$E$53),"",ReferenceData!$E$53),"")</f>
        <v>Dynamic</v>
      </c>
      <c r="F53">
        <f ca="1">IFERROR(IF(0=LEN(ReferenceData!$Q$53),"",ReferenceData!$Q$53),"")</f>
        <v>13173.186589999999</v>
      </c>
      <c r="G53">
        <f ca="1">IFERROR(IF(0=LEN(ReferenceData!$P$53),"",ReferenceData!$P$53),"")</f>
        <v>13539.097169999999</v>
      </c>
      <c r="H53">
        <f ca="1">IFERROR(IF(0=LEN(ReferenceData!$O$53),"",ReferenceData!$O$53),"")</f>
        <v>11895.57019</v>
      </c>
      <c r="I53">
        <f ca="1">IFERROR(IF(0=LEN(ReferenceData!$N$53),"",ReferenceData!$N$53),"")</f>
        <v>12264.3537</v>
      </c>
      <c r="J53">
        <f ca="1">IFERROR(IF(0=LEN(ReferenceData!$M$53),"",ReferenceData!$M$53),"")</f>
        <v>11406.06061</v>
      </c>
      <c r="K53">
        <f ca="1">IFERROR(IF(0=LEN(ReferenceData!$L$53),"",ReferenceData!$L$53),"")</f>
        <v>11278.5064</v>
      </c>
      <c r="L53">
        <f ca="1">IFERROR(IF(0=LEN(ReferenceData!$K$53),"",ReferenceData!$K$53),"")</f>
        <v>11888.21926</v>
      </c>
      <c r="M53">
        <f ca="1">IFERROR(IF(0=LEN(ReferenceData!$J$53),"",ReferenceData!$J$53),"")</f>
        <v>12223.59582</v>
      </c>
      <c r="N53">
        <f ca="1">IFERROR(IF(0=LEN(ReferenceData!$I$53),"",ReferenceData!$I$53),"")</f>
        <v>12433.752280000001</v>
      </c>
      <c r="O53">
        <f ca="1">IFERROR(IF(0=LEN(ReferenceData!$H$53),"",ReferenceData!$H$53),"")</f>
        <v>12057.84756</v>
      </c>
      <c r="P53">
        <f ca="1">IFERROR(IF(0=LEN(ReferenceData!$G$53),"",ReferenceData!$G$53),"")</f>
        <v>12137.53694</v>
      </c>
      <c r="Q53">
        <f ca="1">IFERROR(IF(0=LEN(ReferenceData!$F$53),"",ReferenceData!$F$53),"")</f>
        <v>12307.74129</v>
      </c>
    </row>
    <row r="54" spans="1:17" x14ac:dyDescent="0.25">
      <c r="A54" t="str">
        <f>IFERROR(IF(0=LEN(ReferenceData!$A$54),"",ReferenceData!$A$54),"")</f>
        <v xml:space="preserve">    International Business Machines Corp</v>
      </c>
      <c r="B54" t="str">
        <f>IFERROR(IF(0=LEN(ReferenceData!$B$54),"",ReferenceData!$B$54),"")</f>
        <v>IBM US Equity</v>
      </c>
      <c r="C54" t="str">
        <f>IFERROR(IF(0=LEN(ReferenceData!$C$54),"",ReferenceData!$C$54),"")</f>
        <v>BS035</v>
      </c>
      <c r="D54" t="str">
        <f>IFERROR(IF(0=LEN(ReferenceData!$D$54),"",ReferenceData!$D$54),"")</f>
        <v>BS_TOT_ASSET</v>
      </c>
      <c r="E54" t="str">
        <f>IFERROR(IF(0=LEN(ReferenceData!$E$54),"",ReferenceData!$E$54),"")</f>
        <v>Dynamic</v>
      </c>
      <c r="F54">
        <f ca="1">IFERROR(IF(0=LEN(ReferenceData!$Q$54),"",ReferenceData!$Q$54),"")</f>
        <v>120495</v>
      </c>
      <c r="G54">
        <f ca="1">IFERROR(IF(0=LEN(ReferenceData!$P$54),"",ReferenceData!$P$54),"")</f>
        <v>121636</v>
      </c>
      <c r="H54">
        <f ca="1">IFERROR(IF(0=LEN(ReferenceData!$O$54),"",ReferenceData!$O$54),"")</f>
        <v>125356</v>
      </c>
      <c r="I54">
        <f ca="1">IFERROR(IF(0=LEN(ReferenceData!$N$54),"",ReferenceData!$N$54),"")</f>
        <v>125285</v>
      </c>
      <c r="J54">
        <f ca="1">IFERROR(IF(0=LEN(ReferenceData!$M$54),"",ReferenceData!$M$54),"")</f>
        <v>121622</v>
      </c>
      <c r="K54">
        <f ca="1">IFERROR(IF(0=LEN(ReferenceData!$L$54),"",ReferenceData!$L$54),"")</f>
        <v>121990</v>
      </c>
      <c r="L54">
        <f ca="1">IFERROR(IF(0=LEN(ReferenceData!$K$54),"",ReferenceData!$K$54),"")</f>
        <v>123382</v>
      </c>
      <c r="M54">
        <f ca="1">IFERROR(IF(0=LEN(ReferenceData!$J$54),"",ReferenceData!$J$54),"")</f>
        <v>130926</v>
      </c>
      <c r="N54">
        <f ca="1">IFERROR(IF(0=LEN(ReferenceData!$I$54),"",ReferenceData!$I$54),"")</f>
        <v>154652</v>
      </c>
      <c r="O54">
        <f ca="1">IFERROR(IF(0=LEN(ReferenceData!$H$54),"",ReferenceData!$H$54),"")</f>
        <v>149620</v>
      </c>
      <c r="P54">
        <f ca="1">IFERROR(IF(0=LEN(ReferenceData!$G$54),"",ReferenceData!$G$54),"")</f>
        <v>152186</v>
      </c>
      <c r="Q54">
        <f ca="1">IFERROR(IF(0=LEN(ReferenceData!$F$54),"",ReferenceData!$F$54),"")</f>
        <v>153403</v>
      </c>
    </row>
    <row r="55" spans="1:17" x14ac:dyDescent="0.25">
      <c r="A55" t="str">
        <f>IFERROR(IF(0=LEN(ReferenceData!$A$55),"",ReferenceData!$A$55),"")</f>
        <v xml:space="preserve">    Tata Consultancy Services Ltd</v>
      </c>
      <c r="B55" t="str">
        <f>IFERROR(IF(0=LEN(ReferenceData!$B$55),"",ReferenceData!$B$55),"")</f>
        <v>TCS IN Equity</v>
      </c>
      <c r="C55" t="str">
        <f>IFERROR(IF(0=LEN(ReferenceData!$C$55),"",ReferenceData!$C$55),"")</f>
        <v>BS035</v>
      </c>
      <c r="D55" t="str">
        <f>IFERROR(IF(0=LEN(ReferenceData!$D$55),"",ReferenceData!$D$55),"")</f>
        <v>BS_TOT_ASSET</v>
      </c>
      <c r="E55" t="str">
        <f>IFERROR(IF(0=LEN(ReferenceData!$E$55),"",ReferenceData!$E$55),"")</f>
        <v>Dynamic</v>
      </c>
      <c r="F55">
        <f ca="1">IFERROR(IF(0=LEN(ReferenceData!$Q$55),"",ReferenceData!$Q$55),"")</f>
        <v>13917.53933</v>
      </c>
      <c r="G55">
        <f ca="1">IFERROR(IF(0=LEN(ReferenceData!$P$55),"",ReferenceData!$P$55),"")</f>
        <v>14700.688599999999</v>
      </c>
      <c r="H55">
        <f ca="1">IFERROR(IF(0=LEN(ReferenceData!$O$55),"",ReferenceData!$O$55),"")</f>
        <v>15719.44277</v>
      </c>
      <c r="I55">
        <f ca="1">IFERROR(IF(0=LEN(ReferenceData!$N$55),"",ReferenceData!$N$55),"")</f>
        <v>16642.462390000001</v>
      </c>
      <c r="J55">
        <f ca="1">IFERROR(IF(0=LEN(ReferenceData!$M$55),"",ReferenceData!$M$55),"")</f>
        <v>16305.805039999999</v>
      </c>
      <c r="K55">
        <f ca="1">IFERROR(IF(0=LEN(ReferenceData!$L$55),"",ReferenceData!$L$55),"")</f>
        <v>14345.515820000001</v>
      </c>
      <c r="L55">
        <f ca="1">IFERROR(IF(0=LEN(ReferenceData!$K$55),"",ReferenceData!$K$55),"")</f>
        <v>15745.30062</v>
      </c>
      <c r="M55">
        <f ca="1">IFERROR(IF(0=LEN(ReferenceData!$J$55),"",ReferenceData!$J$55),"")</f>
        <v>16885.0877</v>
      </c>
      <c r="N55">
        <f ca="1">IFERROR(IF(0=LEN(ReferenceData!$I$55),"",ReferenceData!$I$55),"")</f>
        <v>18022.716820000001</v>
      </c>
      <c r="O55">
        <f ca="1">IFERROR(IF(0=LEN(ReferenceData!$H$55),"",ReferenceData!$H$55),"")</f>
        <v>18316.788949999998</v>
      </c>
      <c r="P55">
        <f ca="1">IFERROR(IF(0=LEN(ReferenceData!$G$55),"",ReferenceData!$G$55),"")</f>
        <v>16710.963220000001</v>
      </c>
      <c r="Q55">
        <f ca="1">IFERROR(IF(0=LEN(ReferenceData!$F$55),"",ReferenceData!$F$55),"")</f>
        <v>16320.414150000001</v>
      </c>
    </row>
    <row r="56" spans="1:17" x14ac:dyDescent="0.25">
      <c r="A56" t="str">
        <f>IFERROR(IF(0=LEN(ReferenceData!$A$56),"",ReferenceData!$A$56),"")</f>
        <v xml:space="preserve">    Tech Mahindra Ltd</v>
      </c>
      <c r="B56" t="str">
        <f>IFERROR(IF(0=LEN(ReferenceData!$B$56),"",ReferenceData!$B$56),"")</f>
        <v>TECHM IN Equity</v>
      </c>
      <c r="C56" t="str">
        <f>IFERROR(IF(0=LEN(ReferenceData!$C$56),"",ReferenceData!$C$56),"")</f>
        <v>BS035</v>
      </c>
      <c r="D56" t="str">
        <f>IFERROR(IF(0=LEN(ReferenceData!$D$56),"",ReferenceData!$D$56),"")</f>
        <v>BS_TOT_ASSET</v>
      </c>
      <c r="E56" t="str">
        <f>IFERROR(IF(0=LEN(ReferenceData!$E$56),"",ReferenceData!$E$56),"")</f>
        <v>Dynamic</v>
      </c>
      <c r="F56">
        <f ca="1">IFERROR(IF(0=LEN(ReferenceData!$Q$56),"",ReferenceData!$Q$56),"")</f>
        <v>4350.022207</v>
      </c>
      <c r="G56">
        <f ca="1">IFERROR(IF(0=LEN(ReferenceData!$P$56),"",ReferenceData!$P$56),"")</f>
        <v>4238.8278499999997</v>
      </c>
      <c r="H56">
        <f ca="1">IFERROR(IF(0=LEN(ReferenceData!$O$56),"",ReferenceData!$O$56),"")</f>
        <v>4514.3027179999999</v>
      </c>
      <c r="I56">
        <f ca="1">IFERROR(IF(0=LEN(ReferenceData!$N$56),"",ReferenceData!$N$56),"")</f>
        <v>4672.5821310000001</v>
      </c>
      <c r="J56">
        <f ca="1">IFERROR(IF(0=LEN(ReferenceData!$M$56),"",ReferenceData!$M$56),"")</f>
        <v>4618.5469149999999</v>
      </c>
      <c r="K56">
        <f ca="1">IFERROR(IF(0=LEN(ReferenceData!$L$56),"",ReferenceData!$L$56),"")</f>
        <v>4438.1146669999998</v>
      </c>
      <c r="L56">
        <f ca="1">IFERROR(IF(0=LEN(ReferenceData!$K$56),"",ReferenceData!$K$56),"")</f>
        <v>4680.427608</v>
      </c>
      <c r="M56">
        <f ca="1">IFERROR(IF(0=LEN(ReferenceData!$J$56),"",ReferenceData!$J$56),"")</f>
        <v>4824.7703149999998</v>
      </c>
      <c r="N56">
        <f ca="1">IFERROR(IF(0=LEN(ReferenceData!$I$56),"",ReferenceData!$I$56),"")</f>
        <v>4882.331862</v>
      </c>
      <c r="O56">
        <f ca="1">IFERROR(IF(0=LEN(ReferenceData!$H$56),"",ReferenceData!$H$56),"")</f>
        <v>4782.5765940000001</v>
      </c>
      <c r="P56">
        <f ca="1">IFERROR(IF(0=LEN(ReferenceData!$G$56),"",ReferenceData!$G$56),"")</f>
        <v>5005.2299419999999</v>
      </c>
      <c r="Q56">
        <f ca="1">IFERROR(IF(0=LEN(ReferenceData!$F$56),"",ReferenceData!$F$56),"")</f>
        <v>4955.7750379999998</v>
      </c>
    </row>
    <row r="57" spans="1:17" x14ac:dyDescent="0.25">
      <c r="A57" t="str">
        <f>IFERROR(IF(0=LEN(ReferenceData!$A$57),"",ReferenceData!$A$57),"")</f>
        <v xml:space="preserve">    Wipro Ltd</v>
      </c>
      <c r="B57" t="str">
        <f>IFERROR(IF(0=LEN(ReferenceData!$B$57),"",ReferenceData!$B$57),"")</f>
        <v>WIT US Equity</v>
      </c>
      <c r="C57" t="str">
        <f>IFERROR(IF(0=LEN(ReferenceData!$C$57),"",ReferenceData!$C$57),"")</f>
        <v>BS035</v>
      </c>
      <c r="D57" t="str">
        <f>IFERROR(IF(0=LEN(ReferenceData!$D$57),"",ReferenceData!$D$57),"")</f>
        <v>BS_TOT_ASSET</v>
      </c>
      <c r="E57" t="str">
        <f>IFERROR(IF(0=LEN(ReferenceData!$E$57),"",ReferenceData!$E$57),"")</f>
        <v>Dynamic</v>
      </c>
      <c r="F57">
        <f ca="1">IFERROR(IF(0=LEN(ReferenceData!$Q$57),"",ReferenceData!$Q$57),"")</f>
        <v>12853.548210000001</v>
      </c>
      <c r="G57">
        <f ca="1">IFERROR(IF(0=LEN(ReferenceData!$P$57),"",ReferenceData!$P$57),"")</f>
        <v>12903.28998</v>
      </c>
      <c r="H57">
        <f ca="1">IFERROR(IF(0=LEN(ReferenceData!$O$57),"",ReferenceData!$O$57),"")</f>
        <v>11612.757729999999</v>
      </c>
      <c r="I57">
        <f ca="1">IFERROR(IF(0=LEN(ReferenceData!$N$57),"",ReferenceData!$N$57),"")</f>
        <v>11677.00338</v>
      </c>
      <c r="J57">
        <f ca="1">IFERROR(IF(0=LEN(ReferenceData!$M$57),"",ReferenceData!$M$57),"")</f>
        <v>11146.184740000001</v>
      </c>
      <c r="K57">
        <f ca="1">IFERROR(IF(0=LEN(ReferenceData!$L$57),"",ReferenceData!$L$57),"")</f>
        <v>11053.335999999999</v>
      </c>
      <c r="L57">
        <f ca="1">IFERROR(IF(0=LEN(ReferenceData!$K$57),"",ReferenceData!$K$57),"")</f>
        <v>11603.989089999999</v>
      </c>
      <c r="M57">
        <f ca="1">IFERROR(IF(0=LEN(ReferenceData!$J$57),"",ReferenceData!$J$57),"")</f>
        <v>12018.62866</v>
      </c>
      <c r="N57">
        <f ca="1">IFERROR(IF(0=LEN(ReferenceData!$I$57),"",ReferenceData!$I$57),"")</f>
        <v>12711.394249999999</v>
      </c>
      <c r="O57">
        <f ca="1">IFERROR(IF(0=LEN(ReferenceData!$H$57),"",ReferenceData!$H$57),"")</f>
        <v>11073.17971</v>
      </c>
      <c r="P57">
        <f ca="1">IFERROR(IF(0=LEN(ReferenceData!$G$57),"",ReferenceData!$G$57),"")</f>
        <v>11389.957109999999</v>
      </c>
      <c r="Q57">
        <f ca="1">IFERROR(IF(0=LEN(ReferenceData!$F$57),"",ReferenceData!$F$57),"")</f>
        <v>10840.14716</v>
      </c>
    </row>
    <row r="58" spans="1:17" x14ac:dyDescent="0.25">
      <c r="A58" t="str">
        <f>IFERROR(IF(0=LEN(ReferenceData!$A$58),"",ReferenceData!$A$58),"")</f>
        <v>Liabilities &amp; Equity ($M):</v>
      </c>
      <c r="B58" t="str">
        <f>IFERROR(IF(0=LEN(ReferenceData!$B$58),"",ReferenceData!$B$58),"")</f>
        <v/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Heading</v>
      </c>
      <c r="F58" t="str">
        <f>IFERROR(IF(0=LEN(ReferenceData!$Q$58),"",ReferenceData!$Q$58),"")</f>
        <v/>
      </c>
      <c r="G58" t="str">
        <f>IFERROR(IF(0=LEN(ReferenceData!$P$58),"",ReferenceData!$P$58),"")</f>
        <v/>
      </c>
      <c r="H58" t="str">
        <f>IFERROR(IF(0=LEN(ReferenceData!$O$58),"",ReferenceData!$O$58),"")</f>
        <v/>
      </c>
      <c r="I58" t="str">
        <f>IFERROR(IF(0=LEN(ReferenceData!$N$58),"",ReferenceData!$N$58),"")</f>
        <v/>
      </c>
      <c r="J58" t="str">
        <f>IFERROR(IF(0=LEN(ReferenceData!$M$58),"",ReferenceData!$M$58),"")</f>
        <v/>
      </c>
      <c r="K58" t="str">
        <f>IFERROR(IF(0=LEN(ReferenceData!$L$58),"",ReferenceData!$L$58),"")</f>
        <v/>
      </c>
      <c r="L58" t="str">
        <f>IFERROR(IF(0=LEN(ReferenceData!$K$58),"",ReferenceData!$K$58),"")</f>
        <v/>
      </c>
      <c r="M58" t="str">
        <f>IFERROR(IF(0=LEN(ReferenceData!$J$58),"",ReferenceData!$J$58),"")</f>
        <v/>
      </c>
      <c r="N58" t="str">
        <f>IFERROR(IF(0=LEN(ReferenceData!$I$58),"",ReferenceData!$I$58),"")</f>
        <v/>
      </c>
      <c r="O58" t="str">
        <f>IFERROR(IF(0=LEN(ReferenceData!$H$58),"",ReferenceData!$H$58),"")</f>
        <v/>
      </c>
      <c r="P58" t="str">
        <f>IFERROR(IF(0=LEN(ReferenceData!$G$58),"",ReferenceData!$G$58),"")</f>
        <v/>
      </c>
      <c r="Q58" t="str">
        <f>IFERROR(IF(0=LEN(ReferenceData!$F$58),"",ReferenceData!$F$58),"")</f>
        <v/>
      </c>
    </row>
    <row r="59" spans="1:17" x14ac:dyDescent="0.25">
      <c r="A59" t="str">
        <f>IFERROR(IF(0=LEN(ReferenceData!$A$59),"",ReferenceData!$A$59),"")</f>
        <v>Accounts Payable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Sum</v>
      </c>
      <c r="F59">
        <f ca="1">IFERROR(IF(0=LEN(ReferenceData!$Q$59),"",ReferenceData!$Q$59),"")</f>
        <v>9896.5062641600016</v>
      </c>
      <c r="G59">
        <f ca="1">IFERROR(IF(0=LEN(ReferenceData!$P$59),"",ReferenceData!$P$59),"")</f>
        <v>12011.562314460001</v>
      </c>
      <c r="H59">
        <f ca="1">IFERROR(IF(0=LEN(ReferenceData!$O$59),"",ReferenceData!$O$59),"")</f>
        <v>11710.565123090002</v>
      </c>
      <c r="I59">
        <f ca="1">IFERROR(IF(0=LEN(ReferenceData!$N$59),"",ReferenceData!$N$59),"")</f>
        <v>11942.373299399998</v>
      </c>
      <c r="J59">
        <f ca="1">IFERROR(IF(0=LEN(ReferenceData!$M$59),"",ReferenceData!$M$59),"")</f>
        <v>10791.6361994</v>
      </c>
      <c r="K59">
        <f ca="1">IFERROR(IF(0=LEN(ReferenceData!$L$59),"",ReferenceData!$L$59),"")</f>
        <v>11589.181942900001</v>
      </c>
      <c r="L59">
        <f ca="1">IFERROR(IF(0=LEN(ReferenceData!$K$59),"",ReferenceData!$K$59),"")</f>
        <v>12093.725853099999</v>
      </c>
      <c r="M59">
        <f ca="1">IFERROR(IF(0=LEN(ReferenceData!$J$59),"",ReferenceData!$J$59),"")</f>
        <v>11632.529098499999</v>
      </c>
      <c r="N59">
        <f ca="1">IFERROR(IF(0=LEN(ReferenceData!$I$59),"",ReferenceData!$I$59),"")</f>
        <v>11491.101621400001</v>
      </c>
      <c r="O59">
        <f ca="1">IFERROR(IF(0=LEN(ReferenceData!$H$59),"",ReferenceData!$H$59),"")</f>
        <v>9520.3575684999996</v>
      </c>
      <c r="P59">
        <f ca="1">IFERROR(IF(0=LEN(ReferenceData!$G$59),"",ReferenceData!$G$59),"")</f>
        <v>12068.201980299998</v>
      </c>
      <c r="Q59">
        <f ca="1">IFERROR(IF(0=LEN(ReferenceData!$F$59),"",ReferenceData!$F$59),"")</f>
        <v>10747.9861403</v>
      </c>
    </row>
    <row r="60" spans="1:17" x14ac:dyDescent="0.25">
      <c r="A60" t="str">
        <f>IFERROR(IF(0=LEN(ReferenceData!$A$60),"",ReferenceData!$A$60),"")</f>
        <v xml:space="preserve">    Accenture PLC</v>
      </c>
      <c r="B60" t="str">
        <f>IFERROR(IF(0=LEN(ReferenceData!$B$60),"",ReferenceData!$B$60),"")</f>
        <v>ACN US Equity</v>
      </c>
      <c r="C60" t="str">
        <f>IFERROR(IF(0=LEN(ReferenceData!$C$60),"",ReferenceData!$C$60),"")</f>
        <v>BS036</v>
      </c>
      <c r="D60" t="str">
        <f>IFERROR(IF(0=LEN(ReferenceData!$D$60),"",ReferenceData!$D$60),"")</f>
        <v>BS_ACCT_PAYABLE</v>
      </c>
      <c r="E60" t="str">
        <f>IFERROR(IF(0=LEN(ReferenceData!$E$60),"",ReferenceData!$E$60),"")</f>
        <v>Dynamic</v>
      </c>
      <c r="F60">
        <f ca="1">IFERROR(IF(0=LEN(ReferenceData!$Q$60),"",ReferenceData!$Q$60),"")</f>
        <v>1291.1379999999999</v>
      </c>
      <c r="G60">
        <f ca="1">IFERROR(IF(0=LEN(ReferenceData!$P$60),"",ReferenceData!$P$60),"")</f>
        <v>1525.0650000000001</v>
      </c>
      <c r="H60">
        <f ca="1">IFERROR(IF(0=LEN(ReferenceData!$O$60),"",ReferenceData!$O$60),"")</f>
        <v>1316.93</v>
      </c>
      <c r="I60">
        <f ca="1">IFERROR(IF(0=LEN(ReferenceData!$N$60),"",ReferenceData!$N$60),"")</f>
        <v>1367.4639999999999</v>
      </c>
      <c r="J60">
        <f ca="1">IFERROR(IF(0=LEN(ReferenceData!$M$60),"",ReferenceData!$M$60),"")</f>
        <v>1388.989</v>
      </c>
      <c r="K60">
        <f ca="1">IFERROR(IF(0=LEN(ReferenceData!$L$60),"",ReferenceData!$L$60),"")</f>
        <v>1348.8019999999999</v>
      </c>
      <c r="L60">
        <f ca="1">IFERROR(IF(0=LEN(ReferenceData!$K$60),"",ReferenceData!$K$60),"")</f>
        <v>1355.538</v>
      </c>
      <c r="M60">
        <f ca="1">IFERROR(IF(0=LEN(ReferenceData!$J$60),"",ReferenceData!$J$60),"")</f>
        <v>1472.13</v>
      </c>
      <c r="N60">
        <f ca="1">IFERROR(IF(0=LEN(ReferenceData!$I$60),"",ReferenceData!$I$60),"")</f>
        <v>1562.9949999999999</v>
      </c>
      <c r="O60">
        <f ca="1">IFERROR(IF(0=LEN(ReferenceData!$H$60),"",ReferenceData!$H$60),"")</f>
        <v>1646.6410000000001</v>
      </c>
      <c r="P60">
        <f ca="1">IFERROR(IF(0=LEN(ReferenceData!$G$60),"",ReferenceData!$G$60),"")</f>
        <v>1581.1120000000001</v>
      </c>
      <c r="Q60">
        <f ca="1">IFERROR(IF(0=LEN(ReferenceData!$F$60),"",ReferenceData!$F$60),"")</f>
        <v>1526.135</v>
      </c>
    </row>
    <row r="61" spans="1:17" x14ac:dyDescent="0.25">
      <c r="A61" t="str">
        <f>IFERROR(IF(0=LEN(ReferenceData!$A$61),"",ReferenceData!$A$61),"")</f>
        <v xml:space="preserve">    Amdocs Ltd</v>
      </c>
      <c r="B61" t="str">
        <f>IFERROR(IF(0=LEN(ReferenceData!$B$61),"",ReferenceData!$B$61),"")</f>
        <v>DOX US Equity</v>
      </c>
      <c r="C61" t="str">
        <f>IFERROR(IF(0=LEN(ReferenceData!$C$61),"",ReferenceData!$C$61),"")</f>
        <v>BS036</v>
      </c>
      <c r="D61" t="str">
        <f>IFERROR(IF(0=LEN(ReferenceData!$D$61),"",ReferenceData!$D$61),"")</f>
        <v>BS_ACCT_PAYABLE</v>
      </c>
      <c r="E61" t="str">
        <f>IFERROR(IF(0=LEN(ReferenceData!$E$61),"",ReferenceData!$E$61),"")</f>
        <v>Dynamic</v>
      </c>
      <c r="F61">
        <f ca="1">IFERROR(IF(0=LEN(ReferenceData!$Q$61),"",ReferenceData!$Q$61),"")</f>
        <v>176.39</v>
      </c>
      <c r="G61">
        <f ca="1">IFERROR(IF(0=LEN(ReferenceData!$P$61),"",ReferenceData!$P$61),"")</f>
        <v>126.414</v>
      </c>
      <c r="H61" t="str">
        <f ca="1">IFERROR(IF(0=LEN(ReferenceData!$O$61),"",ReferenceData!$O$61),"")</f>
        <v/>
      </c>
      <c r="I61">
        <f ca="1">IFERROR(IF(0=LEN(ReferenceData!$N$61),"",ReferenceData!$N$61),"")</f>
        <v>1141.799</v>
      </c>
      <c r="J61">
        <f ca="1">IFERROR(IF(0=LEN(ReferenceData!$M$61),"",ReferenceData!$M$61),"")</f>
        <v>252.596</v>
      </c>
      <c r="K61">
        <f ca="1">IFERROR(IF(0=LEN(ReferenceData!$L$61),"",ReferenceData!$L$61),"")</f>
        <v>194.738</v>
      </c>
      <c r="L61">
        <f ca="1">IFERROR(IF(0=LEN(ReferenceData!$K$61),"",ReferenceData!$K$61),"")</f>
        <v>168.44</v>
      </c>
      <c r="M61" t="str">
        <f ca="1">IFERROR(IF(0=LEN(ReferenceData!$J$61),"",ReferenceData!$J$61),"")</f>
        <v/>
      </c>
      <c r="N61">
        <f ca="1">IFERROR(IF(0=LEN(ReferenceData!$I$61),"",ReferenceData!$I$61),"")</f>
        <v>172.09299999999999</v>
      </c>
      <c r="O61">
        <f ca="1">IFERROR(IF(0=LEN(ReferenceData!$H$61),"",ReferenceData!$H$61),"")</f>
        <v>176.50800000000001</v>
      </c>
      <c r="P61" t="str">
        <f ca="1">IFERROR(IF(0=LEN(ReferenceData!$G$61),"",ReferenceData!$G$61),"")</f>
        <v/>
      </c>
      <c r="Q61" t="str">
        <f ca="1">IFERROR(IF(0=LEN(ReferenceData!$F$61),"",ReferenceData!$F$61),"")</f>
        <v/>
      </c>
    </row>
    <row r="62" spans="1:17" x14ac:dyDescent="0.25">
      <c r="A62" t="str">
        <f>IFERROR(IF(0=LEN(ReferenceData!$A$62),"",ReferenceData!$A$62),"")</f>
        <v xml:space="preserve">    Atos SE</v>
      </c>
      <c r="B62" t="str">
        <f>IFERROR(IF(0=LEN(ReferenceData!$B$62),"",ReferenceData!$B$62),"")</f>
        <v>ATO FP Equity</v>
      </c>
      <c r="C62" t="str">
        <f>IFERROR(IF(0=LEN(ReferenceData!$C$62),"",ReferenceData!$C$62),"")</f>
        <v>BS036</v>
      </c>
      <c r="D62" t="str">
        <f>IFERROR(IF(0=LEN(ReferenceData!$D$62),"",ReferenceData!$D$62),"")</f>
        <v>BS_ACCT_PAYABLE</v>
      </c>
      <c r="E62" t="str">
        <f>IFERROR(IF(0=LEN(ReferenceData!$E$62),"",ReferenceData!$E$62),"")</f>
        <v>Dynamic</v>
      </c>
      <c r="F62" t="str">
        <f ca="1">IFERROR(IF(0=LEN(ReferenceData!$Q$62),"",ReferenceData!$Q$62),"")</f>
        <v/>
      </c>
      <c r="G62" t="str">
        <f ca="1">IFERROR(IF(0=LEN(ReferenceData!$P$62),"",ReferenceData!$P$62),"")</f>
        <v/>
      </c>
      <c r="H62" t="str">
        <f ca="1">IFERROR(IF(0=LEN(ReferenceData!$O$62),"",ReferenceData!$O$62),"")</f>
        <v/>
      </c>
      <c r="I62" t="str">
        <f ca="1">IFERROR(IF(0=LEN(ReferenceData!$N$62),"",ReferenceData!$N$62),"")</f>
        <v/>
      </c>
      <c r="J62" t="str">
        <f ca="1">IFERROR(IF(0=LEN(ReferenceData!$M$62),"",ReferenceData!$M$62),"")</f>
        <v/>
      </c>
      <c r="K62" t="str">
        <f ca="1">IFERROR(IF(0=LEN(ReferenceData!$L$62),"",ReferenceData!$L$62),"")</f>
        <v/>
      </c>
      <c r="L62" t="str">
        <f ca="1">IFERROR(IF(0=LEN(ReferenceData!$K$62),"",ReferenceData!$K$62),"")</f>
        <v/>
      </c>
      <c r="M62" t="str">
        <f ca="1">IFERROR(IF(0=LEN(ReferenceData!$J$62),"",ReferenceData!$J$62),"")</f>
        <v/>
      </c>
      <c r="N62" t="str">
        <f ca="1">IFERROR(IF(0=LEN(ReferenceData!$I$62),"",ReferenceData!$I$62),"")</f>
        <v/>
      </c>
      <c r="O62" t="str">
        <f ca="1">IFERROR(IF(0=LEN(ReferenceData!$H$62),"",ReferenceData!$H$62),"")</f>
        <v/>
      </c>
      <c r="P62" t="str">
        <f ca="1">IFERROR(IF(0=LEN(ReferenceData!$G$62),"",ReferenceData!$G$62),"")</f>
        <v/>
      </c>
      <c r="Q62" t="str">
        <f ca="1">IFERROR(IF(0=LEN(ReferenceData!$F$62),"",ReferenceData!$F$62),"")</f>
        <v/>
      </c>
    </row>
    <row r="63" spans="1:17" x14ac:dyDescent="0.25">
      <c r="A63" t="str">
        <f>IFERROR(IF(0=LEN(ReferenceData!$A$63),"",ReferenceData!$A$63),"")</f>
        <v xml:space="preserve">    Capgemini SE</v>
      </c>
      <c r="B63" t="str">
        <f>IFERROR(IF(0=LEN(ReferenceData!$B$63),"",ReferenceData!$B$63),"")</f>
        <v>CAP FP Equity</v>
      </c>
      <c r="C63" t="str">
        <f>IFERROR(IF(0=LEN(ReferenceData!$C$63),"",ReferenceData!$C$63),"")</f>
        <v>BS036</v>
      </c>
      <c r="D63" t="str">
        <f>IFERROR(IF(0=LEN(ReferenceData!$D$63),"",ReferenceData!$D$63),"")</f>
        <v>BS_ACCT_PAYABLE</v>
      </c>
      <c r="E63" t="str">
        <f>IFERROR(IF(0=LEN(ReferenceData!$E$63),"",ReferenceData!$E$63),"")</f>
        <v>Dynamic</v>
      </c>
      <c r="F63" t="str">
        <f ca="1">IFERROR(IF(0=LEN(ReferenceData!$Q$63),"",ReferenceData!$Q$63),"")</f>
        <v/>
      </c>
      <c r="G63" t="str">
        <f ca="1">IFERROR(IF(0=LEN(ReferenceData!$P$63),"",ReferenceData!$P$63),"")</f>
        <v/>
      </c>
      <c r="H63" t="str">
        <f ca="1">IFERROR(IF(0=LEN(ReferenceData!$O$63),"",ReferenceData!$O$63),"")</f>
        <v/>
      </c>
      <c r="I63" t="str">
        <f ca="1">IFERROR(IF(0=LEN(ReferenceData!$N$63),"",ReferenceData!$N$63),"")</f>
        <v/>
      </c>
      <c r="J63" t="str">
        <f ca="1">IFERROR(IF(0=LEN(ReferenceData!$M$63),"",ReferenceData!$M$63),"")</f>
        <v/>
      </c>
      <c r="K63" t="str">
        <f ca="1">IFERROR(IF(0=LEN(ReferenceData!$L$63),"",ReferenceData!$L$63),"")</f>
        <v/>
      </c>
      <c r="L63" t="str">
        <f ca="1">IFERROR(IF(0=LEN(ReferenceData!$K$63),"",ReferenceData!$K$63),"")</f>
        <v/>
      </c>
      <c r="M63" t="str">
        <f ca="1">IFERROR(IF(0=LEN(ReferenceData!$J$63),"",ReferenceData!$J$63),"")</f>
        <v/>
      </c>
      <c r="N63" t="str">
        <f ca="1">IFERROR(IF(0=LEN(ReferenceData!$I$63),"",ReferenceData!$I$63),"")</f>
        <v/>
      </c>
      <c r="O63" t="str">
        <f ca="1">IFERROR(IF(0=LEN(ReferenceData!$H$63),"",ReferenceData!$H$63),"")</f>
        <v/>
      </c>
      <c r="P63">
        <f ca="1">IFERROR(IF(0=LEN(ReferenceData!$G$63),"",ReferenceData!$G$63),"")</f>
        <v>1290.2121</v>
      </c>
      <c r="Q63" t="str">
        <f ca="1">IFERROR(IF(0=LEN(ReferenceData!$F$63),"",ReferenceData!$F$63),"")</f>
        <v/>
      </c>
    </row>
    <row r="64" spans="1:17" x14ac:dyDescent="0.25">
      <c r="A64" t="str">
        <f>IFERROR(IF(0=LEN(ReferenceData!$A$64),"",ReferenceData!$A$64),"")</f>
        <v xml:space="preserve">    CGI Inc</v>
      </c>
      <c r="B64" t="str">
        <f>IFERROR(IF(0=LEN(ReferenceData!$B$64),"",ReferenceData!$B$64),"")</f>
        <v>GIB US Equity</v>
      </c>
      <c r="C64" t="str">
        <f>IFERROR(IF(0=LEN(ReferenceData!$C$64),"",ReferenceData!$C$64),"")</f>
        <v>BS036</v>
      </c>
      <c r="D64" t="str">
        <f>IFERROR(IF(0=LEN(ReferenceData!$D$64),"",ReferenceData!$D$64),"")</f>
        <v>BS_ACCT_PAYABLE</v>
      </c>
      <c r="E64" t="str">
        <f>IFERROR(IF(0=LEN(ReferenceData!$E$64),"",ReferenceData!$E$64),"")</f>
        <v>Dynamic</v>
      </c>
      <c r="F64" t="str">
        <f ca="1">IFERROR(IF(0=LEN(ReferenceData!$Q$64),"",ReferenceData!$Q$64),"")</f>
        <v/>
      </c>
      <c r="G64" t="str">
        <f ca="1">IFERROR(IF(0=LEN(ReferenceData!$P$64),"",ReferenceData!$P$64),"")</f>
        <v/>
      </c>
      <c r="H64" t="str">
        <f ca="1">IFERROR(IF(0=LEN(ReferenceData!$O$64),"",ReferenceData!$O$64),"")</f>
        <v/>
      </c>
      <c r="I64" t="str">
        <f ca="1">IFERROR(IF(0=LEN(ReferenceData!$N$64),"",ReferenceData!$N$64),"")</f>
        <v/>
      </c>
      <c r="J64" t="str">
        <f ca="1">IFERROR(IF(0=LEN(ReferenceData!$M$64),"",ReferenceData!$M$64),"")</f>
        <v/>
      </c>
      <c r="K64" t="str">
        <f ca="1">IFERROR(IF(0=LEN(ReferenceData!$L$64),"",ReferenceData!$L$64),"")</f>
        <v/>
      </c>
      <c r="L64" t="str">
        <f ca="1">IFERROR(IF(0=LEN(ReferenceData!$K$64),"",ReferenceData!$K$64),"")</f>
        <v/>
      </c>
      <c r="M64" t="str">
        <f ca="1">IFERROR(IF(0=LEN(ReferenceData!$J$64),"",ReferenceData!$J$64),"")</f>
        <v/>
      </c>
      <c r="N64" t="str">
        <f ca="1">IFERROR(IF(0=LEN(ReferenceData!$I$64),"",ReferenceData!$I$64),"")</f>
        <v/>
      </c>
      <c r="O64" t="str">
        <f ca="1">IFERROR(IF(0=LEN(ReferenceData!$H$64),"",ReferenceData!$H$64),"")</f>
        <v/>
      </c>
      <c r="P64" t="str">
        <f ca="1">IFERROR(IF(0=LEN(ReferenceData!$G$64),"",ReferenceData!$G$64),"")</f>
        <v/>
      </c>
      <c r="Q64" t="str">
        <f ca="1">IFERROR(IF(0=LEN(ReferenceData!$F$64),"",ReferenceData!$F$64),"")</f>
        <v/>
      </c>
    </row>
    <row r="65" spans="1:17" x14ac:dyDescent="0.25">
      <c r="A65" t="str">
        <f>IFERROR(IF(0=LEN(ReferenceData!$A$65),"",ReferenceData!$A$65),"")</f>
        <v xml:space="preserve">    Cognizant Technology Solutions Corp</v>
      </c>
      <c r="B65" t="str">
        <f>IFERROR(IF(0=LEN(ReferenceData!$B$65),"",ReferenceData!$B$65),"")</f>
        <v>CTSH US Equity</v>
      </c>
      <c r="C65" t="str">
        <f>IFERROR(IF(0=LEN(ReferenceData!$C$65),"",ReferenceData!$C$65),"")</f>
        <v>BS036</v>
      </c>
      <c r="D65" t="str">
        <f>IFERROR(IF(0=LEN(ReferenceData!$D$65),"",ReferenceData!$D$65),"")</f>
        <v>BS_ACCT_PAYABLE</v>
      </c>
      <c r="E65" t="str">
        <f>IFERROR(IF(0=LEN(ReferenceData!$E$65),"",ReferenceData!$E$65),"")</f>
        <v>Dynamic</v>
      </c>
      <c r="F65">
        <f ca="1">IFERROR(IF(0=LEN(ReferenceData!$Q$65),"",ReferenceData!$Q$65),"")</f>
        <v>179</v>
      </c>
      <c r="G65">
        <f ca="1">IFERROR(IF(0=LEN(ReferenceData!$P$65),"",ReferenceData!$P$65),"")</f>
        <v>186</v>
      </c>
      <c r="H65">
        <f ca="1">IFERROR(IF(0=LEN(ReferenceData!$O$65),"",ReferenceData!$O$65),"")</f>
        <v>210</v>
      </c>
      <c r="I65">
        <f ca="1">IFERROR(IF(0=LEN(ReferenceData!$N$65),"",ReferenceData!$N$65),"")</f>
        <v>293</v>
      </c>
      <c r="J65">
        <f ca="1">IFERROR(IF(0=LEN(ReferenceData!$M$65),"",ReferenceData!$M$65),"")</f>
        <v>217</v>
      </c>
      <c r="K65">
        <f ca="1">IFERROR(IF(0=LEN(ReferenceData!$L$65),"",ReferenceData!$L$65),"")</f>
        <v>223</v>
      </c>
      <c r="L65">
        <f ca="1">IFERROR(IF(0=LEN(ReferenceData!$K$65),"",ReferenceData!$K$65),"")</f>
        <v>215</v>
      </c>
      <c r="M65">
        <f ca="1">IFERROR(IF(0=LEN(ReferenceData!$J$65),"",ReferenceData!$J$65),"")</f>
        <v>262</v>
      </c>
      <c r="N65">
        <f ca="1">IFERROR(IF(0=LEN(ReferenceData!$I$65),"",ReferenceData!$I$65),"")</f>
        <v>254</v>
      </c>
      <c r="O65">
        <f ca="1">IFERROR(IF(0=LEN(ReferenceData!$H$65),"",ReferenceData!$H$65),"")</f>
        <v>246</v>
      </c>
      <c r="P65">
        <f ca="1">IFERROR(IF(0=LEN(ReferenceData!$G$65),"",ReferenceData!$G$65),"")</f>
        <v>239</v>
      </c>
      <c r="Q65">
        <f ca="1">IFERROR(IF(0=LEN(ReferenceData!$F$65),"",ReferenceData!$F$65),"")</f>
        <v>289</v>
      </c>
    </row>
    <row r="66" spans="1:17" x14ac:dyDescent="0.25">
      <c r="A66" t="str">
        <f>IFERROR(IF(0=LEN(ReferenceData!$A$66),"",ReferenceData!$A$66),"")</f>
        <v xml:space="preserve">    Conduent Inc</v>
      </c>
      <c r="B66" t="str">
        <f>IFERROR(IF(0=LEN(ReferenceData!$B$66),"",ReferenceData!$B$66),"")</f>
        <v>CNDT US Equity</v>
      </c>
      <c r="C66" t="str">
        <f>IFERROR(IF(0=LEN(ReferenceData!$C$66),"",ReferenceData!$C$66),"")</f>
        <v>BS036</v>
      </c>
      <c r="D66" t="str">
        <f>IFERROR(IF(0=LEN(ReferenceData!$D$66),"",ReferenceData!$D$66),"")</f>
        <v>BS_ACCT_PAYABLE</v>
      </c>
      <c r="E66" t="str">
        <f>IFERROR(IF(0=LEN(ReferenceData!$E$66),"",ReferenceData!$E$66),"")</f>
        <v>Dynamic</v>
      </c>
      <c r="F66">
        <f ca="1">IFERROR(IF(0=LEN(ReferenceData!$Q$66),"",ReferenceData!$Q$66),"")</f>
        <v>106</v>
      </c>
      <c r="G66">
        <f ca="1">IFERROR(IF(0=LEN(ReferenceData!$P$66),"",ReferenceData!$P$66),"")</f>
        <v>147</v>
      </c>
      <c r="H66">
        <f ca="1">IFERROR(IF(0=LEN(ReferenceData!$O$66),"",ReferenceData!$O$66),"")</f>
        <v>138</v>
      </c>
      <c r="I66">
        <f ca="1">IFERROR(IF(0=LEN(ReferenceData!$N$66),"",ReferenceData!$N$66),"")</f>
        <v>152</v>
      </c>
      <c r="J66">
        <f ca="1">IFERROR(IF(0=LEN(ReferenceData!$M$66),"",ReferenceData!$M$66),"")</f>
        <v>158</v>
      </c>
      <c r="K66">
        <f ca="1">IFERROR(IF(0=LEN(ReferenceData!$L$66),"",ReferenceData!$L$66),"")</f>
        <v>216</v>
      </c>
      <c r="L66">
        <f ca="1">IFERROR(IF(0=LEN(ReferenceData!$K$66),"",ReferenceData!$K$66),"")</f>
        <v>230</v>
      </c>
      <c r="M66">
        <f ca="1">IFERROR(IF(0=LEN(ReferenceData!$J$66),"",ReferenceData!$J$66),"")</f>
        <v>313</v>
      </c>
      <c r="N66">
        <f ca="1">IFERROR(IF(0=LEN(ReferenceData!$I$66),"",ReferenceData!$I$66),"")</f>
        <v>161</v>
      </c>
      <c r="O66">
        <f ca="1">IFERROR(IF(0=LEN(ReferenceData!$H$66),"",ReferenceData!$H$66),"")</f>
        <v>145</v>
      </c>
      <c r="P66">
        <f ca="1">IFERROR(IF(0=LEN(ReferenceData!$G$66),"",ReferenceData!$G$66),"")</f>
        <v>198</v>
      </c>
      <c r="Q66">
        <f ca="1">IFERROR(IF(0=LEN(ReferenceData!$F$66),"",ReferenceData!$F$66),"")</f>
        <v>168</v>
      </c>
    </row>
    <row r="67" spans="1:17" x14ac:dyDescent="0.25">
      <c r="A67" t="str">
        <f>IFERROR(IF(0=LEN(ReferenceData!$A$67),"",ReferenceData!$A$67),"")</f>
        <v xml:space="preserve">    DXC Technology Co</v>
      </c>
      <c r="B67" t="str">
        <f>IFERROR(IF(0=LEN(ReferenceData!$B$67),"",ReferenceData!$B$67),"")</f>
        <v>DXC US Equity</v>
      </c>
      <c r="C67" t="str">
        <f>IFERROR(IF(0=LEN(ReferenceData!$C$67),"",ReferenceData!$C$67),"")</f>
        <v>BS036</v>
      </c>
      <c r="D67" t="str">
        <f>IFERROR(IF(0=LEN(ReferenceData!$D$67),"",ReferenceData!$D$67),"")</f>
        <v>BS_ACCT_PAYABLE</v>
      </c>
      <c r="E67" t="str">
        <f>IFERROR(IF(0=LEN(ReferenceData!$E$67),"",ReferenceData!$E$67),"")</f>
        <v>Dynamic</v>
      </c>
      <c r="F67">
        <f ca="1">IFERROR(IF(0=LEN(ReferenceData!$Q$67),"",ReferenceData!$Q$67),"")</f>
        <v>1961</v>
      </c>
      <c r="G67">
        <f ca="1">IFERROR(IF(0=LEN(ReferenceData!$P$67),"",ReferenceData!$P$67),"")</f>
        <v>1666</v>
      </c>
      <c r="H67">
        <f ca="1">IFERROR(IF(0=LEN(ReferenceData!$O$67),"",ReferenceData!$O$67),"")</f>
        <v>1510</v>
      </c>
      <c r="I67">
        <f ca="1">IFERROR(IF(0=LEN(ReferenceData!$N$67),"",ReferenceData!$N$67),"")</f>
        <v>1513</v>
      </c>
      <c r="J67">
        <f ca="1">IFERROR(IF(0=LEN(ReferenceData!$M$67),"",ReferenceData!$M$67),"")</f>
        <v>1326</v>
      </c>
      <c r="K67">
        <f ca="1">IFERROR(IF(0=LEN(ReferenceData!$L$67),"",ReferenceData!$L$67),"")</f>
        <v>1358</v>
      </c>
      <c r="L67">
        <f ca="1">IFERROR(IF(0=LEN(ReferenceData!$K$67),"",ReferenceData!$K$67),"")</f>
        <v>1345</v>
      </c>
      <c r="M67">
        <f ca="1">IFERROR(IF(0=LEN(ReferenceData!$J$67),"",ReferenceData!$J$67),"")</f>
        <v>1666</v>
      </c>
      <c r="N67">
        <f ca="1">IFERROR(IF(0=LEN(ReferenceData!$I$67),"",ReferenceData!$I$67),"")</f>
        <v>1517</v>
      </c>
      <c r="O67">
        <f ca="1">IFERROR(IF(0=LEN(ReferenceData!$H$67),"",ReferenceData!$H$67),"")</f>
        <v>1603</v>
      </c>
      <c r="P67">
        <f ca="1">IFERROR(IF(0=LEN(ReferenceData!$G$67),"",ReferenceData!$G$67),"")</f>
        <v>1576</v>
      </c>
      <c r="Q67">
        <f ca="1">IFERROR(IF(0=LEN(ReferenceData!$F$67),"",ReferenceData!$F$67),"")</f>
        <v>1598</v>
      </c>
    </row>
    <row r="68" spans="1:17" x14ac:dyDescent="0.25">
      <c r="A68" t="str">
        <f>IFERROR(IF(0=LEN(ReferenceData!$A$68),"",ReferenceData!$A$68),"")</f>
        <v xml:space="preserve">    EPAM Systems Inc</v>
      </c>
      <c r="B68" t="str">
        <f>IFERROR(IF(0=LEN(ReferenceData!$B$68),"",ReferenceData!$B$68),"")</f>
        <v>EPAM US Equity</v>
      </c>
      <c r="C68" t="str">
        <f>IFERROR(IF(0=LEN(ReferenceData!$C$68),"",ReferenceData!$C$68),"")</f>
        <v>BS036</v>
      </c>
      <c r="D68" t="str">
        <f>IFERROR(IF(0=LEN(ReferenceData!$D$68),"",ReferenceData!$D$68),"")</f>
        <v>BS_ACCT_PAYABLE</v>
      </c>
      <c r="E68" t="str">
        <f>IFERROR(IF(0=LEN(ReferenceData!$E$68),"",ReferenceData!$E$68),"")</f>
        <v>Dynamic</v>
      </c>
      <c r="F68">
        <f ca="1">IFERROR(IF(0=LEN(ReferenceData!$Q$68),"",ReferenceData!$Q$68),"")</f>
        <v>4.2530000000000001</v>
      </c>
      <c r="G68">
        <f ca="1">IFERROR(IF(0=LEN(ReferenceData!$P$68),"",ReferenceData!$P$68),"")</f>
        <v>5.5919999999999996</v>
      </c>
      <c r="H68">
        <f ca="1">IFERROR(IF(0=LEN(ReferenceData!$O$68),"",ReferenceData!$O$68),"")</f>
        <v>5.5739999999999998</v>
      </c>
      <c r="I68">
        <f ca="1">IFERROR(IF(0=LEN(ReferenceData!$N$68),"",ReferenceData!$N$68),"")</f>
        <v>8.4740000000000002</v>
      </c>
      <c r="J68">
        <f ca="1">IFERROR(IF(0=LEN(ReferenceData!$M$68),"",ReferenceData!$M$68),"")</f>
        <v>6.7270000000000003</v>
      </c>
      <c r="K68">
        <f ca="1">IFERROR(IF(0=LEN(ReferenceData!$L$68),"",ReferenceData!$L$68),"")</f>
        <v>8.4220000000000006</v>
      </c>
      <c r="L68">
        <f ca="1">IFERROR(IF(0=LEN(ReferenceData!$K$68),"",ReferenceData!$K$68),"")</f>
        <v>7.444</v>
      </c>
      <c r="M68">
        <f ca="1">IFERROR(IF(0=LEN(ReferenceData!$J$68),"",ReferenceData!$J$68),"")</f>
        <v>4.3970000000000002</v>
      </c>
      <c r="N68">
        <f ca="1">IFERROR(IF(0=LEN(ReferenceData!$I$68),"",ReferenceData!$I$68),"")</f>
        <v>6.0430000000000001</v>
      </c>
      <c r="O68">
        <f ca="1">IFERROR(IF(0=LEN(ReferenceData!$H$68),"",ReferenceData!$H$68),"")</f>
        <v>6.8959999999999999</v>
      </c>
      <c r="P68">
        <f ca="1">IFERROR(IF(0=LEN(ReferenceData!$G$68),"",ReferenceData!$G$68),"")</f>
        <v>7.8310000000000004</v>
      </c>
      <c r="Q68">
        <f ca="1">IFERROR(IF(0=LEN(ReferenceData!$F$68),"",ReferenceData!$F$68),"")</f>
        <v>5.2320000000000002</v>
      </c>
    </row>
    <row r="69" spans="1:17" x14ac:dyDescent="0.25">
      <c r="A69" t="str">
        <f>IFERROR(IF(0=LEN(ReferenceData!$A$69),"",ReferenceData!$A$69),"")</f>
        <v xml:space="preserve">    Genpact Ltd</v>
      </c>
      <c r="B69" t="str">
        <f>IFERROR(IF(0=LEN(ReferenceData!$B$69),"",ReferenceData!$B$69),"")</f>
        <v>G US Equity</v>
      </c>
      <c r="C69" t="str">
        <f>IFERROR(IF(0=LEN(ReferenceData!$C$69),"",ReferenceData!$C$69),"")</f>
        <v>BS036</v>
      </c>
      <c r="D69" t="str">
        <f>IFERROR(IF(0=LEN(ReferenceData!$D$69),"",ReferenceData!$D$69),"")</f>
        <v>BS_ACCT_PAYABLE</v>
      </c>
      <c r="E69" t="str">
        <f>IFERROR(IF(0=LEN(ReferenceData!$E$69),"",ReferenceData!$E$69),"")</f>
        <v>Dynamic</v>
      </c>
      <c r="F69">
        <f ca="1">IFERROR(IF(0=LEN(ReferenceData!$Q$69),"",ReferenceData!$Q$69),"")</f>
        <v>18.317</v>
      </c>
      <c r="G69">
        <f ca="1">IFERROR(IF(0=LEN(ReferenceData!$P$69),"",ReferenceData!$P$69),"")</f>
        <v>16.858000000000001</v>
      </c>
      <c r="H69">
        <f ca="1">IFERROR(IF(0=LEN(ReferenceData!$O$69),"",ReferenceData!$O$69),"")</f>
        <v>15.05</v>
      </c>
      <c r="I69">
        <f ca="1">IFERROR(IF(0=LEN(ReferenceData!$N$69),"",ReferenceData!$N$69),"")</f>
        <v>13.811</v>
      </c>
      <c r="J69">
        <f ca="1">IFERROR(IF(0=LEN(ReferenceData!$M$69),"",ReferenceData!$M$69),"")</f>
        <v>20.942</v>
      </c>
      <c r="K69">
        <f ca="1">IFERROR(IF(0=LEN(ReferenceData!$L$69),"",ReferenceData!$L$69),"")</f>
        <v>14.436</v>
      </c>
      <c r="L69">
        <f ca="1">IFERROR(IF(0=LEN(ReferenceData!$K$69),"",ReferenceData!$K$69),"")</f>
        <v>42.584000000000003</v>
      </c>
      <c r="M69">
        <f ca="1">IFERROR(IF(0=LEN(ReferenceData!$J$69),"",ReferenceData!$J$69),"")</f>
        <v>29.494</v>
      </c>
      <c r="N69">
        <f ca="1">IFERROR(IF(0=LEN(ReferenceData!$I$69),"",ReferenceData!$I$69),"")</f>
        <v>24.398</v>
      </c>
      <c r="O69">
        <f ca="1">IFERROR(IF(0=LEN(ReferenceData!$H$69),"",ReferenceData!$H$69),"")</f>
        <v>20.954000000000001</v>
      </c>
      <c r="P69">
        <f ca="1">IFERROR(IF(0=LEN(ReferenceData!$G$69),"",ReferenceData!$G$69),"")</f>
        <v>21.981000000000002</v>
      </c>
      <c r="Q69">
        <f ca="1">IFERROR(IF(0=LEN(ReferenceData!$F$69),"",ReferenceData!$F$69),"")</f>
        <v>26.07</v>
      </c>
    </row>
    <row r="70" spans="1:17" x14ac:dyDescent="0.25">
      <c r="A70" t="str">
        <f>IFERROR(IF(0=LEN(ReferenceData!$A$70),"",ReferenceData!$A$70),"")</f>
        <v xml:space="preserve">    HCL Technologies Ltd</v>
      </c>
      <c r="B70" t="str">
        <f>IFERROR(IF(0=LEN(ReferenceData!$B$70),"",ReferenceData!$B$70),"")</f>
        <v>HCLT IN Equity</v>
      </c>
      <c r="C70" t="str">
        <f>IFERROR(IF(0=LEN(ReferenceData!$C$70),"",ReferenceData!$C$70),"")</f>
        <v>BS036</v>
      </c>
      <c r="D70" t="str">
        <f>IFERROR(IF(0=LEN(ReferenceData!$D$70),"",ReferenceData!$D$70),"")</f>
        <v>BS_ACCT_PAYABLE</v>
      </c>
      <c r="E70" t="str">
        <f>IFERROR(IF(0=LEN(ReferenceData!$E$70),"",ReferenceData!$E$70),"")</f>
        <v>Dynamic</v>
      </c>
      <c r="F70" t="str">
        <f ca="1">IFERROR(IF(0=LEN(ReferenceData!$Q$70),"",ReferenceData!$Q$70),"")</f>
        <v/>
      </c>
      <c r="G70" t="str">
        <f ca="1">IFERROR(IF(0=LEN(ReferenceData!$P$70),"",ReferenceData!$P$70),"")</f>
        <v/>
      </c>
      <c r="H70" t="str">
        <f ca="1">IFERROR(IF(0=LEN(ReferenceData!$O$70),"",ReferenceData!$O$70),"")</f>
        <v/>
      </c>
      <c r="I70">
        <f ca="1">IFERROR(IF(0=LEN(ReferenceData!$N$70),"",ReferenceData!$N$70),"")</f>
        <v>140.92723369999999</v>
      </c>
      <c r="J70" t="str">
        <f ca="1">IFERROR(IF(0=LEN(ReferenceData!$M$70),"",ReferenceData!$M$70),"")</f>
        <v/>
      </c>
      <c r="K70" t="str">
        <f ca="1">IFERROR(IF(0=LEN(ReferenceData!$L$70),"",ReferenceData!$L$70),"")</f>
        <v/>
      </c>
      <c r="L70" t="str">
        <f ca="1">IFERROR(IF(0=LEN(ReferenceData!$K$70),"",ReferenceData!$K$70),"")</f>
        <v/>
      </c>
      <c r="M70">
        <f ca="1">IFERROR(IF(0=LEN(ReferenceData!$J$70),"",ReferenceData!$J$70),"")</f>
        <v>257.548</v>
      </c>
      <c r="N70" t="str">
        <f ca="1">IFERROR(IF(0=LEN(ReferenceData!$I$70),"",ReferenceData!$I$70),"")</f>
        <v/>
      </c>
      <c r="O70" t="str">
        <f ca="1">IFERROR(IF(0=LEN(ReferenceData!$H$70),"",ReferenceData!$H$70),"")</f>
        <v/>
      </c>
      <c r="P70" t="str">
        <f ca="1">IFERROR(IF(0=LEN(ReferenceData!$G$70),"",ReferenceData!$G$70),"")</f>
        <v/>
      </c>
      <c r="Q70">
        <f ca="1">IFERROR(IF(0=LEN(ReferenceData!$F$70),"",ReferenceData!$F$70),"")</f>
        <v>222.34100000000001</v>
      </c>
    </row>
    <row r="71" spans="1:17" x14ac:dyDescent="0.25">
      <c r="A71" t="str">
        <f>IFERROR(IF(0=LEN(ReferenceData!$A$71),"",ReferenceData!$A$71),"")</f>
        <v xml:space="preserve">    Indra Sistemas SA</v>
      </c>
      <c r="B71" t="str">
        <f>IFERROR(IF(0=LEN(ReferenceData!$B$71),"",ReferenceData!$B$71),"")</f>
        <v>IDR SM Equity</v>
      </c>
      <c r="C71" t="str">
        <f>IFERROR(IF(0=LEN(ReferenceData!$C$71),"",ReferenceData!$C$71),"")</f>
        <v>BS036</v>
      </c>
      <c r="D71" t="str">
        <f>IFERROR(IF(0=LEN(ReferenceData!$D$71),"",ReferenceData!$D$71),"")</f>
        <v>BS_ACCT_PAYABLE</v>
      </c>
      <c r="E71" t="str">
        <f>IFERROR(IF(0=LEN(ReferenceData!$E$71),"",ReferenceData!$E$71),"")</f>
        <v>Dynamic</v>
      </c>
      <c r="F71">
        <f ca="1">IFERROR(IF(0=LEN(ReferenceData!$Q$71),"",ReferenceData!$Q$71),"")</f>
        <v>610.08077370000001</v>
      </c>
      <c r="G71">
        <f ca="1">IFERROR(IF(0=LEN(ReferenceData!$P$71),"",ReferenceData!$P$71),"")</f>
        <v>1619.8437200000001</v>
      </c>
      <c r="H71">
        <f ca="1">IFERROR(IF(0=LEN(ReferenceData!$O$71),"",ReferenceData!$O$71),"")</f>
        <v>785.18447060000005</v>
      </c>
      <c r="I71" t="str">
        <f ca="1">IFERROR(IF(0=LEN(ReferenceData!$N$71),"",ReferenceData!$N$71),"")</f>
        <v/>
      </c>
      <c r="J71">
        <f ca="1">IFERROR(IF(0=LEN(ReferenceData!$M$71),"",ReferenceData!$M$71),"")</f>
        <v>663.09012199999995</v>
      </c>
      <c r="K71">
        <f ca="1">IFERROR(IF(0=LEN(ReferenceData!$L$71),"",ReferenceData!$L$71),"")</f>
        <v>1479.8558800000001</v>
      </c>
      <c r="L71">
        <f ca="1">IFERROR(IF(0=LEN(ReferenceData!$K$71),"",ReferenceData!$K$71),"")</f>
        <v>751.12866359999998</v>
      </c>
      <c r="M71" t="str">
        <f ca="1">IFERROR(IF(0=LEN(ReferenceData!$J$71),"",ReferenceData!$J$71),"")</f>
        <v/>
      </c>
      <c r="N71">
        <f ca="1">IFERROR(IF(0=LEN(ReferenceData!$I$71),"",ReferenceData!$I$71),"")</f>
        <v>1419.1139470000001</v>
      </c>
      <c r="O71" t="str">
        <f ca="1">IFERROR(IF(0=LEN(ReferenceData!$H$71),"",ReferenceData!$H$71),"")</f>
        <v/>
      </c>
      <c r="P71">
        <f ca="1">IFERROR(IF(0=LEN(ReferenceData!$G$71),"",ReferenceData!$G$71),"")</f>
        <v>699.31853909999995</v>
      </c>
      <c r="Q71" t="str">
        <f ca="1">IFERROR(IF(0=LEN(ReferenceData!$F$71),"",ReferenceData!$F$71),"")</f>
        <v/>
      </c>
    </row>
    <row r="72" spans="1:17" x14ac:dyDescent="0.25">
      <c r="A72" t="str">
        <f>IFERROR(IF(0=LEN(ReferenceData!$A$72),"",ReferenceData!$A$72),"")</f>
        <v xml:space="preserve">    Infosys Ltd</v>
      </c>
      <c r="B72" t="str">
        <f>IFERROR(IF(0=LEN(ReferenceData!$B$72),"",ReferenceData!$B$72),"")</f>
        <v>INFY US Equity</v>
      </c>
      <c r="C72" t="str">
        <f>IFERROR(IF(0=LEN(ReferenceData!$C$72),"",ReferenceData!$C$72),"")</f>
        <v>BS036</v>
      </c>
      <c r="D72" t="str">
        <f>IFERROR(IF(0=LEN(ReferenceData!$D$72),"",ReferenceData!$D$72),"")</f>
        <v>BS_ACCT_PAYABLE</v>
      </c>
      <c r="E72" t="str">
        <f>IFERROR(IF(0=LEN(ReferenceData!$E$72),"",ReferenceData!$E$72),"")</f>
        <v>Dynamic</v>
      </c>
      <c r="F72">
        <f ca="1">IFERROR(IF(0=LEN(ReferenceData!$Q$72),"",ReferenceData!$Q$72),"")</f>
        <v>40.235283559999999</v>
      </c>
      <c r="G72">
        <f ca="1">IFERROR(IF(0=LEN(ReferenceData!$P$72),"",ReferenceData!$P$72),"")</f>
        <v>82.325937260000003</v>
      </c>
      <c r="H72">
        <f ca="1">IFERROR(IF(0=LEN(ReferenceData!$O$72),"",ReferenceData!$O$72),"")</f>
        <v>78.619922790000004</v>
      </c>
      <c r="I72">
        <f ca="1">IFERROR(IF(0=LEN(ReferenceData!$N$72),"",ReferenceData!$N$72),"")</f>
        <v>106.5397605</v>
      </c>
      <c r="J72">
        <f ca="1">IFERROR(IF(0=LEN(ReferenceData!$M$72),"",ReferenceData!$M$72),"")</f>
        <v>116.5388828</v>
      </c>
      <c r="K72">
        <f ca="1">IFERROR(IF(0=LEN(ReferenceData!$L$72),"",ReferenceData!$L$72),"")</f>
        <v>164.43945170000001</v>
      </c>
      <c r="L72">
        <f ca="1">IFERROR(IF(0=LEN(ReferenceData!$K$72),"",ReferenceData!$K$72),"")</f>
        <v>218.82623039999999</v>
      </c>
      <c r="M72">
        <f ca="1">IFERROR(IF(0=LEN(ReferenceData!$J$72),"",ReferenceData!$J$72),"")</f>
        <v>238.73647099999999</v>
      </c>
      <c r="N72">
        <f ca="1">IFERROR(IF(0=LEN(ReferenceData!$I$72),"",ReferenceData!$I$72),"")</f>
        <v>317.00250560000001</v>
      </c>
      <c r="O72">
        <f ca="1">IFERROR(IF(0=LEN(ReferenceData!$H$72),"",ReferenceData!$H$72),"")</f>
        <v>301.97329789999998</v>
      </c>
      <c r="P72">
        <f ca="1">IFERROR(IF(0=LEN(ReferenceData!$G$72),"",ReferenceData!$G$72),"")</f>
        <v>263.39251239999999</v>
      </c>
      <c r="Q72">
        <f ca="1">IFERROR(IF(0=LEN(ReferenceData!$F$72),"",ReferenceData!$F$72),"")</f>
        <v>378.38131870000001</v>
      </c>
    </row>
    <row r="73" spans="1:17" x14ac:dyDescent="0.25">
      <c r="A73" t="str">
        <f>IFERROR(IF(0=LEN(ReferenceData!$A$73),"",ReferenceData!$A$73),"")</f>
        <v xml:space="preserve">    International Business Machines Corp</v>
      </c>
      <c r="B73" t="str">
        <f>IFERROR(IF(0=LEN(ReferenceData!$B$73),"",ReferenceData!$B$73),"")</f>
        <v>IBM US Equity</v>
      </c>
      <c r="C73" t="str">
        <f>IFERROR(IF(0=LEN(ReferenceData!$C$73),"",ReferenceData!$C$73),"")</f>
        <v>BS036</v>
      </c>
      <c r="D73" t="str">
        <f>IFERROR(IF(0=LEN(ReferenceData!$D$73),"",ReferenceData!$D$73),"")</f>
        <v>BS_ACCT_PAYABLE</v>
      </c>
      <c r="E73" t="str">
        <f>IFERROR(IF(0=LEN(ReferenceData!$E$73),"",ReferenceData!$E$73),"")</f>
        <v>Dynamic</v>
      </c>
      <c r="F73">
        <f ca="1">IFERROR(IF(0=LEN(ReferenceData!$Q$73),"",ReferenceData!$Q$73),"")</f>
        <v>5126</v>
      </c>
      <c r="G73">
        <f ca="1">IFERROR(IF(0=LEN(ReferenceData!$P$73),"",ReferenceData!$P$73),"")</f>
        <v>5442</v>
      </c>
      <c r="H73">
        <f ca="1">IFERROR(IF(0=LEN(ReferenceData!$O$73),"",ReferenceData!$O$73),"")</f>
        <v>6451</v>
      </c>
      <c r="I73">
        <f ca="1">IFERROR(IF(0=LEN(ReferenceData!$N$73),"",ReferenceData!$N$73),"")</f>
        <v>5736</v>
      </c>
      <c r="J73">
        <f ca="1">IFERROR(IF(0=LEN(ReferenceData!$M$73),"",ReferenceData!$M$73),"")</f>
        <v>5518</v>
      </c>
      <c r="K73">
        <f ca="1">IFERROR(IF(0=LEN(ReferenceData!$L$73),"",ReferenceData!$L$73),"")</f>
        <v>5384</v>
      </c>
      <c r="L73">
        <f ca="1">IFERROR(IF(0=LEN(ReferenceData!$K$73),"",ReferenceData!$K$73),"")</f>
        <v>6558</v>
      </c>
      <c r="M73">
        <f ca="1">IFERROR(IF(0=LEN(ReferenceData!$J$73),"",ReferenceData!$J$73),"")</f>
        <v>5711</v>
      </c>
      <c r="N73">
        <f ca="1">IFERROR(IF(0=LEN(ReferenceData!$I$73),"",ReferenceData!$I$73),"")</f>
        <v>4724</v>
      </c>
      <c r="O73">
        <f ca="1">IFERROR(IF(0=LEN(ReferenceData!$H$73),"",ReferenceData!$H$73),"")</f>
        <v>4042</v>
      </c>
      <c r="P73">
        <f ca="1">IFERROR(IF(0=LEN(ReferenceData!$G$73),"",ReferenceData!$G$73),"")</f>
        <v>4896</v>
      </c>
      <c r="Q73">
        <f ca="1">IFERROR(IF(0=LEN(ReferenceData!$F$73),"",ReferenceData!$F$73),"")</f>
        <v>4172</v>
      </c>
    </row>
    <row r="74" spans="1:17" x14ac:dyDescent="0.25">
      <c r="A74" t="str">
        <f>IFERROR(IF(0=LEN(ReferenceData!$A$74),"",ReferenceData!$A$74),"")</f>
        <v xml:space="preserve">    Tata Consultancy Services Ltd</v>
      </c>
      <c r="B74" t="str">
        <f>IFERROR(IF(0=LEN(ReferenceData!$B$74),"",ReferenceData!$B$74),"")</f>
        <v>TCS IN Equity</v>
      </c>
      <c r="C74" t="str">
        <f>IFERROR(IF(0=LEN(ReferenceData!$C$74),"",ReferenceData!$C$74),"")</f>
        <v>BS036</v>
      </c>
      <c r="D74" t="str">
        <f>IFERROR(IF(0=LEN(ReferenceData!$D$74),"",ReferenceData!$D$74),"")</f>
        <v>BS_ACCT_PAYABLE</v>
      </c>
      <c r="E74" t="str">
        <f>IFERROR(IF(0=LEN(ReferenceData!$E$74),"",ReferenceData!$E$74),"")</f>
        <v>Dynamic</v>
      </c>
      <c r="F74" t="str">
        <f ca="1">IFERROR(IF(0=LEN(ReferenceData!$Q$74),"",ReferenceData!$Q$74),"")</f>
        <v/>
      </c>
      <c r="G74">
        <f ca="1">IFERROR(IF(0=LEN(ReferenceData!$P$74),"",ReferenceData!$P$74),"")</f>
        <v>829.5332823</v>
      </c>
      <c r="H74">
        <f ca="1">IFERROR(IF(0=LEN(ReferenceData!$O$74),"",ReferenceData!$O$74),"")</f>
        <v>835.53244640000003</v>
      </c>
      <c r="I74">
        <f ca="1">IFERROR(IF(0=LEN(ReferenceData!$N$74),"",ReferenceData!$N$74),"")</f>
        <v>782.00798280000004</v>
      </c>
      <c r="J74">
        <f ca="1">IFERROR(IF(0=LEN(ReferenceData!$M$74),"",ReferenceData!$M$74),"")</f>
        <v>812.12121209999998</v>
      </c>
      <c r="K74">
        <f ca="1">IFERROR(IF(0=LEN(ReferenceData!$L$74),"",ReferenceData!$L$74),"")</f>
        <v>861.75645589999999</v>
      </c>
      <c r="L74">
        <f ca="1">IFERROR(IF(0=LEN(ReferenceData!$K$74),"",ReferenceData!$K$74),"")</f>
        <v>867.98679870000001</v>
      </c>
      <c r="M74">
        <f ca="1">IFERROR(IF(0=LEN(ReferenceData!$J$74),"",ReferenceData!$J$74),"")</f>
        <v>907.6313447</v>
      </c>
      <c r="N74">
        <f ca="1">IFERROR(IF(0=LEN(ReferenceData!$I$74),"",ReferenceData!$I$74),"")</f>
        <v>967.83694030000004</v>
      </c>
      <c r="O74">
        <f ca="1">IFERROR(IF(0=LEN(ReferenceData!$H$74),"",ReferenceData!$H$74),"")</f>
        <v>952.89980679999996</v>
      </c>
      <c r="P74">
        <f ca="1">IFERROR(IF(0=LEN(ReferenceData!$G$74),"",ReferenceData!$G$74),"")</f>
        <v>884.24629170000003</v>
      </c>
      <c r="Q74">
        <f ca="1">IFERROR(IF(0=LEN(ReferenceData!$F$74),"",ReferenceData!$F$74),"")</f>
        <v>894.21111080000003</v>
      </c>
    </row>
    <row r="75" spans="1:17" x14ac:dyDescent="0.25">
      <c r="A75" t="str">
        <f>IFERROR(IF(0=LEN(ReferenceData!$A$75),"",ReferenceData!$A$75),"")</f>
        <v xml:space="preserve">    Tech Mahindra Ltd</v>
      </c>
      <c r="B75" t="str">
        <f>IFERROR(IF(0=LEN(ReferenceData!$B$75),"",ReferenceData!$B$75),"")</f>
        <v>TECHM IN Equity</v>
      </c>
      <c r="C75" t="str">
        <f>IFERROR(IF(0=LEN(ReferenceData!$C$75),"",ReferenceData!$C$75),"")</f>
        <v>BS036</v>
      </c>
      <c r="D75" t="str">
        <f>IFERROR(IF(0=LEN(ReferenceData!$D$75),"",ReferenceData!$D$75),"")</f>
        <v>BS_ACCT_PAYABLE</v>
      </c>
      <c r="E75" t="str">
        <f>IFERROR(IF(0=LEN(ReferenceData!$E$75),"",ReferenceData!$E$75),"")</f>
        <v>Dynamic</v>
      </c>
      <c r="F75">
        <f ca="1">IFERROR(IF(0=LEN(ReferenceData!$Q$75),"",ReferenceData!$Q$75),"")</f>
        <v>384.09220690000001</v>
      </c>
      <c r="G75">
        <f ca="1">IFERROR(IF(0=LEN(ReferenceData!$P$75),"",ReferenceData!$P$75),"")</f>
        <v>364.9303749</v>
      </c>
      <c r="H75">
        <f ca="1">IFERROR(IF(0=LEN(ReferenceData!$O$75),"",ReferenceData!$O$75),"")</f>
        <v>364.67428330000001</v>
      </c>
      <c r="I75">
        <f ca="1">IFERROR(IF(0=LEN(ReferenceData!$N$75),"",ReferenceData!$N$75),"")</f>
        <v>312.6803807</v>
      </c>
      <c r="J75">
        <f ca="1">IFERROR(IF(0=LEN(ReferenceData!$M$75),"",ReferenceData!$M$75),"")</f>
        <v>311.63198249999999</v>
      </c>
      <c r="K75">
        <f ca="1">IFERROR(IF(0=LEN(ReferenceData!$L$75),"",ReferenceData!$L$75),"")</f>
        <v>335.73215529999999</v>
      </c>
      <c r="L75">
        <f ca="1">IFERROR(IF(0=LEN(ReferenceData!$K$75),"",ReferenceData!$K$75),"")</f>
        <v>333.77816039999999</v>
      </c>
      <c r="M75">
        <f ca="1">IFERROR(IF(0=LEN(ReferenceData!$J$75),"",ReferenceData!$J$75),"")</f>
        <v>359.0856177</v>
      </c>
      <c r="N75">
        <f ca="1">IFERROR(IF(0=LEN(ReferenceData!$I$75),"",ReferenceData!$I$75),"")</f>
        <v>365.61922850000002</v>
      </c>
      <c r="O75">
        <f ca="1">IFERROR(IF(0=LEN(ReferenceData!$H$75),"",ReferenceData!$H$75),"")</f>
        <v>378.48546379999999</v>
      </c>
      <c r="P75">
        <f ca="1">IFERROR(IF(0=LEN(ReferenceData!$G$75),"",ReferenceData!$G$75),"")</f>
        <v>411.10853709999998</v>
      </c>
      <c r="Q75">
        <f ca="1">IFERROR(IF(0=LEN(ReferenceData!$F$75),"",ReferenceData!$F$75),"")</f>
        <v>432.06051980000001</v>
      </c>
    </row>
    <row r="76" spans="1:17" x14ac:dyDescent="0.25">
      <c r="A76" t="str">
        <f>IFERROR(IF(0=LEN(ReferenceData!$A$76),"",ReferenceData!$A$76),"")</f>
        <v xml:space="preserve">    Wipro Ltd</v>
      </c>
      <c r="B76" t="str">
        <f>IFERROR(IF(0=LEN(ReferenceData!$B$76),"",ReferenceData!$B$76),"")</f>
        <v>WIT US Equity</v>
      </c>
      <c r="C76" t="str">
        <f>IFERROR(IF(0=LEN(ReferenceData!$C$76),"",ReferenceData!$C$76),"")</f>
        <v>BS036</v>
      </c>
      <c r="D76" t="str">
        <f>IFERROR(IF(0=LEN(ReferenceData!$D$76),"",ReferenceData!$D$76),"")</f>
        <v>BS_ACCT_PAYABLE</v>
      </c>
      <c r="E76" t="str">
        <f>IFERROR(IF(0=LEN(ReferenceData!$E$76),"",ReferenceData!$E$76),"")</f>
        <v>Dynamic</v>
      </c>
      <c r="F76" t="str">
        <f ca="1">IFERROR(IF(0=LEN(ReferenceData!$Q$76),"",ReferenceData!$Q$76),"")</f>
        <v/>
      </c>
      <c r="G76" t="str">
        <f ca="1">IFERROR(IF(0=LEN(ReferenceData!$P$76),"",ReferenceData!$P$76),"")</f>
        <v/>
      </c>
      <c r="H76" t="str">
        <f ca="1">IFERROR(IF(0=LEN(ReferenceData!$O$76),"",ReferenceData!$O$76),"")</f>
        <v/>
      </c>
      <c r="I76">
        <f ca="1">IFERROR(IF(0=LEN(ReferenceData!$N$76),"",ReferenceData!$N$76),"")</f>
        <v>374.66994169999998</v>
      </c>
      <c r="J76" t="str">
        <f ca="1">IFERROR(IF(0=LEN(ReferenceData!$M$76),"",ReferenceData!$M$76),"")</f>
        <v/>
      </c>
      <c r="K76" t="str">
        <f ca="1">IFERROR(IF(0=LEN(ReferenceData!$L$76),"",ReferenceData!$L$76),"")</f>
        <v/>
      </c>
      <c r="L76" t="str">
        <f ca="1">IFERROR(IF(0=LEN(ReferenceData!$K$76),"",ReferenceData!$K$76),"")</f>
        <v/>
      </c>
      <c r="M76">
        <f ca="1">IFERROR(IF(0=LEN(ReferenceData!$J$76),"",ReferenceData!$J$76),"")</f>
        <v>411.50666510000002</v>
      </c>
      <c r="N76" t="str">
        <f ca="1">IFERROR(IF(0=LEN(ReferenceData!$I$76),"",ReferenceData!$I$76),"")</f>
        <v/>
      </c>
      <c r="O76" t="str">
        <f ca="1">IFERROR(IF(0=LEN(ReferenceData!$H$76),"",ReferenceData!$H$76),"")</f>
        <v/>
      </c>
      <c r="P76" t="str">
        <f ca="1">IFERROR(IF(0=LEN(ReferenceData!$G$76),"",ReferenceData!$G$76),"")</f>
        <v/>
      </c>
      <c r="Q76">
        <f ca="1">IFERROR(IF(0=LEN(ReferenceData!$F$76),"",ReferenceData!$F$76),"")</f>
        <v>1036.5551909999999</v>
      </c>
    </row>
    <row r="77" spans="1:17" x14ac:dyDescent="0.25">
      <c r="A77" t="str">
        <f>IFERROR(IF(0=LEN(ReferenceData!$A$77),"",ReferenceData!$A$77),"")</f>
        <v>ST Borrowings</v>
      </c>
      <c r="B77" t="str">
        <f>IFERROR(IF(0=LEN(ReferenceData!$B$77),"",ReferenceData!$B$77),"")</f>
        <v/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Sum</v>
      </c>
      <c r="F77">
        <f ca="1">IFERROR(IF(0=LEN(ReferenceData!$Q$77),"",ReferenceData!$Q$77),"")</f>
        <v>11913.604595553001</v>
      </c>
      <c r="G77">
        <f ca="1">IFERROR(IF(0=LEN(ReferenceData!$P$77),"",ReferenceData!$P$77),"")</f>
        <v>9026.0618589940004</v>
      </c>
      <c r="H77">
        <f ca="1">IFERROR(IF(0=LEN(ReferenceData!$O$77),"",ReferenceData!$O$77),"")</f>
        <v>11984.631602148002</v>
      </c>
      <c r="I77">
        <f ca="1">IFERROR(IF(0=LEN(ReferenceData!$N$77),"",ReferenceData!$N$77),"")</f>
        <v>10850.522011093</v>
      </c>
      <c r="J77">
        <f ca="1">IFERROR(IF(0=LEN(ReferenceData!$M$77),"",ReferenceData!$M$77),"")</f>
        <v>12066.140550904</v>
      </c>
      <c r="K77">
        <f ca="1">IFERROR(IF(0=LEN(ReferenceData!$L$77),"",ReferenceData!$L$77),"")</f>
        <v>14596.686651426999</v>
      </c>
      <c r="L77">
        <f ca="1">IFERROR(IF(0=LEN(ReferenceData!$K$77),"",ReferenceData!$K$77),"")</f>
        <v>13335.381231272</v>
      </c>
      <c r="M77">
        <f ca="1">IFERROR(IF(0=LEN(ReferenceData!$J$77),"",ReferenceData!$J$77),"")</f>
        <v>15955.180011794</v>
      </c>
      <c r="N77">
        <f ca="1">IFERROR(IF(0=LEN(ReferenceData!$I$77),"",ReferenceData!$I$77),"")</f>
        <v>20817.985920690004</v>
      </c>
      <c r="O77">
        <f ca="1">IFERROR(IF(0=LEN(ReferenceData!$H$77),"",ReferenceData!$H$77),"")</f>
        <v>14538.502062990001</v>
      </c>
      <c r="P77">
        <f ca="1">IFERROR(IF(0=LEN(ReferenceData!$G$77),"",ReferenceData!$G$77),"")</f>
        <v>16714.978393380003</v>
      </c>
      <c r="Q77">
        <f ca="1">IFERROR(IF(0=LEN(ReferenceData!$F$77),"",ReferenceData!$F$77),"")</f>
        <v>18992.357201439998</v>
      </c>
    </row>
    <row r="78" spans="1:17" x14ac:dyDescent="0.25">
      <c r="A78" t="str">
        <f>IFERROR(IF(0=LEN(ReferenceData!$A$78),"",ReferenceData!$A$78),"")</f>
        <v xml:space="preserve">    Accenture PLC</v>
      </c>
      <c r="B78" t="str">
        <f>IFERROR(IF(0=LEN(ReferenceData!$B$78),"",ReferenceData!$B$78),"")</f>
        <v>ACN US Equity</v>
      </c>
      <c r="C78" t="str">
        <f>IFERROR(IF(0=LEN(ReferenceData!$C$78),"",ReferenceData!$C$78),"")</f>
        <v>BS047</v>
      </c>
      <c r="D78" t="str">
        <f>IFERROR(IF(0=LEN(ReferenceData!$D$78),"",ReferenceData!$D$78),"")</f>
        <v>BS_ST_BORROW</v>
      </c>
      <c r="E78" t="str">
        <f>IFERROR(IF(0=LEN(ReferenceData!$E$78),"",ReferenceData!$E$78),"")</f>
        <v>Dynamic</v>
      </c>
      <c r="F78">
        <f ca="1">IFERROR(IF(0=LEN(ReferenceData!$Q$78),"",ReferenceData!$Q$78),"")</f>
        <v>2.9420000000000002</v>
      </c>
      <c r="G78">
        <f ca="1">IFERROR(IF(0=LEN(ReferenceData!$P$78),"",ReferenceData!$P$78),"")</f>
        <v>2.907</v>
      </c>
      <c r="H78">
        <f ca="1">IFERROR(IF(0=LEN(ReferenceData!$O$78),"",ReferenceData!$O$78),"")</f>
        <v>2.9790000000000001</v>
      </c>
      <c r="I78">
        <f ca="1">IFERROR(IF(0=LEN(ReferenceData!$N$78),"",ReferenceData!$N$78),"")</f>
        <v>2.9140000000000001</v>
      </c>
      <c r="J78">
        <f ca="1">IFERROR(IF(0=LEN(ReferenceData!$M$78),"",ReferenceData!$M$78),"")</f>
        <v>2.84</v>
      </c>
      <c r="K78">
        <f ca="1">IFERROR(IF(0=LEN(ReferenceData!$L$78),"",ReferenceData!$L$78),"")</f>
        <v>5.3369999999999997</v>
      </c>
      <c r="L78">
        <f ca="1">IFERROR(IF(0=LEN(ReferenceData!$K$78),"",ReferenceData!$K$78),"")</f>
        <v>4.7270000000000003</v>
      </c>
      <c r="M78">
        <f ca="1">IFERROR(IF(0=LEN(ReferenceData!$J$78),"",ReferenceData!$J$78),"")</f>
        <v>4.3650000000000002</v>
      </c>
      <c r="N78">
        <f ca="1">IFERROR(IF(0=LEN(ReferenceData!$I$78),"",ReferenceData!$I$78),"")</f>
        <v>4.1369999999999996</v>
      </c>
      <c r="O78">
        <f ca="1">IFERROR(IF(0=LEN(ReferenceData!$H$78),"",ReferenceData!$H$78),"")</f>
        <v>6.4109999999999996</v>
      </c>
      <c r="P78">
        <f ca="1">IFERROR(IF(0=LEN(ReferenceData!$G$78),"",ReferenceData!$G$78),"")</f>
        <v>714.48500000000001</v>
      </c>
      <c r="Q78">
        <f ca="1">IFERROR(IF(0=LEN(ReferenceData!$F$78),"",ReferenceData!$F$78),"")</f>
        <v>744.47799999999995</v>
      </c>
    </row>
    <row r="79" spans="1:17" x14ac:dyDescent="0.25">
      <c r="A79" t="str">
        <f>IFERROR(IF(0=LEN(ReferenceData!$A$79),"",ReferenceData!$A$79),"")</f>
        <v xml:space="preserve">    Amdocs Ltd</v>
      </c>
      <c r="B79" t="str">
        <f>IFERROR(IF(0=LEN(ReferenceData!$B$79),"",ReferenceData!$B$79),"")</f>
        <v>DOX US Equity</v>
      </c>
      <c r="C79" t="str">
        <f>IFERROR(IF(0=LEN(ReferenceData!$C$79),"",ReferenceData!$C$79),"")</f>
        <v>BS047</v>
      </c>
      <c r="D79" t="str">
        <f>IFERROR(IF(0=LEN(ReferenceData!$D$79),"",ReferenceData!$D$79),"")</f>
        <v>BS_ST_BORROW</v>
      </c>
      <c r="E79" t="str">
        <f>IFERROR(IF(0=LEN(ReferenceData!$E$79),"",ReferenceData!$E$79),"")</f>
        <v>Dynamic</v>
      </c>
      <c r="F79">
        <f ca="1">IFERROR(IF(0=LEN(ReferenceData!$Q$79),"",ReferenceData!$Q$79),"")</f>
        <v>0</v>
      </c>
      <c r="G79">
        <f ca="1">IFERROR(IF(0=LEN(ReferenceData!$P$79),"",ReferenceData!$P$79),"")</f>
        <v>0</v>
      </c>
      <c r="H79">
        <f ca="1">IFERROR(IF(0=LEN(ReferenceData!$O$79),"",ReferenceData!$O$79),"")</f>
        <v>0</v>
      </c>
      <c r="I79">
        <f ca="1">IFERROR(IF(0=LEN(ReferenceData!$N$79),"",ReferenceData!$N$79),"")</f>
        <v>120</v>
      </c>
      <c r="J79">
        <f ca="1">IFERROR(IF(0=LEN(ReferenceData!$M$79),"",ReferenceData!$M$79),"")</f>
        <v>0</v>
      </c>
      <c r="K79">
        <f ca="1">IFERROR(IF(0=LEN(ReferenceData!$L$79),"",ReferenceData!$L$79),"")</f>
        <v>0</v>
      </c>
      <c r="L79">
        <f ca="1">IFERROR(IF(0=LEN(ReferenceData!$K$79),"",ReferenceData!$K$79),"")</f>
        <v>0</v>
      </c>
      <c r="M79">
        <f ca="1">IFERROR(IF(0=LEN(ReferenceData!$J$79),"",ReferenceData!$J$79),"")</f>
        <v>0</v>
      </c>
      <c r="N79">
        <f ca="1">IFERROR(IF(0=LEN(ReferenceData!$I$79),"",ReferenceData!$I$79),"")</f>
        <v>0</v>
      </c>
      <c r="O79">
        <f ca="1">IFERROR(IF(0=LEN(ReferenceData!$H$79),"",ReferenceData!$H$79),"")</f>
        <v>0</v>
      </c>
      <c r="P79">
        <f ca="1">IFERROR(IF(0=LEN(ReferenceData!$G$79),"",ReferenceData!$G$79),"")</f>
        <v>57.752000000000002</v>
      </c>
      <c r="Q79">
        <f ca="1">IFERROR(IF(0=LEN(ReferenceData!$F$79),"",ReferenceData!$F$79),"")</f>
        <v>409.767</v>
      </c>
    </row>
    <row r="80" spans="1:17" x14ac:dyDescent="0.25">
      <c r="A80" t="str">
        <f>IFERROR(IF(0=LEN(ReferenceData!$A$80),"",ReferenceData!$A$80),"")</f>
        <v xml:space="preserve">    Atos SE</v>
      </c>
      <c r="B80" t="str">
        <f>IFERROR(IF(0=LEN(ReferenceData!$B$80),"",ReferenceData!$B$80),"")</f>
        <v>ATO FP Equity</v>
      </c>
      <c r="C80" t="str">
        <f>IFERROR(IF(0=LEN(ReferenceData!$C$80),"",ReferenceData!$C$80),"")</f>
        <v>BS047</v>
      </c>
      <c r="D80" t="str">
        <f>IFERROR(IF(0=LEN(ReferenceData!$D$80),"",ReferenceData!$D$80),"")</f>
        <v>BS_ST_BORROW</v>
      </c>
      <c r="E80" t="str">
        <f>IFERROR(IF(0=LEN(ReferenceData!$E$80),"",ReferenceData!$E$80),"")</f>
        <v>Dynamic</v>
      </c>
      <c r="F80" t="str">
        <f ca="1">IFERROR(IF(0=LEN(ReferenceData!$Q$80),"",ReferenceData!$Q$80),"")</f>
        <v/>
      </c>
      <c r="G80" t="str">
        <f ca="1">IFERROR(IF(0=LEN(ReferenceData!$P$80),"",ReferenceData!$P$80),"")</f>
        <v/>
      </c>
      <c r="H80" t="str">
        <f ca="1">IFERROR(IF(0=LEN(ReferenceData!$O$80),"",ReferenceData!$O$80),"")</f>
        <v/>
      </c>
      <c r="I80" t="str">
        <f ca="1">IFERROR(IF(0=LEN(ReferenceData!$N$80),"",ReferenceData!$N$80),"")</f>
        <v/>
      </c>
      <c r="J80" t="str">
        <f ca="1">IFERROR(IF(0=LEN(ReferenceData!$M$80),"",ReferenceData!$M$80),"")</f>
        <v/>
      </c>
      <c r="K80" t="str">
        <f ca="1">IFERROR(IF(0=LEN(ReferenceData!$L$80),"",ReferenceData!$L$80),"")</f>
        <v/>
      </c>
      <c r="L80" t="str">
        <f ca="1">IFERROR(IF(0=LEN(ReferenceData!$K$80),"",ReferenceData!$K$80),"")</f>
        <v/>
      </c>
      <c r="M80" t="str">
        <f ca="1">IFERROR(IF(0=LEN(ReferenceData!$J$80),"",ReferenceData!$J$80),"")</f>
        <v/>
      </c>
      <c r="N80" t="str">
        <f ca="1">IFERROR(IF(0=LEN(ReferenceData!$I$80),"",ReferenceData!$I$80),"")</f>
        <v/>
      </c>
      <c r="O80" t="str">
        <f ca="1">IFERROR(IF(0=LEN(ReferenceData!$H$80),"",ReferenceData!$H$80),"")</f>
        <v/>
      </c>
      <c r="P80" t="str">
        <f ca="1">IFERROR(IF(0=LEN(ReferenceData!$G$80),"",ReferenceData!$G$80),"")</f>
        <v/>
      </c>
      <c r="Q80" t="str">
        <f ca="1">IFERROR(IF(0=LEN(ReferenceData!$F$80),"",ReferenceData!$F$80),"")</f>
        <v/>
      </c>
    </row>
    <row r="81" spans="1:17" x14ac:dyDescent="0.25">
      <c r="A81" t="str">
        <f>IFERROR(IF(0=LEN(ReferenceData!$A$81),"",ReferenceData!$A$81),"")</f>
        <v xml:space="preserve">    Capgemini SE</v>
      </c>
      <c r="B81" t="str">
        <f>IFERROR(IF(0=LEN(ReferenceData!$B$81),"",ReferenceData!$B$81),"")</f>
        <v>CAP FP Equity</v>
      </c>
      <c r="C81" t="str">
        <f>IFERROR(IF(0=LEN(ReferenceData!$C$81),"",ReferenceData!$C$81),"")</f>
        <v>BS047</v>
      </c>
      <c r="D81" t="str">
        <f>IFERROR(IF(0=LEN(ReferenceData!$D$81),"",ReferenceData!$D$81),"")</f>
        <v>BS_ST_BORROW</v>
      </c>
      <c r="E81" t="str">
        <f>IFERROR(IF(0=LEN(ReferenceData!$E$81),"",ReferenceData!$E$81),"")</f>
        <v>Dynamic</v>
      </c>
      <c r="F81" t="str">
        <f ca="1">IFERROR(IF(0=LEN(ReferenceData!$Q$81),"",ReferenceData!$Q$81),"")</f>
        <v/>
      </c>
      <c r="G81" t="str">
        <f ca="1">IFERROR(IF(0=LEN(ReferenceData!$P$81),"",ReferenceData!$P$81),"")</f>
        <v/>
      </c>
      <c r="H81" t="str">
        <f ca="1">IFERROR(IF(0=LEN(ReferenceData!$O$81),"",ReferenceData!$O$81),"")</f>
        <v/>
      </c>
      <c r="I81" t="str">
        <f ca="1">IFERROR(IF(0=LEN(ReferenceData!$N$81),"",ReferenceData!$N$81),"")</f>
        <v/>
      </c>
      <c r="J81" t="str">
        <f ca="1">IFERROR(IF(0=LEN(ReferenceData!$M$81),"",ReferenceData!$M$81),"")</f>
        <v/>
      </c>
      <c r="K81" t="str">
        <f ca="1">IFERROR(IF(0=LEN(ReferenceData!$L$81),"",ReferenceData!$L$81),"")</f>
        <v/>
      </c>
      <c r="L81" t="str">
        <f ca="1">IFERROR(IF(0=LEN(ReferenceData!$K$81),"",ReferenceData!$K$81),"")</f>
        <v/>
      </c>
      <c r="M81" t="str">
        <f ca="1">IFERROR(IF(0=LEN(ReferenceData!$J$81),"",ReferenceData!$J$81),"")</f>
        <v/>
      </c>
      <c r="N81" t="str">
        <f ca="1">IFERROR(IF(0=LEN(ReferenceData!$I$81),"",ReferenceData!$I$81),"")</f>
        <v/>
      </c>
      <c r="O81" t="str">
        <f ca="1">IFERROR(IF(0=LEN(ReferenceData!$H$81),"",ReferenceData!$H$81),"")</f>
        <v/>
      </c>
      <c r="P81">
        <f ca="1">IFERROR(IF(0=LEN(ReferenceData!$G$81),"",ReferenceData!$G$81),"")</f>
        <v>1053.2801999999999</v>
      </c>
      <c r="Q81" t="str">
        <f ca="1">IFERROR(IF(0=LEN(ReferenceData!$F$81),"",ReferenceData!$F$81),"")</f>
        <v/>
      </c>
    </row>
    <row r="82" spans="1:17" x14ac:dyDescent="0.25">
      <c r="A82" t="str">
        <f>IFERROR(IF(0=LEN(ReferenceData!$A$82),"",ReferenceData!$A$82),"")</f>
        <v xml:space="preserve">    CGI Inc</v>
      </c>
      <c r="B82" t="str">
        <f>IFERROR(IF(0=LEN(ReferenceData!$B$82),"",ReferenceData!$B$82),"")</f>
        <v>GIB US Equity</v>
      </c>
      <c r="C82" t="str">
        <f>IFERROR(IF(0=LEN(ReferenceData!$C$82),"",ReferenceData!$C$82),"")</f>
        <v>BS047</v>
      </c>
      <c r="D82" t="str">
        <f>IFERROR(IF(0=LEN(ReferenceData!$D$82),"",ReferenceData!$D$82),"")</f>
        <v>BS_ST_BORROW</v>
      </c>
      <c r="E82" t="str">
        <f>IFERROR(IF(0=LEN(ReferenceData!$E$82),"",ReferenceData!$E$82),"")</f>
        <v>Dynamic</v>
      </c>
      <c r="F82">
        <f ca="1">IFERROR(IF(0=LEN(ReferenceData!$Q$82),"",ReferenceData!$Q$82),"")</f>
        <v>52.292356249999997</v>
      </c>
      <c r="G82">
        <f ca="1">IFERROR(IF(0=LEN(ReferenceData!$P$82),"",ReferenceData!$P$82),"")</f>
        <v>98.099166929999996</v>
      </c>
      <c r="H82">
        <f ca="1">IFERROR(IF(0=LEN(ReferenceData!$O$82),"",ReferenceData!$O$82),"")</f>
        <v>242.7293047</v>
      </c>
      <c r="I82">
        <f ca="1">IFERROR(IF(0=LEN(ReferenceData!$N$82),"",ReferenceData!$N$82),"")</f>
        <v>232.8171309</v>
      </c>
      <c r="J82">
        <f ca="1">IFERROR(IF(0=LEN(ReferenceData!$M$82),"",ReferenceData!$M$82),"")</f>
        <v>227.35717</v>
      </c>
      <c r="K82">
        <f ca="1">IFERROR(IF(0=LEN(ReferenceData!$L$82),"",ReferenceData!$L$82),"")</f>
        <v>269.40258130000001</v>
      </c>
      <c r="L82">
        <f ca="1">IFERROR(IF(0=LEN(ReferenceData!$K$82),"",ReferenceData!$K$82),"")</f>
        <v>126.9377569</v>
      </c>
      <c r="M82">
        <f ca="1">IFERROR(IF(0=LEN(ReferenceData!$J$82),"",ReferenceData!$J$82),"")</f>
        <v>125.4671953</v>
      </c>
      <c r="N82">
        <f ca="1">IFERROR(IF(0=LEN(ReferenceData!$I$82),"",ReferenceData!$I$82),"")</f>
        <v>126.6890705</v>
      </c>
      <c r="O82">
        <f ca="1">IFERROR(IF(0=LEN(ReferenceData!$H$82),"",ReferenceData!$H$82),"")</f>
        <v>85.726908839999993</v>
      </c>
      <c r="P82">
        <f ca="1">IFERROR(IF(0=LEN(ReferenceData!$G$82),"",ReferenceData!$G$82),"")</f>
        <v>212.80166439999999</v>
      </c>
      <c r="Q82">
        <f ca="1">IFERROR(IF(0=LEN(ReferenceData!$F$82),"",ReferenceData!$F$82),"")</f>
        <v>203.65571689999999</v>
      </c>
    </row>
    <row r="83" spans="1:17" x14ac:dyDescent="0.25">
      <c r="A83" t="str">
        <f>IFERROR(IF(0=LEN(ReferenceData!$A$83),"",ReferenceData!$A$83),"")</f>
        <v xml:space="preserve">    Cognizant Technology Solutions Corp</v>
      </c>
      <c r="B83" t="str">
        <f>IFERROR(IF(0=LEN(ReferenceData!$B$83),"",ReferenceData!$B$83),"")</f>
        <v>CTSH US Equity</v>
      </c>
      <c r="C83" t="str">
        <f>IFERROR(IF(0=LEN(ReferenceData!$C$83),"",ReferenceData!$C$83),"")</f>
        <v>BS047</v>
      </c>
      <c r="D83" t="str">
        <f>IFERROR(IF(0=LEN(ReferenceData!$D$83),"",ReferenceData!$D$83),"")</f>
        <v>BS_ST_BORROW</v>
      </c>
      <c r="E83" t="str">
        <f>IFERROR(IF(0=LEN(ReferenceData!$E$83),"",ReferenceData!$E$83),"")</f>
        <v>Dynamic</v>
      </c>
      <c r="F83">
        <f ca="1">IFERROR(IF(0=LEN(ReferenceData!$Q$83),"",ReferenceData!$Q$83),"")</f>
        <v>244</v>
      </c>
      <c r="G83">
        <f ca="1">IFERROR(IF(0=LEN(ReferenceData!$P$83),"",ReferenceData!$P$83),"")</f>
        <v>100</v>
      </c>
      <c r="H83">
        <f ca="1">IFERROR(IF(0=LEN(ReferenceData!$O$83),"",ReferenceData!$O$83),"")</f>
        <v>175</v>
      </c>
      <c r="I83">
        <f ca="1">IFERROR(IF(0=LEN(ReferenceData!$N$83),"",ReferenceData!$N$83),"")</f>
        <v>100</v>
      </c>
      <c r="J83">
        <f ca="1">IFERROR(IF(0=LEN(ReferenceData!$M$83),"",ReferenceData!$M$83),"")</f>
        <v>100</v>
      </c>
      <c r="K83">
        <f ca="1">IFERROR(IF(0=LEN(ReferenceData!$L$83),"",ReferenceData!$L$83),"")</f>
        <v>100</v>
      </c>
      <c r="L83">
        <f ca="1">IFERROR(IF(0=LEN(ReferenceData!$K$83),"",ReferenceData!$K$83),"")</f>
        <v>9</v>
      </c>
      <c r="M83">
        <f ca="1">IFERROR(IF(0=LEN(ReferenceData!$J$83),"",ReferenceData!$J$83),"")</f>
        <v>216</v>
      </c>
      <c r="N83">
        <f ca="1">IFERROR(IF(0=LEN(ReferenceData!$I$83),"",ReferenceData!$I$83),"")</f>
        <v>241</v>
      </c>
      <c r="O83">
        <f ca="1">IFERROR(IF(0=LEN(ReferenceData!$H$83),"",ReferenceData!$H$83),"")</f>
        <v>243</v>
      </c>
      <c r="P83">
        <f ca="1">IFERROR(IF(0=LEN(ReferenceData!$G$83),"",ReferenceData!$G$83),"")</f>
        <v>251</v>
      </c>
      <c r="Q83">
        <f ca="1">IFERROR(IF(0=LEN(ReferenceData!$F$83),"",ReferenceData!$F$83),"")</f>
        <v>235</v>
      </c>
    </row>
    <row r="84" spans="1:17" x14ac:dyDescent="0.25">
      <c r="A84" t="str">
        <f>IFERROR(IF(0=LEN(ReferenceData!$A$84),"",ReferenceData!$A$84),"")</f>
        <v xml:space="preserve">    Conduent Inc</v>
      </c>
      <c r="B84" t="str">
        <f>IFERROR(IF(0=LEN(ReferenceData!$B$84),"",ReferenceData!$B$84),"")</f>
        <v>CNDT US Equity</v>
      </c>
      <c r="C84" t="str">
        <f>IFERROR(IF(0=LEN(ReferenceData!$C$84),"",ReferenceData!$C$84),"")</f>
        <v>BS047</v>
      </c>
      <c r="D84" t="str">
        <f>IFERROR(IF(0=LEN(ReferenceData!$D$84),"",ReferenceData!$D$84),"")</f>
        <v>BS_ST_BORROW</v>
      </c>
      <c r="E84" t="str">
        <f>IFERROR(IF(0=LEN(ReferenceData!$E$84),"",ReferenceData!$E$84),"")</f>
        <v>Dynamic</v>
      </c>
      <c r="F84">
        <f ca="1">IFERROR(IF(0=LEN(ReferenceData!$Q$84),"",ReferenceData!$Q$84),"")</f>
        <v>59</v>
      </c>
      <c r="G84">
        <f ca="1">IFERROR(IF(0=LEN(ReferenceData!$P$84),"",ReferenceData!$P$84),"")</f>
        <v>71</v>
      </c>
      <c r="H84">
        <f ca="1">IFERROR(IF(0=LEN(ReferenceData!$O$84),"",ReferenceData!$O$84),"")</f>
        <v>82</v>
      </c>
      <c r="I84">
        <f ca="1">IFERROR(IF(0=LEN(ReferenceData!$N$84),"",ReferenceData!$N$84),"")</f>
        <v>81</v>
      </c>
      <c r="J84">
        <f ca="1">IFERROR(IF(0=LEN(ReferenceData!$M$84),"",ReferenceData!$M$84),"")</f>
        <v>43</v>
      </c>
      <c r="K84">
        <f ca="1">IFERROR(IF(0=LEN(ReferenceData!$L$84),"",ReferenceData!$L$84),"")</f>
        <v>49</v>
      </c>
      <c r="L84">
        <f ca="1">IFERROR(IF(0=LEN(ReferenceData!$K$84),"",ReferenceData!$K$84),"")</f>
        <v>55</v>
      </c>
      <c r="M84">
        <f ca="1">IFERROR(IF(0=LEN(ReferenceData!$J$84),"",ReferenceData!$J$84),"")</f>
        <v>165</v>
      </c>
      <c r="N84">
        <f ca="1">IFERROR(IF(0=LEN(ReferenceData!$I$84),"",ReferenceData!$I$84),"")</f>
        <v>158</v>
      </c>
      <c r="O84">
        <f ca="1">IFERROR(IF(0=LEN(ReferenceData!$H$84),"",ReferenceData!$H$84),"")</f>
        <v>154</v>
      </c>
      <c r="P84">
        <f ca="1">IFERROR(IF(0=LEN(ReferenceData!$G$84),"",ReferenceData!$G$84),"")</f>
        <v>148</v>
      </c>
      <c r="Q84">
        <f ca="1">IFERROR(IF(0=LEN(ReferenceData!$F$84),"",ReferenceData!$F$84),"")</f>
        <v>147</v>
      </c>
    </row>
    <row r="85" spans="1:17" x14ac:dyDescent="0.25">
      <c r="A85" t="str">
        <f>IFERROR(IF(0=LEN(ReferenceData!$A$85),"",ReferenceData!$A$85),"")</f>
        <v xml:space="preserve">    DXC Technology Co</v>
      </c>
      <c r="B85" t="str">
        <f>IFERROR(IF(0=LEN(ReferenceData!$B$85),"",ReferenceData!$B$85),"")</f>
        <v>DXC US Equity</v>
      </c>
      <c r="C85" t="str">
        <f>IFERROR(IF(0=LEN(ReferenceData!$C$85),"",ReferenceData!$C$85),"")</f>
        <v>BS047</v>
      </c>
      <c r="D85" t="str">
        <f>IFERROR(IF(0=LEN(ReferenceData!$D$85),"",ReferenceData!$D$85),"")</f>
        <v>BS_ST_BORROW</v>
      </c>
      <c r="E85" t="str">
        <f>IFERROR(IF(0=LEN(ReferenceData!$E$85),"",ReferenceData!$E$85),"")</f>
        <v>Dynamic</v>
      </c>
      <c r="F85">
        <f ca="1">IFERROR(IF(0=LEN(ReferenceData!$Q$85),"",ReferenceData!$Q$85),"")</f>
        <v>1203</v>
      </c>
      <c r="G85">
        <f ca="1">IFERROR(IF(0=LEN(ReferenceData!$P$85),"",ReferenceData!$P$85),"")</f>
        <v>2200</v>
      </c>
      <c r="H85">
        <f ca="1">IFERROR(IF(0=LEN(ReferenceData!$O$85),"",ReferenceData!$O$85),"")</f>
        <v>2173</v>
      </c>
      <c r="I85">
        <f ca="1">IFERROR(IF(0=LEN(ReferenceData!$N$85),"",ReferenceData!$N$85),"")</f>
        <v>1918</v>
      </c>
      <c r="J85">
        <f ca="1">IFERROR(IF(0=LEN(ReferenceData!$M$85),"",ReferenceData!$M$85),"")</f>
        <v>2307</v>
      </c>
      <c r="K85">
        <f ca="1">IFERROR(IF(0=LEN(ReferenceData!$L$85),"",ReferenceData!$L$85),"")</f>
        <v>1618</v>
      </c>
      <c r="L85">
        <f ca="1">IFERROR(IF(0=LEN(ReferenceData!$K$85),"",ReferenceData!$K$85),"")</f>
        <v>1580</v>
      </c>
      <c r="M85">
        <f ca="1">IFERROR(IF(0=LEN(ReferenceData!$J$85),"",ReferenceData!$J$85),"")</f>
        <v>1942</v>
      </c>
      <c r="N85">
        <f ca="1">IFERROR(IF(0=LEN(ReferenceData!$I$85),"",ReferenceData!$I$85),"")</f>
        <v>2097</v>
      </c>
      <c r="O85">
        <f ca="1">IFERROR(IF(0=LEN(ReferenceData!$H$85),"",ReferenceData!$H$85),"")</f>
        <v>1960</v>
      </c>
      <c r="P85">
        <f ca="1">IFERROR(IF(0=LEN(ReferenceData!$G$85),"",ReferenceData!$G$85),"")</f>
        <v>2079</v>
      </c>
      <c r="Q85">
        <f ca="1">IFERROR(IF(0=LEN(ReferenceData!$F$85),"",ReferenceData!$F$85),"")</f>
        <v>1758</v>
      </c>
    </row>
    <row r="86" spans="1:17" x14ac:dyDescent="0.25">
      <c r="A86" t="str">
        <f>IFERROR(IF(0=LEN(ReferenceData!$A$86),"",ReferenceData!$A$86),"")</f>
        <v xml:space="preserve">    EPAM Systems Inc</v>
      </c>
      <c r="B86" t="str">
        <f>IFERROR(IF(0=LEN(ReferenceData!$B$86),"",ReferenceData!$B$86),"")</f>
        <v>EPAM US Equity</v>
      </c>
      <c r="C86" t="str">
        <f>IFERROR(IF(0=LEN(ReferenceData!$C$86),"",ReferenceData!$C$86),"")</f>
        <v>BS047</v>
      </c>
      <c r="D86" t="str">
        <f>IFERROR(IF(0=LEN(ReferenceData!$D$86),"",ReferenceData!$D$86),"")</f>
        <v>BS_ST_BORROW</v>
      </c>
      <c r="E86" t="str">
        <f>IFERROR(IF(0=LEN(ReferenceData!$E$86),"",ReferenceData!$E$86),"")</f>
        <v>Dynamic</v>
      </c>
      <c r="F86">
        <f ca="1">IFERROR(IF(0=LEN(ReferenceData!$Q$86),"",ReferenceData!$Q$86),"")</f>
        <v>0</v>
      </c>
      <c r="G86">
        <f ca="1">IFERROR(IF(0=LEN(ReferenceData!$P$86),"",ReferenceData!$P$86),"")</f>
        <v>0</v>
      </c>
      <c r="H86">
        <f ca="1">IFERROR(IF(0=LEN(ReferenceData!$O$86),"",ReferenceData!$O$86),"")</f>
        <v>0</v>
      </c>
      <c r="I86">
        <f ca="1">IFERROR(IF(0=LEN(ReferenceData!$N$86),"",ReferenceData!$N$86),"")</f>
        <v>0</v>
      </c>
      <c r="J86">
        <f ca="1">IFERROR(IF(0=LEN(ReferenceData!$M$86),"",ReferenceData!$M$86),"")</f>
        <v>0</v>
      </c>
      <c r="K86">
        <f ca="1">IFERROR(IF(0=LEN(ReferenceData!$L$86),"",ReferenceData!$L$86),"")</f>
        <v>0</v>
      </c>
      <c r="L86">
        <f ca="1">IFERROR(IF(0=LEN(ReferenceData!$K$86),"",ReferenceData!$K$86),"")</f>
        <v>0</v>
      </c>
      <c r="M86">
        <f ca="1">IFERROR(IF(0=LEN(ReferenceData!$J$86),"",ReferenceData!$J$86),"")</f>
        <v>39.856000000000002</v>
      </c>
      <c r="N86">
        <f ca="1">IFERROR(IF(0=LEN(ReferenceData!$I$86),"",ReferenceData!$I$86),"")</f>
        <v>48.429000000000002</v>
      </c>
      <c r="O86">
        <f ca="1">IFERROR(IF(0=LEN(ReferenceData!$H$86),"",ReferenceData!$H$86),"")</f>
        <v>51.423999999999999</v>
      </c>
      <c r="P86">
        <f ca="1">IFERROR(IF(0=LEN(ReferenceData!$G$86),"",ReferenceData!$G$86),"")</f>
        <v>57.542000000000002</v>
      </c>
      <c r="Q86">
        <f ca="1">IFERROR(IF(0=LEN(ReferenceData!$F$86),"",ReferenceData!$F$86),"")</f>
        <v>60.107999999999997</v>
      </c>
    </row>
    <row r="87" spans="1:17" x14ac:dyDescent="0.25">
      <c r="A87" t="str">
        <f>IFERROR(IF(0=LEN(ReferenceData!$A$87),"",ReferenceData!$A$87),"")</f>
        <v xml:space="preserve">    Genpact Ltd</v>
      </c>
      <c r="B87" t="str">
        <f>IFERROR(IF(0=LEN(ReferenceData!$B$87),"",ReferenceData!$B$87),"")</f>
        <v>G US Equity</v>
      </c>
      <c r="C87" t="str">
        <f>IFERROR(IF(0=LEN(ReferenceData!$C$87),"",ReferenceData!$C$87),"")</f>
        <v>BS047</v>
      </c>
      <c r="D87" t="str">
        <f>IFERROR(IF(0=LEN(ReferenceData!$D$87),"",ReferenceData!$D$87),"")</f>
        <v>BS_ST_BORROW</v>
      </c>
      <c r="E87" t="str">
        <f>IFERROR(IF(0=LEN(ReferenceData!$E$87),"",ReferenceData!$E$87),"")</f>
        <v>Dynamic</v>
      </c>
      <c r="F87">
        <f ca="1">IFERROR(IF(0=LEN(ReferenceData!$Q$87),"",ReferenceData!$Q$87),"")</f>
        <v>244.21299999999999</v>
      </c>
      <c r="G87">
        <f ca="1">IFERROR(IF(0=LEN(ReferenceData!$P$87),"",ReferenceData!$P$87),"")</f>
        <v>199.22399999999999</v>
      </c>
      <c r="H87">
        <f ca="1">IFERROR(IF(0=LEN(ReferenceData!$O$87),"",ReferenceData!$O$87),"")</f>
        <v>209.226</v>
      </c>
      <c r="I87">
        <f ca="1">IFERROR(IF(0=LEN(ReferenceData!$N$87),"",ReferenceData!$N$87),"")</f>
        <v>314.23700000000002</v>
      </c>
      <c r="J87">
        <f ca="1">IFERROR(IF(0=LEN(ReferenceData!$M$87),"",ReferenceData!$M$87),"")</f>
        <v>254.249</v>
      </c>
      <c r="K87">
        <f ca="1">IFERROR(IF(0=LEN(ReferenceData!$L$87),"",ReferenceData!$L$87),"")</f>
        <v>363.476</v>
      </c>
      <c r="L87">
        <f ca="1">IFERROR(IF(0=LEN(ReferenceData!$K$87),"",ReferenceData!$K$87),"")</f>
        <v>328.483</v>
      </c>
      <c r="M87">
        <f ca="1">IFERROR(IF(0=LEN(ReferenceData!$J$87),"",ReferenceData!$J$87),"")</f>
        <v>403.05099999999999</v>
      </c>
      <c r="N87">
        <f ca="1">IFERROR(IF(0=LEN(ReferenceData!$I$87),"",ReferenceData!$I$87),"")</f>
        <v>379.37900000000002</v>
      </c>
      <c r="O87">
        <f ca="1">IFERROR(IF(0=LEN(ReferenceData!$H$87),"",ReferenceData!$H$87),"")</f>
        <v>337.875</v>
      </c>
      <c r="P87">
        <f ca="1">IFERROR(IF(0=LEN(ReferenceData!$G$87),"",ReferenceData!$G$87),"")</f>
        <v>170.91300000000001</v>
      </c>
      <c r="Q87">
        <f ca="1">IFERROR(IF(0=LEN(ReferenceData!$F$87),"",ReferenceData!$F$87),"")</f>
        <v>271.25099999999998</v>
      </c>
    </row>
    <row r="88" spans="1:17" x14ac:dyDescent="0.25">
      <c r="A88" t="str">
        <f>IFERROR(IF(0=LEN(ReferenceData!$A$88),"",ReferenceData!$A$88),"")</f>
        <v xml:space="preserve">    HCL Technologies Ltd</v>
      </c>
      <c r="B88" t="str">
        <f>IFERROR(IF(0=LEN(ReferenceData!$B$88),"",ReferenceData!$B$88),"")</f>
        <v>HCLT IN Equity</v>
      </c>
      <c r="C88" t="str">
        <f>IFERROR(IF(0=LEN(ReferenceData!$C$88),"",ReferenceData!$C$88),"")</f>
        <v>BS047</v>
      </c>
      <c r="D88" t="str">
        <f>IFERROR(IF(0=LEN(ReferenceData!$D$88),"",ReferenceData!$D$88),"")</f>
        <v>BS_ST_BORROW</v>
      </c>
      <c r="E88" t="str">
        <f>IFERROR(IF(0=LEN(ReferenceData!$E$88),"",ReferenceData!$E$88),"")</f>
        <v>Dynamic</v>
      </c>
      <c r="F88">
        <f ca="1">IFERROR(IF(0=LEN(ReferenceData!$Q$88),"",ReferenceData!$Q$88),"")</f>
        <v>0</v>
      </c>
      <c r="G88">
        <f ca="1">IFERROR(IF(0=LEN(ReferenceData!$P$88),"",ReferenceData!$P$88),"")</f>
        <v>0</v>
      </c>
      <c r="H88">
        <f ca="1">IFERROR(IF(0=LEN(ReferenceData!$O$88),"",ReferenceData!$O$88),"")</f>
        <v>0</v>
      </c>
      <c r="I88">
        <f ca="1">IFERROR(IF(0=LEN(ReferenceData!$N$88),"",ReferenceData!$N$88),"")</f>
        <v>6.4476512130000003</v>
      </c>
      <c r="J88">
        <f ca="1">IFERROR(IF(0=LEN(ReferenceData!$M$88),"",ReferenceData!$M$88),"")</f>
        <v>0</v>
      </c>
      <c r="K88" t="str">
        <f ca="1">IFERROR(IF(0=LEN(ReferenceData!$L$88),"",ReferenceData!$L$88),"")</f>
        <v/>
      </c>
      <c r="L88" t="str">
        <f ca="1">IFERROR(IF(0=LEN(ReferenceData!$K$88),"",ReferenceData!$K$88),"")</f>
        <v/>
      </c>
      <c r="M88">
        <f ca="1">IFERROR(IF(0=LEN(ReferenceData!$J$88),"",ReferenceData!$J$88),"")</f>
        <v>176.13</v>
      </c>
      <c r="N88" t="str">
        <f ca="1">IFERROR(IF(0=LEN(ReferenceData!$I$88),"",ReferenceData!$I$88),"")</f>
        <v/>
      </c>
      <c r="O88" t="str">
        <f ca="1">IFERROR(IF(0=LEN(ReferenceData!$H$88),"",ReferenceData!$H$88),"")</f>
        <v/>
      </c>
      <c r="P88" t="str">
        <f ca="1">IFERROR(IF(0=LEN(ReferenceData!$G$88),"",ReferenceData!$G$88),"")</f>
        <v/>
      </c>
      <c r="Q88">
        <f ca="1">IFERROR(IF(0=LEN(ReferenceData!$F$88),"",ReferenceData!$F$88),"")</f>
        <v>391.13600000000002</v>
      </c>
    </row>
    <row r="89" spans="1:17" x14ac:dyDescent="0.25">
      <c r="A89" t="str">
        <f>IFERROR(IF(0=LEN(ReferenceData!$A$89),"",ReferenceData!$A$89),"")</f>
        <v xml:space="preserve">    Indra Sistemas SA</v>
      </c>
      <c r="B89" t="str">
        <f>IFERROR(IF(0=LEN(ReferenceData!$B$89),"",ReferenceData!$B$89),"")</f>
        <v>IDR SM Equity</v>
      </c>
      <c r="C89" t="str">
        <f>IFERROR(IF(0=LEN(ReferenceData!$C$89),"",ReferenceData!$C$89),"")</f>
        <v>BS047</v>
      </c>
      <c r="D89" t="str">
        <f>IFERROR(IF(0=LEN(ReferenceData!$D$89),"",ReferenceData!$D$89),"")</f>
        <v>BS_ST_BORROW</v>
      </c>
      <c r="E89" t="str">
        <f>IFERROR(IF(0=LEN(ReferenceData!$E$89),"",ReferenceData!$E$89),"")</f>
        <v>Dynamic</v>
      </c>
      <c r="F89">
        <f ca="1">IFERROR(IF(0=LEN(ReferenceData!$Q$89),"",ReferenceData!$Q$89),"")</f>
        <v>129.5900498</v>
      </c>
      <c r="G89">
        <f ca="1">IFERROR(IF(0=LEN(ReferenceData!$P$89),"",ReferenceData!$P$89),"")</f>
        <v>149.54400999999999</v>
      </c>
      <c r="H89">
        <f ca="1">IFERROR(IF(0=LEN(ReferenceData!$O$89),"",ReferenceData!$O$89),"")</f>
        <v>325.73849439999998</v>
      </c>
      <c r="I89">
        <f ca="1">IFERROR(IF(0=LEN(ReferenceData!$N$89),"",ReferenceData!$N$89),"")</f>
        <v>391.38225</v>
      </c>
      <c r="J89">
        <f ca="1">IFERROR(IF(0=LEN(ReferenceData!$M$89),"",ReferenceData!$M$89),"")</f>
        <v>303.1606094</v>
      </c>
      <c r="K89">
        <f ca="1">IFERROR(IF(0=LEN(ReferenceData!$L$89),"",ReferenceData!$L$89),"")</f>
        <v>238.55155999999999</v>
      </c>
      <c r="L89">
        <f ca="1">IFERROR(IF(0=LEN(ReferenceData!$K$89),"",ReferenceData!$K$89),"")</f>
        <v>48.498074799999998</v>
      </c>
      <c r="M89">
        <f ca="1">IFERROR(IF(0=LEN(ReferenceData!$J$89),"",ReferenceData!$J$89),"")</f>
        <v>34.336260000000003</v>
      </c>
      <c r="N89">
        <f ca="1">IFERROR(IF(0=LEN(ReferenceData!$I$89),"",ReferenceData!$I$89),"")</f>
        <v>118.110882</v>
      </c>
      <c r="O89">
        <f ca="1">IFERROR(IF(0=LEN(ReferenceData!$H$89),"",ReferenceData!$H$89),"")</f>
        <v>122.98584</v>
      </c>
      <c r="P89">
        <f ca="1">IFERROR(IF(0=LEN(ReferenceData!$G$89),"",ReferenceData!$G$89),"")</f>
        <v>125.7165153</v>
      </c>
      <c r="Q89">
        <f ca="1">IFERROR(IF(0=LEN(ReferenceData!$F$89),"",ReferenceData!$F$89),"")</f>
        <v>195.94206</v>
      </c>
    </row>
    <row r="90" spans="1:17" x14ac:dyDescent="0.25">
      <c r="A90" t="str">
        <f>IFERROR(IF(0=LEN(ReferenceData!$A$90),"",ReferenceData!$A$90),"")</f>
        <v xml:space="preserve">    Infosys Ltd</v>
      </c>
      <c r="B90" t="str">
        <f>IFERROR(IF(0=LEN(ReferenceData!$B$90),"",ReferenceData!$B$90),"")</f>
        <v>INFY US Equity</v>
      </c>
      <c r="C90" t="str">
        <f>IFERROR(IF(0=LEN(ReferenceData!$C$90),"",ReferenceData!$C$90),"")</f>
        <v>BS047</v>
      </c>
      <c r="D90" t="str">
        <f>IFERROR(IF(0=LEN(ReferenceData!$D$90),"",ReferenceData!$D$90),"")</f>
        <v>BS_ST_BORROW</v>
      </c>
      <c r="E90" t="str">
        <f>IFERROR(IF(0=LEN(ReferenceData!$E$90),"",ReferenceData!$E$90),"")</f>
        <v>Dynamic</v>
      </c>
      <c r="F90">
        <f ca="1">IFERROR(IF(0=LEN(ReferenceData!$Q$90),"",ReferenceData!$Q$90),"")</f>
        <v>0</v>
      </c>
      <c r="G90">
        <f ca="1">IFERROR(IF(0=LEN(ReferenceData!$P$90),"",ReferenceData!$P$90),"")</f>
        <v>0</v>
      </c>
      <c r="H90">
        <f ca="1">IFERROR(IF(0=LEN(ReferenceData!$O$90),"",ReferenceData!$O$90),"")</f>
        <v>0</v>
      </c>
      <c r="I90">
        <f ca="1">IFERROR(IF(0=LEN(ReferenceData!$N$90),"",ReferenceData!$N$90),"")</f>
        <v>0</v>
      </c>
      <c r="J90">
        <f ca="1">IFERROR(IF(0=LEN(ReferenceData!$M$90),"",ReferenceData!$M$90),"")</f>
        <v>0</v>
      </c>
      <c r="K90">
        <f ca="1">IFERROR(IF(0=LEN(ReferenceData!$L$90),"",ReferenceData!$L$90),"")</f>
        <v>0</v>
      </c>
      <c r="L90">
        <f ca="1">IFERROR(IF(0=LEN(ReferenceData!$K$90),"",ReferenceData!$K$90),"")</f>
        <v>0</v>
      </c>
      <c r="M90">
        <f ca="1">IFERROR(IF(0=LEN(ReferenceData!$J$90),"",ReferenceData!$J$90),"")</f>
        <v>0</v>
      </c>
      <c r="N90">
        <f ca="1">IFERROR(IF(0=LEN(ReferenceData!$I$90),"",ReferenceData!$I$90),"")</f>
        <v>71.670131690000005</v>
      </c>
      <c r="O90">
        <f ca="1">IFERROR(IF(0=LEN(ReferenceData!$H$90),"",ReferenceData!$H$90),"")</f>
        <v>72.875467850000007</v>
      </c>
      <c r="P90">
        <f ca="1">IFERROR(IF(0=LEN(ReferenceData!$G$90),"",ReferenceData!$G$90),"")</f>
        <v>79.747839580000004</v>
      </c>
      <c r="Q90">
        <f ca="1">IFERROR(IF(0=LEN(ReferenceData!$F$90),"",ReferenceData!$F$90),"")</f>
        <v>82.124136140000005</v>
      </c>
    </row>
    <row r="91" spans="1:17" x14ac:dyDescent="0.25">
      <c r="A91" t="str">
        <f>IFERROR(IF(0=LEN(ReferenceData!$A$91),"",ReferenceData!$A$91),"")</f>
        <v xml:space="preserve">    International Business Machines Corp</v>
      </c>
      <c r="B91" t="str">
        <f>IFERROR(IF(0=LEN(ReferenceData!$B$91),"",ReferenceData!$B$91),"")</f>
        <v>IBM US Equity</v>
      </c>
      <c r="C91" t="str">
        <f>IFERROR(IF(0=LEN(ReferenceData!$C$91),"",ReferenceData!$C$91),"")</f>
        <v>BS047</v>
      </c>
      <c r="D91" t="str">
        <f>IFERROR(IF(0=LEN(ReferenceData!$D$91),"",ReferenceData!$D$91),"")</f>
        <v>BS_ST_BORROW</v>
      </c>
      <c r="E91" t="str">
        <f>IFERROR(IF(0=LEN(ReferenceData!$E$91),"",ReferenceData!$E$91),"")</f>
        <v>Dynamic</v>
      </c>
      <c r="F91">
        <f ca="1">IFERROR(IF(0=LEN(ReferenceData!$Q$91),"",ReferenceData!$Q$91),"")</f>
        <v>8061</v>
      </c>
      <c r="G91">
        <f ca="1">IFERROR(IF(0=LEN(ReferenceData!$P$91),"",ReferenceData!$P$91),"")</f>
        <v>4299</v>
      </c>
      <c r="H91">
        <f ca="1">IFERROR(IF(0=LEN(ReferenceData!$O$91),"",ReferenceData!$O$91),"")</f>
        <v>6987</v>
      </c>
      <c r="I91">
        <f ca="1">IFERROR(IF(0=LEN(ReferenceData!$N$91),"",ReferenceData!$N$91),"")</f>
        <v>5977</v>
      </c>
      <c r="J91">
        <f ca="1">IFERROR(IF(0=LEN(ReferenceData!$M$91),"",ReferenceData!$M$91),"")</f>
        <v>7646</v>
      </c>
      <c r="K91">
        <f ca="1">IFERROR(IF(0=LEN(ReferenceData!$L$91),"",ReferenceData!$L$91),"")</f>
        <v>10932</v>
      </c>
      <c r="L91">
        <f ca="1">IFERROR(IF(0=LEN(ReferenceData!$K$91),"",ReferenceData!$K$91),"")</f>
        <v>10207</v>
      </c>
      <c r="M91">
        <f ca="1">IFERROR(IF(0=LEN(ReferenceData!$J$91),"",ReferenceData!$J$91),"")</f>
        <v>11563</v>
      </c>
      <c r="N91">
        <f ca="1">IFERROR(IF(0=LEN(ReferenceData!$I$91),"",ReferenceData!$I$91),"")</f>
        <v>15913</v>
      </c>
      <c r="O91">
        <f ca="1">IFERROR(IF(0=LEN(ReferenceData!$H$91),"",ReferenceData!$H$91),"")</f>
        <v>9907</v>
      </c>
      <c r="P91">
        <f ca="1">IFERROR(IF(0=LEN(ReferenceData!$G$91),"",ReferenceData!$G$91),"")</f>
        <v>10177</v>
      </c>
      <c r="Q91">
        <f ca="1">IFERROR(IF(0=LEN(ReferenceData!$F$91),"",ReferenceData!$F$91),"")</f>
        <v>12969</v>
      </c>
    </row>
    <row r="92" spans="1:17" x14ac:dyDescent="0.25">
      <c r="A92" t="str">
        <f>IFERROR(IF(0=LEN(ReferenceData!$A$92),"",ReferenceData!$A$92),"")</f>
        <v xml:space="preserve">    Tata Consultancy Services Ltd</v>
      </c>
      <c r="B92" t="str">
        <f>IFERROR(IF(0=LEN(ReferenceData!$B$92),"",ReferenceData!$B$92),"")</f>
        <v>TCS IN Equity</v>
      </c>
      <c r="C92" t="str">
        <f>IFERROR(IF(0=LEN(ReferenceData!$C$92),"",ReferenceData!$C$92),"")</f>
        <v>BS047</v>
      </c>
      <c r="D92" t="str">
        <f>IFERROR(IF(0=LEN(ReferenceData!$D$92),"",ReferenceData!$D$92),"")</f>
        <v>BS_ST_BORROW</v>
      </c>
      <c r="E92" t="str">
        <f>IFERROR(IF(0=LEN(ReferenceData!$E$92),"",ReferenceData!$E$92),"")</f>
        <v>Dynamic</v>
      </c>
      <c r="F92">
        <f ca="1">IFERROR(IF(0=LEN(ReferenceData!$Q$92),"",ReferenceData!$Q$92),"")</f>
        <v>3.2497729030000002</v>
      </c>
      <c r="G92">
        <f ca="1">IFERROR(IF(0=LEN(ReferenceData!$P$92),"",ReferenceData!$P$92),"")</f>
        <v>3.060443764</v>
      </c>
      <c r="H92">
        <f ca="1">IFERROR(IF(0=LEN(ReferenceData!$O$92),"",ReferenceData!$O$92),"")</f>
        <v>2.9756544479999998</v>
      </c>
      <c r="I92">
        <f ca="1">IFERROR(IF(0=LEN(ReferenceData!$N$92),"",ReferenceData!$N$92),"")</f>
        <v>29.628492479999998</v>
      </c>
      <c r="J92">
        <f ca="1">IFERROR(IF(0=LEN(ReferenceData!$M$92),"",ReferenceData!$M$92),"")</f>
        <v>2.3366192039999998</v>
      </c>
      <c r="K92">
        <f ca="1">IFERROR(IF(0=LEN(ReferenceData!$L$92),"",ReferenceData!$L$92),"")</f>
        <v>2.3432277269999999</v>
      </c>
      <c r="L92">
        <f ca="1">IFERROR(IF(0=LEN(ReferenceData!$K$92),"",ReferenceData!$K$92),"")</f>
        <v>2.4393743720000001</v>
      </c>
      <c r="M92">
        <f ca="1">IFERROR(IF(0=LEN(ReferenceData!$J$92),"",ReferenceData!$J$92),"")</f>
        <v>2.5965295940000002</v>
      </c>
      <c r="N92">
        <f ca="1">IFERROR(IF(0=LEN(ReferenceData!$I$92),"",ReferenceData!$I$92),"")</f>
        <v>156.3975748</v>
      </c>
      <c r="O92">
        <f ca="1">IFERROR(IF(0=LEN(ReferenceData!$H$92),"",ReferenceData!$H$92),"")</f>
        <v>160.467535</v>
      </c>
      <c r="P92">
        <f ca="1">IFERROR(IF(0=LEN(ReferenceData!$G$92),"",ReferenceData!$G$92),"")</f>
        <v>167.3581422</v>
      </c>
      <c r="Q92">
        <f ca="1">IFERROR(IF(0=LEN(ReferenceData!$F$92),"",ReferenceData!$F$92),"")</f>
        <v>168.22844040000001</v>
      </c>
    </row>
    <row r="93" spans="1:17" x14ac:dyDescent="0.25">
      <c r="A93" t="str">
        <f>IFERROR(IF(0=LEN(ReferenceData!$A$93),"",ReferenceData!$A$93),"")</f>
        <v xml:space="preserve">    Tech Mahindra Ltd</v>
      </c>
      <c r="B93" t="str">
        <f>IFERROR(IF(0=LEN(ReferenceData!$B$93),"",ReferenceData!$B$93),"")</f>
        <v>TECHM IN Equity</v>
      </c>
      <c r="C93" t="str">
        <f>IFERROR(IF(0=LEN(ReferenceData!$C$93),"",ReferenceData!$C$93),"")</f>
        <v>BS047</v>
      </c>
      <c r="D93" t="str">
        <f>IFERROR(IF(0=LEN(ReferenceData!$D$93),"",ReferenceData!$D$93),"")</f>
        <v>BS_ST_BORROW</v>
      </c>
      <c r="E93" t="str">
        <f>IFERROR(IF(0=LEN(ReferenceData!$E$93),"",ReferenceData!$E$93),"")</f>
        <v>Dynamic</v>
      </c>
      <c r="F93">
        <f ca="1">IFERROR(IF(0=LEN(ReferenceData!$Q$93),"",ReferenceData!$Q$93),"")</f>
        <v>154.6118146</v>
      </c>
      <c r="G93">
        <f ca="1">IFERROR(IF(0=LEN(ReferenceData!$P$93),"",ReferenceData!$P$93),"")</f>
        <v>155.5608263</v>
      </c>
      <c r="H93">
        <f ca="1">IFERROR(IF(0=LEN(ReferenceData!$O$93),"",ReferenceData!$O$93),"")</f>
        <v>183.97375160000001</v>
      </c>
      <c r="I93">
        <f ca="1">IFERROR(IF(0=LEN(ReferenceData!$N$93),"",ReferenceData!$N$93),"")</f>
        <v>249.53945350000001</v>
      </c>
      <c r="J93">
        <f ca="1">IFERROR(IF(0=LEN(ReferenceData!$M$93),"",ReferenceData!$M$93),"")</f>
        <v>148.1708653</v>
      </c>
      <c r="K93">
        <f ca="1">IFERROR(IF(0=LEN(ReferenceData!$L$93),"",ReferenceData!$L$93),"")</f>
        <v>153.98038579999999</v>
      </c>
      <c r="L93">
        <f ca="1">IFERROR(IF(0=LEN(ReferenceData!$K$93),"",ReferenceData!$K$93),"")</f>
        <v>200.40177929999999</v>
      </c>
      <c r="M93">
        <f ca="1">IFERROR(IF(0=LEN(ReferenceData!$J$93),"",ReferenceData!$J$93),"")</f>
        <v>257.76326289999997</v>
      </c>
      <c r="N93">
        <f ca="1">IFERROR(IF(0=LEN(ReferenceData!$I$93),"",ReferenceData!$I$93),"")</f>
        <v>233.01497670000001</v>
      </c>
      <c r="O93">
        <f ca="1">IFERROR(IF(0=LEN(ReferenceData!$H$93),"",ReferenceData!$H$93),"")</f>
        <v>327.47263629999998</v>
      </c>
      <c r="P93">
        <f ca="1">IFERROR(IF(0=LEN(ReferenceData!$G$93),"",ReferenceData!$G$93),"")</f>
        <v>314.4564019</v>
      </c>
      <c r="Q93">
        <f ca="1">IFERROR(IF(0=LEN(ReferenceData!$F$93),"",ReferenceData!$F$93),"")</f>
        <v>298.44627500000001</v>
      </c>
    </row>
    <row r="94" spans="1:17" x14ac:dyDescent="0.25">
      <c r="A94" t="str">
        <f>IFERROR(IF(0=LEN(ReferenceData!$A$94),"",ReferenceData!$A$94),"")</f>
        <v xml:space="preserve">    Wipro Ltd</v>
      </c>
      <c r="B94" t="str">
        <f>IFERROR(IF(0=LEN(ReferenceData!$B$94),"",ReferenceData!$B$94),"")</f>
        <v>WIT US Equity</v>
      </c>
      <c r="C94" t="str">
        <f>IFERROR(IF(0=LEN(ReferenceData!$C$94),"",ReferenceData!$C$94),"")</f>
        <v>BS047</v>
      </c>
      <c r="D94" t="str">
        <f>IFERROR(IF(0=LEN(ReferenceData!$D$94),"",ReferenceData!$D$94),"")</f>
        <v>BS_ST_BORROW</v>
      </c>
      <c r="E94" t="str">
        <f>IFERROR(IF(0=LEN(ReferenceData!$E$94),"",ReferenceData!$E$94),"")</f>
        <v>Dynamic</v>
      </c>
      <c r="F94">
        <f ca="1">IFERROR(IF(0=LEN(ReferenceData!$Q$94),"",ReferenceData!$Q$94),"")</f>
        <v>1759.705602</v>
      </c>
      <c r="G94">
        <f ca="1">IFERROR(IF(0=LEN(ReferenceData!$P$94),"",ReferenceData!$P$94),"")</f>
        <v>1747.666412</v>
      </c>
      <c r="H94">
        <f ca="1">IFERROR(IF(0=LEN(ReferenceData!$O$94),"",ReferenceData!$O$94),"")</f>
        <v>1600.009397</v>
      </c>
      <c r="I94">
        <f ca="1">IFERROR(IF(0=LEN(ReferenceData!$N$94),"",ReferenceData!$N$94),"")</f>
        <v>1427.5560330000001</v>
      </c>
      <c r="J94">
        <f ca="1">IFERROR(IF(0=LEN(ReferenceData!$M$94),"",ReferenceData!$M$94),"")</f>
        <v>1032.0262869999999</v>
      </c>
      <c r="K94">
        <f ca="1">IFERROR(IF(0=LEN(ReferenceData!$L$94),"",ReferenceData!$L$94),"")</f>
        <v>864.59589659999995</v>
      </c>
      <c r="L94">
        <f ca="1">IFERROR(IF(0=LEN(ReferenceData!$K$94),"",ReferenceData!$K$94),"")</f>
        <v>772.89424589999999</v>
      </c>
      <c r="M94">
        <f ca="1">IFERROR(IF(0=LEN(ReferenceData!$J$94),"",ReferenceData!$J$94),"")</f>
        <v>1025.6147639999999</v>
      </c>
      <c r="N94">
        <f ca="1">IFERROR(IF(0=LEN(ReferenceData!$I$94),"",ReferenceData!$I$94),"")</f>
        <v>1271.158285</v>
      </c>
      <c r="O94">
        <f ca="1">IFERROR(IF(0=LEN(ReferenceData!$H$94),"",ReferenceData!$H$94),"")</f>
        <v>1109.2636749999999</v>
      </c>
      <c r="P94">
        <f ca="1">IFERROR(IF(0=LEN(ReferenceData!$G$94),"",ReferenceData!$G$94),"")</f>
        <v>1105.92563</v>
      </c>
      <c r="Q94">
        <f ca="1">IFERROR(IF(0=LEN(ReferenceData!$F$94),"",ReferenceData!$F$94),"")</f>
        <v>1058.2205730000001</v>
      </c>
    </row>
    <row r="95" spans="1:17" x14ac:dyDescent="0.25">
      <c r="A95" t="str">
        <f>IFERROR(IF(0=LEN(ReferenceData!$A$95),"",ReferenceData!$A$95),"")</f>
        <v>LT Borrowings</v>
      </c>
      <c r="B95" t="str">
        <f>IFERROR(IF(0=LEN(ReferenceData!$B$95),"",ReferenceData!$B$95),"")</f>
        <v/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Sum</v>
      </c>
      <c r="F95">
        <f ca="1">IFERROR(IF(0=LEN(ReferenceData!$Q$95),"",ReferenceData!$Q$95),"")</f>
        <v>40447.917068827992</v>
      </c>
      <c r="G95">
        <f ca="1">IFERROR(IF(0=LEN(ReferenceData!$P$95),"",ReferenceData!$P$95),"")</f>
        <v>43422.299252904995</v>
      </c>
      <c r="H95">
        <f ca="1">IFERROR(IF(0=LEN(ReferenceData!$O$95),"",ReferenceData!$O$95),"")</f>
        <v>46511.554988175005</v>
      </c>
      <c r="I95">
        <f ca="1">IFERROR(IF(0=LEN(ReferenceData!$N$95),"",ReferenceData!$N$95),"")</f>
        <v>46823.139061383998</v>
      </c>
      <c r="J95">
        <f ca="1">IFERROR(IF(0=LEN(ReferenceData!$M$95),"",ReferenceData!$M$95),"")</f>
        <v>43535.257879613011</v>
      </c>
      <c r="K95">
        <f ca="1">IFERROR(IF(0=LEN(ReferenceData!$L$95),"",ReferenceData!$L$95),"")</f>
        <v>42162.677113755999</v>
      </c>
      <c r="L95">
        <f ca="1">IFERROR(IF(0=LEN(ReferenceData!$K$95),"",ReferenceData!$K$95),"")</f>
        <v>49198.042363515997</v>
      </c>
      <c r="M95">
        <f ca="1">IFERROR(IF(0=LEN(ReferenceData!$J$95),"",ReferenceData!$J$95),"")</f>
        <v>51123.934221301002</v>
      </c>
      <c r="N95">
        <f ca="1">IFERROR(IF(0=LEN(ReferenceData!$I$95),"",ReferenceData!$I$95),"")</f>
        <v>75839.519542099995</v>
      </c>
      <c r="O95">
        <f ca="1">IFERROR(IF(0=LEN(ReferenceData!$H$95),"",ReferenceData!$H$95),"")</f>
        <v>75023.941399000003</v>
      </c>
      <c r="P95">
        <f ca="1">IFERROR(IF(0=LEN(ReferenceData!$G$95),"",ReferenceData!$G$95),"")</f>
        <v>84436.290125899992</v>
      </c>
      <c r="Q95">
        <f ca="1">IFERROR(IF(0=LEN(ReferenceData!$F$95),"",ReferenceData!$F$95),"")</f>
        <v>82553.166194540012</v>
      </c>
    </row>
    <row r="96" spans="1:17" x14ac:dyDescent="0.25">
      <c r="A96" t="str">
        <f>IFERROR(IF(0=LEN(ReferenceData!$A$96),"",ReferenceData!$A$96),"")</f>
        <v xml:space="preserve">    Accenture PLC</v>
      </c>
      <c r="B96" t="str">
        <f>IFERROR(IF(0=LEN(ReferenceData!$B$96),"",ReferenceData!$B$96),"")</f>
        <v>ACN US Equity</v>
      </c>
      <c r="C96" t="str">
        <f>IFERROR(IF(0=LEN(ReferenceData!$C$96),"",ReferenceData!$C$96),"")</f>
        <v>BS051</v>
      </c>
      <c r="D96" t="str">
        <f>IFERROR(IF(0=LEN(ReferenceData!$D$96),"",ReferenceData!$D$96),"")</f>
        <v>BS_LT_BORROW</v>
      </c>
      <c r="E96" t="str">
        <f>IFERROR(IF(0=LEN(ReferenceData!$E$96),"",ReferenceData!$E$96),"")</f>
        <v>Dynamic</v>
      </c>
      <c r="F96">
        <f ca="1">IFERROR(IF(0=LEN(ReferenceData!$Q$96),"",ReferenceData!$Q$96),"")</f>
        <v>24.731999999999999</v>
      </c>
      <c r="G96">
        <f ca="1">IFERROR(IF(0=LEN(ReferenceData!$P$96),"",ReferenceData!$P$96),"")</f>
        <v>22.163</v>
      </c>
      <c r="H96">
        <f ca="1">IFERROR(IF(0=LEN(ReferenceData!$O$96),"",ReferenceData!$O$96),"")</f>
        <v>22.225999999999999</v>
      </c>
      <c r="I96">
        <f ca="1">IFERROR(IF(0=LEN(ReferenceData!$N$96),"",ReferenceData!$N$96),"")</f>
        <v>25.922999999999998</v>
      </c>
      <c r="J96">
        <f ca="1">IFERROR(IF(0=LEN(ReferenceData!$M$96),"",ReferenceData!$M$96),"")</f>
        <v>25.957999999999998</v>
      </c>
      <c r="K96">
        <f ca="1">IFERROR(IF(0=LEN(ReferenceData!$L$96),"",ReferenceData!$L$96),"")</f>
        <v>19.675999999999998</v>
      </c>
      <c r="L96">
        <f ca="1">IFERROR(IF(0=LEN(ReferenceData!$K$96),"",ReferenceData!$K$96),"")</f>
        <v>19.896000000000001</v>
      </c>
      <c r="M96">
        <f ca="1">IFERROR(IF(0=LEN(ReferenceData!$J$96),"",ReferenceData!$J$96),"")</f>
        <v>19.753</v>
      </c>
      <c r="N96">
        <f ca="1">IFERROR(IF(0=LEN(ReferenceData!$I$96),"",ReferenceData!$I$96),"")</f>
        <v>19.855</v>
      </c>
      <c r="O96">
        <f ca="1">IFERROR(IF(0=LEN(ReferenceData!$H$96),"",ReferenceData!$H$96),"")</f>
        <v>16.247</v>
      </c>
      <c r="P96">
        <f ca="1">IFERROR(IF(0=LEN(ReferenceData!$G$96),"",ReferenceData!$G$96),"")</f>
        <v>2667.5859999999998</v>
      </c>
      <c r="Q96">
        <f ca="1">IFERROR(IF(0=LEN(ReferenceData!$F$96),"",ReferenceData!$F$96),"")</f>
        <v>2665.7310000000002</v>
      </c>
    </row>
    <row r="97" spans="1:17" x14ac:dyDescent="0.25">
      <c r="A97" t="str">
        <f>IFERROR(IF(0=LEN(ReferenceData!$A$97),"",ReferenceData!$A$97),"")</f>
        <v xml:space="preserve">    Amdocs Ltd</v>
      </c>
      <c r="B97" t="str">
        <f>IFERROR(IF(0=LEN(ReferenceData!$B$97),"",ReferenceData!$B$97),"")</f>
        <v>DOX US Equity</v>
      </c>
      <c r="C97" t="str">
        <f>IFERROR(IF(0=LEN(ReferenceData!$C$97),"",ReferenceData!$C$97),"")</f>
        <v>BS051</v>
      </c>
      <c r="D97" t="str">
        <f>IFERROR(IF(0=LEN(ReferenceData!$D$97),"",ReferenceData!$D$97),"")</f>
        <v>BS_LT_BORROW</v>
      </c>
      <c r="E97" t="str">
        <f>IFERROR(IF(0=LEN(ReferenceData!$E$97),"",ReferenceData!$E$97),"")</f>
        <v>Dynamic</v>
      </c>
      <c r="F97">
        <f ca="1">IFERROR(IF(0=LEN(ReferenceData!$Q$97),"",ReferenceData!$Q$97),"")</f>
        <v>0</v>
      </c>
      <c r="G97">
        <f ca="1">IFERROR(IF(0=LEN(ReferenceData!$P$97),"",ReferenceData!$P$97),"")</f>
        <v>0</v>
      </c>
      <c r="H97">
        <f ca="1">IFERROR(IF(0=LEN(ReferenceData!$O$97),"",ReferenceData!$O$97),"")</f>
        <v>0</v>
      </c>
      <c r="I97">
        <f ca="1">IFERROR(IF(0=LEN(ReferenceData!$N$97),"",ReferenceData!$N$97),"")</f>
        <v>0</v>
      </c>
      <c r="J97">
        <f ca="1">IFERROR(IF(0=LEN(ReferenceData!$M$97),"",ReferenceData!$M$97),"")</f>
        <v>0</v>
      </c>
      <c r="K97">
        <f ca="1">IFERROR(IF(0=LEN(ReferenceData!$L$97),"",ReferenceData!$L$97),"")</f>
        <v>0</v>
      </c>
      <c r="L97">
        <f ca="1">IFERROR(IF(0=LEN(ReferenceData!$K$97),"",ReferenceData!$K$97),"")</f>
        <v>0</v>
      </c>
      <c r="M97">
        <f ca="1">IFERROR(IF(0=LEN(ReferenceData!$J$97),"",ReferenceData!$J$97),"")</f>
        <v>0</v>
      </c>
      <c r="N97">
        <f ca="1">IFERROR(IF(0=LEN(ReferenceData!$I$97),"",ReferenceData!$I$97),"")</f>
        <v>0</v>
      </c>
      <c r="O97">
        <f ca="1">IFERROR(IF(0=LEN(ReferenceData!$H$97),"",ReferenceData!$H$97),"")</f>
        <v>0</v>
      </c>
      <c r="P97">
        <f ca="1">IFERROR(IF(0=LEN(ReferenceData!$G$97),"",ReferenceData!$G$97),"")</f>
        <v>223.66399999999999</v>
      </c>
      <c r="Q97">
        <f ca="1">IFERROR(IF(0=LEN(ReferenceData!$F$97),"",ReferenceData!$F$97),"")</f>
        <v>218.39099999999999</v>
      </c>
    </row>
    <row r="98" spans="1:17" x14ac:dyDescent="0.25">
      <c r="A98" t="str">
        <f>IFERROR(IF(0=LEN(ReferenceData!$A$98),"",ReferenceData!$A$98),"")</f>
        <v xml:space="preserve">    Atos SE</v>
      </c>
      <c r="B98" t="str">
        <f>IFERROR(IF(0=LEN(ReferenceData!$B$98),"",ReferenceData!$B$98),"")</f>
        <v>ATO FP Equity</v>
      </c>
      <c r="C98" t="str">
        <f>IFERROR(IF(0=LEN(ReferenceData!$C$98),"",ReferenceData!$C$98),"")</f>
        <v>BS051</v>
      </c>
      <c r="D98" t="str">
        <f>IFERROR(IF(0=LEN(ReferenceData!$D$98),"",ReferenceData!$D$98),"")</f>
        <v>BS_LT_BORROW</v>
      </c>
      <c r="E98" t="str">
        <f>IFERROR(IF(0=LEN(ReferenceData!$E$98),"",ReferenceData!$E$98),"")</f>
        <v>Dynamic</v>
      </c>
      <c r="F98" t="str">
        <f ca="1">IFERROR(IF(0=LEN(ReferenceData!$Q$98),"",ReferenceData!$Q$98),"")</f>
        <v/>
      </c>
      <c r="G98" t="str">
        <f ca="1">IFERROR(IF(0=LEN(ReferenceData!$P$98),"",ReferenceData!$P$98),"")</f>
        <v/>
      </c>
      <c r="H98" t="str">
        <f ca="1">IFERROR(IF(0=LEN(ReferenceData!$O$98),"",ReferenceData!$O$98),"")</f>
        <v/>
      </c>
      <c r="I98" t="str">
        <f ca="1">IFERROR(IF(0=LEN(ReferenceData!$N$98),"",ReferenceData!$N$98),"")</f>
        <v/>
      </c>
      <c r="J98" t="str">
        <f ca="1">IFERROR(IF(0=LEN(ReferenceData!$M$98),"",ReferenceData!$M$98),"")</f>
        <v/>
      </c>
      <c r="K98" t="str">
        <f ca="1">IFERROR(IF(0=LEN(ReferenceData!$L$98),"",ReferenceData!$L$98),"")</f>
        <v/>
      </c>
      <c r="L98" t="str">
        <f ca="1">IFERROR(IF(0=LEN(ReferenceData!$K$98),"",ReferenceData!$K$98),"")</f>
        <v/>
      </c>
      <c r="M98" t="str">
        <f ca="1">IFERROR(IF(0=LEN(ReferenceData!$J$98),"",ReferenceData!$J$98),"")</f>
        <v/>
      </c>
      <c r="N98" t="str">
        <f ca="1">IFERROR(IF(0=LEN(ReferenceData!$I$98),"",ReferenceData!$I$98),"")</f>
        <v/>
      </c>
      <c r="O98" t="str">
        <f ca="1">IFERROR(IF(0=LEN(ReferenceData!$H$98),"",ReferenceData!$H$98),"")</f>
        <v/>
      </c>
      <c r="P98" t="str">
        <f ca="1">IFERROR(IF(0=LEN(ReferenceData!$G$98),"",ReferenceData!$G$98),"")</f>
        <v/>
      </c>
      <c r="Q98" t="str">
        <f ca="1">IFERROR(IF(0=LEN(ReferenceData!$F$98),"",ReferenceData!$F$98),"")</f>
        <v/>
      </c>
    </row>
    <row r="99" spans="1:17" x14ac:dyDescent="0.25">
      <c r="A99" t="str">
        <f>IFERROR(IF(0=LEN(ReferenceData!$A$99),"",ReferenceData!$A$99),"")</f>
        <v xml:space="preserve">    Capgemini SE</v>
      </c>
      <c r="B99" t="str">
        <f>IFERROR(IF(0=LEN(ReferenceData!$B$99),"",ReferenceData!$B$99),"")</f>
        <v>CAP FP Equity</v>
      </c>
      <c r="C99" t="str">
        <f>IFERROR(IF(0=LEN(ReferenceData!$C$99),"",ReferenceData!$C$99),"")</f>
        <v>BS051</v>
      </c>
      <c r="D99" t="str">
        <f>IFERROR(IF(0=LEN(ReferenceData!$D$99),"",ReferenceData!$D$99),"")</f>
        <v>BS_LT_BORROW</v>
      </c>
      <c r="E99" t="str">
        <f>IFERROR(IF(0=LEN(ReferenceData!$E$99),"",ReferenceData!$E$99),"")</f>
        <v>Dynamic</v>
      </c>
      <c r="F99" t="str">
        <f ca="1">IFERROR(IF(0=LEN(ReferenceData!$Q$99),"",ReferenceData!$Q$99),"")</f>
        <v/>
      </c>
      <c r="G99" t="str">
        <f ca="1">IFERROR(IF(0=LEN(ReferenceData!$P$99),"",ReferenceData!$P$99),"")</f>
        <v/>
      </c>
      <c r="H99" t="str">
        <f ca="1">IFERROR(IF(0=LEN(ReferenceData!$O$99),"",ReferenceData!$O$99),"")</f>
        <v/>
      </c>
      <c r="I99" t="str">
        <f ca="1">IFERROR(IF(0=LEN(ReferenceData!$N$99),"",ReferenceData!$N$99),"")</f>
        <v/>
      </c>
      <c r="J99" t="str">
        <f ca="1">IFERROR(IF(0=LEN(ReferenceData!$M$99),"",ReferenceData!$M$99),"")</f>
        <v/>
      </c>
      <c r="K99" t="str">
        <f ca="1">IFERROR(IF(0=LEN(ReferenceData!$L$99),"",ReferenceData!$L$99),"")</f>
        <v/>
      </c>
      <c r="L99" t="str">
        <f ca="1">IFERROR(IF(0=LEN(ReferenceData!$K$99),"",ReferenceData!$K$99),"")</f>
        <v/>
      </c>
      <c r="M99" t="str">
        <f ca="1">IFERROR(IF(0=LEN(ReferenceData!$J$99),"",ReferenceData!$J$99),"")</f>
        <v/>
      </c>
      <c r="N99" t="str">
        <f ca="1">IFERROR(IF(0=LEN(ReferenceData!$I$99),"",ReferenceData!$I$99),"")</f>
        <v/>
      </c>
      <c r="O99" t="str">
        <f ca="1">IFERROR(IF(0=LEN(ReferenceData!$H$99),"",ReferenceData!$H$99),"")</f>
        <v/>
      </c>
      <c r="P99">
        <f ca="1">IFERROR(IF(0=LEN(ReferenceData!$G$99),"",ReferenceData!$G$99),"")</f>
        <v>3543.8724000000002</v>
      </c>
      <c r="Q99" t="str">
        <f ca="1">IFERROR(IF(0=LEN(ReferenceData!$F$99),"",ReferenceData!$F$99),"")</f>
        <v/>
      </c>
    </row>
    <row r="100" spans="1:17" x14ac:dyDescent="0.25">
      <c r="A100" t="str">
        <f>IFERROR(IF(0=LEN(ReferenceData!$A$100),"",ReferenceData!$A$100),"")</f>
        <v xml:space="preserve">    CGI Inc</v>
      </c>
      <c r="B100" t="str">
        <f>IFERROR(IF(0=LEN(ReferenceData!$B$100),"",ReferenceData!$B$100),"")</f>
        <v>GIB US Equity</v>
      </c>
      <c r="C100" t="str">
        <f>IFERROR(IF(0=LEN(ReferenceData!$C$100),"",ReferenceData!$C$100),"")</f>
        <v>BS051</v>
      </c>
      <c r="D100" t="str">
        <f>IFERROR(IF(0=LEN(ReferenceData!$D$100),"",ReferenceData!$D$100),"")</f>
        <v>BS_LT_BORROW</v>
      </c>
      <c r="E100" t="str">
        <f>IFERROR(IF(0=LEN(ReferenceData!$E$100),"",ReferenceData!$E$100),"")</f>
        <v>Dynamic</v>
      </c>
      <c r="F100">
        <f ca="1">IFERROR(IF(0=LEN(ReferenceData!$Q$100),"",ReferenceData!$Q$100),"")</f>
        <v>1278.902317</v>
      </c>
      <c r="G100">
        <f ca="1">IFERROR(IF(0=LEN(ReferenceData!$P$100),"",ReferenceData!$P$100),"")</f>
        <v>1393.412368</v>
      </c>
      <c r="H100">
        <f ca="1">IFERROR(IF(0=LEN(ReferenceData!$O$100),"",ReferenceData!$O$100),"")</f>
        <v>1212.4411270000001</v>
      </c>
      <c r="I100">
        <f ca="1">IFERROR(IF(0=LEN(ReferenceData!$N$100),"",ReferenceData!$N$100),"")</f>
        <v>1149.446815</v>
      </c>
      <c r="J100">
        <f ca="1">IFERROR(IF(0=LEN(ReferenceData!$M$100),"",ReferenceData!$M$100),"")</f>
        <v>1174.4123239999999</v>
      </c>
      <c r="K100">
        <f ca="1">IFERROR(IF(0=LEN(ReferenceData!$L$100),"",ReferenceData!$L$100),"")</f>
        <v>1122.430636</v>
      </c>
      <c r="L100">
        <f ca="1">IFERROR(IF(0=LEN(ReferenceData!$K$100),"",ReferenceData!$K$100),"")</f>
        <v>1477.807546</v>
      </c>
      <c r="M100">
        <f ca="1">IFERROR(IF(0=LEN(ReferenceData!$J$100),"",ReferenceData!$J$100),"")</f>
        <v>1473.9754620000001</v>
      </c>
      <c r="N100">
        <f ca="1">IFERROR(IF(0=LEN(ReferenceData!$I$100),"",ReferenceData!$I$100),"")</f>
        <v>1807.4131219999999</v>
      </c>
      <c r="O100">
        <f ca="1">IFERROR(IF(0=LEN(ReferenceData!$H$100),"",ReferenceData!$H$100),"")</f>
        <v>1674.870478</v>
      </c>
      <c r="P100">
        <f ca="1">IFERROR(IF(0=LEN(ReferenceData!$G$100),"",ReferenceData!$G$100),"")</f>
        <v>2102.9734939999998</v>
      </c>
      <c r="Q100">
        <f ca="1">IFERROR(IF(0=LEN(ReferenceData!$F$100),"",ReferenceData!$F$100),"")</f>
        <v>2733.171437</v>
      </c>
    </row>
    <row r="101" spans="1:17" x14ac:dyDescent="0.25">
      <c r="A101" t="str">
        <f>IFERROR(IF(0=LEN(ReferenceData!$A$101),"",ReferenceData!$A$101),"")</f>
        <v xml:space="preserve">    Cognizant Technology Solutions Corp</v>
      </c>
      <c r="B101" t="str">
        <f>IFERROR(IF(0=LEN(ReferenceData!$B$101),"",ReferenceData!$B$101),"")</f>
        <v>CTSH US Equity</v>
      </c>
      <c r="C101" t="str">
        <f>IFERROR(IF(0=LEN(ReferenceData!$C$101),"",ReferenceData!$C$101),"")</f>
        <v>BS051</v>
      </c>
      <c r="D101" t="str">
        <f>IFERROR(IF(0=LEN(ReferenceData!$D$101),"",ReferenceData!$D$101),"")</f>
        <v>BS_LT_BORROW</v>
      </c>
      <c r="E101" t="str">
        <f>IFERROR(IF(0=LEN(ReferenceData!$E$101),"",ReferenceData!$E$101),"")</f>
        <v>Dynamic</v>
      </c>
      <c r="F101">
        <f ca="1">IFERROR(IF(0=LEN(ReferenceData!$Q$101),"",ReferenceData!$Q$101),"")</f>
        <v>747</v>
      </c>
      <c r="G101">
        <f ca="1">IFERROR(IF(0=LEN(ReferenceData!$P$101),"",ReferenceData!$P$101),"")</f>
        <v>723</v>
      </c>
      <c r="H101">
        <f ca="1">IFERROR(IF(0=LEN(ReferenceData!$O$101),"",ReferenceData!$O$101),"")</f>
        <v>698</v>
      </c>
      <c r="I101">
        <f ca="1">IFERROR(IF(0=LEN(ReferenceData!$N$101),"",ReferenceData!$N$101),"")</f>
        <v>673</v>
      </c>
      <c r="J101">
        <f ca="1">IFERROR(IF(0=LEN(ReferenceData!$M$101),"",ReferenceData!$M$101),"")</f>
        <v>649</v>
      </c>
      <c r="K101">
        <f ca="1">IFERROR(IF(0=LEN(ReferenceData!$L$101),"",ReferenceData!$L$101),"")</f>
        <v>624</v>
      </c>
      <c r="L101">
        <f ca="1">IFERROR(IF(0=LEN(ReferenceData!$K$101),"",ReferenceData!$K$101),"")</f>
        <v>736</v>
      </c>
      <c r="M101">
        <f ca="1">IFERROR(IF(0=LEN(ReferenceData!$J$101),"",ReferenceData!$J$101),"")</f>
        <v>1395</v>
      </c>
      <c r="N101">
        <f ca="1">IFERROR(IF(0=LEN(ReferenceData!$I$101),"",ReferenceData!$I$101),"")</f>
        <v>1413</v>
      </c>
      <c r="O101">
        <f ca="1">IFERROR(IF(0=LEN(ReferenceData!$H$101),"",ReferenceData!$H$101),"")</f>
        <v>1457</v>
      </c>
      <c r="P101">
        <f ca="1">IFERROR(IF(0=LEN(ReferenceData!$G$101),"",ReferenceData!$G$101),"")</f>
        <v>1460</v>
      </c>
      <c r="Q101">
        <f ca="1">IFERROR(IF(0=LEN(ReferenceData!$F$101),"",ReferenceData!$F$101),"")</f>
        <v>3164</v>
      </c>
    </row>
    <row r="102" spans="1:17" x14ac:dyDescent="0.25">
      <c r="A102" t="str">
        <f>IFERROR(IF(0=LEN(ReferenceData!$A$102),"",ReferenceData!$A$102),"")</f>
        <v xml:space="preserve">    Conduent Inc</v>
      </c>
      <c r="B102" t="str">
        <f>IFERROR(IF(0=LEN(ReferenceData!$B$102),"",ReferenceData!$B$102),"")</f>
        <v>CNDT US Equity</v>
      </c>
      <c r="C102" t="str">
        <f>IFERROR(IF(0=LEN(ReferenceData!$C$102),"",ReferenceData!$C$102),"")</f>
        <v>BS051</v>
      </c>
      <c r="D102" t="str">
        <f>IFERROR(IF(0=LEN(ReferenceData!$D$102),"",ReferenceData!$D$102),"")</f>
        <v>BS_LT_BORROW</v>
      </c>
      <c r="E102" t="str">
        <f>IFERROR(IF(0=LEN(ReferenceData!$E$102),"",ReferenceData!$E$102),"")</f>
        <v>Dynamic</v>
      </c>
      <c r="F102">
        <f ca="1">IFERROR(IF(0=LEN(ReferenceData!$Q$102),"",ReferenceData!$Q$102),"")</f>
        <v>2071</v>
      </c>
      <c r="G102">
        <f ca="1">IFERROR(IF(0=LEN(ReferenceData!$P$102),"",ReferenceData!$P$102),"")</f>
        <v>1991</v>
      </c>
      <c r="H102">
        <f ca="1">IFERROR(IF(0=LEN(ReferenceData!$O$102),"",ReferenceData!$O$102),"")</f>
        <v>1979</v>
      </c>
      <c r="I102">
        <f ca="1">IFERROR(IF(0=LEN(ReferenceData!$N$102),"",ReferenceData!$N$102),"")</f>
        <v>1972</v>
      </c>
      <c r="J102">
        <f ca="1">IFERROR(IF(0=LEN(ReferenceData!$M$102),"",ReferenceData!$M$102),"")</f>
        <v>2001</v>
      </c>
      <c r="K102">
        <f ca="1">IFERROR(IF(0=LEN(ReferenceData!$L$102),"",ReferenceData!$L$102),"")</f>
        <v>1528</v>
      </c>
      <c r="L102">
        <f ca="1">IFERROR(IF(0=LEN(ReferenceData!$K$102),"",ReferenceData!$K$102),"")</f>
        <v>1512</v>
      </c>
      <c r="M102">
        <f ca="1">IFERROR(IF(0=LEN(ReferenceData!$J$102),"",ReferenceData!$J$102),"")</f>
        <v>1778</v>
      </c>
      <c r="N102">
        <f ca="1">IFERROR(IF(0=LEN(ReferenceData!$I$102),"",ReferenceData!$I$102),"")</f>
        <v>1752</v>
      </c>
      <c r="O102">
        <f ca="1">IFERROR(IF(0=LEN(ReferenceData!$H$102),"",ReferenceData!$H$102),"")</f>
        <v>1713</v>
      </c>
      <c r="P102">
        <f ca="1">IFERROR(IF(0=LEN(ReferenceData!$G$102),"",ReferenceData!$G$102),"")</f>
        <v>1693</v>
      </c>
      <c r="Q102">
        <f ca="1">IFERROR(IF(0=LEN(ReferenceData!$F$102),"",ReferenceData!$F$102),"")</f>
        <v>1820</v>
      </c>
    </row>
    <row r="103" spans="1:17" x14ac:dyDescent="0.25">
      <c r="A103" t="str">
        <f>IFERROR(IF(0=LEN(ReferenceData!$A$103),"",ReferenceData!$A$103),"")</f>
        <v xml:space="preserve">    DXC Technology Co</v>
      </c>
      <c r="B103" t="str">
        <f>IFERROR(IF(0=LEN(ReferenceData!$B$103),"",ReferenceData!$B$103),"")</f>
        <v>DXC US Equity</v>
      </c>
      <c r="C103" t="str">
        <f>IFERROR(IF(0=LEN(ReferenceData!$C$103),"",ReferenceData!$C$103),"")</f>
        <v>BS051</v>
      </c>
      <c r="D103" t="str">
        <f>IFERROR(IF(0=LEN(ReferenceData!$D$103),"",ReferenceData!$D$103),"")</f>
        <v>BS_LT_BORROW</v>
      </c>
      <c r="E103" t="str">
        <f>IFERROR(IF(0=LEN(ReferenceData!$E$103),"",ReferenceData!$E$103),"")</f>
        <v>Dynamic</v>
      </c>
      <c r="F103">
        <f ca="1">IFERROR(IF(0=LEN(ReferenceData!$Q$103),"",ReferenceData!$Q$103),"")</f>
        <v>6249</v>
      </c>
      <c r="G103">
        <f ca="1">IFERROR(IF(0=LEN(ReferenceData!$P$103),"",ReferenceData!$P$103),"")</f>
        <v>6325</v>
      </c>
      <c r="H103">
        <f ca="1">IFERROR(IF(0=LEN(ReferenceData!$O$103),"",ReferenceData!$O$103),"")</f>
        <v>6367</v>
      </c>
      <c r="I103">
        <f ca="1">IFERROR(IF(0=LEN(ReferenceData!$N$103),"",ReferenceData!$N$103),"")</f>
        <v>6092</v>
      </c>
      <c r="J103">
        <f ca="1">IFERROR(IF(0=LEN(ReferenceData!$M$103),"",ReferenceData!$M$103),"")</f>
        <v>4747</v>
      </c>
      <c r="K103">
        <f ca="1">IFERROR(IF(0=LEN(ReferenceData!$L$103),"",ReferenceData!$L$103),"")</f>
        <v>5409</v>
      </c>
      <c r="L103">
        <f ca="1">IFERROR(IF(0=LEN(ReferenceData!$K$103),"",ReferenceData!$K$103),"")</f>
        <v>5980</v>
      </c>
      <c r="M103">
        <f ca="1">IFERROR(IF(0=LEN(ReferenceData!$J$103),"",ReferenceData!$J$103),"")</f>
        <v>5470</v>
      </c>
      <c r="N103">
        <f ca="1">IFERROR(IF(0=LEN(ReferenceData!$I$103),"",ReferenceData!$I$103),"")</f>
        <v>9022</v>
      </c>
      <c r="O103">
        <f ca="1">IFERROR(IF(0=LEN(ReferenceData!$H$103),"",ReferenceData!$H$103),"")</f>
        <v>8837</v>
      </c>
      <c r="P103">
        <f ca="1">IFERROR(IF(0=LEN(ReferenceData!$G$103),"",ReferenceData!$G$103),"")</f>
        <v>8412</v>
      </c>
      <c r="Q103">
        <f ca="1">IFERROR(IF(0=LEN(ReferenceData!$F$103),"",ReferenceData!$F$103),"")</f>
        <v>9735</v>
      </c>
    </row>
    <row r="104" spans="1:17" x14ac:dyDescent="0.25">
      <c r="A104" t="str">
        <f>IFERROR(IF(0=LEN(ReferenceData!$A$104),"",ReferenceData!$A$104),"")</f>
        <v xml:space="preserve">    EPAM Systems Inc</v>
      </c>
      <c r="B104" t="str">
        <f>IFERROR(IF(0=LEN(ReferenceData!$B$104),"",ReferenceData!$B$104),"")</f>
        <v>EPAM US Equity</v>
      </c>
      <c r="C104" t="str">
        <f>IFERROR(IF(0=LEN(ReferenceData!$C$104),"",ReferenceData!$C$104),"")</f>
        <v>BS051</v>
      </c>
      <c r="D104" t="str">
        <f>IFERROR(IF(0=LEN(ReferenceData!$D$104),"",ReferenceData!$D$104),"")</f>
        <v>BS_LT_BORROW</v>
      </c>
      <c r="E104" t="str">
        <f>IFERROR(IF(0=LEN(ReferenceData!$E$104),"",ReferenceData!$E$104),"")</f>
        <v>Dynamic</v>
      </c>
      <c r="F104">
        <f ca="1">IFERROR(IF(0=LEN(ReferenceData!$Q$104),"",ReferenceData!$Q$104),"")</f>
        <v>25.033000000000001</v>
      </c>
      <c r="G104">
        <f ca="1">IFERROR(IF(0=LEN(ReferenceData!$P$104),"",ReferenceData!$P$104),"")</f>
        <v>25.041</v>
      </c>
      <c r="H104">
        <f ca="1">IFERROR(IF(0=LEN(ReferenceData!$O$104),"",ReferenceData!$O$104),"")</f>
        <v>25.033000000000001</v>
      </c>
      <c r="I104">
        <f ca="1">IFERROR(IF(0=LEN(ReferenceData!$N$104),"",ReferenceData!$N$104),"")</f>
        <v>25.024999999999999</v>
      </c>
      <c r="J104">
        <f ca="1">IFERROR(IF(0=LEN(ReferenceData!$M$104),"",ReferenceData!$M$104),"")</f>
        <v>25.02</v>
      </c>
      <c r="K104">
        <f ca="1">IFERROR(IF(0=LEN(ReferenceData!$L$104),"",ReferenceData!$L$104),"")</f>
        <v>25.027999999999999</v>
      </c>
      <c r="L104">
        <f ca="1">IFERROR(IF(0=LEN(ReferenceData!$K$104),"",ReferenceData!$K$104),"")</f>
        <v>25.030999999999999</v>
      </c>
      <c r="M104">
        <f ca="1">IFERROR(IF(0=LEN(ReferenceData!$J$104),"",ReferenceData!$J$104),"")</f>
        <v>152.935</v>
      </c>
      <c r="N104">
        <f ca="1">IFERROR(IF(0=LEN(ReferenceData!$I$104),"",ReferenceData!$I$104),"")</f>
        <v>183.137</v>
      </c>
      <c r="O104">
        <f ca="1">IFERROR(IF(0=LEN(ReferenceData!$H$104),"",ReferenceData!$H$104),"")</f>
        <v>178.98</v>
      </c>
      <c r="P104">
        <f ca="1">IFERROR(IF(0=LEN(ReferenceData!$G$104),"",ReferenceData!$G$104),"")</f>
        <v>205.922</v>
      </c>
      <c r="Q104">
        <f ca="1">IFERROR(IF(0=LEN(ReferenceData!$F$104),"",ReferenceData!$F$104),"")</f>
        <v>214.358</v>
      </c>
    </row>
    <row r="105" spans="1:17" x14ac:dyDescent="0.25">
      <c r="A105" t="str">
        <f>IFERROR(IF(0=LEN(ReferenceData!$A$105),"",ReferenceData!$A$105),"")</f>
        <v xml:space="preserve">    Genpact Ltd</v>
      </c>
      <c r="B105" t="str">
        <f>IFERROR(IF(0=LEN(ReferenceData!$B$105),"",ReferenceData!$B$105),"")</f>
        <v>G US Equity</v>
      </c>
      <c r="C105" t="str">
        <f>IFERROR(IF(0=LEN(ReferenceData!$C$105),"",ReferenceData!$C$105),"")</f>
        <v>BS051</v>
      </c>
      <c r="D105" t="str">
        <f>IFERROR(IF(0=LEN(ReferenceData!$D$105),"",ReferenceData!$D$105),"")</f>
        <v>BS_LT_BORROW</v>
      </c>
      <c r="E105" t="str">
        <f>IFERROR(IF(0=LEN(ReferenceData!$E$105),"",ReferenceData!$E$105),"")</f>
        <v>Dynamic</v>
      </c>
      <c r="F105">
        <f ca="1">IFERROR(IF(0=LEN(ReferenceData!$Q$105),"",ReferenceData!$Q$105),"")</f>
        <v>1026.047</v>
      </c>
      <c r="G105">
        <f ca="1">IFERROR(IF(0=LEN(ReferenceData!$P$105),"",ReferenceData!$P$105),"")</f>
        <v>1016.371</v>
      </c>
      <c r="H105">
        <f ca="1">IFERROR(IF(0=LEN(ReferenceData!$O$105),"",ReferenceData!$O$105),"")</f>
        <v>1006.687</v>
      </c>
      <c r="I105">
        <f ca="1">IFERROR(IF(0=LEN(ReferenceData!$N$105),"",ReferenceData!$N$105),"")</f>
        <v>996.99900000000002</v>
      </c>
      <c r="J105">
        <f ca="1">IFERROR(IF(0=LEN(ReferenceData!$M$105),"",ReferenceData!$M$105),"")</f>
        <v>987.31399999999996</v>
      </c>
      <c r="K105">
        <f ca="1">IFERROR(IF(0=LEN(ReferenceData!$L$105),"",ReferenceData!$L$105),"")</f>
        <v>983.88400000000001</v>
      </c>
      <c r="L105">
        <f ca="1">IFERROR(IF(0=LEN(ReferenceData!$K$105),"",ReferenceData!$K$105),"")</f>
        <v>975.64499999999998</v>
      </c>
      <c r="M105">
        <f ca="1">IFERROR(IF(0=LEN(ReferenceData!$J$105),"",ReferenceData!$J$105),"")</f>
        <v>1243.5419999999999</v>
      </c>
      <c r="N105">
        <f ca="1">IFERROR(IF(0=LEN(ReferenceData!$I$105),"",ReferenceData!$I$105),"")</f>
        <v>1265.2629999999999</v>
      </c>
      <c r="O105">
        <f ca="1">IFERROR(IF(0=LEN(ReferenceData!$H$105),"",ReferenceData!$H$105),"")</f>
        <v>1250.319</v>
      </c>
      <c r="P105">
        <f ca="1">IFERROR(IF(0=LEN(ReferenceData!$G$105),"",ReferenceData!$G$105),"")</f>
        <v>1662.6210000000001</v>
      </c>
      <c r="Q105">
        <f ca="1">IFERROR(IF(0=LEN(ReferenceData!$F$105),"",ReferenceData!$F$105),"")</f>
        <v>1668.386</v>
      </c>
    </row>
    <row r="106" spans="1:17" x14ac:dyDescent="0.25">
      <c r="A106" t="str">
        <f>IFERROR(IF(0=LEN(ReferenceData!$A$106),"",ReferenceData!$A$106),"")</f>
        <v xml:space="preserve">    HCL Technologies Ltd</v>
      </c>
      <c r="B106" t="str">
        <f>IFERROR(IF(0=LEN(ReferenceData!$B$106),"",ReferenceData!$B$106),"")</f>
        <v>HCLT IN Equity</v>
      </c>
      <c r="C106" t="str">
        <f>IFERROR(IF(0=LEN(ReferenceData!$C$106),"",ReferenceData!$C$106),"")</f>
        <v>BS051</v>
      </c>
      <c r="D106" t="str">
        <f>IFERROR(IF(0=LEN(ReferenceData!$D$106),"",ReferenceData!$D$106),"")</f>
        <v>BS_LT_BORROW</v>
      </c>
      <c r="E106" t="str">
        <f>IFERROR(IF(0=LEN(ReferenceData!$E$106),"",ReferenceData!$E$106),"")</f>
        <v>Dynamic</v>
      </c>
      <c r="F106">
        <f ca="1">IFERROR(IF(0=LEN(ReferenceData!$Q$106),"",ReferenceData!$Q$106),"")</f>
        <v>88.2</v>
      </c>
      <c r="G106">
        <f ca="1">IFERROR(IF(0=LEN(ReferenceData!$P$106),"",ReferenceData!$P$106),"")</f>
        <v>111.4</v>
      </c>
      <c r="H106">
        <f ca="1">IFERROR(IF(0=LEN(ReferenceData!$O$106),"",ReferenceData!$O$106),"")</f>
        <v>79.900000000000006</v>
      </c>
      <c r="I106">
        <f ca="1">IFERROR(IF(0=LEN(ReferenceData!$N$106),"",ReferenceData!$N$106),"")</f>
        <v>69.849554810000001</v>
      </c>
      <c r="J106">
        <f ca="1">IFERROR(IF(0=LEN(ReferenceData!$M$106),"",ReferenceData!$M$106),"")</f>
        <v>52.3</v>
      </c>
      <c r="K106">
        <f ca="1">IFERROR(IF(0=LEN(ReferenceData!$L$106),"",ReferenceData!$L$106),"")</f>
        <v>424.1</v>
      </c>
      <c r="L106">
        <f ca="1">IFERROR(IF(0=LEN(ReferenceData!$K$106),"",ReferenceData!$K$106),"")</f>
        <v>557</v>
      </c>
      <c r="M106">
        <f ca="1">IFERROR(IF(0=LEN(ReferenceData!$J$106),"",ReferenceData!$J$106),"")</f>
        <v>430.67899999999997</v>
      </c>
      <c r="N106">
        <f ca="1">IFERROR(IF(0=LEN(ReferenceData!$I$106),"",ReferenceData!$I$106),"")</f>
        <v>576.70000000000005</v>
      </c>
      <c r="O106">
        <f ca="1">IFERROR(IF(0=LEN(ReferenceData!$H$106),"",ReferenceData!$H$106),"")</f>
        <v>915.6</v>
      </c>
      <c r="P106">
        <f ca="1">IFERROR(IF(0=LEN(ReferenceData!$G$106),"",ReferenceData!$G$106),"")</f>
        <v>894.8</v>
      </c>
      <c r="Q106">
        <f ca="1">IFERROR(IF(0=LEN(ReferenceData!$F$106),"",ReferenceData!$F$106),"")</f>
        <v>664.45</v>
      </c>
    </row>
    <row r="107" spans="1:17" x14ac:dyDescent="0.25">
      <c r="A107" t="str">
        <f>IFERROR(IF(0=LEN(ReferenceData!$A$107),"",ReferenceData!$A$107),"")</f>
        <v xml:space="preserve">    Indra Sistemas SA</v>
      </c>
      <c r="B107" t="str">
        <f>IFERROR(IF(0=LEN(ReferenceData!$B$107),"",ReferenceData!$B$107),"")</f>
        <v>IDR SM Equity</v>
      </c>
      <c r="C107" t="str">
        <f>IFERROR(IF(0=LEN(ReferenceData!$C$107),"",ReferenceData!$C$107),"")</f>
        <v>BS051</v>
      </c>
      <c r="D107" t="str">
        <f>IFERROR(IF(0=LEN(ReferenceData!$D$107),"",ReferenceData!$D$107),"")</f>
        <v>BS_LT_BORROW</v>
      </c>
      <c r="E107" t="str">
        <f>IFERROR(IF(0=LEN(ReferenceData!$E$107),"",ReferenceData!$E$107),"")</f>
        <v>Dynamic</v>
      </c>
      <c r="F107">
        <f ca="1">IFERROR(IF(0=LEN(ReferenceData!$Q$107),"",ReferenceData!$Q$107),"")</f>
        <v>1432.090686</v>
      </c>
      <c r="G107">
        <f ca="1">IFERROR(IF(0=LEN(ReferenceData!$P$107),"",ReferenceData!$P$107),"")</f>
        <v>1407.1536599999999</v>
      </c>
      <c r="H107">
        <f ca="1">IFERROR(IF(0=LEN(ReferenceData!$O$107),"",ReferenceData!$O$107),"")</f>
        <v>1221.8896319999999</v>
      </c>
      <c r="I107">
        <f ca="1">IFERROR(IF(0=LEN(ReferenceData!$N$107),"",ReferenceData!$N$107),"")</f>
        <v>1279.2960599999999</v>
      </c>
      <c r="J107">
        <f ca="1">IFERROR(IF(0=LEN(ReferenceData!$M$107),"",ReferenceData!$M$107),"")</f>
        <v>1567.455089</v>
      </c>
      <c r="K107">
        <f ca="1">IFERROR(IF(0=LEN(ReferenceData!$L$107),"",ReferenceData!$L$107),"")</f>
        <v>1553.8370600000001</v>
      </c>
      <c r="L107">
        <f ca="1">IFERROR(IF(0=LEN(ReferenceData!$K$107),"",ReferenceData!$K$107),"")</f>
        <v>1555.924835</v>
      </c>
      <c r="M107">
        <f ca="1">IFERROR(IF(0=LEN(ReferenceData!$J$107),"",ReferenceData!$J$107),"")</f>
        <v>1572.3987299999999</v>
      </c>
      <c r="N107">
        <f ca="1">IFERROR(IF(0=LEN(ReferenceData!$I$107),"",ReferenceData!$I$107),"")</f>
        <v>1752.477879</v>
      </c>
      <c r="O107">
        <f ca="1">IFERROR(IF(0=LEN(ReferenceData!$H$107),"",ReferenceData!$H$107),"")</f>
        <v>1566.87013</v>
      </c>
      <c r="P107">
        <f ca="1">IFERROR(IF(0=LEN(ReferenceData!$G$107),"",ReferenceData!$G$107),"")</f>
        <v>1664.555519</v>
      </c>
      <c r="Q107">
        <f ca="1">IFERROR(IF(0=LEN(ReferenceData!$F$107),"",ReferenceData!$F$107),"")</f>
        <v>1481.3044199999999</v>
      </c>
    </row>
    <row r="108" spans="1:17" x14ac:dyDescent="0.25">
      <c r="A108" t="str">
        <f>IFERROR(IF(0=LEN(ReferenceData!$A$108),"",ReferenceData!$A$108),"")</f>
        <v xml:space="preserve">    Infosys Ltd</v>
      </c>
      <c r="B108" t="str">
        <f>IFERROR(IF(0=LEN(ReferenceData!$B$108),"",ReferenceData!$B$108),"")</f>
        <v>INFY US Equity</v>
      </c>
      <c r="C108" t="str">
        <f>IFERROR(IF(0=LEN(ReferenceData!$C$108),"",ReferenceData!$C$108),"")</f>
        <v>BS051</v>
      </c>
      <c r="D108" t="str">
        <f>IFERROR(IF(0=LEN(ReferenceData!$D$108),"",ReferenceData!$D$108),"")</f>
        <v>BS_LT_BORROW</v>
      </c>
      <c r="E108" t="str">
        <f>IFERROR(IF(0=LEN(ReferenceData!$E$108),"",ReferenceData!$E$108),"")</f>
        <v>Dynamic</v>
      </c>
      <c r="F108">
        <f ca="1">IFERROR(IF(0=LEN(ReferenceData!$Q$108),"",ReferenceData!$Q$108),"")</f>
        <v>0</v>
      </c>
      <c r="G108">
        <f ca="1">IFERROR(IF(0=LEN(ReferenceData!$P$108),"",ReferenceData!$P$108),"")</f>
        <v>0</v>
      </c>
      <c r="H108">
        <f ca="1">IFERROR(IF(0=LEN(ReferenceData!$O$108),"",ReferenceData!$O$108),"")</f>
        <v>0</v>
      </c>
      <c r="I108">
        <f ca="1">IFERROR(IF(0=LEN(ReferenceData!$N$108),"",ReferenceData!$N$108),"")</f>
        <v>0</v>
      </c>
      <c r="J108">
        <f ca="1">IFERROR(IF(0=LEN(ReferenceData!$M$108),"",ReferenceData!$M$108),"")</f>
        <v>0</v>
      </c>
      <c r="K108">
        <f ca="1">IFERROR(IF(0=LEN(ReferenceData!$L$108),"",ReferenceData!$L$108),"")</f>
        <v>0</v>
      </c>
      <c r="L108">
        <f ca="1">IFERROR(IF(0=LEN(ReferenceData!$K$108),"",ReferenceData!$K$108),"")</f>
        <v>0</v>
      </c>
      <c r="M108">
        <f ca="1">IFERROR(IF(0=LEN(ReferenceData!$J$108),"",ReferenceData!$J$108),"")</f>
        <v>0</v>
      </c>
      <c r="N108">
        <f ca="1">IFERROR(IF(0=LEN(ReferenceData!$I$108),"",ReferenceData!$I$108),"")</f>
        <v>484.28117320000001</v>
      </c>
      <c r="O108">
        <f ca="1">IFERROR(IF(0=LEN(ReferenceData!$H$108),"",ReferenceData!$H$108),"")</f>
        <v>504.04352720000003</v>
      </c>
      <c r="P108">
        <f ca="1">IFERROR(IF(0=LEN(ReferenceData!$G$108),"",ReferenceData!$G$108),"")</f>
        <v>501.93402550000002</v>
      </c>
      <c r="Q108">
        <f ca="1">IFERROR(IF(0=LEN(ReferenceData!$F$108),"",ReferenceData!$F$108),"")</f>
        <v>532.54649830000005</v>
      </c>
    </row>
    <row r="109" spans="1:17" x14ac:dyDescent="0.25">
      <c r="A109" t="str">
        <f>IFERROR(IF(0=LEN(ReferenceData!$A$109),"",ReferenceData!$A$109),"")</f>
        <v xml:space="preserve">    International Business Machines Corp</v>
      </c>
      <c r="B109" t="str">
        <f>IFERROR(IF(0=LEN(ReferenceData!$B$109),"",ReferenceData!$B$109),"")</f>
        <v>IBM US Equity</v>
      </c>
      <c r="C109" t="str">
        <f>IFERROR(IF(0=LEN(ReferenceData!$C$109),"",ReferenceData!$C$109),"")</f>
        <v>BS051</v>
      </c>
      <c r="D109" t="str">
        <f>IFERROR(IF(0=LEN(ReferenceData!$D$109),"",ReferenceData!$D$109),"")</f>
        <v>BS_LT_BORROW</v>
      </c>
      <c r="E109" t="str">
        <f>IFERROR(IF(0=LEN(ReferenceData!$E$109),"",ReferenceData!$E$109),"")</f>
        <v>Dynamic</v>
      </c>
      <c r="F109">
        <f ca="1">IFERROR(IF(0=LEN(ReferenceData!$Q$109),"",ReferenceData!$Q$109),"")</f>
        <v>26929</v>
      </c>
      <c r="G109">
        <f ca="1">IFERROR(IF(0=LEN(ReferenceData!$P$109),"",ReferenceData!$P$109),"")</f>
        <v>29858</v>
      </c>
      <c r="H109">
        <f ca="1">IFERROR(IF(0=LEN(ReferenceData!$O$109),"",ReferenceData!$O$109),"")</f>
        <v>33366</v>
      </c>
      <c r="I109">
        <f ca="1">IFERROR(IF(0=LEN(ReferenceData!$N$109),"",ReferenceData!$N$109),"")</f>
        <v>33718</v>
      </c>
      <c r="J109">
        <f ca="1">IFERROR(IF(0=LEN(ReferenceData!$M$109),"",ReferenceData!$M$109),"")</f>
        <v>31498</v>
      </c>
      <c r="K109">
        <f ca="1">IFERROR(IF(0=LEN(ReferenceData!$L$109),"",ReferenceData!$L$109),"")</f>
        <v>29695</v>
      </c>
      <c r="L109">
        <f ca="1">IFERROR(IF(0=LEN(ReferenceData!$K$109),"",ReferenceData!$K$109),"")</f>
        <v>35605</v>
      </c>
      <c r="M109">
        <f ca="1">IFERROR(IF(0=LEN(ReferenceData!$J$109),"",ReferenceData!$J$109),"")</f>
        <v>37142</v>
      </c>
      <c r="N109">
        <f ca="1">IFERROR(IF(0=LEN(ReferenceData!$I$109),"",ReferenceData!$I$109),"")</f>
        <v>56126</v>
      </c>
      <c r="O109">
        <f ca="1">IFERROR(IF(0=LEN(ReferenceData!$H$109),"",ReferenceData!$H$109),"")</f>
        <v>55526</v>
      </c>
      <c r="P109">
        <f ca="1">IFERROR(IF(0=LEN(ReferenceData!$G$109),"",ReferenceData!$G$109),"")</f>
        <v>57981</v>
      </c>
      <c r="Q109">
        <f ca="1">IFERROR(IF(0=LEN(ReferenceData!$F$109),"",ReferenceData!$F$109),"")</f>
        <v>56484</v>
      </c>
    </row>
    <row r="110" spans="1:17" x14ac:dyDescent="0.25">
      <c r="A110" t="str">
        <f>IFERROR(IF(0=LEN(ReferenceData!$A$110),"",ReferenceData!$A$110),"")</f>
        <v xml:space="preserve">    Tata Consultancy Services Ltd</v>
      </c>
      <c r="B110" t="str">
        <f>IFERROR(IF(0=LEN(ReferenceData!$B$110),"",ReferenceData!$B$110),"")</f>
        <v>TCS IN Equity</v>
      </c>
      <c r="C110" t="str">
        <f>IFERROR(IF(0=LEN(ReferenceData!$C$110),"",ReferenceData!$C$110),"")</f>
        <v>BS051</v>
      </c>
      <c r="D110" t="str">
        <f>IFERROR(IF(0=LEN(ReferenceData!$D$110),"",ReferenceData!$D$110),"")</f>
        <v>BS_LT_BORROW</v>
      </c>
      <c r="E110" t="str">
        <f>IFERROR(IF(0=LEN(ReferenceData!$E$110),"",ReferenceData!$E$110),"")</f>
        <v>Dynamic</v>
      </c>
      <c r="F110">
        <f ca="1">IFERROR(IF(0=LEN(ReferenceData!$Q$110),"",ReferenceData!$Q$110),"")</f>
        <v>9.5945676179999992</v>
      </c>
      <c r="G110">
        <f ca="1">IFERROR(IF(0=LEN(ReferenceData!$P$110),"",ReferenceData!$P$110),"")</f>
        <v>9.0283091049999999</v>
      </c>
      <c r="H110">
        <f ca="1">IFERROR(IF(0=LEN(ReferenceData!$O$110),"",ReferenceData!$O$110),"")</f>
        <v>8.9269633450000008</v>
      </c>
      <c r="I110">
        <f ca="1">IFERROR(IF(0=LEN(ReferenceData!$N$110),"",ReferenceData!$N$110),"")</f>
        <v>8.2898372739999999</v>
      </c>
      <c r="J110">
        <f ca="1">IFERROR(IF(0=LEN(ReferenceData!$M$110),"",ReferenceData!$M$110),"")</f>
        <v>7.1558963130000004</v>
      </c>
      <c r="K110">
        <f ca="1">IFERROR(IF(0=LEN(ReferenceData!$L$110),"",ReferenceData!$L$110),"")</f>
        <v>6.340498556</v>
      </c>
      <c r="L110">
        <f ca="1">IFERROR(IF(0=LEN(ReferenceData!$K$110),"",ReferenceData!$K$110),"")</f>
        <v>6.6006600659999997</v>
      </c>
      <c r="M110">
        <f ca="1">IFERROR(IF(0=LEN(ReferenceData!$J$110),"",ReferenceData!$J$110),"")</f>
        <v>6.3470723409999996</v>
      </c>
      <c r="N110">
        <f ca="1">IFERROR(IF(0=LEN(ReferenceData!$I$110),"",ReferenceData!$I$110),"")</f>
        <v>836.82858220000003</v>
      </c>
      <c r="O110">
        <f ca="1">IFERROR(IF(0=LEN(ReferenceData!$H$110),"",ReferenceData!$H$110),"")</f>
        <v>799.50755990000005</v>
      </c>
      <c r="P110">
        <f ca="1">IFERROR(IF(0=LEN(ReferenceData!$G$110),"",ReferenceData!$G$110),"")</f>
        <v>824.85661540000001</v>
      </c>
      <c r="Q110">
        <f ca="1">IFERROR(IF(0=LEN(ReferenceData!$F$110),"",ReferenceData!$F$110),"")</f>
        <v>916.23470789999999</v>
      </c>
    </row>
    <row r="111" spans="1:17" x14ac:dyDescent="0.25">
      <c r="A111" t="str">
        <f>IFERROR(IF(0=LEN(ReferenceData!$A$111),"",ReferenceData!$A$111),"")</f>
        <v xml:space="preserve">    Tech Mahindra Ltd</v>
      </c>
      <c r="B111" t="str">
        <f>IFERROR(IF(0=LEN(ReferenceData!$B$111),"",ReferenceData!$B$111),"")</f>
        <v>TECHM IN Equity</v>
      </c>
      <c r="C111" t="str">
        <f>IFERROR(IF(0=LEN(ReferenceData!$C$111),"",ReferenceData!$C$111),"")</f>
        <v>BS051</v>
      </c>
      <c r="D111" t="str">
        <f>IFERROR(IF(0=LEN(ReferenceData!$D$111),"",ReferenceData!$D$111),"")</f>
        <v>BS_LT_BORROW</v>
      </c>
      <c r="E111" t="str">
        <f>IFERROR(IF(0=LEN(ReferenceData!$E$111),"",ReferenceData!$E$111),"")</f>
        <v>Dynamic</v>
      </c>
      <c r="F111">
        <f ca="1">IFERROR(IF(0=LEN(ReferenceData!$Q$111),"",ReferenceData!$Q$111),"")</f>
        <v>64.577630110000001</v>
      </c>
      <c r="G111">
        <f ca="1">IFERROR(IF(0=LEN(ReferenceData!$P$111),"",ReferenceData!$P$111),"")</f>
        <v>64.035195099999996</v>
      </c>
      <c r="H111">
        <f ca="1">IFERROR(IF(0=LEN(ReferenceData!$O$111),"",ReferenceData!$O$111),"")</f>
        <v>58.260181830000001</v>
      </c>
      <c r="I111">
        <f ca="1">IFERROR(IF(0=LEN(ReferenceData!$N$111),"",ReferenceData!$N$111),"")</f>
        <v>118.375806</v>
      </c>
      <c r="J111">
        <f ca="1">IFERROR(IF(0=LEN(ReferenceData!$M$111),"",ReferenceData!$M$111),"")</f>
        <v>113.3844469</v>
      </c>
      <c r="K111">
        <f ca="1">IFERROR(IF(0=LEN(ReferenceData!$L$111),"",ReferenceData!$L$111),"")</f>
        <v>50.094073700000003</v>
      </c>
      <c r="L111">
        <f ca="1">IFERROR(IF(0=LEN(ReferenceData!$K$111),"",ReferenceData!$K$111),"")</f>
        <v>29.903859950000001</v>
      </c>
      <c r="M111">
        <f ca="1">IFERROR(IF(0=LEN(ReferenceData!$J$111),"",ReferenceData!$J$111),"")</f>
        <v>30.090892960000001</v>
      </c>
      <c r="N111">
        <f ca="1">IFERROR(IF(0=LEN(ReferenceData!$I$111),"",ReferenceData!$I$111),"")</f>
        <v>118.56038789999999</v>
      </c>
      <c r="O111">
        <f ca="1">IFERROR(IF(0=LEN(ReferenceData!$H$111),"",ReferenceData!$H$111),"")</f>
        <v>119.48746610000001</v>
      </c>
      <c r="P111">
        <f ca="1">IFERROR(IF(0=LEN(ReferenceData!$G$111),"",ReferenceData!$G$111),"")</f>
        <v>135.15012390000001</v>
      </c>
      <c r="Q111">
        <f ca="1">IFERROR(IF(0=LEN(ReferenceData!$F$111),"",ReferenceData!$F$111),"")</f>
        <v>23.70853494</v>
      </c>
    </row>
    <row r="112" spans="1:17" x14ac:dyDescent="0.25">
      <c r="A112" t="str">
        <f>IFERROR(IF(0=LEN(ReferenceData!$A$112),"",ReferenceData!$A$112),"")</f>
        <v xml:space="preserve">    Wipro Ltd</v>
      </c>
      <c r="B112" t="str">
        <f>IFERROR(IF(0=LEN(ReferenceData!$B$112),"",ReferenceData!$B$112),"")</f>
        <v>WIT US Equity</v>
      </c>
      <c r="C112" t="str">
        <f>IFERROR(IF(0=LEN(ReferenceData!$C$112),"",ReferenceData!$C$112),"")</f>
        <v>BS051</v>
      </c>
      <c r="D112" t="str">
        <f>IFERROR(IF(0=LEN(ReferenceData!$D$112),"",ReferenceData!$D$112),"")</f>
        <v>BS_LT_BORROW</v>
      </c>
      <c r="E112" t="str">
        <f>IFERROR(IF(0=LEN(ReferenceData!$E$112),"",ReferenceData!$E$112),"")</f>
        <v>Dynamic</v>
      </c>
      <c r="F112">
        <f ca="1">IFERROR(IF(0=LEN(ReferenceData!$Q$112),"",ReferenceData!$Q$112),"")</f>
        <v>502.73986810000002</v>
      </c>
      <c r="G112">
        <f ca="1">IFERROR(IF(0=LEN(ReferenceData!$P$112),"",ReferenceData!$P$112),"")</f>
        <v>476.6947207</v>
      </c>
      <c r="H112">
        <f ca="1">IFERROR(IF(0=LEN(ReferenceData!$O$112),"",ReferenceData!$O$112),"")</f>
        <v>466.19108399999999</v>
      </c>
      <c r="I112">
        <f ca="1">IFERROR(IF(0=LEN(ReferenceData!$N$112),"",ReferenceData!$N$112),"")</f>
        <v>694.93398830000001</v>
      </c>
      <c r="J112">
        <f ca="1">IFERROR(IF(0=LEN(ReferenceData!$M$112),"",ReferenceData!$M$112),"")</f>
        <v>687.25812340000004</v>
      </c>
      <c r="K112">
        <f ca="1">IFERROR(IF(0=LEN(ReferenceData!$L$112),"",ReferenceData!$L$112),"")</f>
        <v>721.28684550000003</v>
      </c>
      <c r="L112">
        <f ca="1">IFERROR(IF(0=LEN(ReferenceData!$K$112),"",ReferenceData!$K$112),"")</f>
        <v>717.23346249999997</v>
      </c>
      <c r="M112">
        <f ca="1">IFERROR(IF(0=LEN(ReferenceData!$J$112),"",ReferenceData!$J$112),"")</f>
        <v>409.21306399999997</v>
      </c>
      <c r="N112">
        <f ca="1">IFERROR(IF(0=LEN(ReferenceData!$I$112),"",ReferenceData!$I$112),"")</f>
        <v>482.00339780000002</v>
      </c>
      <c r="O112">
        <f ca="1">IFERROR(IF(0=LEN(ReferenceData!$H$112),"",ReferenceData!$H$112),"")</f>
        <v>465.0162378</v>
      </c>
      <c r="P112">
        <f ca="1">IFERROR(IF(0=LEN(ReferenceData!$G$112),"",ReferenceData!$G$112),"")</f>
        <v>462.3549481</v>
      </c>
      <c r="Q112">
        <f ca="1">IFERROR(IF(0=LEN(ReferenceData!$F$112),"",ReferenceData!$F$112),"")</f>
        <v>231.88459639999999</v>
      </c>
    </row>
    <row r="113" spans="1:17" x14ac:dyDescent="0.25">
      <c r="A113" t="str">
        <f>IFERROR(IF(0=LEN(ReferenceData!$A$113),"",ReferenceData!$A$113),"")</f>
        <v>Total Liabilities</v>
      </c>
      <c r="B113" t="str">
        <f>IFERROR(IF(0=LEN(ReferenceData!$B$113),"",ReferenceData!$B$113),"")</f>
        <v/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Sum</v>
      </c>
      <c r="F113">
        <f ca="1">IFERROR(IF(0=LEN(ReferenceData!$Q$113),"",ReferenceData!$Q$113),"")</f>
        <v>165447.020253</v>
      </c>
      <c r="G113">
        <f ca="1">IFERROR(IF(0=LEN(ReferenceData!$P$113),"",ReferenceData!$P$113),"")</f>
        <v>168055.22492500002</v>
      </c>
      <c r="H113">
        <f ca="1">IFERROR(IF(0=LEN(ReferenceData!$O$113),"",ReferenceData!$O$113),"")</f>
        <v>174688.96728899999</v>
      </c>
      <c r="I113">
        <f ca="1">IFERROR(IF(0=LEN(ReferenceData!$N$113),"",ReferenceData!$N$113),"")</f>
        <v>173399.69730100001</v>
      </c>
      <c r="J113">
        <f ca="1">IFERROR(IF(0=LEN(ReferenceData!$M$113),"",ReferenceData!$M$113),"")</f>
        <v>166929.27709399996</v>
      </c>
      <c r="K113">
        <f ca="1">IFERROR(IF(0=LEN(ReferenceData!$L$113),"",ReferenceData!$L$113),"")</f>
        <v>166243.036544</v>
      </c>
      <c r="L113">
        <f ca="1">IFERROR(IF(0=LEN(ReferenceData!$K$113),"",ReferenceData!$K$113),"")</f>
        <v>171449.13146199999</v>
      </c>
      <c r="M113">
        <f ca="1">IFERROR(IF(0=LEN(ReferenceData!$J$113),"",ReferenceData!$J$113),"")</f>
        <v>181669.88309700001</v>
      </c>
      <c r="N113">
        <f ca="1">IFERROR(IF(0=LEN(ReferenceData!$I$113),"",ReferenceData!$I$113),"")</f>
        <v>210838.00778400002</v>
      </c>
      <c r="O113">
        <f ca="1">IFERROR(IF(0=LEN(ReferenceData!$H$113),"",ReferenceData!$H$113),"")</f>
        <v>205817.41844099999</v>
      </c>
      <c r="P113">
        <f ca="1">IFERROR(IF(0=LEN(ReferenceData!$G$113),"",ReferenceData!$G$113),"")</f>
        <v>220887.27628500003</v>
      </c>
      <c r="Q113">
        <f ca="1">IFERROR(IF(0=LEN(ReferenceData!$F$113),"",ReferenceData!$F$113),"")</f>
        <v>214623.579509</v>
      </c>
    </row>
    <row r="114" spans="1:17" x14ac:dyDescent="0.25">
      <c r="A114" t="str">
        <f>IFERROR(IF(0=LEN(ReferenceData!$A$114),"",ReferenceData!$A$114),"")</f>
        <v xml:space="preserve">    Accenture PLC</v>
      </c>
      <c r="B114" t="str">
        <f>IFERROR(IF(0=LEN(ReferenceData!$B$114),"",ReferenceData!$B$114),"")</f>
        <v>ACN US Equity</v>
      </c>
      <c r="C114" t="str">
        <f>IFERROR(IF(0=LEN(ReferenceData!$C$114),"",ReferenceData!$C$114),"")</f>
        <v>RR005</v>
      </c>
      <c r="D114" t="str">
        <f>IFERROR(IF(0=LEN(ReferenceData!$D$114),"",ReferenceData!$D$114),"")</f>
        <v>BS_TOT_LIAB2</v>
      </c>
      <c r="E114" t="str">
        <f>IFERROR(IF(0=LEN(ReferenceData!$E$114),"",ReferenceData!$E$114),"")</f>
        <v>Dynamic</v>
      </c>
      <c r="F114">
        <f ca="1">IFERROR(IF(0=LEN(ReferenceData!$Q$114),"",ReferenceData!$Q$114),"")</f>
        <v>12258.932000000001</v>
      </c>
      <c r="G114">
        <f ca="1">IFERROR(IF(0=LEN(ReferenceData!$P$114),"",ReferenceData!$P$114),"")</f>
        <v>12979.69</v>
      </c>
      <c r="H114">
        <f ca="1">IFERROR(IF(0=LEN(ReferenceData!$O$114),"",ReferenceData!$O$114),"")</f>
        <v>13080.716</v>
      </c>
      <c r="I114">
        <f ca="1">IFERROR(IF(0=LEN(ReferenceData!$N$114),"",ReferenceData!$N$114),"")</f>
        <v>12694.553</v>
      </c>
      <c r="J114">
        <f ca="1">IFERROR(IF(0=LEN(ReferenceData!$M$114),"",ReferenceData!$M$114),"")</f>
        <v>13098.057000000001</v>
      </c>
      <c r="K114">
        <f ca="1">IFERROR(IF(0=LEN(ReferenceData!$L$114),"",ReferenceData!$L$114),"")</f>
        <v>13724.495000000001</v>
      </c>
      <c r="L114">
        <f ca="1">IFERROR(IF(0=LEN(ReferenceData!$K$114),"",ReferenceData!$K$114),"")</f>
        <v>13650.843999999999</v>
      </c>
      <c r="M114">
        <f ca="1">IFERROR(IF(0=LEN(ReferenceData!$J$114),"",ReferenceData!$J$114),"")</f>
        <v>13661.663</v>
      </c>
      <c r="N114">
        <f ca="1">IFERROR(IF(0=LEN(ReferenceData!$I$114),"",ReferenceData!$I$114),"")</f>
        <v>14013.402</v>
      </c>
      <c r="O114">
        <f ca="1">IFERROR(IF(0=LEN(ReferenceData!$H$114),"",ReferenceData!$H$114),"")</f>
        <v>14962.189</v>
      </c>
      <c r="P114">
        <f ca="1">IFERROR(IF(0=LEN(ReferenceData!$G$114),"",ReferenceData!$G$114),"")</f>
        <v>17569.504000000001</v>
      </c>
      <c r="Q114">
        <f ca="1">IFERROR(IF(0=LEN(ReferenceData!$F$114),"",ReferenceData!$F$114),"")</f>
        <v>17582.624</v>
      </c>
    </row>
    <row r="115" spans="1:17" x14ac:dyDescent="0.25">
      <c r="A115" t="str">
        <f>IFERROR(IF(0=LEN(ReferenceData!$A$115),"",ReferenceData!$A$115),"")</f>
        <v xml:space="preserve">    Amdocs Ltd</v>
      </c>
      <c r="B115" t="str">
        <f>IFERROR(IF(0=LEN(ReferenceData!$B$115),"",ReferenceData!$B$115),"")</f>
        <v>DOX US Equity</v>
      </c>
      <c r="C115" t="str">
        <f>IFERROR(IF(0=LEN(ReferenceData!$C$115),"",ReferenceData!$C$115),"")</f>
        <v>RR005</v>
      </c>
      <c r="D115" t="str">
        <f>IFERROR(IF(0=LEN(ReferenceData!$D$115),"",ReferenceData!$D$115),"")</f>
        <v>BS_TOT_LIAB2</v>
      </c>
      <c r="E115" t="str">
        <f>IFERROR(IF(0=LEN(ReferenceData!$E$115),"",ReferenceData!$E$115),"")</f>
        <v>Dynamic</v>
      </c>
      <c r="F115">
        <f ca="1">IFERROR(IF(0=LEN(ReferenceData!$Q$115),"",ReferenceData!$Q$115),"")</f>
        <v>1711.9280000000001</v>
      </c>
      <c r="G115">
        <f ca="1">IFERROR(IF(0=LEN(ReferenceData!$P$115),"",ReferenceData!$P$115),"")</f>
        <v>1705.31</v>
      </c>
      <c r="H115">
        <f ca="1">IFERROR(IF(0=LEN(ReferenceData!$O$115),"",ReferenceData!$O$115),"")</f>
        <v>1773.9770000000001</v>
      </c>
      <c r="I115">
        <f ca="1">IFERROR(IF(0=LEN(ReferenceData!$N$115),"",ReferenceData!$N$115),"")</f>
        <v>1972.7739999999999</v>
      </c>
      <c r="J115">
        <f ca="1">IFERROR(IF(0=LEN(ReferenceData!$M$115),"",ReferenceData!$M$115),"")</f>
        <v>1880.5989999999999</v>
      </c>
      <c r="K115">
        <f ca="1">IFERROR(IF(0=LEN(ReferenceData!$L$115),"",ReferenceData!$L$115),"")</f>
        <v>1855.7729999999999</v>
      </c>
      <c r="L115">
        <f ca="1">IFERROR(IF(0=LEN(ReferenceData!$K$115),"",ReferenceData!$K$115),"")</f>
        <v>1796.8689999999999</v>
      </c>
      <c r="M115">
        <f ca="1">IFERROR(IF(0=LEN(ReferenceData!$J$115),"",ReferenceData!$J$115),"")</f>
        <v>1740.9269999999999</v>
      </c>
      <c r="N115">
        <f ca="1">IFERROR(IF(0=LEN(ReferenceData!$I$115),"",ReferenceData!$I$115),"")</f>
        <v>1706.934</v>
      </c>
      <c r="O115">
        <f ca="1">IFERROR(IF(0=LEN(ReferenceData!$H$115),"",ReferenceData!$H$115),"")</f>
        <v>1750.36</v>
      </c>
      <c r="P115">
        <f ca="1">IFERROR(IF(0=LEN(ReferenceData!$G$115),"",ReferenceData!$G$115),"")</f>
        <v>2050.471</v>
      </c>
      <c r="Q115">
        <f ca="1">IFERROR(IF(0=LEN(ReferenceData!$F$115),"",ReferenceData!$F$115),"")</f>
        <v>2326.7660000000001</v>
      </c>
    </row>
    <row r="116" spans="1:17" x14ac:dyDescent="0.25">
      <c r="A116" t="str">
        <f>IFERROR(IF(0=LEN(ReferenceData!$A$116),"",ReferenceData!$A$116),"")</f>
        <v xml:space="preserve">    Atos SE</v>
      </c>
      <c r="B116" t="str">
        <f>IFERROR(IF(0=LEN(ReferenceData!$B$116),"",ReferenceData!$B$116),"")</f>
        <v>ATO FP Equity</v>
      </c>
      <c r="C116" t="str">
        <f>IFERROR(IF(0=LEN(ReferenceData!$C$116),"",ReferenceData!$C$116),"")</f>
        <v>RR005</v>
      </c>
      <c r="D116" t="str">
        <f>IFERROR(IF(0=LEN(ReferenceData!$D$116),"",ReferenceData!$D$116),"")</f>
        <v>BS_TOT_LIAB2</v>
      </c>
      <c r="E116" t="str">
        <f>IFERROR(IF(0=LEN(ReferenceData!$E$116),"",ReferenceData!$E$116),"")</f>
        <v>Dynamic</v>
      </c>
      <c r="F116" t="str">
        <f ca="1">IFERROR(IF(0=LEN(ReferenceData!$Q$116),"",ReferenceData!$Q$116),"")</f>
        <v/>
      </c>
      <c r="G116" t="str">
        <f ca="1">IFERROR(IF(0=LEN(ReferenceData!$P$116),"",ReferenceData!$P$116),"")</f>
        <v/>
      </c>
      <c r="H116" t="str">
        <f ca="1">IFERROR(IF(0=LEN(ReferenceData!$O$116),"",ReferenceData!$O$116),"")</f>
        <v/>
      </c>
      <c r="I116" t="str">
        <f ca="1">IFERROR(IF(0=LEN(ReferenceData!$N$116),"",ReferenceData!$N$116),"")</f>
        <v/>
      </c>
      <c r="J116" t="str">
        <f ca="1">IFERROR(IF(0=LEN(ReferenceData!$M$116),"",ReferenceData!$M$116),"")</f>
        <v/>
      </c>
      <c r="K116" t="str">
        <f ca="1">IFERROR(IF(0=LEN(ReferenceData!$L$116),"",ReferenceData!$L$116),"")</f>
        <v/>
      </c>
      <c r="L116" t="str">
        <f ca="1">IFERROR(IF(0=LEN(ReferenceData!$K$116),"",ReferenceData!$K$116),"")</f>
        <v/>
      </c>
      <c r="M116" t="str">
        <f ca="1">IFERROR(IF(0=LEN(ReferenceData!$J$116),"",ReferenceData!$J$116),"")</f>
        <v/>
      </c>
      <c r="N116" t="str">
        <f ca="1">IFERROR(IF(0=LEN(ReferenceData!$I$116),"",ReferenceData!$I$116),"")</f>
        <v/>
      </c>
      <c r="O116" t="str">
        <f ca="1">IFERROR(IF(0=LEN(ReferenceData!$H$116),"",ReferenceData!$H$116),"")</f>
        <v/>
      </c>
      <c r="P116" t="str">
        <f ca="1">IFERROR(IF(0=LEN(ReferenceData!$G$116),"",ReferenceData!$G$116),"")</f>
        <v/>
      </c>
      <c r="Q116" t="str">
        <f ca="1">IFERROR(IF(0=LEN(ReferenceData!$F$116),"",ReferenceData!$F$116),"")</f>
        <v/>
      </c>
    </row>
    <row r="117" spans="1:17" x14ac:dyDescent="0.25">
      <c r="A117" t="str">
        <f>IFERROR(IF(0=LEN(ReferenceData!$A$117),"",ReferenceData!$A$117),"")</f>
        <v xml:space="preserve">    Capgemini SE</v>
      </c>
      <c r="B117" t="str">
        <f>IFERROR(IF(0=LEN(ReferenceData!$B$117),"",ReferenceData!$B$117),"")</f>
        <v>CAP FP Equity</v>
      </c>
      <c r="C117" t="str">
        <f>IFERROR(IF(0=LEN(ReferenceData!$C$117),"",ReferenceData!$C$117),"")</f>
        <v>RR005</v>
      </c>
      <c r="D117" t="str">
        <f>IFERROR(IF(0=LEN(ReferenceData!$D$117),"",ReferenceData!$D$117),"")</f>
        <v>BS_TOT_LIAB2</v>
      </c>
      <c r="E117" t="str">
        <f>IFERROR(IF(0=LEN(ReferenceData!$E$117),"",ReferenceData!$E$117),"")</f>
        <v>Dynamic</v>
      </c>
      <c r="F117" t="str">
        <f ca="1">IFERROR(IF(0=LEN(ReferenceData!$Q$117),"",ReferenceData!$Q$117),"")</f>
        <v/>
      </c>
      <c r="G117" t="str">
        <f ca="1">IFERROR(IF(0=LEN(ReferenceData!$P$117),"",ReferenceData!$P$117),"")</f>
        <v/>
      </c>
      <c r="H117" t="str">
        <f ca="1">IFERROR(IF(0=LEN(ReferenceData!$O$117),"",ReferenceData!$O$117),"")</f>
        <v/>
      </c>
      <c r="I117" t="str">
        <f ca="1">IFERROR(IF(0=LEN(ReferenceData!$N$117),"",ReferenceData!$N$117),"")</f>
        <v/>
      </c>
      <c r="J117" t="str">
        <f ca="1">IFERROR(IF(0=LEN(ReferenceData!$M$117),"",ReferenceData!$M$117),"")</f>
        <v/>
      </c>
      <c r="K117" t="str">
        <f ca="1">IFERROR(IF(0=LEN(ReferenceData!$L$117),"",ReferenceData!$L$117),"")</f>
        <v/>
      </c>
      <c r="L117" t="str">
        <f ca="1">IFERROR(IF(0=LEN(ReferenceData!$K$117),"",ReferenceData!$K$117),"")</f>
        <v/>
      </c>
      <c r="M117" t="str">
        <f ca="1">IFERROR(IF(0=LEN(ReferenceData!$J$117),"",ReferenceData!$J$117),"")</f>
        <v/>
      </c>
      <c r="N117" t="str">
        <f ca="1">IFERROR(IF(0=LEN(ReferenceData!$I$117),"",ReferenceData!$I$117),"")</f>
        <v/>
      </c>
      <c r="O117" t="str">
        <f ca="1">IFERROR(IF(0=LEN(ReferenceData!$H$117),"",ReferenceData!$H$117),"")</f>
        <v/>
      </c>
      <c r="P117">
        <f ca="1">IFERROR(IF(0=LEN(ReferenceData!$G$117),"",ReferenceData!$G$117),"")</f>
        <v>10910.0964</v>
      </c>
      <c r="Q117" t="str">
        <f ca="1">IFERROR(IF(0=LEN(ReferenceData!$F$117),"",ReferenceData!$F$117),"")</f>
        <v/>
      </c>
    </row>
    <row r="118" spans="1:17" x14ac:dyDescent="0.25">
      <c r="A118" t="str">
        <f>IFERROR(IF(0=LEN(ReferenceData!$A$118),"",ReferenceData!$A$118),"")</f>
        <v xml:space="preserve">    CGI Inc</v>
      </c>
      <c r="B118" t="str">
        <f>IFERROR(IF(0=LEN(ReferenceData!$B$118),"",ReferenceData!$B$118),"")</f>
        <v>GIB US Equity</v>
      </c>
      <c r="C118" t="str">
        <f>IFERROR(IF(0=LEN(ReferenceData!$C$118),"",ReferenceData!$C$118),"")</f>
        <v>RR005</v>
      </c>
      <c r="D118" t="str">
        <f>IFERROR(IF(0=LEN(ReferenceData!$D$118),"",ReferenceData!$D$118),"")</f>
        <v>BS_TOT_LIAB2</v>
      </c>
      <c r="E118" t="str">
        <f>IFERROR(IF(0=LEN(ReferenceData!$E$118),"",ReferenceData!$E$118),"")</f>
        <v>Dynamic</v>
      </c>
      <c r="F118">
        <f ca="1">IFERROR(IF(0=LEN(ReferenceData!$Q$118),"",ReferenceData!$Q$118),"")</f>
        <v>3995.6123470000002</v>
      </c>
      <c r="G118">
        <f ca="1">IFERROR(IF(0=LEN(ReferenceData!$P$118),"",ReferenceData!$P$118),"")</f>
        <v>4160.1938479999999</v>
      </c>
      <c r="H118">
        <f ca="1">IFERROR(IF(0=LEN(ReferenceData!$O$118),"",ReferenceData!$O$118),"")</f>
        <v>4314.2204840000004</v>
      </c>
      <c r="I118">
        <f ca="1">IFERROR(IF(0=LEN(ReferenceData!$N$118),"",ReferenceData!$N$118),"")</f>
        <v>4270.0170690000004</v>
      </c>
      <c r="J118">
        <f ca="1">IFERROR(IF(0=LEN(ReferenceData!$M$118),"",ReferenceData!$M$118),"")</f>
        <v>4127.4537849999997</v>
      </c>
      <c r="K118">
        <f ca="1">IFERROR(IF(0=LEN(ReferenceData!$L$118),"",ReferenceData!$L$118),"")</f>
        <v>4045.3350340000002</v>
      </c>
      <c r="L118">
        <f ca="1">IFERROR(IF(0=LEN(ReferenceData!$K$118),"",ReferenceData!$K$118),"")</f>
        <v>4360.29727</v>
      </c>
      <c r="M118">
        <f ca="1">IFERROR(IF(0=LEN(ReferenceData!$J$118),"",ReferenceData!$J$118),"")</f>
        <v>4284.5776910000004</v>
      </c>
      <c r="N118">
        <f ca="1">IFERROR(IF(0=LEN(ReferenceData!$I$118),"",ReferenceData!$I$118),"")</f>
        <v>4691.9193459999997</v>
      </c>
      <c r="O118">
        <f ca="1">IFERROR(IF(0=LEN(ReferenceData!$H$118),"",ReferenceData!$H$118),"")</f>
        <v>4333.2399370000003</v>
      </c>
      <c r="P118">
        <f ca="1">IFERROR(IF(0=LEN(ReferenceData!$G$118),"",ReferenceData!$G$118),"")</f>
        <v>5223.3179229999996</v>
      </c>
      <c r="Q118">
        <f ca="1">IFERROR(IF(0=LEN(ReferenceData!$F$118),"",ReferenceData!$F$118),"")</f>
        <v>5524.9386720000002</v>
      </c>
    </row>
    <row r="119" spans="1:17" x14ac:dyDescent="0.25">
      <c r="A119" t="str">
        <f>IFERROR(IF(0=LEN(ReferenceData!$A$119),"",ReferenceData!$A$119),"")</f>
        <v xml:space="preserve">    Cognizant Technology Solutions Corp</v>
      </c>
      <c r="B119" t="str">
        <f>IFERROR(IF(0=LEN(ReferenceData!$B$119),"",ReferenceData!$B$119),"")</f>
        <v>CTSH US Equity</v>
      </c>
      <c r="C119" t="str">
        <f>IFERROR(IF(0=LEN(ReferenceData!$C$119),"",ReferenceData!$C$119),"")</f>
        <v>RR005</v>
      </c>
      <c r="D119" t="str">
        <f>IFERROR(IF(0=LEN(ReferenceData!$D$119),"",ReferenceData!$D$119),"")</f>
        <v>BS_TOT_LIAB2</v>
      </c>
      <c r="E119" t="str">
        <f>IFERROR(IF(0=LEN(ReferenceData!$E$119),"",ReferenceData!$E$119),"")</f>
        <v>Dynamic</v>
      </c>
      <c r="F119">
        <f ca="1">IFERROR(IF(0=LEN(ReferenceData!$Q$119),"",ReferenceData!$Q$119),"")</f>
        <v>3455</v>
      </c>
      <c r="G119">
        <f ca="1">IFERROR(IF(0=LEN(ReferenceData!$P$119),"",ReferenceData!$P$119),"")</f>
        <v>3601</v>
      </c>
      <c r="H119">
        <f ca="1">IFERROR(IF(0=LEN(ReferenceData!$O$119),"",ReferenceData!$O$119),"")</f>
        <v>4552</v>
      </c>
      <c r="I119">
        <f ca="1">IFERROR(IF(0=LEN(ReferenceData!$N$119),"",ReferenceData!$N$119),"")</f>
        <v>4057</v>
      </c>
      <c r="J119">
        <f ca="1">IFERROR(IF(0=LEN(ReferenceData!$M$119),"",ReferenceData!$M$119),"")</f>
        <v>4158</v>
      </c>
      <c r="K119">
        <f ca="1">IFERROR(IF(0=LEN(ReferenceData!$L$119),"",ReferenceData!$L$119),"")</f>
        <v>4296</v>
      </c>
      <c r="L119">
        <f ca="1">IFERROR(IF(0=LEN(ReferenceData!$K$119),"",ReferenceData!$K$119),"")</f>
        <v>4422</v>
      </c>
      <c r="M119">
        <f ca="1">IFERROR(IF(0=LEN(ReferenceData!$J$119),"",ReferenceData!$J$119),"")</f>
        <v>4960</v>
      </c>
      <c r="N119">
        <f ca="1">IFERROR(IF(0=LEN(ReferenceData!$I$119),"",ReferenceData!$I$119),"")</f>
        <v>4960</v>
      </c>
      <c r="O119">
        <f ca="1">IFERROR(IF(0=LEN(ReferenceData!$H$119),"",ReferenceData!$H$119),"")</f>
        <v>5142</v>
      </c>
      <c r="P119">
        <f ca="1">IFERROR(IF(0=LEN(ReferenceData!$G$119),"",ReferenceData!$G$119),"")</f>
        <v>5182</v>
      </c>
      <c r="Q119">
        <f ca="1">IFERROR(IF(0=LEN(ReferenceData!$F$119),"",ReferenceData!$F$119),"")</f>
        <v>6816</v>
      </c>
    </row>
    <row r="120" spans="1:17" x14ac:dyDescent="0.25">
      <c r="A120" t="str">
        <f>IFERROR(IF(0=LEN(ReferenceData!$A$120),"",ReferenceData!$A$120),"")</f>
        <v xml:space="preserve">    Conduent Inc</v>
      </c>
      <c r="B120" t="str">
        <f>IFERROR(IF(0=LEN(ReferenceData!$B$120),"",ReferenceData!$B$120),"")</f>
        <v>CNDT US Equity</v>
      </c>
      <c r="C120" t="str">
        <f>IFERROR(IF(0=LEN(ReferenceData!$C$120),"",ReferenceData!$C$120),"")</f>
        <v>RR005</v>
      </c>
      <c r="D120" t="str">
        <f>IFERROR(IF(0=LEN(ReferenceData!$D$120),"",ReferenceData!$D$120),"")</f>
        <v>BS_TOT_LIAB2</v>
      </c>
      <c r="E120" t="str">
        <f>IFERROR(IF(0=LEN(ReferenceData!$E$120),"",ReferenceData!$E$120),"")</f>
        <v>Dynamic</v>
      </c>
      <c r="F120">
        <f ca="1">IFERROR(IF(0=LEN(ReferenceData!$Q$120),"",ReferenceData!$Q$120),"")</f>
        <v>4189</v>
      </c>
      <c r="G120">
        <f ca="1">IFERROR(IF(0=LEN(ReferenceData!$P$120),"",ReferenceData!$P$120),"")</f>
        <v>4093</v>
      </c>
      <c r="H120">
        <f ca="1">IFERROR(IF(0=LEN(ReferenceData!$O$120),"",ReferenceData!$O$120),"")</f>
        <v>3877</v>
      </c>
      <c r="I120">
        <f ca="1">IFERROR(IF(0=LEN(ReferenceData!$N$120),"",ReferenceData!$N$120),"")</f>
        <v>3859</v>
      </c>
      <c r="J120">
        <f ca="1">IFERROR(IF(0=LEN(ReferenceData!$M$120),"",ReferenceData!$M$120),"")</f>
        <v>3795</v>
      </c>
      <c r="K120">
        <f ca="1">IFERROR(IF(0=LEN(ReferenceData!$L$120),"",ReferenceData!$L$120),"")</f>
        <v>3229</v>
      </c>
      <c r="L120">
        <f ca="1">IFERROR(IF(0=LEN(ReferenceData!$K$120),"",ReferenceData!$K$120),"")</f>
        <v>3316</v>
      </c>
      <c r="M120">
        <f ca="1">IFERROR(IF(0=LEN(ReferenceData!$J$120),"",ReferenceData!$J$120),"")</f>
        <v>3594</v>
      </c>
      <c r="N120">
        <f ca="1">IFERROR(IF(0=LEN(ReferenceData!$I$120),"",ReferenceData!$I$120),"")</f>
        <v>3260</v>
      </c>
      <c r="O120">
        <f ca="1">IFERROR(IF(0=LEN(ReferenceData!$H$120),"",ReferenceData!$H$120),"")</f>
        <v>3104</v>
      </c>
      <c r="P120">
        <f ca="1">IFERROR(IF(0=LEN(ReferenceData!$G$120),"",ReferenceData!$G$120),"")</f>
        <v>3072</v>
      </c>
      <c r="Q120">
        <f ca="1">IFERROR(IF(0=LEN(ReferenceData!$F$120),"",ReferenceData!$F$120),"")</f>
        <v>3032</v>
      </c>
    </row>
    <row r="121" spans="1:17" x14ac:dyDescent="0.25">
      <c r="A121" t="str">
        <f>IFERROR(IF(0=LEN(ReferenceData!$A$121),"",ReferenceData!$A$121),"")</f>
        <v xml:space="preserve">    DXC Technology Co</v>
      </c>
      <c r="B121" t="str">
        <f>IFERROR(IF(0=LEN(ReferenceData!$B$121),"",ReferenceData!$B$121),"")</f>
        <v>DXC US Equity</v>
      </c>
      <c r="C121" t="str">
        <f>IFERROR(IF(0=LEN(ReferenceData!$C$121),"",ReferenceData!$C$121),"")</f>
        <v>RR005</v>
      </c>
      <c r="D121" t="str">
        <f>IFERROR(IF(0=LEN(ReferenceData!$D$121),"",ReferenceData!$D$121),"")</f>
        <v>BS_TOT_LIAB2</v>
      </c>
      <c r="E121" t="str">
        <f>IFERROR(IF(0=LEN(ReferenceData!$E$121),"",ReferenceData!$E$121),"")</f>
        <v>Dynamic</v>
      </c>
      <c r="F121">
        <f ca="1">IFERROR(IF(0=LEN(ReferenceData!$Q$121),"",ReferenceData!$Q$121),"")</f>
        <v>18871</v>
      </c>
      <c r="G121">
        <f ca="1">IFERROR(IF(0=LEN(ReferenceData!$P$121),"",ReferenceData!$P$121),"")</f>
        <v>20669</v>
      </c>
      <c r="H121">
        <f ca="1">IFERROR(IF(0=LEN(ReferenceData!$O$121),"",ReferenceData!$O$121),"")</f>
        <v>20380</v>
      </c>
      <c r="I121">
        <f ca="1">IFERROR(IF(0=LEN(ReferenceData!$N$121),"",ReferenceData!$N$121),"")</f>
        <v>20084</v>
      </c>
      <c r="J121">
        <f ca="1">IFERROR(IF(0=LEN(ReferenceData!$M$121),"",ReferenceData!$M$121),"")</f>
        <v>17312</v>
      </c>
      <c r="K121">
        <f ca="1">IFERROR(IF(0=LEN(ReferenceData!$L$121),"",ReferenceData!$L$121),"")</f>
        <v>17045</v>
      </c>
      <c r="L121">
        <f ca="1">IFERROR(IF(0=LEN(ReferenceData!$K$121),"",ReferenceData!$K$121),"")</f>
        <v>17515</v>
      </c>
      <c r="M121">
        <f ca="1">IFERROR(IF(0=LEN(ReferenceData!$J$121),"",ReferenceData!$J$121),"")</f>
        <v>17849</v>
      </c>
      <c r="N121">
        <f ca="1">IFERROR(IF(0=LEN(ReferenceData!$I$121),"",ReferenceData!$I$121),"")</f>
        <v>21360</v>
      </c>
      <c r="O121">
        <f ca="1">IFERROR(IF(0=LEN(ReferenceData!$H$121),"",ReferenceData!$H$121),"")</f>
        <v>20646</v>
      </c>
      <c r="P121">
        <f ca="1">IFERROR(IF(0=LEN(ReferenceData!$G$121),"",ReferenceData!$G$121),"")</f>
        <v>20498</v>
      </c>
      <c r="Q121">
        <f ca="1">IFERROR(IF(0=LEN(ReferenceData!$F$121),"",ReferenceData!$F$121),"")</f>
        <v>20877</v>
      </c>
    </row>
    <row r="122" spans="1:17" x14ac:dyDescent="0.25">
      <c r="A122" t="str">
        <f>IFERROR(IF(0=LEN(ReferenceData!$A$122),"",ReferenceData!$A$122),"")</f>
        <v xml:space="preserve">    EPAM Systems Inc</v>
      </c>
      <c r="B122" t="str">
        <f>IFERROR(IF(0=LEN(ReferenceData!$B$122),"",ReferenceData!$B$122),"")</f>
        <v>EPAM US Equity</v>
      </c>
      <c r="C122" t="str">
        <f>IFERROR(IF(0=LEN(ReferenceData!$C$122),"",ReferenceData!$C$122),"")</f>
        <v>RR005</v>
      </c>
      <c r="D122" t="str">
        <f>IFERROR(IF(0=LEN(ReferenceData!$D$122),"",ReferenceData!$D$122),"")</f>
        <v>BS_TOT_LIAB2</v>
      </c>
      <c r="E122" t="str">
        <f>IFERROR(IF(0=LEN(ReferenceData!$E$122),"",ReferenceData!$E$122),"")</f>
        <v>Dynamic</v>
      </c>
      <c r="F122">
        <f ca="1">IFERROR(IF(0=LEN(ReferenceData!$Q$122),"",ReferenceData!$Q$122),"")</f>
        <v>159.67699999999999</v>
      </c>
      <c r="G122">
        <f ca="1">IFERROR(IF(0=LEN(ReferenceData!$P$122),"",ReferenceData!$P$122),"")</f>
        <v>187.86099999999999</v>
      </c>
      <c r="H122">
        <f ca="1">IFERROR(IF(0=LEN(ReferenceData!$O$122),"",ReferenceData!$O$122),"")</f>
        <v>275.30900000000003</v>
      </c>
      <c r="I122">
        <f ca="1">IFERROR(IF(0=LEN(ReferenceData!$N$122),"",ReferenceData!$N$122),"")</f>
        <v>288.05399999999997</v>
      </c>
      <c r="J122">
        <f ca="1">IFERROR(IF(0=LEN(ReferenceData!$M$122),"",ReferenceData!$M$122),"")</f>
        <v>279.392</v>
      </c>
      <c r="K122">
        <f ca="1">IFERROR(IF(0=LEN(ReferenceData!$L$122),"",ReferenceData!$L$122),"")</f>
        <v>308.04700000000003</v>
      </c>
      <c r="L122">
        <f ca="1">IFERROR(IF(0=LEN(ReferenceData!$K$122),"",ReferenceData!$K$122),"")</f>
        <v>349.20600000000002</v>
      </c>
      <c r="M122">
        <f ca="1">IFERROR(IF(0=LEN(ReferenceData!$J$122),"",ReferenceData!$J$122),"")</f>
        <v>493.21</v>
      </c>
      <c r="N122">
        <f ca="1">IFERROR(IF(0=LEN(ReferenceData!$I$122),"",ReferenceData!$I$122),"")</f>
        <v>509.20400000000001</v>
      </c>
      <c r="O122">
        <f ca="1">IFERROR(IF(0=LEN(ReferenceData!$H$122),"",ReferenceData!$H$122),"")</f>
        <v>548.04600000000005</v>
      </c>
      <c r="P122">
        <f ca="1">IFERROR(IF(0=LEN(ReferenceData!$G$122),"",ReferenceData!$G$122),"")</f>
        <v>648.06299999999999</v>
      </c>
      <c r="Q122">
        <f ca="1">IFERROR(IF(0=LEN(ReferenceData!$F$122),"",ReferenceData!$F$122),"")</f>
        <v>664.399</v>
      </c>
    </row>
    <row r="123" spans="1:17" x14ac:dyDescent="0.25">
      <c r="A123" t="str">
        <f>IFERROR(IF(0=LEN(ReferenceData!$A$123),"",ReferenceData!$A$123),"")</f>
        <v xml:space="preserve">    Genpact Ltd</v>
      </c>
      <c r="B123" t="str">
        <f>IFERROR(IF(0=LEN(ReferenceData!$B$123),"",ReferenceData!$B$123),"")</f>
        <v>G US Equity</v>
      </c>
      <c r="C123" t="str">
        <f>IFERROR(IF(0=LEN(ReferenceData!$C$123),"",ReferenceData!$C$123),"")</f>
        <v>RR005</v>
      </c>
      <c r="D123" t="str">
        <f>IFERROR(IF(0=LEN(ReferenceData!$D$123),"",ReferenceData!$D$123),"")</f>
        <v>BS_TOT_LIAB2</v>
      </c>
      <c r="E123" t="str">
        <f>IFERROR(IF(0=LEN(ReferenceData!$E$123),"",ReferenceData!$E$123),"")</f>
        <v>Dynamic</v>
      </c>
      <c r="F123">
        <f ca="1">IFERROR(IF(0=LEN(ReferenceData!$Q$123),"",ReferenceData!$Q$123),"")</f>
        <v>1976.3340000000001</v>
      </c>
      <c r="G123">
        <f ca="1">IFERROR(IF(0=LEN(ReferenceData!$P$123),"",ReferenceData!$P$123),"")</f>
        <v>2031.6990000000001</v>
      </c>
      <c r="H123">
        <f ca="1">IFERROR(IF(0=LEN(ReferenceData!$O$123),"",ReferenceData!$O$123),"")</f>
        <v>2020.827</v>
      </c>
      <c r="I123">
        <f ca="1">IFERROR(IF(0=LEN(ReferenceData!$N$123),"",ReferenceData!$N$123),"")</f>
        <v>2031.13</v>
      </c>
      <c r="J123">
        <f ca="1">IFERROR(IF(0=LEN(ReferenceData!$M$123),"",ReferenceData!$M$123),"")</f>
        <v>1969.653</v>
      </c>
      <c r="K123">
        <f ca="1">IFERROR(IF(0=LEN(ReferenceData!$L$123),"",ReferenceData!$L$123),"")</f>
        <v>2171.6109999999999</v>
      </c>
      <c r="L123">
        <f ca="1">IFERROR(IF(0=LEN(ReferenceData!$K$123),"",ReferenceData!$K$123),"")</f>
        <v>2125.2629999999999</v>
      </c>
      <c r="M123">
        <f ca="1">IFERROR(IF(0=LEN(ReferenceData!$J$123),"",ReferenceData!$J$123),"")</f>
        <v>2409.645</v>
      </c>
      <c r="N123">
        <f ca="1">IFERROR(IF(0=LEN(ReferenceData!$I$123),"",ReferenceData!$I$123),"")</f>
        <v>2429.3870000000002</v>
      </c>
      <c r="O123">
        <f ca="1">IFERROR(IF(0=LEN(ReferenceData!$H$123),"",ReferenceData!$H$123),"")</f>
        <v>2492.0770000000002</v>
      </c>
      <c r="P123">
        <f ca="1">IFERROR(IF(0=LEN(ReferenceData!$G$123),"",ReferenceData!$G$123),"")</f>
        <v>2765.0129999999999</v>
      </c>
      <c r="Q123">
        <f ca="1">IFERROR(IF(0=LEN(ReferenceData!$F$123),"",ReferenceData!$F$123),"")</f>
        <v>2829.701</v>
      </c>
    </row>
    <row r="124" spans="1:17" x14ac:dyDescent="0.25">
      <c r="A124" t="str">
        <f>IFERROR(IF(0=LEN(ReferenceData!$A$124),"",ReferenceData!$A$124),"")</f>
        <v xml:space="preserve">    HCL Technologies Ltd</v>
      </c>
      <c r="B124" t="str">
        <f>IFERROR(IF(0=LEN(ReferenceData!$B$124),"",ReferenceData!$B$124),"")</f>
        <v>HCLT IN Equity</v>
      </c>
      <c r="C124" t="str">
        <f>IFERROR(IF(0=LEN(ReferenceData!$C$124),"",ReferenceData!$C$124),"")</f>
        <v>RR005</v>
      </c>
      <c r="D124" t="str">
        <f>IFERROR(IF(0=LEN(ReferenceData!$D$124),"",ReferenceData!$D$124),"")</f>
        <v>BS_TOT_LIAB2</v>
      </c>
      <c r="E124" t="str">
        <f>IFERROR(IF(0=LEN(ReferenceData!$E$124),"",ReferenceData!$E$124),"")</f>
        <v>Dynamic</v>
      </c>
      <c r="F124">
        <f ca="1">IFERROR(IF(0=LEN(ReferenceData!$Q$124),"",ReferenceData!$Q$124),"")</f>
        <v>2020.7</v>
      </c>
      <c r="G124">
        <f ca="1">IFERROR(IF(0=LEN(ReferenceData!$P$124),"",ReferenceData!$P$124),"")</f>
        <v>1924.9</v>
      </c>
      <c r="H124">
        <f ca="1">IFERROR(IF(0=LEN(ReferenceData!$O$124),"",ReferenceData!$O$124),"")</f>
        <v>1807.4</v>
      </c>
      <c r="I124">
        <f ca="1">IFERROR(IF(0=LEN(ReferenceData!$N$124),"",ReferenceData!$N$124),"")</f>
        <v>1786.459932</v>
      </c>
      <c r="J124">
        <f ca="1">IFERROR(IF(0=LEN(ReferenceData!$M$124),"",ReferenceData!$M$124),"")</f>
        <v>1852.2</v>
      </c>
      <c r="K124">
        <f ca="1">IFERROR(IF(0=LEN(ReferenceData!$L$124),"",ReferenceData!$L$124),"")</f>
        <v>2230.5</v>
      </c>
      <c r="L124">
        <f ca="1">IFERROR(IF(0=LEN(ReferenceData!$K$124),"",ReferenceData!$K$124),"")</f>
        <v>2273.6</v>
      </c>
      <c r="M124">
        <f ca="1">IFERROR(IF(0=LEN(ReferenceData!$J$124),"",ReferenceData!$J$124),"")</f>
        <v>2412.0509999999999</v>
      </c>
      <c r="N124">
        <f ca="1">IFERROR(IF(0=LEN(ReferenceData!$I$124),"",ReferenceData!$I$124),"")</f>
        <v>2412.1</v>
      </c>
      <c r="O124">
        <f ca="1">IFERROR(IF(0=LEN(ReferenceData!$H$124),"",ReferenceData!$H$124),"")</f>
        <v>4091.1</v>
      </c>
      <c r="P124">
        <f ca="1">IFERROR(IF(0=LEN(ReferenceData!$G$124),"",ReferenceData!$G$124),"")</f>
        <v>3970.8</v>
      </c>
      <c r="Q124">
        <f ca="1">IFERROR(IF(0=LEN(ReferenceData!$F$124),"",ReferenceData!$F$124),"")</f>
        <v>4097.4520000000002</v>
      </c>
    </row>
    <row r="125" spans="1:17" x14ac:dyDescent="0.25">
      <c r="A125" t="str">
        <f>IFERROR(IF(0=LEN(ReferenceData!$A$125),"",ReferenceData!$A$125),"")</f>
        <v xml:space="preserve">    Indra Sistemas SA</v>
      </c>
      <c r="B125" t="str">
        <f>IFERROR(IF(0=LEN(ReferenceData!$B$125),"",ReferenceData!$B$125),"")</f>
        <v>IDR SM Equity</v>
      </c>
      <c r="C125" t="str">
        <f>IFERROR(IF(0=LEN(ReferenceData!$C$125),"",ReferenceData!$C$125),"")</f>
        <v>RR005</v>
      </c>
      <c r="D125" t="str">
        <f>IFERROR(IF(0=LEN(ReferenceData!$D$125),"",ReferenceData!$D$125),"")</f>
        <v>BS_TOT_LIAB2</v>
      </c>
      <c r="E125" t="str">
        <f>IFERROR(IF(0=LEN(ReferenceData!$E$125),"",ReferenceData!$E$125),"")</f>
        <v>Dynamic</v>
      </c>
      <c r="F125">
        <f ca="1">IFERROR(IF(0=LEN(ReferenceData!$Q$125),"",ReferenceData!$Q$125),"")</f>
        <v>3575.6312699999999</v>
      </c>
      <c r="G125">
        <f ca="1">IFERROR(IF(0=LEN(ReferenceData!$P$125),"",ReferenceData!$P$125),"")</f>
        <v>3722.0760500000001</v>
      </c>
      <c r="H125">
        <f ca="1">IFERROR(IF(0=LEN(ReferenceData!$O$125),"",ReferenceData!$O$125),"")</f>
        <v>3868.2744590000002</v>
      </c>
      <c r="I125">
        <f ca="1">IFERROR(IF(0=LEN(ReferenceData!$N$125),"",ReferenceData!$N$125),"")</f>
        <v>3948.3380999999999</v>
      </c>
      <c r="J125">
        <f ca="1">IFERROR(IF(0=LEN(ReferenceData!$M$125),"",ReferenceData!$M$125),"")</f>
        <v>4037.6065010000002</v>
      </c>
      <c r="K125">
        <f ca="1">IFERROR(IF(0=LEN(ReferenceData!$L$125),"",ReferenceData!$L$125),"")</f>
        <v>3921.8155200000001</v>
      </c>
      <c r="L125">
        <f ca="1">IFERROR(IF(0=LEN(ReferenceData!$K$125),"",ReferenceData!$K$125),"")</f>
        <v>3851.9638</v>
      </c>
      <c r="M125">
        <f ca="1">IFERROR(IF(0=LEN(ReferenceData!$J$125),"",ReferenceData!$J$125),"")</f>
        <v>3870.5717399999999</v>
      </c>
      <c r="N125">
        <f ca="1">IFERROR(IF(0=LEN(ReferenceData!$I$125),"",ReferenceData!$I$125),"")</f>
        <v>3940.8153550000002</v>
      </c>
      <c r="O125">
        <f ca="1">IFERROR(IF(0=LEN(ReferenceData!$H$125),"",ReferenceData!$H$125),"")</f>
        <v>3762.2982099999999</v>
      </c>
      <c r="P125">
        <f ca="1">IFERROR(IF(0=LEN(ReferenceData!$G$125),"",ReferenceData!$G$125),"")</f>
        <v>3947.7986190000001</v>
      </c>
      <c r="Q125">
        <f ca="1">IFERROR(IF(0=LEN(ReferenceData!$F$125),"",ReferenceData!$F$125),"")</f>
        <v>3800.5738200000001</v>
      </c>
    </row>
    <row r="126" spans="1:17" x14ac:dyDescent="0.25">
      <c r="A126" t="str">
        <f>IFERROR(IF(0=LEN(ReferenceData!$A$126),"",ReferenceData!$A$126),"")</f>
        <v xml:space="preserve">    Infosys Ltd</v>
      </c>
      <c r="B126" t="str">
        <f>IFERROR(IF(0=LEN(ReferenceData!$B$126),"",ReferenceData!$B$126),"")</f>
        <v>INFY US Equity</v>
      </c>
      <c r="C126" t="str">
        <f>IFERROR(IF(0=LEN(ReferenceData!$C$126),"",ReferenceData!$C$126),"")</f>
        <v>RR005</v>
      </c>
      <c r="D126" t="str">
        <f>IFERROR(IF(0=LEN(ReferenceData!$D$126),"",ReferenceData!$D$126),"")</f>
        <v>BS_TOT_LIAB2</v>
      </c>
      <c r="E126" t="str">
        <f>IFERROR(IF(0=LEN(ReferenceData!$E$126),"",ReferenceData!$E$126),"")</f>
        <v>Dynamic</v>
      </c>
      <c r="F126">
        <f ca="1">IFERROR(IF(0=LEN(ReferenceData!$Q$126),"",ReferenceData!$Q$126),"")</f>
        <v>2570.5703659999999</v>
      </c>
      <c r="G126">
        <f ca="1">IFERROR(IF(0=LEN(ReferenceData!$P$126),"",ReferenceData!$P$126),"")</f>
        <v>2464.8814080000002</v>
      </c>
      <c r="H126">
        <f ca="1">IFERROR(IF(0=LEN(ReferenceData!$O$126),"",ReferenceData!$O$126),"")</f>
        <v>2346.225226</v>
      </c>
      <c r="I126">
        <f ca="1">IFERROR(IF(0=LEN(ReferenceData!$N$126),"",ReferenceData!$N$126),"")</f>
        <v>2297.5130490000001</v>
      </c>
      <c r="J126">
        <f ca="1">IFERROR(IF(0=LEN(ReferenceData!$M$126),"",ReferenceData!$M$126),"")</f>
        <v>2543.5560420000002</v>
      </c>
      <c r="K126">
        <f ca="1">IFERROR(IF(0=LEN(ReferenceData!$L$126),"",ReferenceData!$L$126),"")</f>
        <v>2298.5685640000002</v>
      </c>
      <c r="L126">
        <f ca="1">IFERROR(IF(0=LEN(ReferenceData!$K$126),"",ReferenceData!$K$126),"")</f>
        <v>2555.8903719999998</v>
      </c>
      <c r="M126">
        <f ca="1">IFERROR(IF(0=LEN(ReferenceData!$J$126),"",ReferenceData!$J$126),"")</f>
        <v>2846.3734420000001</v>
      </c>
      <c r="N126">
        <f ca="1">IFERROR(IF(0=LEN(ReferenceData!$I$126),"",ReferenceData!$I$126),"")</f>
        <v>4185.0133980000001</v>
      </c>
      <c r="O126">
        <f ca="1">IFERROR(IF(0=LEN(ReferenceData!$H$126),"",ReferenceData!$H$126),"")</f>
        <v>3442.8352089999998</v>
      </c>
      <c r="P126">
        <f ca="1">IFERROR(IF(0=LEN(ReferenceData!$G$126),"",ReferenceData!$G$126),"")</f>
        <v>3540.6355960000001</v>
      </c>
      <c r="Q126">
        <f ca="1">IFERROR(IF(0=LEN(ReferenceData!$F$126),"",ReferenceData!$F$126),"")</f>
        <v>3572.0682409999999</v>
      </c>
    </row>
    <row r="127" spans="1:17" x14ac:dyDescent="0.25">
      <c r="A127" t="str">
        <f>IFERROR(IF(0=LEN(ReferenceData!$A$127),"",ReferenceData!$A$127),"")</f>
        <v xml:space="preserve">    International Business Machines Corp</v>
      </c>
      <c r="B127" t="str">
        <f>IFERROR(IF(0=LEN(ReferenceData!$B$127),"",ReferenceData!$B$127),"")</f>
        <v>IBM US Equity</v>
      </c>
      <c r="C127" t="str">
        <f>IFERROR(IF(0=LEN(ReferenceData!$C$127),"",ReferenceData!$C$127),"")</f>
        <v>RR005</v>
      </c>
      <c r="D127" t="str">
        <f>IFERROR(IF(0=LEN(ReferenceData!$D$127),"",ReferenceData!$D$127),"")</f>
        <v>BS_TOT_LIAB2</v>
      </c>
      <c r="E127" t="str">
        <f>IFERROR(IF(0=LEN(ReferenceData!$E$127),"",ReferenceData!$E$127),"")</f>
        <v>Dynamic</v>
      </c>
      <c r="F127">
        <f ca="1">IFERROR(IF(0=LEN(ReferenceData!$Q$127),"",ReferenceData!$Q$127),"")</f>
        <v>101951</v>
      </c>
      <c r="G127">
        <f ca="1">IFERROR(IF(0=LEN(ReferenceData!$P$127),"",ReferenceData!$P$127),"")</f>
        <v>101879</v>
      </c>
      <c r="H127">
        <f ca="1">IFERROR(IF(0=LEN(ReferenceData!$O$127),"",ReferenceData!$O$127),"")</f>
        <v>107631</v>
      </c>
      <c r="I127">
        <f ca="1">IFERROR(IF(0=LEN(ReferenceData!$N$127),"",ReferenceData!$N$127),"")</f>
        <v>106995</v>
      </c>
      <c r="J127">
        <f ca="1">IFERROR(IF(0=LEN(ReferenceData!$M$127),"",ReferenceData!$M$127),"")</f>
        <v>102974</v>
      </c>
      <c r="K127">
        <f ca="1">IFERROR(IF(0=LEN(ReferenceData!$L$127),"",ReferenceData!$L$127),"")</f>
        <v>102071</v>
      </c>
      <c r="L127">
        <f ca="1">IFERROR(IF(0=LEN(ReferenceData!$K$127),"",ReferenceData!$K$127),"")</f>
        <v>106452</v>
      </c>
      <c r="M127">
        <f ca="1">IFERROR(IF(0=LEN(ReferenceData!$J$127),"",ReferenceData!$J$127),"")</f>
        <v>114320</v>
      </c>
      <c r="N127">
        <f ca="1">IFERROR(IF(0=LEN(ReferenceData!$I$127),"",ReferenceData!$I$127),"")</f>
        <v>136876</v>
      </c>
      <c r="O127">
        <f ca="1">IFERROR(IF(0=LEN(ReferenceData!$H$127),"",ReferenceData!$H$127),"")</f>
        <v>131524</v>
      </c>
      <c r="P127">
        <f ca="1">IFERROR(IF(0=LEN(ReferenceData!$G$127),"",ReferenceData!$G$127),"")</f>
        <v>131202</v>
      </c>
      <c r="Q127">
        <f ca="1">IFERROR(IF(0=LEN(ReferenceData!$F$127),"",ReferenceData!$F$127),"")</f>
        <v>133275</v>
      </c>
    </row>
    <row r="128" spans="1:17" x14ac:dyDescent="0.25">
      <c r="A128" t="str">
        <f>IFERROR(IF(0=LEN(ReferenceData!$A$128),"",ReferenceData!$A$128),"")</f>
        <v xml:space="preserve">    Tata Consultancy Services Ltd</v>
      </c>
      <c r="B128" t="str">
        <f>IFERROR(IF(0=LEN(ReferenceData!$B$128),"",ReferenceData!$B$128),"")</f>
        <v>TCS IN Equity</v>
      </c>
      <c r="C128" t="str">
        <f>IFERROR(IF(0=LEN(ReferenceData!$C$128),"",ReferenceData!$C$128),"")</f>
        <v>RR005</v>
      </c>
      <c r="D128" t="str">
        <f>IFERROR(IF(0=LEN(ReferenceData!$D$128),"",ReferenceData!$D$128),"")</f>
        <v>BS_TOT_LIAB2</v>
      </c>
      <c r="E128" t="str">
        <f>IFERROR(IF(0=LEN(ReferenceData!$E$128),"",ReferenceData!$E$128),"")</f>
        <v>Dynamic</v>
      </c>
      <c r="F128">
        <f ca="1">IFERROR(IF(0=LEN(ReferenceData!$Q$128),"",ReferenceData!$Q$128),"")</f>
        <v>2671.468077</v>
      </c>
      <c r="G128">
        <f ca="1">IFERROR(IF(0=LEN(ReferenceData!$P$128),"",ReferenceData!$P$128),"")</f>
        <v>2838.4085690000002</v>
      </c>
      <c r="H128">
        <f ca="1">IFERROR(IF(0=LEN(ReferenceData!$O$128),"",ReferenceData!$O$128),"")</f>
        <v>2884.8186810000002</v>
      </c>
      <c r="I128">
        <f ca="1">IFERROR(IF(0=LEN(ReferenceData!$N$128),"",ReferenceData!$N$128),"")</f>
        <v>3187.9029780000001</v>
      </c>
      <c r="J128">
        <f ca="1">IFERROR(IF(0=LEN(ReferenceData!$M$128),"",ReferenceData!$M$128),"")</f>
        <v>3427.0901789999998</v>
      </c>
      <c r="K128">
        <f ca="1">IFERROR(IF(0=LEN(ReferenceData!$L$128),"",ReferenceData!$L$128),"")</f>
        <v>3499.8173660000002</v>
      </c>
      <c r="L128">
        <f ca="1">IFERROR(IF(0=LEN(ReferenceData!$K$128),"",ReferenceData!$K$128),"")</f>
        <v>3440.5223129999999</v>
      </c>
      <c r="M128">
        <f ca="1">IFERROR(IF(0=LEN(ReferenceData!$J$128),"",ReferenceData!$J$128),"")</f>
        <v>3612.638175</v>
      </c>
      <c r="N128">
        <f ca="1">IFERROR(IF(0=LEN(ReferenceData!$I$128),"",ReferenceData!$I$128),"")</f>
        <v>4684.3830200000002</v>
      </c>
      <c r="O128">
        <f ca="1">IFERROR(IF(0=LEN(ReferenceData!$H$128),"",ReferenceData!$H$128),"")</f>
        <v>4496.4871190000003</v>
      </c>
      <c r="P128">
        <f ca="1">IFERROR(IF(0=LEN(ReferenceData!$G$128),"",ReferenceData!$G$128),"")</f>
        <v>4671.9878689999996</v>
      </c>
      <c r="Q128">
        <f ca="1">IFERROR(IF(0=LEN(ReferenceData!$F$128),"",ReferenceData!$F$128),"")</f>
        <v>4796.1026190000002</v>
      </c>
    </row>
    <row r="129" spans="1:17" x14ac:dyDescent="0.25">
      <c r="A129" t="str">
        <f>IFERROR(IF(0=LEN(ReferenceData!$A$129),"",ReferenceData!$A$129),"")</f>
        <v xml:space="preserve">    Tech Mahindra Ltd</v>
      </c>
      <c r="B129" t="str">
        <f>IFERROR(IF(0=LEN(ReferenceData!$B$129),"",ReferenceData!$B$129),"")</f>
        <v>TECHM IN Equity</v>
      </c>
      <c r="C129" t="str">
        <f>IFERROR(IF(0=LEN(ReferenceData!$C$129),"",ReferenceData!$C$129),"")</f>
        <v>RR005</v>
      </c>
      <c r="D129" t="str">
        <f>IFERROR(IF(0=LEN(ReferenceData!$D$129),"",ReferenceData!$D$129),"")</f>
        <v>BS_TOT_LIAB2</v>
      </c>
      <c r="E129" t="str">
        <f>IFERROR(IF(0=LEN(ReferenceData!$E$129),"",ReferenceData!$E$129),"")</f>
        <v>Dynamic</v>
      </c>
      <c r="F129">
        <f ca="1">IFERROR(IF(0=LEN(ReferenceData!$Q$129),"",ReferenceData!$Q$129),"")</f>
        <v>1592.001845</v>
      </c>
      <c r="G129">
        <f ca="1">IFERROR(IF(0=LEN(ReferenceData!$P$129),"",ReferenceData!$P$129),"")</f>
        <v>1539.061974</v>
      </c>
      <c r="H129">
        <f ca="1">IFERROR(IF(0=LEN(ReferenceData!$O$129),"",ReferenceData!$O$129),"")</f>
        <v>1669.8276470000001</v>
      </c>
      <c r="I129">
        <f ca="1">IFERROR(IF(0=LEN(ReferenceData!$N$129),"",ReferenceData!$N$129),"")</f>
        <v>1701.7654279999999</v>
      </c>
      <c r="J129">
        <f ca="1">IFERROR(IF(0=LEN(ReferenceData!$M$129),"",ReferenceData!$M$129),"")</f>
        <v>1657.0719240000001</v>
      </c>
      <c r="K129">
        <f ca="1">IFERROR(IF(0=LEN(ReferenceData!$L$129),"",ReferenceData!$L$129),"")</f>
        <v>1705.937326</v>
      </c>
      <c r="L129">
        <f ca="1">IFERROR(IF(0=LEN(ReferenceData!$K$129),"",ReferenceData!$K$129),"")</f>
        <v>1623.1740569999999</v>
      </c>
      <c r="M129">
        <f ca="1">IFERROR(IF(0=LEN(ReferenceData!$J$129),"",ReferenceData!$J$129),"")</f>
        <v>1829.803255</v>
      </c>
      <c r="N129">
        <f ca="1">IFERROR(IF(0=LEN(ReferenceData!$I$129),"",ReferenceData!$I$129),"")</f>
        <v>1739.582079</v>
      </c>
      <c r="O129">
        <f ca="1">IFERROR(IF(0=LEN(ReferenceData!$H$129),"",ReferenceData!$H$129),"")</f>
        <v>1755.647849</v>
      </c>
      <c r="P129">
        <f ca="1">IFERROR(IF(0=LEN(ReferenceData!$G$129),"",ReferenceData!$G$129),"")</f>
        <v>1844.618074</v>
      </c>
      <c r="Q129">
        <f ca="1">IFERROR(IF(0=LEN(ReferenceData!$F$129),"",ReferenceData!$F$129),"")</f>
        <v>2009.6049680000001</v>
      </c>
    </row>
    <row r="130" spans="1:17" x14ac:dyDescent="0.25">
      <c r="A130" t="str">
        <f>IFERROR(IF(0=LEN(ReferenceData!$A$130),"",ReferenceData!$A$130),"")</f>
        <v xml:space="preserve">    Wipro Ltd</v>
      </c>
      <c r="B130" t="str">
        <f>IFERROR(IF(0=LEN(ReferenceData!$B$130),"",ReferenceData!$B$130),"")</f>
        <v>WIT US Equity</v>
      </c>
      <c r="C130" t="str">
        <f>IFERROR(IF(0=LEN(ReferenceData!$C$130),"",ReferenceData!$C$130),"")</f>
        <v>RR005</v>
      </c>
      <c r="D130" t="str">
        <f>IFERROR(IF(0=LEN(ReferenceData!$D$130),"",ReferenceData!$D$130),"")</f>
        <v>BS_TOT_LIAB2</v>
      </c>
      <c r="E130" t="str">
        <f>IFERROR(IF(0=LEN(ReferenceData!$E$130),"",ReferenceData!$E$130),"")</f>
        <v>Dynamic</v>
      </c>
      <c r="F130">
        <f ca="1">IFERROR(IF(0=LEN(ReferenceData!$Q$130),"",ReferenceData!$Q$130),"")</f>
        <v>4448.1653480000004</v>
      </c>
      <c r="G130">
        <f ca="1">IFERROR(IF(0=LEN(ReferenceData!$P$130),"",ReferenceData!$P$130),"")</f>
        <v>4259.1430760000003</v>
      </c>
      <c r="H130">
        <f ca="1">IFERROR(IF(0=LEN(ReferenceData!$O$130),"",ReferenceData!$O$130),"")</f>
        <v>4207.3717919999999</v>
      </c>
      <c r="I130">
        <f ca="1">IFERROR(IF(0=LEN(ReferenceData!$N$130),"",ReferenceData!$N$130),"")</f>
        <v>4226.1897449999997</v>
      </c>
      <c r="J130">
        <f ca="1">IFERROR(IF(0=LEN(ReferenceData!$M$130),"",ReferenceData!$M$130),"")</f>
        <v>3817.597663</v>
      </c>
      <c r="K130">
        <f ca="1">IFERROR(IF(0=LEN(ReferenceData!$L$130),"",ReferenceData!$L$130),"")</f>
        <v>3840.1367340000002</v>
      </c>
      <c r="L130">
        <f ca="1">IFERROR(IF(0=LEN(ReferenceData!$K$130),"",ReferenceData!$K$130),"")</f>
        <v>3716.5016500000002</v>
      </c>
      <c r="M130">
        <f ca="1">IFERROR(IF(0=LEN(ReferenceData!$J$130),"",ReferenceData!$J$130),"")</f>
        <v>3785.4227940000001</v>
      </c>
      <c r="N130">
        <f ca="1">IFERROR(IF(0=LEN(ReferenceData!$I$130),"",ReferenceData!$I$130),"")</f>
        <v>4069.2675859999999</v>
      </c>
      <c r="O130">
        <f ca="1">IFERROR(IF(0=LEN(ReferenceData!$H$130),"",ReferenceData!$H$130),"")</f>
        <v>3767.138117</v>
      </c>
      <c r="P130">
        <f ca="1">IFERROR(IF(0=LEN(ReferenceData!$G$130),"",ReferenceData!$G$130),"")</f>
        <v>3790.970804</v>
      </c>
      <c r="Q130">
        <f ca="1">IFERROR(IF(0=LEN(ReferenceData!$F$130),"",ReferenceData!$F$130),"")</f>
        <v>3419.349189</v>
      </c>
    </row>
    <row r="131" spans="1:17" x14ac:dyDescent="0.25">
      <c r="A131" t="str">
        <f>IFERROR(IF(0=LEN(ReferenceData!$A$131),"",ReferenceData!$A$131),"")</f>
        <v>Total Shareholders Equity</v>
      </c>
      <c r="B131" t="str">
        <f>IFERROR(IF(0=LEN(ReferenceData!$B$131),"",ReferenceData!$B$131),"")</f>
        <v/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Sum</v>
      </c>
      <c r="F131">
        <f ca="1">IFERROR(IF(0=LEN(ReferenceData!$Q$131),"",ReferenceData!$Q$131),"")</f>
        <v>103605.56764539999</v>
      </c>
      <c r="G131">
        <f ca="1">IFERROR(IF(0=LEN(ReferenceData!$P$131),"",ReferenceData!$P$131),"")</f>
        <v>107295.88554599999</v>
      </c>
      <c r="H131">
        <f ca="1">IFERROR(IF(0=LEN(ReferenceData!$O$131),"",ReferenceData!$O$131),"")</f>
        <v>105275.002379</v>
      </c>
      <c r="I131">
        <f ca="1">IFERROR(IF(0=LEN(ReferenceData!$N$131),"",ReferenceData!$N$131),"")</f>
        <v>108711.15026600001</v>
      </c>
      <c r="J131">
        <f ca="1">IFERROR(IF(0=LEN(ReferenceData!$M$131),"",ReferenceData!$M$131),"")</f>
        <v>104473.9694403</v>
      </c>
      <c r="K131">
        <f ca="1">IFERROR(IF(0=LEN(ReferenceData!$L$131),"",ReferenceData!$L$131),"")</f>
        <v>104361.77810799998</v>
      </c>
      <c r="L131">
        <f ca="1">IFERROR(IF(0=LEN(ReferenceData!$K$131),"",ReferenceData!$K$131),"")</f>
        <v>106461.90871340001</v>
      </c>
      <c r="M131">
        <f ca="1">IFERROR(IF(0=LEN(ReferenceData!$J$131),"",ReferenceData!$J$131),"")</f>
        <v>108589.89112999999</v>
      </c>
      <c r="N131">
        <f ca="1">IFERROR(IF(0=LEN(ReferenceData!$I$131),"",ReferenceData!$I$131),"")</f>
        <v>107662.5753392</v>
      </c>
      <c r="O131">
        <f ca="1">IFERROR(IF(0=LEN(ReferenceData!$H$131),"",ReferenceData!$H$131),"")</f>
        <v>106484.60860499999</v>
      </c>
      <c r="P131">
        <f ca="1">IFERROR(IF(0=LEN(ReferenceData!$G$131),"",ReferenceData!$G$131),"")</f>
        <v>119168.74426470003</v>
      </c>
      <c r="Q131">
        <f ca="1">IFERROR(IF(0=LEN(ReferenceData!$F$131),"",ReferenceData!$F$131),"")</f>
        <v>103093.18711900001</v>
      </c>
    </row>
    <row r="132" spans="1:17" x14ac:dyDescent="0.25">
      <c r="A132" t="str">
        <f>IFERROR(IF(0=LEN(ReferenceData!$A$132),"",ReferenceData!$A$132),"")</f>
        <v xml:space="preserve">    Accenture PLC</v>
      </c>
      <c r="B132" t="str">
        <f>IFERROR(IF(0=LEN(ReferenceData!$B$132),"",ReferenceData!$B$132),"")</f>
        <v>ACN US Equity</v>
      </c>
      <c r="C132" t="str">
        <f>IFERROR(IF(0=LEN(ReferenceData!$C$132),"",ReferenceData!$C$132),"")</f>
        <v>RR007</v>
      </c>
      <c r="D132" t="str">
        <f>IFERROR(IF(0=LEN(ReferenceData!$D$132),"",ReferenceData!$D$132),"")</f>
        <v>TOTAL_EQUITY</v>
      </c>
      <c r="E132" t="str">
        <f>IFERROR(IF(0=LEN(ReferenceData!$E$132),"",ReferenceData!$E$132),"")</f>
        <v>Dynamic</v>
      </c>
      <c r="F132">
        <f ca="1">IFERROR(IF(0=LEN(ReferenceData!$Q$132),"",ReferenceData!$Q$132),"")</f>
        <v>8876.66</v>
      </c>
      <c r="G132">
        <f ca="1">IFERROR(IF(0=LEN(ReferenceData!$P$132),"",ReferenceData!$P$132),"")</f>
        <v>9710.2000000000007</v>
      </c>
      <c r="H132">
        <f ca="1">IFERROR(IF(0=LEN(ReferenceData!$O$132),"",ReferenceData!$O$132),"")</f>
        <v>9893.4369999999999</v>
      </c>
      <c r="I132">
        <f ca="1">IFERROR(IF(0=LEN(ReferenceData!$N$132),"",ReferenceData!$N$132),"")</f>
        <v>10438.425999999999</v>
      </c>
      <c r="J132">
        <f ca="1">IFERROR(IF(0=LEN(ReferenceData!$M$132),"",ReferenceData!$M$132),"")</f>
        <v>10152.736000000001</v>
      </c>
      <c r="K132">
        <f ca="1">IFERROR(IF(0=LEN(ReferenceData!$L$132),"",ReferenceData!$L$132),"")</f>
        <v>10724.588</v>
      </c>
      <c r="L132">
        <f ca="1">IFERROR(IF(0=LEN(ReferenceData!$K$132),"",ReferenceData!$K$132),"")</f>
        <v>13055.567999999999</v>
      </c>
      <c r="M132">
        <f ca="1">IFERROR(IF(0=LEN(ReferenceData!$J$132),"",ReferenceData!$J$132),"")</f>
        <v>13728.545</v>
      </c>
      <c r="N132">
        <f ca="1">IFERROR(IF(0=LEN(ReferenceData!$I$132),"",ReferenceData!$I$132),"")</f>
        <v>14142.958000000001</v>
      </c>
      <c r="O132">
        <f ca="1">IFERROR(IF(0=LEN(ReferenceData!$H$132),"",ReferenceData!$H$132),"")</f>
        <v>14827.691000000001</v>
      </c>
      <c r="P132">
        <f ca="1">IFERROR(IF(0=LEN(ReferenceData!$G$132),"",ReferenceData!$G$132),"")</f>
        <v>15601.208000000001</v>
      </c>
      <c r="Q132">
        <f ca="1">IFERROR(IF(0=LEN(ReferenceData!$F$132),"",ReferenceData!$F$132),"")</f>
        <v>15920.806</v>
      </c>
    </row>
    <row r="133" spans="1:17" x14ac:dyDescent="0.25">
      <c r="A133" t="str">
        <f>IFERROR(IF(0=LEN(ReferenceData!$A$133),"",ReferenceData!$A$133),"")</f>
        <v xml:space="preserve">    Amdocs Ltd</v>
      </c>
      <c r="B133" t="str">
        <f>IFERROR(IF(0=LEN(ReferenceData!$B$133),"",ReferenceData!$B$133),"")</f>
        <v>DOX US Equity</v>
      </c>
      <c r="C133" t="str">
        <f>IFERROR(IF(0=LEN(ReferenceData!$C$133),"",ReferenceData!$C$133),"")</f>
        <v>RR007</v>
      </c>
      <c r="D133" t="str">
        <f>IFERROR(IF(0=LEN(ReferenceData!$D$133),"",ReferenceData!$D$133),"")</f>
        <v>TOTAL_EQUITY</v>
      </c>
      <c r="E133" t="str">
        <f>IFERROR(IF(0=LEN(ReferenceData!$E$133),"",ReferenceData!$E$133),"")</f>
        <v>Dynamic</v>
      </c>
      <c r="F133">
        <f ca="1">IFERROR(IF(0=LEN(ReferenceData!$Q$133),"",ReferenceData!$Q$133),"")</f>
        <v>3581.6889999999999</v>
      </c>
      <c r="G133">
        <f ca="1">IFERROR(IF(0=LEN(ReferenceData!$P$133),"",ReferenceData!$P$133),"")</f>
        <v>3574.07</v>
      </c>
      <c r="H133">
        <f ca="1">IFERROR(IF(0=LEN(ReferenceData!$O$133),"",ReferenceData!$O$133),"")</f>
        <v>3627.8919999999998</v>
      </c>
      <c r="I133">
        <f ca="1">IFERROR(IF(0=LEN(ReferenceData!$N$133),"",ReferenceData!$N$133),"")</f>
        <v>3606.2170000000001</v>
      </c>
      <c r="J133">
        <f ca="1">IFERROR(IF(0=LEN(ReferenceData!$M$133),"",ReferenceData!$M$133),"")</f>
        <v>3562.8690000000001</v>
      </c>
      <c r="K133">
        <f ca="1">IFERROR(IF(0=LEN(ReferenceData!$L$133),"",ReferenceData!$L$133),"")</f>
        <v>3492.0419999999999</v>
      </c>
      <c r="L133">
        <f ca="1">IFERROR(IF(0=LEN(ReferenceData!$K$133),"",ReferenceData!$K$133),"")</f>
        <v>3499.16</v>
      </c>
      <c r="M133">
        <f ca="1">IFERROR(IF(0=LEN(ReferenceData!$J$133),"",ReferenceData!$J$133),"")</f>
        <v>3492.7869999999998</v>
      </c>
      <c r="N133">
        <f ca="1">IFERROR(IF(0=LEN(ReferenceData!$I$133),"",ReferenceData!$I$133),"")</f>
        <v>3527.6849999999999</v>
      </c>
      <c r="O133">
        <f ca="1">IFERROR(IF(0=LEN(ReferenceData!$H$133),"",ReferenceData!$H$133),"")</f>
        <v>3542.4659999999999</v>
      </c>
      <c r="P133">
        <f ca="1">IFERROR(IF(0=LEN(ReferenceData!$G$133),"",ReferenceData!$G$133),"")</f>
        <v>3581.8040000000001</v>
      </c>
      <c r="Q133">
        <f ca="1">IFERROR(IF(0=LEN(ReferenceData!$F$133),"",ReferenceData!$F$133),"")</f>
        <v>3578.8119999999999</v>
      </c>
    </row>
    <row r="134" spans="1:17" x14ac:dyDescent="0.25">
      <c r="A134" t="str">
        <f>IFERROR(IF(0=LEN(ReferenceData!$A$134),"",ReferenceData!$A$134),"")</f>
        <v xml:space="preserve">    Atos SE</v>
      </c>
      <c r="B134" t="str">
        <f>IFERROR(IF(0=LEN(ReferenceData!$B$134),"",ReferenceData!$B$134),"")</f>
        <v>ATO FP Equity</v>
      </c>
      <c r="C134" t="str">
        <f>IFERROR(IF(0=LEN(ReferenceData!$C$134),"",ReferenceData!$C$134),"")</f>
        <v>RR007</v>
      </c>
      <c r="D134" t="str">
        <f>IFERROR(IF(0=LEN(ReferenceData!$D$134),"",ReferenceData!$D$134),"")</f>
        <v>TOTAL_EQUITY</v>
      </c>
      <c r="E134" t="str">
        <f>IFERROR(IF(0=LEN(ReferenceData!$E$134),"",ReferenceData!$E$134),"")</f>
        <v>Dynamic</v>
      </c>
      <c r="F134" t="str">
        <f ca="1">IFERROR(IF(0=LEN(ReferenceData!$Q$134),"",ReferenceData!$Q$134),"")</f>
        <v/>
      </c>
      <c r="G134" t="str">
        <f ca="1">IFERROR(IF(0=LEN(ReferenceData!$P$134),"",ReferenceData!$P$134),"")</f>
        <v/>
      </c>
      <c r="H134" t="str">
        <f ca="1">IFERROR(IF(0=LEN(ReferenceData!$O$134),"",ReferenceData!$O$134),"")</f>
        <v/>
      </c>
      <c r="I134" t="str">
        <f ca="1">IFERROR(IF(0=LEN(ReferenceData!$N$134),"",ReferenceData!$N$134),"")</f>
        <v/>
      </c>
      <c r="J134" t="str">
        <f ca="1">IFERROR(IF(0=LEN(ReferenceData!$M$134),"",ReferenceData!$M$134),"")</f>
        <v/>
      </c>
      <c r="K134" t="str">
        <f ca="1">IFERROR(IF(0=LEN(ReferenceData!$L$134),"",ReferenceData!$L$134),"")</f>
        <v/>
      </c>
      <c r="L134" t="str">
        <f ca="1">IFERROR(IF(0=LEN(ReferenceData!$K$134),"",ReferenceData!$K$134),"")</f>
        <v/>
      </c>
      <c r="M134" t="str">
        <f ca="1">IFERROR(IF(0=LEN(ReferenceData!$J$134),"",ReferenceData!$J$134),"")</f>
        <v/>
      </c>
      <c r="N134" t="str">
        <f ca="1">IFERROR(IF(0=LEN(ReferenceData!$I$134),"",ReferenceData!$I$134),"")</f>
        <v/>
      </c>
      <c r="O134" t="str">
        <f ca="1">IFERROR(IF(0=LEN(ReferenceData!$H$134),"",ReferenceData!$H$134),"")</f>
        <v/>
      </c>
      <c r="P134" t="str">
        <f ca="1">IFERROR(IF(0=LEN(ReferenceData!$G$134),"",ReferenceData!$G$134),"")</f>
        <v/>
      </c>
      <c r="Q134" t="str">
        <f ca="1">IFERROR(IF(0=LEN(ReferenceData!$F$134),"",ReferenceData!$F$134),"")</f>
        <v/>
      </c>
    </row>
    <row r="135" spans="1:17" x14ac:dyDescent="0.25">
      <c r="A135" t="str">
        <f>IFERROR(IF(0=LEN(ReferenceData!$A$135),"",ReferenceData!$A$135),"")</f>
        <v xml:space="preserve">    Capgemini SE</v>
      </c>
      <c r="B135" t="str">
        <f>IFERROR(IF(0=LEN(ReferenceData!$B$135),"",ReferenceData!$B$135),"")</f>
        <v>CAP FP Equity</v>
      </c>
      <c r="C135" t="str">
        <f>IFERROR(IF(0=LEN(ReferenceData!$C$135),"",ReferenceData!$C$135),"")</f>
        <v>RR007</v>
      </c>
      <c r="D135" t="str">
        <f>IFERROR(IF(0=LEN(ReferenceData!$D$135),"",ReferenceData!$D$135),"")</f>
        <v>TOTAL_EQUITY</v>
      </c>
      <c r="E135" t="str">
        <f>IFERROR(IF(0=LEN(ReferenceData!$E$135),"",ReferenceData!$E$135),"")</f>
        <v>Dynamic</v>
      </c>
      <c r="F135" t="str">
        <f ca="1">IFERROR(IF(0=LEN(ReferenceData!$Q$135),"",ReferenceData!$Q$135),"")</f>
        <v/>
      </c>
      <c r="G135" t="str">
        <f ca="1">IFERROR(IF(0=LEN(ReferenceData!$P$135),"",ReferenceData!$P$135),"")</f>
        <v/>
      </c>
      <c r="H135" t="str">
        <f ca="1">IFERROR(IF(0=LEN(ReferenceData!$O$135),"",ReferenceData!$O$135),"")</f>
        <v/>
      </c>
      <c r="I135" t="str">
        <f ca="1">IFERROR(IF(0=LEN(ReferenceData!$N$135),"",ReferenceData!$N$135),"")</f>
        <v/>
      </c>
      <c r="J135" t="str">
        <f ca="1">IFERROR(IF(0=LEN(ReferenceData!$M$135),"",ReferenceData!$M$135),"")</f>
        <v/>
      </c>
      <c r="K135" t="str">
        <f ca="1">IFERROR(IF(0=LEN(ReferenceData!$L$135),"",ReferenceData!$L$135),"")</f>
        <v/>
      </c>
      <c r="L135" t="str">
        <f ca="1">IFERROR(IF(0=LEN(ReferenceData!$K$135),"",ReferenceData!$K$135),"")</f>
        <v/>
      </c>
      <c r="M135" t="str">
        <f ca="1">IFERROR(IF(0=LEN(ReferenceData!$J$135),"",ReferenceData!$J$135),"")</f>
        <v/>
      </c>
      <c r="N135" t="str">
        <f ca="1">IFERROR(IF(0=LEN(ReferenceData!$I$135),"",ReferenceData!$I$135),"")</f>
        <v/>
      </c>
      <c r="O135" t="str">
        <f ca="1">IFERROR(IF(0=LEN(ReferenceData!$H$135),"",ReferenceData!$H$135),"")</f>
        <v/>
      </c>
      <c r="P135">
        <f ca="1">IFERROR(IF(0=LEN(ReferenceData!$G$135),"",ReferenceData!$G$135),"")</f>
        <v>9453.6951000000008</v>
      </c>
      <c r="Q135" t="str">
        <f ca="1">IFERROR(IF(0=LEN(ReferenceData!$F$135),"",ReferenceData!$F$135),"")</f>
        <v/>
      </c>
    </row>
    <row r="136" spans="1:17" x14ac:dyDescent="0.25">
      <c r="A136" t="str">
        <f>IFERROR(IF(0=LEN(ReferenceData!$A$136),"",ReferenceData!$A$136),"")</f>
        <v xml:space="preserve">    CGI Inc</v>
      </c>
      <c r="B136" t="str">
        <f>IFERROR(IF(0=LEN(ReferenceData!$B$136),"",ReferenceData!$B$136),"")</f>
        <v>GIB US Equity</v>
      </c>
      <c r="C136" t="str">
        <f>IFERROR(IF(0=LEN(ReferenceData!$C$136),"",ReferenceData!$C$136),"")</f>
        <v>RR007</v>
      </c>
      <c r="D136" t="str">
        <f>IFERROR(IF(0=LEN(ReferenceData!$D$136),"",ReferenceData!$D$136),"")</f>
        <v>TOTAL_EQUITY</v>
      </c>
      <c r="E136" t="str">
        <f>IFERROR(IF(0=LEN(ReferenceData!$E$136),"",ReferenceData!$E$136),"")</f>
        <v>Dynamic</v>
      </c>
      <c r="F136">
        <f ca="1">IFERROR(IF(0=LEN(ReferenceData!$Q$136),"",ReferenceData!$Q$136),"")</f>
        <v>5112.7288120000003</v>
      </c>
      <c r="G136">
        <f ca="1">IFERROR(IF(0=LEN(ReferenceData!$P$136),"",ReferenceData!$P$136),"")</f>
        <v>4968.4604289999997</v>
      </c>
      <c r="H136">
        <f ca="1">IFERROR(IF(0=LEN(ReferenceData!$O$136),"",ReferenceData!$O$136),"")</f>
        <v>5231.1646840000003</v>
      </c>
      <c r="I136">
        <f ca="1">IFERROR(IF(0=LEN(ReferenceData!$N$136),"",ReferenceData!$N$136),"")</f>
        <v>5322.3935140000003</v>
      </c>
      <c r="J136">
        <f ca="1">IFERROR(IF(0=LEN(ReferenceData!$M$136),"",ReferenceData!$M$136),"")</f>
        <v>5119.4263979999996</v>
      </c>
      <c r="K136">
        <f ca="1">IFERROR(IF(0=LEN(ReferenceData!$L$136),"",ReferenceData!$L$136),"")</f>
        <v>5166.4015769999996</v>
      </c>
      <c r="L136">
        <f ca="1">IFERROR(IF(0=LEN(ReferenceData!$K$136),"",ReferenceData!$K$136),"")</f>
        <v>5088.0673809999998</v>
      </c>
      <c r="M136">
        <f ca="1">IFERROR(IF(0=LEN(ReferenceData!$J$136),"",ReferenceData!$J$136),"")</f>
        <v>5223.4772199999998</v>
      </c>
      <c r="N136">
        <f ca="1">IFERROR(IF(0=LEN(ReferenceData!$I$136),"",ReferenceData!$I$136),"")</f>
        <v>5094.9316429999999</v>
      </c>
      <c r="O136">
        <f ca="1">IFERROR(IF(0=LEN(ReferenceData!$H$136),"",ReferenceData!$H$136),"")</f>
        <v>5199.0808850000003</v>
      </c>
      <c r="P136">
        <f ca="1">IFERROR(IF(0=LEN(ReferenceData!$G$136),"",ReferenceData!$G$136),"")</f>
        <v>5459.0807519999998</v>
      </c>
      <c r="Q136">
        <f ca="1">IFERROR(IF(0=LEN(ReferenceData!$F$136),"",ReferenceData!$F$136),"")</f>
        <v>4764.9520650000004</v>
      </c>
    </row>
    <row r="137" spans="1:17" x14ac:dyDescent="0.25">
      <c r="A137" t="str">
        <f>IFERROR(IF(0=LEN(ReferenceData!$A$137),"",ReferenceData!$A$137),"")</f>
        <v xml:space="preserve">    Cognizant Technology Solutions Corp</v>
      </c>
      <c r="B137" t="str">
        <f>IFERROR(IF(0=LEN(ReferenceData!$B$137),"",ReferenceData!$B$137),"")</f>
        <v>CTSH US Equity</v>
      </c>
      <c r="C137" t="str">
        <f>IFERROR(IF(0=LEN(ReferenceData!$C$137),"",ReferenceData!$C$137),"")</f>
        <v>RR007</v>
      </c>
      <c r="D137" t="str">
        <f>IFERROR(IF(0=LEN(ReferenceData!$D$137),"",ReferenceData!$D$137),"")</f>
        <v>TOTAL_EQUITY</v>
      </c>
      <c r="E137" t="str">
        <f>IFERROR(IF(0=LEN(ReferenceData!$E$137),"",ReferenceData!$E$137),"")</f>
        <v>Dynamic</v>
      </c>
      <c r="F137">
        <f ca="1">IFERROR(IF(0=LEN(ReferenceData!$Q$137),"",ReferenceData!$Q$137),"")</f>
        <v>10483</v>
      </c>
      <c r="G137">
        <f ca="1">IFERROR(IF(0=LEN(ReferenceData!$P$137),"",ReferenceData!$P$137),"")</f>
        <v>10979</v>
      </c>
      <c r="H137">
        <f ca="1">IFERROR(IF(0=LEN(ReferenceData!$O$137),"",ReferenceData!$O$137),"")</f>
        <v>10669</v>
      </c>
      <c r="I137">
        <f ca="1">IFERROR(IF(0=LEN(ReferenceData!$N$137),"",ReferenceData!$N$137),"")</f>
        <v>10988</v>
      </c>
      <c r="J137">
        <f ca="1">IFERROR(IF(0=LEN(ReferenceData!$M$137),"",ReferenceData!$M$137),"")</f>
        <v>10648</v>
      </c>
      <c r="K137">
        <f ca="1">IFERROR(IF(0=LEN(ReferenceData!$L$137),"",ReferenceData!$L$137),"")</f>
        <v>10978</v>
      </c>
      <c r="L137">
        <f ca="1">IFERROR(IF(0=LEN(ReferenceData!$K$137),"",ReferenceData!$K$137),"")</f>
        <v>11424</v>
      </c>
      <c r="M137">
        <f ca="1">IFERROR(IF(0=LEN(ReferenceData!$J$137),"",ReferenceData!$J$137),"")</f>
        <v>11136</v>
      </c>
      <c r="N137">
        <f ca="1">IFERROR(IF(0=LEN(ReferenceData!$I$137),"",ReferenceData!$I$137),"")</f>
        <v>10557</v>
      </c>
      <c r="O137">
        <f ca="1">IFERROR(IF(0=LEN(ReferenceData!$H$137),"",ReferenceData!$H$137),"")</f>
        <v>10702</v>
      </c>
      <c r="P137">
        <f ca="1">IFERROR(IF(0=LEN(ReferenceData!$G$137),"",ReferenceData!$G$137),"")</f>
        <v>11022</v>
      </c>
      <c r="Q137">
        <f ca="1">IFERROR(IF(0=LEN(ReferenceData!$F$137),"",ReferenceData!$F$137),"")</f>
        <v>10613</v>
      </c>
    </row>
    <row r="138" spans="1:17" x14ac:dyDescent="0.25">
      <c r="A138" t="str">
        <f>IFERROR(IF(0=LEN(ReferenceData!$A$138),"",ReferenceData!$A$138),"")</f>
        <v xml:space="preserve">    Conduent Inc</v>
      </c>
      <c r="B138" t="str">
        <f>IFERROR(IF(0=LEN(ReferenceData!$B$138),"",ReferenceData!$B$138),"")</f>
        <v>CNDT US Equity</v>
      </c>
      <c r="C138" t="str">
        <f>IFERROR(IF(0=LEN(ReferenceData!$C$138),"",ReferenceData!$C$138),"")</f>
        <v>RR007</v>
      </c>
      <c r="D138" t="str">
        <f>IFERROR(IF(0=LEN(ReferenceData!$D$138),"",ReferenceData!$D$138),"")</f>
        <v>TOTAL_EQUITY</v>
      </c>
      <c r="E138" t="str">
        <f>IFERROR(IF(0=LEN(ReferenceData!$E$138),"",ReferenceData!$E$138),"")</f>
        <v>Dynamic</v>
      </c>
      <c r="F138">
        <f ca="1">IFERROR(IF(0=LEN(ReferenceData!$Q$138),"",ReferenceData!$Q$138),"")</f>
        <v>3459</v>
      </c>
      <c r="G138">
        <f ca="1">IFERROR(IF(0=LEN(ReferenceData!$P$138),"",ReferenceData!$P$138),"")</f>
        <v>3454</v>
      </c>
      <c r="H138">
        <f ca="1">IFERROR(IF(0=LEN(ReferenceData!$O$138),"",ReferenceData!$O$138),"")</f>
        <v>3671</v>
      </c>
      <c r="I138">
        <f ca="1">IFERROR(IF(0=LEN(ReferenceData!$N$138),"",ReferenceData!$N$138),"")</f>
        <v>3652</v>
      </c>
      <c r="J138">
        <f ca="1">IFERROR(IF(0=LEN(ReferenceData!$M$138),"",ReferenceData!$M$138),"")</f>
        <v>3641</v>
      </c>
      <c r="K138">
        <f ca="1">IFERROR(IF(0=LEN(ReferenceData!$L$138),"",ReferenceData!$L$138),"")</f>
        <v>3501</v>
      </c>
      <c r="L138">
        <f ca="1">IFERROR(IF(0=LEN(ReferenceData!$K$138),"",ReferenceData!$K$138),"")</f>
        <v>3364</v>
      </c>
      <c r="M138">
        <f ca="1">IFERROR(IF(0=LEN(ReferenceData!$J$138),"",ReferenceData!$J$138),"")</f>
        <v>3069</v>
      </c>
      <c r="N138">
        <f ca="1">IFERROR(IF(0=LEN(ReferenceData!$I$138),"",ReferenceData!$I$138),"")</f>
        <v>2043</v>
      </c>
      <c r="O138">
        <f ca="1">IFERROR(IF(0=LEN(ReferenceData!$H$138),"",ReferenceData!$H$138),"")</f>
        <v>2010</v>
      </c>
      <c r="P138">
        <f ca="1">IFERROR(IF(0=LEN(ReferenceData!$G$138),"",ReferenceData!$G$138),"")</f>
        <v>1442</v>
      </c>
      <c r="Q138">
        <f ca="1">IFERROR(IF(0=LEN(ReferenceData!$F$138),"",ReferenceData!$F$138),"")</f>
        <v>1362</v>
      </c>
    </row>
    <row r="139" spans="1:17" x14ac:dyDescent="0.25">
      <c r="A139" t="str">
        <f>IFERROR(IF(0=LEN(ReferenceData!$A$139),"",ReferenceData!$A$139),"")</f>
        <v xml:space="preserve">    DXC Technology Co</v>
      </c>
      <c r="B139" t="str">
        <f>IFERROR(IF(0=LEN(ReferenceData!$B$139),"",ReferenceData!$B$139),"")</f>
        <v>DXC US Equity</v>
      </c>
      <c r="C139" t="str">
        <f>IFERROR(IF(0=LEN(ReferenceData!$C$139),"",ReferenceData!$C$139),"")</f>
        <v>RR007</v>
      </c>
      <c r="D139" t="str">
        <f>IFERROR(IF(0=LEN(ReferenceData!$D$139),"",ReferenceData!$D$139),"")</f>
        <v>TOTAL_EQUITY</v>
      </c>
      <c r="E139" t="str">
        <f>IFERROR(IF(0=LEN(ReferenceData!$E$139),"",ReferenceData!$E$139),"")</f>
        <v>Dynamic</v>
      </c>
      <c r="F139">
        <f ca="1">IFERROR(IF(0=LEN(ReferenceData!$Q$139),"",ReferenceData!$Q$139),"")</f>
        <v>12345</v>
      </c>
      <c r="G139">
        <f ca="1">IFERROR(IF(0=LEN(ReferenceData!$P$139),"",ReferenceData!$P$139),"")</f>
        <v>12507</v>
      </c>
      <c r="H139">
        <f ca="1">IFERROR(IF(0=LEN(ReferenceData!$O$139),"",ReferenceData!$O$139),"")</f>
        <v>13202</v>
      </c>
      <c r="I139">
        <f ca="1">IFERROR(IF(0=LEN(ReferenceData!$N$139),"",ReferenceData!$N$139),"")</f>
        <v>13837</v>
      </c>
      <c r="J139">
        <f ca="1">IFERROR(IF(0=LEN(ReferenceData!$M$139),"",ReferenceData!$M$139),"")</f>
        <v>11814</v>
      </c>
      <c r="K139">
        <f ca="1">IFERROR(IF(0=LEN(ReferenceData!$L$139),"",ReferenceData!$L$139),"")</f>
        <v>11837</v>
      </c>
      <c r="L139">
        <f ca="1">IFERROR(IF(0=LEN(ReferenceData!$K$139),"",ReferenceData!$K$139),"")</f>
        <v>11356</v>
      </c>
      <c r="M139">
        <f ca="1">IFERROR(IF(0=LEN(ReferenceData!$J$139),"",ReferenceData!$J$139),"")</f>
        <v>11725</v>
      </c>
      <c r="N139">
        <f ca="1">IFERROR(IF(0=LEN(ReferenceData!$I$139),"",ReferenceData!$I$139),"")</f>
        <v>11217</v>
      </c>
      <c r="O139">
        <f ca="1">IFERROR(IF(0=LEN(ReferenceData!$H$139),"",ReferenceData!$H$139),"")</f>
        <v>8870</v>
      </c>
      <c r="P139">
        <f ca="1">IFERROR(IF(0=LEN(ReferenceData!$G$139),"",ReferenceData!$G$139),"")</f>
        <v>9101</v>
      </c>
      <c r="Q139">
        <f ca="1">IFERROR(IF(0=LEN(ReferenceData!$F$139),"",ReferenceData!$F$139),"")</f>
        <v>5129</v>
      </c>
    </row>
    <row r="140" spans="1:17" x14ac:dyDescent="0.25">
      <c r="A140" t="str">
        <f>IFERROR(IF(0=LEN(ReferenceData!$A$140),"",ReferenceData!$A$140),"")</f>
        <v xml:space="preserve">    EPAM Systems Inc</v>
      </c>
      <c r="B140" t="str">
        <f>IFERROR(IF(0=LEN(ReferenceData!$B$140),"",ReferenceData!$B$140),"")</f>
        <v>EPAM US Equity</v>
      </c>
      <c r="C140" t="str">
        <f>IFERROR(IF(0=LEN(ReferenceData!$C$140),"",ReferenceData!$C$140),"")</f>
        <v>RR007</v>
      </c>
      <c r="D140" t="str">
        <f>IFERROR(IF(0=LEN(ReferenceData!$D$140),"",ReferenceData!$D$140),"")</f>
        <v>TOTAL_EQUITY</v>
      </c>
      <c r="E140" t="str">
        <f>IFERROR(IF(0=LEN(ReferenceData!$E$140),"",ReferenceData!$E$140),"")</f>
        <v>Dynamic</v>
      </c>
      <c r="F140">
        <f ca="1">IFERROR(IF(0=LEN(ReferenceData!$Q$140),"",ReferenceData!$Q$140),"")</f>
        <v>919.70600000000002</v>
      </c>
      <c r="G140">
        <f ca="1">IFERROR(IF(0=LEN(ReferenceData!$P$140),"",ReferenceData!$P$140),"")</f>
        <v>985.14499999999998</v>
      </c>
      <c r="H140">
        <f ca="1">IFERROR(IF(0=LEN(ReferenceData!$O$140),"",ReferenceData!$O$140),"")</f>
        <v>974.947</v>
      </c>
      <c r="I140">
        <f ca="1">IFERROR(IF(0=LEN(ReferenceData!$N$140),"",ReferenceData!$N$140),"")</f>
        <v>1055.348</v>
      </c>
      <c r="J140">
        <f ca="1">IFERROR(IF(0=LEN(ReferenceData!$M$140),"",ReferenceData!$M$140),"")</f>
        <v>1112.8030000000001</v>
      </c>
      <c r="K140">
        <f ca="1">IFERROR(IF(0=LEN(ReferenceData!$L$140),"",ReferenceData!$L$140),"")</f>
        <v>1195.9349999999999</v>
      </c>
      <c r="L140">
        <f ca="1">IFERROR(IF(0=LEN(ReferenceData!$K$140),"",ReferenceData!$K$140),"")</f>
        <v>1262.596</v>
      </c>
      <c r="M140">
        <f ca="1">IFERROR(IF(0=LEN(ReferenceData!$J$140),"",ReferenceData!$J$140),"")</f>
        <v>1338.2249999999999</v>
      </c>
      <c r="N140">
        <f ca="1">IFERROR(IF(0=LEN(ReferenceData!$I$140),"",ReferenceData!$I$140),"")</f>
        <v>1422.2470000000001</v>
      </c>
      <c r="O140">
        <f ca="1">IFERROR(IF(0=LEN(ReferenceData!$H$140),"",ReferenceData!$H$140),"")</f>
        <v>1492.117</v>
      </c>
      <c r="P140">
        <f ca="1">IFERROR(IF(0=LEN(ReferenceData!$G$140),"",ReferenceData!$G$140),"")</f>
        <v>1596.145</v>
      </c>
      <c r="Q140">
        <f ca="1">IFERROR(IF(0=LEN(ReferenceData!$F$140),"",ReferenceData!$F$140),"")</f>
        <v>1647.482</v>
      </c>
    </row>
    <row r="141" spans="1:17" x14ac:dyDescent="0.25">
      <c r="A141" t="str">
        <f>IFERROR(IF(0=LEN(ReferenceData!$A$141),"",ReferenceData!$A$141),"")</f>
        <v xml:space="preserve">    Genpact Ltd</v>
      </c>
      <c r="B141" t="str">
        <f>IFERROR(IF(0=LEN(ReferenceData!$B$141),"",ReferenceData!$B$141),"")</f>
        <v>G US Equity</v>
      </c>
      <c r="C141" t="str">
        <f>IFERROR(IF(0=LEN(ReferenceData!$C$141),"",ReferenceData!$C$141),"")</f>
        <v>RR007</v>
      </c>
      <c r="D141" t="str">
        <f>IFERROR(IF(0=LEN(ReferenceData!$D$141),"",ReferenceData!$D$141),"")</f>
        <v>TOTAL_EQUITY</v>
      </c>
      <c r="E141" t="str">
        <f>IFERROR(IF(0=LEN(ReferenceData!$E$141),"",ReferenceData!$E$141),"")</f>
        <v>Dynamic</v>
      </c>
      <c r="F141">
        <f ca="1">IFERROR(IF(0=LEN(ReferenceData!$Q$141),"",ReferenceData!$Q$141),"")</f>
        <v>1263.0999999999999</v>
      </c>
      <c r="G141">
        <f ca="1">IFERROR(IF(0=LEN(ReferenceData!$P$141),"",ReferenceData!$P$141),"")</f>
        <v>1318.192</v>
      </c>
      <c r="H141">
        <f ca="1">IFERROR(IF(0=LEN(ReferenceData!$O$141),"",ReferenceData!$O$141),"")</f>
        <v>1428.7940000000001</v>
      </c>
      <c r="I141">
        <f ca="1">IFERROR(IF(0=LEN(ReferenceData!$N$141),"",ReferenceData!$N$141),"")</f>
        <v>1365.9970000000001</v>
      </c>
      <c r="J141">
        <f ca="1">IFERROR(IF(0=LEN(ReferenceData!$M$141),"",ReferenceData!$M$141),"")</f>
        <v>1296.425</v>
      </c>
      <c r="K141">
        <f ca="1">IFERROR(IF(0=LEN(ReferenceData!$L$141),"",ReferenceData!$L$141),"")</f>
        <v>1285.018</v>
      </c>
      <c r="L141">
        <f ca="1">IFERROR(IF(0=LEN(ReferenceData!$K$141),"",ReferenceData!$K$141),"")</f>
        <v>1404.182</v>
      </c>
      <c r="M141">
        <f ca="1">IFERROR(IF(0=LEN(ReferenceData!$J$141),"",ReferenceData!$J$141),"")</f>
        <v>1495.1690000000001</v>
      </c>
      <c r="N141">
        <f ca="1">IFERROR(IF(0=LEN(ReferenceData!$I$141),"",ReferenceData!$I$141),"")</f>
        <v>1583.37</v>
      </c>
      <c r="O141">
        <f ca="1">IFERROR(IF(0=LEN(ReferenceData!$H$141),"",ReferenceData!$H$141),"")</f>
        <v>1605.684</v>
      </c>
      <c r="P141">
        <f ca="1">IFERROR(IF(0=LEN(ReferenceData!$G$141),"",ReferenceData!$G$141),"")</f>
        <v>1689.171</v>
      </c>
      <c r="Q141">
        <f ca="1">IFERROR(IF(0=LEN(ReferenceData!$F$141),"",ReferenceData!$F$141),"")</f>
        <v>1573.079</v>
      </c>
    </row>
    <row r="142" spans="1:17" x14ac:dyDescent="0.25">
      <c r="A142" t="str">
        <f>IFERROR(IF(0=LEN(ReferenceData!$A$142),"",ReferenceData!$A$142),"")</f>
        <v xml:space="preserve">    HCL Technologies Ltd</v>
      </c>
      <c r="B142" t="str">
        <f>IFERROR(IF(0=LEN(ReferenceData!$B$142),"",ReferenceData!$B$142),"")</f>
        <v>HCLT IN Equity</v>
      </c>
      <c r="C142" t="str">
        <f>IFERROR(IF(0=LEN(ReferenceData!$C$142),"",ReferenceData!$C$142),"")</f>
        <v>RR007</v>
      </c>
      <c r="D142" t="str">
        <f>IFERROR(IF(0=LEN(ReferenceData!$D$142),"",ReferenceData!$D$142),"")</f>
        <v>TOTAL_EQUITY</v>
      </c>
      <c r="E142" t="str">
        <f>IFERROR(IF(0=LEN(ReferenceData!$E$142),"",ReferenceData!$E$142),"")</f>
        <v>Dynamic</v>
      </c>
      <c r="F142">
        <f ca="1">IFERROR(IF(0=LEN(ReferenceData!$Q$142),"",ReferenceData!$Q$142),"")</f>
        <v>5374.9</v>
      </c>
      <c r="G142">
        <f ca="1">IFERROR(IF(0=LEN(ReferenceData!$P$142),"",ReferenceData!$P$142),"")</f>
        <v>5056</v>
      </c>
      <c r="H142">
        <f ca="1">IFERROR(IF(0=LEN(ReferenceData!$O$142),"",ReferenceData!$O$142),"")</f>
        <v>5437.8</v>
      </c>
      <c r="I142">
        <f ca="1">IFERROR(IF(0=LEN(ReferenceData!$N$142),"",ReferenceData!$N$142),"")</f>
        <v>5585.8151669999997</v>
      </c>
      <c r="J142">
        <f ca="1">IFERROR(IF(0=LEN(ReferenceData!$M$142),"",ReferenceData!$M$142),"")</f>
        <v>5677.8</v>
      </c>
      <c r="K142">
        <f ca="1">IFERROR(IF(0=LEN(ReferenceData!$L$142),"",ReferenceData!$L$142),"")</f>
        <v>5774.5</v>
      </c>
      <c r="L142">
        <f ca="1">IFERROR(IF(0=LEN(ReferenceData!$K$142),"",ReferenceData!$K$142),"")</f>
        <v>5720.4</v>
      </c>
      <c r="M142">
        <f ca="1">IFERROR(IF(0=LEN(ReferenceData!$J$142),"",ReferenceData!$J$142),"")</f>
        <v>6109.1189999999997</v>
      </c>
      <c r="N142">
        <f ca="1">IFERROR(IF(0=LEN(ReferenceData!$I$142),"",ReferenceData!$I$142),"")</f>
        <v>6109.1</v>
      </c>
      <c r="O142">
        <f ca="1">IFERROR(IF(0=LEN(ReferenceData!$H$142),"",ReferenceData!$H$142),"")</f>
        <v>6563.7</v>
      </c>
      <c r="P142">
        <f ca="1">IFERROR(IF(0=LEN(ReferenceData!$G$142),"",ReferenceData!$G$142),"")</f>
        <v>6944</v>
      </c>
      <c r="Q142">
        <f ca="1">IFERROR(IF(0=LEN(ReferenceData!$F$142),"",ReferenceData!$F$142),"")</f>
        <v>6900.7160000000003</v>
      </c>
    </row>
    <row r="143" spans="1:17" x14ac:dyDescent="0.25">
      <c r="A143" t="str">
        <f>IFERROR(IF(0=LEN(ReferenceData!$A$143),"",ReferenceData!$A$143),"")</f>
        <v xml:space="preserve">    Indra Sistemas SA</v>
      </c>
      <c r="B143" t="str">
        <f>IFERROR(IF(0=LEN(ReferenceData!$B$143),"",ReferenceData!$B$143),"")</f>
        <v>IDR SM Equity</v>
      </c>
      <c r="C143" t="str">
        <f>IFERROR(IF(0=LEN(ReferenceData!$C$143),"",ReferenceData!$C$143),"")</f>
        <v>RR007</v>
      </c>
      <c r="D143" t="str">
        <f>IFERROR(IF(0=LEN(ReferenceData!$D$143),"",ReferenceData!$D$143),"")</f>
        <v>TOTAL_EQUITY</v>
      </c>
      <c r="E143" t="str">
        <f>IFERROR(IF(0=LEN(ReferenceData!$E$143),"",ReferenceData!$E$143),"")</f>
        <v>Dynamic</v>
      </c>
      <c r="F143">
        <f ca="1">IFERROR(IF(0=LEN(ReferenceData!$Q$143),"",ReferenceData!$Q$143),"")</f>
        <v>633.69312939999998</v>
      </c>
      <c r="G143">
        <f ca="1">IFERROR(IF(0=LEN(ReferenceData!$P$143),"",ReferenceData!$P$143),"")</f>
        <v>706.40954999999997</v>
      </c>
      <c r="H143">
        <f ca="1">IFERROR(IF(0=LEN(ReferenceData!$O$143),"",ReferenceData!$O$143),"")</f>
        <v>780.13763500000005</v>
      </c>
      <c r="I143">
        <f ca="1">IFERROR(IF(0=LEN(ReferenceData!$N$143),"",ReferenceData!$N$143),"")</f>
        <v>726.92318999999998</v>
      </c>
      <c r="J143">
        <f ca="1">IFERROR(IF(0=LEN(ReferenceData!$M$143),"",ReferenceData!$M$143),"")</f>
        <v>705.07944629999997</v>
      </c>
      <c r="K143">
        <f ca="1">IFERROR(IF(0=LEN(ReferenceData!$L$143),"",ReferenceData!$L$143),"")</f>
        <v>717.28063999999995</v>
      </c>
      <c r="L143">
        <f ca="1">IFERROR(IF(0=LEN(ReferenceData!$K$143),"",ReferenceData!$K$143),"")</f>
        <v>776.08715240000004</v>
      </c>
      <c r="M143">
        <f ca="1">IFERROR(IF(0=LEN(ReferenceData!$J$143),"",ReferenceData!$J$143),"")</f>
        <v>788.72409000000005</v>
      </c>
      <c r="N143">
        <f ca="1">IFERROR(IF(0=LEN(ReferenceData!$I$143),"",ReferenceData!$I$143),"")</f>
        <v>817.33457320000002</v>
      </c>
      <c r="O143">
        <f ca="1">IFERROR(IF(0=LEN(ReferenceData!$H$143),"",ReferenceData!$H$143),"")</f>
        <v>807.58520999999996</v>
      </c>
      <c r="P143">
        <f ca="1">IFERROR(IF(0=LEN(ReferenceData!$G$143),"",ReferenceData!$G$143),"")</f>
        <v>899.16554369999994</v>
      </c>
      <c r="Q143">
        <f ca="1">IFERROR(IF(0=LEN(ReferenceData!$F$143),"",ReferenceData!$F$143),"")</f>
        <v>848.38742999999999</v>
      </c>
    </row>
    <row r="144" spans="1:17" x14ac:dyDescent="0.25">
      <c r="A144" t="str">
        <f>IFERROR(IF(0=LEN(ReferenceData!$A$144),"",ReferenceData!$A$144),"")</f>
        <v xml:space="preserve">    Infosys Ltd</v>
      </c>
      <c r="B144" t="str">
        <f>IFERROR(IF(0=LEN(ReferenceData!$B$144),"",ReferenceData!$B$144),"")</f>
        <v>INFY US Equity</v>
      </c>
      <c r="C144" t="str">
        <f>IFERROR(IF(0=LEN(ReferenceData!$C$144),"",ReferenceData!$C$144),"")</f>
        <v>RR007</v>
      </c>
      <c r="D144" t="str">
        <f>IFERROR(IF(0=LEN(ReferenceData!$D$144),"",ReferenceData!$D$144),"")</f>
        <v>TOTAL_EQUITY</v>
      </c>
      <c r="E144" t="str">
        <f>IFERROR(IF(0=LEN(ReferenceData!$E$144),"",ReferenceData!$E$144),"")</f>
        <v>Dynamic</v>
      </c>
      <c r="F144">
        <f ca="1">IFERROR(IF(0=LEN(ReferenceData!$Q$144),"",ReferenceData!$Q$144),"")</f>
        <v>10602.61622</v>
      </c>
      <c r="G144">
        <f ca="1">IFERROR(IF(0=LEN(ReferenceData!$P$144),"",ReferenceData!$P$144),"")</f>
        <v>11074.215759999999</v>
      </c>
      <c r="H144">
        <f ca="1">IFERROR(IF(0=LEN(ReferenceData!$O$144),"",ReferenceData!$O$144),"")</f>
        <v>9549.3449639999999</v>
      </c>
      <c r="I144">
        <f ca="1">IFERROR(IF(0=LEN(ReferenceData!$N$144),"",ReferenceData!$N$144),"")</f>
        <v>9966.8406510000004</v>
      </c>
      <c r="J144">
        <f ca="1">IFERROR(IF(0=LEN(ReferenceData!$M$144),"",ReferenceData!$M$144),"")</f>
        <v>8862.5045640000008</v>
      </c>
      <c r="K144">
        <f ca="1">IFERROR(IF(0=LEN(ReferenceData!$L$144),"",ReferenceData!$L$144),"")</f>
        <v>8979.9378359999992</v>
      </c>
      <c r="L144">
        <f ca="1">IFERROR(IF(0=LEN(ReferenceData!$K$144),"",ReferenceData!$K$144),"")</f>
        <v>9332.3288850000008</v>
      </c>
      <c r="M144">
        <f ca="1">IFERROR(IF(0=LEN(ReferenceData!$J$144),"",ReferenceData!$J$144),"")</f>
        <v>9377.2223770000001</v>
      </c>
      <c r="N144">
        <f ca="1">IFERROR(IF(0=LEN(ReferenceData!$I$144),"",ReferenceData!$I$144),"")</f>
        <v>8248.7388809999993</v>
      </c>
      <c r="O144">
        <f ca="1">IFERROR(IF(0=LEN(ReferenceData!$H$144),"",ReferenceData!$H$144),"")</f>
        <v>8615.0123459999995</v>
      </c>
      <c r="P144">
        <f ca="1">IFERROR(IF(0=LEN(ReferenceData!$G$144),"",ReferenceData!$G$144),"")</f>
        <v>8596.9013470000009</v>
      </c>
      <c r="Q144">
        <f ca="1">IFERROR(IF(0=LEN(ReferenceData!$F$144),"",ReferenceData!$F$144),"")</f>
        <v>8735.6730530000004</v>
      </c>
    </row>
    <row r="145" spans="1:17" x14ac:dyDescent="0.25">
      <c r="A145" t="str">
        <f>IFERROR(IF(0=LEN(ReferenceData!$A$145),"",ReferenceData!$A$145),"")</f>
        <v xml:space="preserve">    International Business Machines Corp</v>
      </c>
      <c r="B145" t="str">
        <f>IFERROR(IF(0=LEN(ReferenceData!$B$145),"",ReferenceData!$B$145),"")</f>
        <v>IBM US Equity</v>
      </c>
      <c r="C145" t="str">
        <f>IFERROR(IF(0=LEN(ReferenceData!$C$145),"",ReferenceData!$C$145),"")</f>
        <v>RR007</v>
      </c>
      <c r="D145" t="str">
        <f>IFERROR(IF(0=LEN(ReferenceData!$D$145),"",ReferenceData!$D$145),"")</f>
        <v>TOTAL_EQUITY</v>
      </c>
      <c r="E145" t="str">
        <f>IFERROR(IF(0=LEN(ReferenceData!$E$145),"",ReferenceData!$E$145),"")</f>
        <v>Dynamic</v>
      </c>
      <c r="F145">
        <f ca="1">IFERROR(IF(0=LEN(ReferenceData!$Q$145),"",ReferenceData!$Q$145),"")</f>
        <v>18544</v>
      </c>
      <c r="G145">
        <f ca="1">IFERROR(IF(0=LEN(ReferenceData!$P$145),"",ReferenceData!$P$145),"")</f>
        <v>19757</v>
      </c>
      <c r="H145">
        <f ca="1">IFERROR(IF(0=LEN(ReferenceData!$O$145),"",ReferenceData!$O$145),"")</f>
        <v>17725</v>
      </c>
      <c r="I145">
        <f ca="1">IFERROR(IF(0=LEN(ReferenceData!$N$145),"",ReferenceData!$N$145),"")</f>
        <v>18290</v>
      </c>
      <c r="J145">
        <f ca="1">IFERROR(IF(0=LEN(ReferenceData!$M$145),"",ReferenceData!$M$145),"")</f>
        <v>18648</v>
      </c>
      <c r="K145">
        <f ca="1">IFERROR(IF(0=LEN(ReferenceData!$L$145),"",ReferenceData!$L$145),"")</f>
        <v>19919</v>
      </c>
      <c r="L145">
        <f ca="1">IFERROR(IF(0=LEN(ReferenceData!$K$145),"",ReferenceData!$K$145),"")</f>
        <v>16930</v>
      </c>
      <c r="M145">
        <f ca="1">IFERROR(IF(0=LEN(ReferenceData!$J$145),"",ReferenceData!$J$145),"")</f>
        <v>16606</v>
      </c>
      <c r="N145">
        <f ca="1">IFERROR(IF(0=LEN(ReferenceData!$I$145),"",ReferenceData!$I$145),"")</f>
        <v>17776</v>
      </c>
      <c r="O145">
        <f ca="1">IFERROR(IF(0=LEN(ReferenceData!$H$145),"",ReferenceData!$H$145),"")</f>
        <v>18096</v>
      </c>
      <c r="P145">
        <f ca="1">IFERROR(IF(0=LEN(ReferenceData!$G$145),"",ReferenceData!$G$145),"")</f>
        <v>20984</v>
      </c>
      <c r="Q145">
        <f ca="1">IFERROR(IF(0=LEN(ReferenceData!$F$145),"",ReferenceData!$F$145),"")</f>
        <v>20128</v>
      </c>
    </row>
    <row r="146" spans="1:17" x14ac:dyDescent="0.25">
      <c r="A146" t="str">
        <f>IFERROR(IF(0=LEN(ReferenceData!$A$146),"",ReferenceData!$A$146),"")</f>
        <v xml:space="preserve">    Tata Consultancy Services Ltd</v>
      </c>
      <c r="B146" t="str">
        <f>IFERROR(IF(0=LEN(ReferenceData!$B$146),"",ReferenceData!$B$146),"")</f>
        <v>TCS IN Equity</v>
      </c>
      <c r="C146" t="str">
        <f>IFERROR(IF(0=LEN(ReferenceData!$C$146),"",ReferenceData!$C$146),"")</f>
        <v>RR007</v>
      </c>
      <c r="D146" t="str">
        <f>IFERROR(IF(0=LEN(ReferenceData!$D$146),"",ReferenceData!$D$146),"")</f>
        <v>TOTAL_EQUITY</v>
      </c>
      <c r="E146" t="str">
        <f>IFERROR(IF(0=LEN(ReferenceData!$E$146),"",ReferenceData!$E$146),"")</f>
        <v>Dynamic</v>
      </c>
      <c r="F146">
        <f ca="1">IFERROR(IF(0=LEN(ReferenceData!$Q$146),"",ReferenceData!$Q$146),"")</f>
        <v>11246.071260000001</v>
      </c>
      <c r="G146">
        <f ca="1">IFERROR(IF(0=LEN(ReferenceData!$P$146),"",ReferenceData!$P$146),"")</f>
        <v>11862.28003</v>
      </c>
      <c r="H146">
        <f ca="1">IFERROR(IF(0=LEN(ReferenceData!$O$146),"",ReferenceData!$O$146),"")</f>
        <v>12834.624089999999</v>
      </c>
      <c r="I146">
        <f ca="1">IFERROR(IF(0=LEN(ReferenceData!$N$146),"",ReferenceData!$N$146),"")</f>
        <v>13454.55941</v>
      </c>
      <c r="J146">
        <f ca="1">IFERROR(IF(0=LEN(ReferenceData!$M$146),"",ReferenceData!$M$146),"")</f>
        <v>12878.71486</v>
      </c>
      <c r="K146">
        <f ca="1">IFERROR(IF(0=LEN(ReferenceData!$L$146),"",ReferenceData!$L$146),"")</f>
        <v>10845.69845</v>
      </c>
      <c r="L146">
        <f ca="1">IFERROR(IF(0=LEN(ReferenceData!$K$146),"",ReferenceData!$K$146),"")</f>
        <v>12304.7783</v>
      </c>
      <c r="M146">
        <f ca="1">IFERROR(IF(0=LEN(ReferenceData!$J$146),"",ReferenceData!$J$146),"")</f>
        <v>13272.44952</v>
      </c>
      <c r="N146">
        <f ca="1">IFERROR(IF(0=LEN(ReferenceData!$I$146),"",ReferenceData!$I$146),"")</f>
        <v>13338.3338</v>
      </c>
      <c r="O146">
        <f ca="1">IFERROR(IF(0=LEN(ReferenceData!$H$146),"",ReferenceData!$H$146),"")</f>
        <v>13820.30183</v>
      </c>
      <c r="P146">
        <f ca="1">IFERROR(IF(0=LEN(ReferenceData!$G$146),"",ReferenceData!$G$146),"")</f>
        <v>12038.975350000001</v>
      </c>
      <c r="Q146">
        <f ca="1">IFERROR(IF(0=LEN(ReferenceData!$F$146),"",ReferenceData!$F$146),"")</f>
        <v>11524.311530000001</v>
      </c>
    </row>
    <row r="147" spans="1:17" x14ac:dyDescent="0.25">
      <c r="A147" t="str">
        <f>IFERROR(IF(0=LEN(ReferenceData!$A$147),"",ReferenceData!$A$147),"")</f>
        <v xml:space="preserve">    Tech Mahindra Ltd</v>
      </c>
      <c r="B147" t="str">
        <f>IFERROR(IF(0=LEN(ReferenceData!$B$147),"",ReferenceData!$B$147),"")</f>
        <v>TECHM IN Equity</v>
      </c>
      <c r="C147" t="str">
        <f>IFERROR(IF(0=LEN(ReferenceData!$C$147),"",ReferenceData!$C$147),"")</f>
        <v>RR007</v>
      </c>
      <c r="D147" t="str">
        <f>IFERROR(IF(0=LEN(ReferenceData!$D$147),"",ReferenceData!$D$147),"")</f>
        <v>TOTAL_EQUITY</v>
      </c>
      <c r="E147" t="str">
        <f>IFERROR(IF(0=LEN(ReferenceData!$E$147),"",ReferenceData!$E$147),"")</f>
        <v>Dynamic</v>
      </c>
      <c r="F147">
        <f ca="1">IFERROR(IF(0=LEN(ReferenceData!$Q$147),"",ReferenceData!$Q$147),"")</f>
        <v>2758.0203620000002</v>
      </c>
      <c r="G147">
        <f ca="1">IFERROR(IF(0=LEN(ReferenceData!$P$147),"",ReferenceData!$P$147),"")</f>
        <v>2699.7658759999999</v>
      </c>
      <c r="H147">
        <f ca="1">IFERROR(IF(0=LEN(ReferenceData!$O$147),"",ReferenceData!$O$147),"")</f>
        <v>2844.4750709999998</v>
      </c>
      <c r="I147">
        <f ca="1">IFERROR(IF(0=LEN(ReferenceData!$N$147),"",ReferenceData!$N$147),"")</f>
        <v>2970.8167020000001</v>
      </c>
      <c r="J147">
        <f ca="1">IFERROR(IF(0=LEN(ReferenceData!$M$147),"",ReferenceData!$M$147),"")</f>
        <v>3026.0240960000001</v>
      </c>
      <c r="K147">
        <f ca="1">IFERROR(IF(0=LEN(ReferenceData!$L$147),"",ReferenceData!$L$147),"")</f>
        <v>2732.1773410000001</v>
      </c>
      <c r="L147">
        <f ca="1">IFERROR(IF(0=LEN(ReferenceData!$K$147),"",ReferenceData!$K$147),"")</f>
        <v>3057.2535509999998</v>
      </c>
      <c r="M147">
        <f ca="1">IFERROR(IF(0=LEN(ReferenceData!$J$147),"",ReferenceData!$J$147),"")</f>
        <v>2994.9670599999999</v>
      </c>
      <c r="N147">
        <f ca="1">IFERROR(IF(0=LEN(ReferenceData!$I$147),"",ReferenceData!$I$147),"")</f>
        <v>3142.7497830000002</v>
      </c>
      <c r="O147">
        <f ca="1">IFERROR(IF(0=LEN(ReferenceData!$H$147),"",ReferenceData!$H$147),"")</f>
        <v>3026.9287450000002</v>
      </c>
      <c r="P147">
        <f ca="1">IFERROR(IF(0=LEN(ReferenceData!$G$147),"",ReferenceData!$G$147),"")</f>
        <v>3160.611868</v>
      </c>
      <c r="Q147">
        <f ca="1">IFERROR(IF(0=LEN(ReferenceData!$F$147),"",ReferenceData!$F$147),"")</f>
        <v>2946.1700700000001</v>
      </c>
    </row>
    <row r="148" spans="1:17" x14ac:dyDescent="0.25">
      <c r="A148" t="str">
        <f>IFERROR(IF(0=LEN(ReferenceData!$A$148),"",ReferenceData!$A$148),"")</f>
        <v xml:space="preserve">    Wipro Ltd</v>
      </c>
      <c r="B148" t="str">
        <f>IFERROR(IF(0=LEN(ReferenceData!$B$148),"",ReferenceData!$B$148),"")</f>
        <v>WIT US Equity</v>
      </c>
      <c r="C148" t="str">
        <f>IFERROR(IF(0=LEN(ReferenceData!$C$148),"",ReferenceData!$C$148),"")</f>
        <v>RR007</v>
      </c>
      <c r="D148" t="str">
        <f>IFERROR(IF(0=LEN(ReferenceData!$D$148),"",ReferenceData!$D$148),"")</f>
        <v>TOTAL_EQUITY</v>
      </c>
      <c r="E148" t="str">
        <f>IFERROR(IF(0=LEN(ReferenceData!$E$148),"",ReferenceData!$E$148),"")</f>
        <v>Dynamic</v>
      </c>
      <c r="F148">
        <f ca="1">IFERROR(IF(0=LEN(ReferenceData!$Q$148),"",ReferenceData!$Q$148),"")</f>
        <v>8405.3828620000004</v>
      </c>
      <c r="G148">
        <f ca="1">IFERROR(IF(0=LEN(ReferenceData!$P$148),"",ReferenceData!$P$148),"")</f>
        <v>8644.1469010000001</v>
      </c>
      <c r="H148">
        <f ca="1">IFERROR(IF(0=LEN(ReferenceData!$O$148),"",ReferenceData!$O$148),"")</f>
        <v>7405.3859350000002</v>
      </c>
      <c r="I148">
        <f ca="1">IFERROR(IF(0=LEN(ReferenceData!$N$148),"",ReferenceData!$N$148),"")</f>
        <v>7450.8136320000003</v>
      </c>
      <c r="J148">
        <f ca="1">IFERROR(IF(0=LEN(ReferenceData!$M$148),"",ReferenceData!$M$148),"")</f>
        <v>7328.5870759999998</v>
      </c>
      <c r="K148">
        <f ca="1">IFERROR(IF(0=LEN(ReferenceData!$L$148),"",ReferenceData!$L$148),"")</f>
        <v>7213.1992639999999</v>
      </c>
      <c r="L148">
        <f ca="1">IFERROR(IF(0=LEN(ReferenceData!$K$148),"",ReferenceData!$K$148),"")</f>
        <v>7887.4874440000003</v>
      </c>
      <c r="M148">
        <f ca="1">IFERROR(IF(0=LEN(ReferenceData!$J$148),"",ReferenceData!$J$148),"")</f>
        <v>8233.2058629999992</v>
      </c>
      <c r="N148">
        <f ca="1">IFERROR(IF(0=LEN(ReferenceData!$I$148),"",ReferenceData!$I$148),"")</f>
        <v>8642.1266589999996</v>
      </c>
      <c r="O148">
        <f ca="1">IFERROR(IF(0=LEN(ReferenceData!$H$148),"",ReferenceData!$H$148),"")</f>
        <v>7306.0415890000004</v>
      </c>
      <c r="P148">
        <f ca="1">IFERROR(IF(0=LEN(ReferenceData!$G$148),"",ReferenceData!$G$148),"")</f>
        <v>7598.986304</v>
      </c>
      <c r="Q148">
        <f ca="1">IFERROR(IF(0=LEN(ReferenceData!$F$148),"",ReferenceData!$F$148),"")</f>
        <v>7420.797971</v>
      </c>
    </row>
    <row r="149" spans="1:17" x14ac:dyDescent="0.25">
      <c r="A149" t="str">
        <f>IFERROR(IF(0=LEN(ReferenceData!$A$149),"",ReferenceData!$A$149),"")</f>
        <v>Source: Company Filings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Heading</v>
      </c>
      <c r="F149" t="str">
        <f>IFERROR(IF(0=LEN(ReferenceData!$Q$149),"",ReferenceData!$Q$149),"")</f>
        <v/>
      </c>
      <c r="G149" t="str">
        <f>IFERROR(IF(0=LEN(ReferenceData!$P$149),"",ReferenceData!$P$149),"")</f>
        <v/>
      </c>
      <c r="H149" t="str">
        <f>IFERROR(IF(0=LEN(ReferenceData!$O$149),"",ReferenceData!$O$149),"")</f>
        <v/>
      </c>
      <c r="I149" t="str">
        <f>IFERROR(IF(0=LEN(ReferenceData!$N$149),"",ReferenceData!$N$149),"")</f>
        <v/>
      </c>
      <c r="J149" t="str">
        <f>IFERROR(IF(0=LEN(ReferenceData!$M$149),"",ReferenceData!$M$149),"")</f>
        <v/>
      </c>
      <c r="K149" t="str">
        <f>IFERROR(IF(0=LEN(ReferenceData!$L$149),"",ReferenceData!$L$149),"")</f>
        <v/>
      </c>
      <c r="L149" t="str">
        <f>IFERROR(IF(0=LEN(ReferenceData!$K$149),"",ReferenceData!$K$149),"")</f>
        <v/>
      </c>
      <c r="M149" t="str">
        <f>IFERROR(IF(0=LEN(ReferenceData!$J$149),"",ReferenceData!$J$149),"")</f>
        <v/>
      </c>
      <c r="N149" t="str">
        <f>IFERROR(IF(0=LEN(ReferenceData!$I$149),"",ReferenceData!$I$149),"")</f>
        <v/>
      </c>
      <c r="O149" t="str">
        <f>IFERROR(IF(0=LEN(ReferenceData!$H$149),"",ReferenceData!$H$149),"")</f>
        <v/>
      </c>
      <c r="P149" t="str">
        <f>IFERROR(IF(0=LEN(ReferenceData!$G$149),"",ReferenceData!$G$149),"")</f>
        <v/>
      </c>
      <c r="Q149" t="str">
        <f>IFERROR(IF(0=LEN(ReferenceData!$F$149),"",ReferenceData!$F$149),"")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D6B1-1D8A-421C-AE75-5C6651109AA4}">
  <dimension ref="A2:Q149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</row>
    <row r="3" spans="1:17" x14ac:dyDescent="0.25">
      <c r="A3" t="s">
        <v>45</v>
      </c>
      <c r="B3" t="s">
        <v>46</v>
      </c>
      <c r="C3" t="s">
        <v>46</v>
      </c>
      <c r="D3" t="s">
        <v>46</v>
      </c>
      <c r="E3" t="s">
        <v>47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</row>
    <row r="4" spans="1:17" x14ac:dyDescent="0.25">
      <c r="A4" t="s">
        <v>48</v>
      </c>
      <c r="B4" t="s">
        <v>49</v>
      </c>
      <c r="C4" t="s">
        <v>46</v>
      </c>
      <c r="D4" t="s">
        <v>46</v>
      </c>
      <c r="E4" t="s">
        <v>50</v>
      </c>
      <c r="F4">
        <v>44196.454791600001</v>
      </c>
      <c r="G4">
        <v>45158.117290999995</v>
      </c>
      <c r="H4">
        <v>44139.915891800003</v>
      </c>
      <c r="I4">
        <v>44248.887874700005</v>
      </c>
      <c r="J4">
        <v>42387.0882643</v>
      </c>
      <c r="K4">
        <v>45332.222559099995</v>
      </c>
      <c r="L4">
        <v>43413.318614999996</v>
      </c>
      <c r="M4">
        <v>50618.185729999997</v>
      </c>
      <c r="N4">
        <v>76948.2729272</v>
      </c>
      <c r="O4">
        <v>42078.284508199999</v>
      </c>
      <c r="P4">
        <v>42973.641259800002</v>
      </c>
      <c r="Q4">
        <v>44295.5007721</v>
      </c>
    </row>
    <row r="5" spans="1:17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>
        <v>3384.8470000000002</v>
      </c>
      <c r="G5">
        <v>4129.8710000000001</v>
      </c>
      <c r="H5">
        <v>3682.393</v>
      </c>
      <c r="I5">
        <v>3598.4969999999998</v>
      </c>
      <c r="J5">
        <v>3932.1060000000002</v>
      </c>
      <c r="K5">
        <v>5064.5519999999997</v>
      </c>
      <c r="L5">
        <v>4366.9059999999999</v>
      </c>
      <c r="M5">
        <v>4468</v>
      </c>
      <c r="N5">
        <v>4772.4960000000001</v>
      </c>
      <c r="O5">
        <v>6130.1660000000002</v>
      </c>
      <c r="P5">
        <v>5813.84</v>
      </c>
      <c r="Q5">
        <v>5440.0990000000002</v>
      </c>
    </row>
    <row r="6" spans="1:17" x14ac:dyDescent="0.25">
      <c r="A6" t="s">
        <v>56</v>
      </c>
      <c r="B6" t="s">
        <v>57</v>
      </c>
      <c r="C6" t="s">
        <v>53</v>
      </c>
      <c r="D6" t="s">
        <v>54</v>
      </c>
      <c r="E6" t="s">
        <v>55</v>
      </c>
      <c r="F6">
        <v>963.03899999999999</v>
      </c>
      <c r="G6">
        <v>979.60799999999995</v>
      </c>
      <c r="H6">
        <v>965.93799999999999</v>
      </c>
      <c r="I6">
        <v>666.84299999999996</v>
      </c>
      <c r="J6">
        <v>561.04100000000005</v>
      </c>
      <c r="K6">
        <v>519.21600000000001</v>
      </c>
      <c r="L6">
        <v>458.65</v>
      </c>
      <c r="M6">
        <v>449.69600000000003</v>
      </c>
      <c r="N6">
        <v>457.70699999999999</v>
      </c>
      <c r="O6">
        <v>471.63200000000001</v>
      </c>
      <c r="P6">
        <v>485.875</v>
      </c>
      <c r="Q6">
        <v>762.60199999999998</v>
      </c>
    </row>
    <row r="7" spans="1:17" x14ac:dyDescent="0.25">
      <c r="A7" t="s">
        <v>58</v>
      </c>
      <c r="B7" t="s">
        <v>59</v>
      </c>
      <c r="C7" t="s">
        <v>53</v>
      </c>
      <c r="D7" t="s">
        <v>54</v>
      </c>
      <c r="E7" t="s">
        <v>55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</row>
    <row r="8" spans="1:17" x14ac:dyDescent="0.25">
      <c r="A8" t="s">
        <v>60</v>
      </c>
      <c r="B8" t="s">
        <v>61</v>
      </c>
      <c r="C8" t="s">
        <v>53</v>
      </c>
      <c r="D8" t="s">
        <v>54</v>
      </c>
      <c r="E8" t="s">
        <v>55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>
        <v>3002.6345999999999</v>
      </c>
      <c r="Q8" t="s">
        <v>46</v>
      </c>
    </row>
    <row r="9" spans="1:17" x14ac:dyDescent="0.25">
      <c r="A9" t="s">
        <v>62</v>
      </c>
      <c r="B9" t="s">
        <v>63</v>
      </c>
      <c r="C9" t="s">
        <v>53</v>
      </c>
      <c r="D9" t="s">
        <v>54</v>
      </c>
      <c r="E9" t="s">
        <v>55</v>
      </c>
      <c r="F9">
        <v>233.18990070000001</v>
      </c>
      <c r="G9">
        <v>132.8676706</v>
      </c>
      <c r="H9">
        <v>190.7415981</v>
      </c>
      <c r="I9">
        <v>223.09411130000001</v>
      </c>
      <c r="J9">
        <v>130.16051730000001</v>
      </c>
      <c r="K9">
        <v>142.27606460000001</v>
      </c>
      <c r="L9">
        <v>298.10041100000001</v>
      </c>
      <c r="M9">
        <v>406.94097399999998</v>
      </c>
      <c r="N9">
        <v>171.96288089999999</v>
      </c>
      <c r="O9">
        <v>161.49157919999999</v>
      </c>
      <c r="P9">
        <v>164.18400370000001</v>
      </c>
      <c r="Q9">
        <v>213.2292401</v>
      </c>
    </row>
    <row r="10" spans="1:17" x14ac:dyDescent="0.25">
      <c r="A10" t="s">
        <v>64</v>
      </c>
      <c r="B10" t="s">
        <v>65</v>
      </c>
      <c r="C10" t="s">
        <v>53</v>
      </c>
      <c r="D10" t="s">
        <v>54</v>
      </c>
      <c r="E10" t="s">
        <v>55</v>
      </c>
      <c r="F10">
        <v>4378</v>
      </c>
      <c r="G10">
        <v>4713</v>
      </c>
      <c r="H10">
        <v>5056</v>
      </c>
      <c r="I10">
        <v>4830</v>
      </c>
      <c r="J10">
        <v>4247</v>
      </c>
      <c r="K10">
        <v>4763</v>
      </c>
      <c r="L10">
        <v>4511</v>
      </c>
      <c r="M10">
        <v>3668</v>
      </c>
      <c r="N10">
        <v>3003</v>
      </c>
      <c r="O10">
        <v>3077</v>
      </c>
      <c r="P10">
        <v>3424</v>
      </c>
      <c r="Q10">
        <v>4282</v>
      </c>
    </row>
    <row r="11" spans="1:17" x14ac:dyDescent="0.25">
      <c r="A11" t="s">
        <v>66</v>
      </c>
      <c r="B11" t="s">
        <v>67</v>
      </c>
      <c r="C11" t="s">
        <v>53</v>
      </c>
      <c r="D11" t="s">
        <v>54</v>
      </c>
      <c r="E11" t="s">
        <v>55</v>
      </c>
      <c r="F11">
        <v>309</v>
      </c>
      <c r="G11">
        <v>468</v>
      </c>
      <c r="H11">
        <v>658</v>
      </c>
      <c r="I11">
        <v>553</v>
      </c>
      <c r="J11">
        <v>993</v>
      </c>
      <c r="K11">
        <v>586</v>
      </c>
      <c r="L11">
        <v>756</v>
      </c>
      <c r="M11">
        <v>520</v>
      </c>
      <c r="N11">
        <v>276</v>
      </c>
      <c r="O11">
        <v>228</v>
      </c>
      <c r="P11">
        <v>496</v>
      </c>
      <c r="Q11">
        <v>395</v>
      </c>
    </row>
    <row r="12" spans="1:17" x14ac:dyDescent="0.25">
      <c r="A12" t="s">
        <v>68</v>
      </c>
      <c r="B12" t="s">
        <v>69</v>
      </c>
      <c r="C12" t="s">
        <v>53</v>
      </c>
      <c r="D12" t="s">
        <v>54</v>
      </c>
      <c r="E12" t="s">
        <v>55</v>
      </c>
      <c r="F12">
        <v>2517</v>
      </c>
      <c r="G12">
        <v>2671</v>
      </c>
      <c r="H12">
        <v>2926</v>
      </c>
      <c r="I12">
        <v>2593</v>
      </c>
      <c r="J12">
        <v>2579</v>
      </c>
      <c r="K12">
        <v>2780</v>
      </c>
      <c r="L12">
        <v>2475</v>
      </c>
      <c r="M12">
        <v>2899</v>
      </c>
      <c r="N12">
        <v>1868</v>
      </c>
      <c r="O12">
        <v>2880</v>
      </c>
      <c r="P12">
        <v>2560</v>
      </c>
      <c r="Q12">
        <v>3679</v>
      </c>
    </row>
    <row r="13" spans="1:17" x14ac:dyDescent="0.25">
      <c r="A13" t="s">
        <v>70</v>
      </c>
      <c r="B13" t="s">
        <v>71</v>
      </c>
      <c r="C13" t="s">
        <v>53</v>
      </c>
      <c r="D13" t="s">
        <v>54</v>
      </c>
      <c r="E13" t="s">
        <v>55</v>
      </c>
      <c r="F13">
        <v>443.50099999999998</v>
      </c>
      <c r="G13">
        <v>512.49300000000005</v>
      </c>
      <c r="H13">
        <v>582.58500000000004</v>
      </c>
      <c r="I13">
        <v>535.85699999999997</v>
      </c>
      <c r="J13">
        <v>584.08100000000002</v>
      </c>
      <c r="K13">
        <v>685.10799999999995</v>
      </c>
      <c r="L13">
        <v>770.56</v>
      </c>
      <c r="M13">
        <v>762.529</v>
      </c>
      <c r="N13">
        <v>777.36500000000001</v>
      </c>
      <c r="O13">
        <v>853.24099999999999</v>
      </c>
      <c r="P13">
        <v>936.55200000000002</v>
      </c>
      <c r="Q13">
        <v>916.25300000000004</v>
      </c>
    </row>
    <row r="14" spans="1:17" x14ac:dyDescent="0.25">
      <c r="A14" t="s">
        <v>72</v>
      </c>
      <c r="B14" t="s">
        <v>73</v>
      </c>
      <c r="C14" t="s">
        <v>53</v>
      </c>
      <c r="D14" t="s">
        <v>54</v>
      </c>
      <c r="E14" t="s">
        <v>55</v>
      </c>
      <c r="F14">
        <v>441.06400000000002</v>
      </c>
      <c r="G14">
        <v>440.05500000000001</v>
      </c>
      <c r="H14">
        <v>504.46800000000002</v>
      </c>
      <c r="I14">
        <v>424.226</v>
      </c>
      <c r="J14">
        <v>333.90300000000002</v>
      </c>
      <c r="K14">
        <v>401.23</v>
      </c>
      <c r="L14">
        <v>368.39600000000002</v>
      </c>
      <c r="M14">
        <v>325.37700000000001</v>
      </c>
      <c r="N14">
        <v>378.03</v>
      </c>
      <c r="O14">
        <v>456.87200000000001</v>
      </c>
      <c r="P14">
        <v>467.096</v>
      </c>
      <c r="Q14">
        <v>401.62400000000002</v>
      </c>
    </row>
    <row r="15" spans="1:17" x14ac:dyDescent="0.25">
      <c r="A15" t="s">
        <v>74</v>
      </c>
      <c r="B15" t="s">
        <v>75</v>
      </c>
      <c r="C15" t="s">
        <v>53</v>
      </c>
      <c r="D15" t="s">
        <v>54</v>
      </c>
      <c r="E15" t="s">
        <v>55</v>
      </c>
      <c r="F15">
        <v>1808.3</v>
      </c>
      <c r="G15">
        <v>1488.8</v>
      </c>
      <c r="H15">
        <v>1300.5999999999999</v>
      </c>
      <c r="I15">
        <v>977.89376730000004</v>
      </c>
      <c r="J15">
        <v>1457.2</v>
      </c>
      <c r="K15">
        <v>1318.6</v>
      </c>
      <c r="L15">
        <v>1360.9</v>
      </c>
      <c r="M15">
        <v>1648.1110000000001</v>
      </c>
      <c r="N15">
        <v>1648.2</v>
      </c>
      <c r="O15">
        <v>1096.9000000000001</v>
      </c>
      <c r="P15">
        <v>1673.6</v>
      </c>
      <c r="Q15">
        <v>2031.9079999999999</v>
      </c>
    </row>
    <row r="16" spans="1:17" x14ac:dyDescent="0.25">
      <c r="A16" t="s">
        <v>76</v>
      </c>
      <c r="B16" t="s">
        <v>77</v>
      </c>
      <c r="C16" t="s">
        <v>53</v>
      </c>
      <c r="D16" t="s">
        <v>54</v>
      </c>
      <c r="E16" t="s">
        <v>55</v>
      </c>
      <c r="F16">
        <v>614.93015739999998</v>
      </c>
      <c r="G16">
        <v>753.62154999999996</v>
      </c>
      <c r="H16">
        <v>842.15312200000005</v>
      </c>
      <c r="I16">
        <v>928.96271999999999</v>
      </c>
      <c r="J16">
        <v>1104.626685</v>
      </c>
      <c r="K16">
        <v>996.01664000000005</v>
      </c>
      <c r="L16">
        <v>1051.09319</v>
      </c>
      <c r="M16">
        <v>941.89074000000005</v>
      </c>
      <c r="N16">
        <v>841.57354329999998</v>
      </c>
      <c r="O16">
        <v>823.83068000000003</v>
      </c>
      <c r="P16">
        <v>959.52815610000005</v>
      </c>
      <c r="Q16">
        <v>899.73171000000002</v>
      </c>
    </row>
    <row r="17" spans="1:17" x14ac:dyDescent="0.25">
      <c r="A17" t="s">
        <v>78</v>
      </c>
      <c r="B17" t="s">
        <v>79</v>
      </c>
      <c r="C17" t="s">
        <v>53</v>
      </c>
      <c r="D17" t="s">
        <v>54</v>
      </c>
      <c r="E17" t="s">
        <v>55</v>
      </c>
      <c r="F17">
        <v>5184.9352909999998</v>
      </c>
      <c r="G17">
        <v>5426.3198160000002</v>
      </c>
      <c r="H17">
        <v>3616.5164479999999</v>
      </c>
      <c r="I17">
        <v>4025.9441200000001</v>
      </c>
      <c r="J17">
        <v>3414.6768889999998</v>
      </c>
      <c r="K17">
        <v>3505.3308430000002</v>
      </c>
      <c r="L17">
        <v>3769.12039</v>
      </c>
      <c r="M17">
        <v>3778.6718169999999</v>
      </c>
      <c r="N17">
        <v>3048.8822220000002</v>
      </c>
      <c r="O17">
        <v>2828.8417049999998</v>
      </c>
      <c r="P17">
        <v>2859.4093320000002</v>
      </c>
      <c r="Q17">
        <v>3091.7946179999999</v>
      </c>
    </row>
    <row r="18" spans="1:17" x14ac:dyDescent="0.25">
      <c r="A18" t="s">
        <v>80</v>
      </c>
      <c r="B18" t="s">
        <v>81</v>
      </c>
      <c r="C18" t="s">
        <v>53</v>
      </c>
      <c r="D18" t="s">
        <v>54</v>
      </c>
      <c r="E18" t="s">
        <v>55</v>
      </c>
      <c r="F18">
        <v>12295</v>
      </c>
      <c r="G18">
        <v>11515</v>
      </c>
      <c r="H18">
        <v>12580</v>
      </c>
      <c r="I18">
        <v>12842</v>
      </c>
      <c r="J18">
        <v>11707</v>
      </c>
      <c r="K18">
        <v>14495</v>
      </c>
      <c r="L18">
        <v>11997</v>
      </c>
      <c r="M18">
        <v>18006</v>
      </c>
      <c r="N18">
        <v>46273</v>
      </c>
      <c r="O18">
        <v>10820</v>
      </c>
      <c r="P18">
        <v>8868</v>
      </c>
      <c r="Q18">
        <v>11865</v>
      </c>
    </row>
    <row r="19" spans="1:17" x14ac:dyDescent="0.25">
      <c r="A19" t="s">
        <v>82</v>
      </c>
      <c r="B19" t="s">
        <v>83</v>
      </c>
      <c r="C19" t="s">
        <v>53</v>
      </c>
      <c r="D19" t="s">
        <v>54</v>
      </c>
      <c r="E19" t="s">
        <v>55</v>
      </c>
      <c r="F19">
        <v>4935.321782</v>
      </c>
      <c r="G19">
        <v>5132.0581480000001</v>
      </c>
      <c r="H19">
        <v>5752.5665019999997</v>
      </c>
      <c r="I19">
        <v>6546.8222290000003</v>
      </c>
      <c r="J19">
        <v>5601.6064260000003</v>
      </c>
      <c r="K19">
        <v>4669.6393500000004</v>
      </c>
      <c r="L19">
        <v>5176.9263879999999</v>
      </c>
      <c r="M19">
        <v>6021.4963799999996</v>
      </c>
      <c r="N19">
        <v>6155.2166139999999</v>
      </c>
      <c r="O19">
        <v>6573.2256950000001</v>
      </c>
      <c r="P19">
        <v>5187.5408040000002</v>
      </c>
      <c r="Q19">
        <v>4721.9388200000003</v>
      </c>
    </row>
    <row r="20" spans="1:17" x14ac:dyDescent="0.25">
      <c r="A20" t="s">
        <v>84</v>
      </c>
      <c r="B20" t="s">
        <v>85</v>
      </c>
      <c r="C20" t="s">
        <v>53</v>
      </c>
      <c r="D20" t="s">
        <v>54</v>
      </c>
      <c r="E20" t="s">
        <v>55</v>
      </c>
      <c r="F20">
        <v>931.04446150000001</v>
      </c>
      <c r="G20">
        <v>912.20964040000001</v>
      </c>
      <c r="H20">
        <v>950.37704670000005</v>
      </c>
      <c r="I20">
        <v>989.1003991</v>
      </c>
      <c r="J20">
        <v>1047.7984670000001</v>
      </c>
      <c r="K20">
        <v>876.47743949999995</v>
      </c>
      <c r="L20">
        <v>961.51528199999996</v>
      </c>
      <c r="M20">
        <v>1251.801342</v>
      </c>
      <c r="N20">
        <v>1128.978672</v>
      </c>
      <c r="O20">
        <v>1061.76019</v>
      </c>
      <c r="P20">
        <v>1148.8041330000001</v>
      </c>
      <c r="Q20">
        <v>1162.2887029999999</v>
      </c>
    </row>
    <row r="21" spans="1:17" x14ac:dyDescent="0.25">
      <c r="A21" t="s">
        <v>86</v>
      </c>
      <c r="B21" t="s">
        <v>87</v>
      </c>
      <c r="C21" t="s">
        <v>53</v>
      </c>
      <c r="D21" t="s">
        <v>54</v>
      </c>
      <c r="E21" t="s">
        <v>55</v>
      </c>
      <c r="F21">
        <v>5757.2821990000002</v>
      </c>
      <c r="G21">
        <v>5883.2134660000002</v>
      </c>
      <c r="H21">
        <v>4531.5771750000004</v>
      </c>
      <c r="I21">
        <v>4513.6475280000004</v>
      </c>
      <c r="J21">
        <v>4693.8882800000001</v>
      </c>
      <c r="K21">
        <v>4529.7762220000004</v>
      </c>
      <c r="L21">
        <v>5092.1509539999997</v>
      </c>
      <c r="M21">
        <v>5470.6714769999999</v>
      </c>
      <c r="N21">
        <v>6147.860995</v>
      </c>
      <c r="O21">
        <v>4615.3236589999997</v>
      </c>
      <c r="P21">
        <v>4926.5772310000002</v>
      </c>
      <c r="Q21">
        <v>4433.0316810000004</v>
      </c>
    </row>
    <row r="22" spans="1:17" x14ac:dyDescent="0.25">
      <c r="A22" t="s">
        <v>88</v>
      </c>
      <c r="B22" t="s">
        <v>46</v>
      </c>
      <c r="C22" t="s">
        <v>46</v>
      </c>
      <c r="D22" t="s">
        <v>46</v>
      </c>
      <c r="E22" t="s">
        <v>50</v>
      </c>
      <c r="F22">
        <v>53600.0539307</v>
      </c>
      <c r="G22">
        <v>54363.704775700004</v>
      </c>
      <c r="H22">
        <v>59361.469650999999</v>
      </c>
      <c r="I22">
        <v>52937.842565400002</v>
      </c>
      <c r="J22">
        <v>54362.891580900003</v>
      </c>
      <c r="K22">
        <v>52886.319763300009</v>
      </c>
      <c r="L22">
        <v>61385.236367000005</v>
      </c>
      <c r="M22">
        <v>55365.718109999994</v>
      </c>
      <c r="N22">
        <v>55494.539212800002</v>
      </c>
      <c r="O22">
        <v>49534.368897599998</v>
      </c>
      <c r="P22">
        <v>57321.641279999989</v>
      </c>
      <c r="Q22">
        <v>47597.111195999998</v>
      </c>
    </row>
    <row r="23" spans="1:17" x14ac:dyDescent="0.25">
      <c r="A23" t="s">
        <v>51</v>
      </c>
      <c r="B23" t="s">
        <v>52</v>
      </c>
      <c r="C23" t="s">
        <v>89</v>
      </c>
      <c r="D23" t="s">
        <v>90</v>
      </c>
      <c r="E23" t="s">
        <v>55</v>
      </c>
      <c r="F23">
        <v>4474.415</v>
      </c>
      <c r="G23">
        <v>4569.2139999999999</v>
      </c>
      <c r="H23">
        <v>4981.0839999999998</v>
      </c>
      <c r="I23">
        <v>5030.6980000000003</v>
      </c>
      <c r="J23">
        <v>4986.652</v>
      </c>
      <c r="K23">
        <v>4996.4539999999997</v>
      </c>
      <c r="L23">
        <v>8023.0569999999998</v>
      </c>
      <c r="M23">
        <v>8151.4110000000001</v>
      </c>
      <c r="N23">
        <v>8134.1469999999999</v>
      </c>
      <c r="O23">
        <v>8095.0709999999999</v>
      </c>
      <c r="P23">
        <v>8577.3860000000004</v>
      </c>
      <c r="Q23">
        <v>8517.9490000000005</v>
      </c>
    </row>
    <row r="24" spans="1:17" x14ac:dyDescent="0.25">
      <c r="A24" t="s">
        <v>56</v>
      </c>
      <c r="B24" t="s">
        <v>57</v>
      </c>
      <c r="C24" t="s">
        <v>89</v>
      </c>
      <c r="D24" t="s">
        <v>90</v>
      </c>
      <c r="E24" t="s">
        <v>55</v>
      </c>
      <c r="F24">
        <v>718.48800000000006</v>
      </c>
      <c r="G24">
        <v>635.37300000000005</v>
      </c>
      <c r="H24">
        <v>681.63300000000004</v>
      </c>
      <c r="I24">
        <v>722.90200000000004</v>
      </c>
      <c r="J24">
        <v>733.27499999999998</v>
      </c>
      <c r="K24">
        <v>707.505</v>
      </c>
      <c r="L24">
        <v>1008.748</v>
      </c>
      <c r="M24">
        <v>764.928</v>
      </c>
      <c r="N24">
        <v>952.89099999999996</v>
      </c>
      <c r="O24">
        <v>987.85799999999995</v>
      </c>
      <c r="P24">
        <v>1002.264</v>
      </c>
      <c r="Q24">
        <v>755.39300000000003</v>
      </c>
    </row>
    <row r="25" spans="1:17" x14ac:dyDescent="0.25">
      <c r="A25" t="s">
        <v>58</v>
      </c>
      <c r="B25" t="s">
        <v>59</v>
      </c>
      <c r="C25" t="s">
        <v>89</v>
      </c>
      <c r="D25" t="s">
        <v>90</v>
      </c>
      <c r="E25" t="s">
        <v>55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</row>
    <row r="26" spans="1:17" x14ac:dyDescent="0.25">
      <c r="A26" t="s">
        <v>60</v>
      </c>
      <c r="B26" t="s">
        <v>61</v>
      </c>
      <c r="C26" t="s">
        <v>89</v>
      </c>
      <c r="D26" t="s">
        <v>90</v>
      </c>
      <c r="E26" t="s">
        <v>55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>
        <v>2381.6709000000001</v>
      </c>
      <c r="Q26" t="s">
        <v>46</v>
      </c>
    </row>
    <row r="27" spans="1:17" x14ac:dyDescent="0.25">
      <c r="A27" t="s">
        <v>62</v>
      </c>
      <c r="B27" t="s">
        <v>63</v>
      </c>
      <c r="C27" t="s">
        <v>89</v>
      </c>
      <c r="D27" t="s">
        <v>90</v>
      </c>
      <c r="E27" t="s">
        <v>55</v>
      </c>
      <c r="F27">
        <v>971.27318909999997</v>
      </c>
      <c r="G27">
        <v>746.17910930000005</v>
      </c>
      <c r="H27">
        <v>1146.1818470000001</v>
      </c>
      <c r="I27">
        <v>1040.626115</v>
      </c>
      <c r="J27" t="s">
        <v>46</v>
      </c>
      <c r="K27">
        <v>870.83391300000005</v>
      </c>
      <c r="L27">
        <v>1118.5298</v>
      </c>
      <c r="M27">
        <v>1093.7876859999999</v>
      </c>
      <c r="N27">
        <v>1129.4730010000001</v>
      </c>
      <c r="O27">
        <v>739.91994560000001</v>
      </c>
      <c r="P27">
        <v>1201.526429</v>
      </c>
      <c r="Q27">
        <v>1050.296771</v>
      </c>
    </row>
    <row r="28" spans="1:17" x14ac:dyDescent="0.25">
      <c r="A28" t="s">
        <v>64</v>
      </c>
      <c r="B28" t="s">
        <v>65</v>
      </c>
      <c r="C28" t="s">
        <v>89</v>
      </c>
      <c r="D28" t="s">
        <v>90</v>
      </c>
      <c r="E28" t="s">
        <v>55</v>
      </c>
      <c r="F28">
        <v>2680</v>
      </c>
      <c r="G28">
        <v>2889</v>
      </c>
      <c r="H28">
        <v>2865</v>
      </c>
      <c r="I28">
        <v>3145</v>
      </c>
      <c r="J28">
        <v>3204</v>
      </c>
      <c r="K28">
        <v>3187</v>
      </c>
      <c r="L28">
        <v>3190</v>
      </c>
      <c r="M28">
        <v>3377</v>
      </c>
      <c r="N28">
        <v>3386</v>
      </c>
      <c r="O28">
        <v>3438</v>
      </c>
      <c r="P28">
        <v>3256</v>
      </c>
      <c r="Q28">
        <v>3220</v>
      </c>
    </row>
    <row r="29" spans="1:17" x14ac:dyDescent="0.25">
      <c r="A29" t="s">
        <v>66</v>
      </c>
      <c r="B29" t="s">
        <v>67</v>
      </c>
      <c r="C29" t="s">
        <v>89</v>
      </c>
      <c r="D29" t="s">
        <v>90</v>
      </c>
      <c r="E29" t="s">
        <v>55</v>
      </c>
      <c r="F29">
        <v>1413</v>
      </c>
      <c r="G29">
        <v>1411</v>
      </c>
      <c r="H29">
        <v>1115</v>
      </c>
      <c r="I29">
        <v>1026</v>
      </c>
      <c r="J29">
        <v>930</v>
      </c>
      <c r="K29">
        <v>951</v>
      </c>
      <c r="L29">
        <v>782</v>
      </c>
      <c r="M29">
        <v>820</v>
      </c>
      <c r="N29">
        <v>824</v>
      </c>
      <c r="O29">
        <v>840</v>
      </c>
      <c r="P29">
        <v>652</v>
      </c>
      <c r="Q29">
        <v>690</v>
      </c>
    </row>
    <row r="30" spans="1:17" x14ac:dyDescent="0.25">
      <c r="A30" t="s">
        <v>68</v>
      </c>
      <c r="B30" t="s">
        <v>69</v>
      </c>
      <c r="C30" t="s">
        <v>89</v>
      </c>
      <c r="D30" t="s">
        <v>90</v>
      </c>
      <c r="E30" t="s">
        <v>55</v>
      </c>
      <c r="F30">
        <v>5776</v>
      </c>
      <c r="G30">
        <v>5676</v>
      </c>
      <c r="H30">
        <v>5611</v>
      </c>
      <c r="I30">
        <v>3110</v>
      </c>
      <c r="J30">
        <v>5271</v>
      </c>
      <c r="K30">
        <v>4928</v>
      </c>
      <c r="L30">
        <v>5096</v>
      </c>
      <c r="M30">
        <v>2508</v>
      </c>
      <c r="N30">
        <v>5234</v>
      </c>
      <c r="O30">
        <v>4611</v>
      </c>
      <c r="P30">
        <v>4619</v>
      </c>
      <c r="Q30">
        <v>2094</v>
      </c>
    </row>
    <row r="31" spans="1:17" x14ac:dyDescent="0.25">
      <c r="A31" t="s">
        <v>70</v>
      </c>
      <c r="B31" t="s">
        <v>71</v>
      </c>
      <c r="C31" t="s">
        <v>89</v>
      </c>
      <c r="D31" t="s">
        <v>90</v>
      </c>
      <c r="E31" t="s">
        <v>55</v>
      </c>
      <c r="F31">
        <v>208.273</v>
      </c>
      <c r="G31">
        <v>230.119</v>
      </c>
      <c r="H31">
        <v>265.63900000000001</v>
      </c>
      <c r="I31">
        <v>262.29500000000002</v>
      </c>
      <c r="J31">
        <v>283.00099999999998</v>
      </c>
      <c r="K31">
        <v>282.27600000000001</v>
      </c>
      <c r="L31">
        <v>297.685</v>
      </c>
      <c r="M31">
        <v>307.202</v>
      </c>
      <c r="N31">
        <v>343.86399999999998</v>
      </c>
      <c r="O31">
        <v>339.11200000000002</v>
      </c>
      <c r="P31">
        <v>497.71600000000001</v>
      </c>
      <c r="Q31">
        <v>542.69799999999998</v>
      </c>
    </row>
    <row r="32" spans="1:17" x14ac:dyDescent="0.25">
      <c r="A32" t="s">
        <v>72</v>
      </c>
      <c r="B32" t="s">
        <v>73</v>
      </c>
      <c r="C32" t="s">
        <v>89</v>
      </c>
      <c r="D32" t="s">
        <v>90</v>
      </c>
      <c r="E32" t="s">
        <v>55</v>
      </c>
      <c r="F32">
        <v>637.61300000000006</v>
      </c>
      <c r="G32">
        <v>670.69200000000001</v>
      </c>
      <c r="H32">
        <v>693.08500000000004</v>
      </c>
      <c r="I32">
        <v>703.06600000000003</v>
      </c>
      <c r="J32">
        <v>691.34699999999998</v>
      </c>
      <c r="K32">
        <v>710.04499999999996</v>
      </c>
      <c r="L32">
        <v>774.18399999999997</v>
      </c>
      <c r="M32">
        <v>838.99199999999996</v>
      </c>
      <c r="N32">
        <v>856.60199999999998</v>
      </c>
      <c r="O32">
        <v>863.23199999999997</v>
      </c>
      <c r="P32">
        <v>914.255</v>
      </c>
      <c r="Q32">
        <v>910.95500000000004</v>
      </c>
    </row>
    <row r="33" spans="1:17" x14ac:dyDescent="0.25">
      <c r="A33" t="s">
        <v>74</v>
      </c>
      <c r="B33" t="s">
        <v>75</v>
      </c>
      <c r="C33" t="s">
        <v>89</v>
      </c>
      <c r="D33" t="s">
        <v>90</v>
      </c>
      <c r="E33" t="s">
        <v>55</v>
      </c>
      <c r="F33">
        <v>1321.4</v>
      </c>
      <c r="G33">
        <v>1362.5</v>
      </c>
      <c r="H33">
        <v>1463.1</v>
      </c>
      <c r="I33">
        <v>1479.7359530000001</v>
      </c>
      <c r="J33">
        <v>1504.9</v>
      </c>
      <c r="K33">
        <v>1494.3</v>
      </c>
      <c r="L33">
        <v>1601.3</v>
      </c>
      <c r="M33">
        <v>1693.5129999999999</v>
      </c>
      <c r="N33">
        <v>1693.5</v>
      </c>
      <c r="O33">
        <v>1944.8</v>
      </c>
      <c r="P33">
        <v>1859.2</v>
      </c>
      <c r="Q33">
        <v>1867.9970000000001</v>
      </c>
    </row>
    <row r="34" spans="1:17" x14ac:dyDescent="0.25">
      <c r="A34" t="s">
        <v>76</v>
      </c>
      <c r="B34" t="s">
        <v>77</v>
      </c>
      <c r="C34" t="s">
        <v>89</v>
      </c>
      <c r="D34" t="s">
        <v>90</v>
      </c>
      <c r="E34" t="s">
        <v>55</v>
      </c>
      <c r="F34">
        <v>1564.657246</v>
      </c>
      <c r="G34">
        <v>1661.5083099999999</v>
      </c>
      <c r="H34">
        <v>1460.0129919999999</v>
      </c>
      <c r="I34" t="s">
        <v>46</v>
      </c>
      <c r="J34">
        <v>1133.1419189999999</v>
      </c>
      <c r="K34" t="s">
        <v>46</v>
      </c>
      <c r="L34">
        <v>1095.830428</v>
      </c>
      <c r="M34" t="s">
        <v>46</v>
      </c>
      <c r="N34">
        <v>1259.2257990000001</v>
      </c>
      <c r="O34" t="s">
        <v>46</v>
      </c>
      <c r="P34">
        <v>1151.5036319999999</v>
      </c>
      <c r="Q34" t="s">
        <v>46</v>
      </c>
    </row>
    <row r="35" spans="1:17" x14ac:dyDescent="0.25">
      <c r="A35" t="s">
        <v>78</v>
      </c>
      <c r="B35" t="s">
        <v>79</v>
      </c>
      <c r="C35" t="s">
        <v>89</v>
      </c>
      <c r="D35" t="s">
        <v>90</v>
      </c>
      <c r="E35" t="s">
        <v>55</v>
      </c>
      <c r="F35">
        <v>1932.53162</v>
      </c>
      <c r="G35">
        <v>2054.0168319999998</v>
      </c>
      <c r="H35">
        <v>2058.369811</v>
      </c>
      <c r="I35">
        <v>2017.5007680000001</v>
      </c>
      <c r="J35">
        <v>2000.584155</v>
      </c>
      <c r="K35">
        <v>2037.3675900000001</v>
      </c>
      <c r="L35">
        <v>2132.443679</v>
      </c>
      <c r="M35">
        <v>2138.8191270000002</v>
      </c>
      <c r="N35">
        <v>2292.7188080000001</v>
      </c>
      <c r="O35">
        <v>2271.8750220000002</v>
      </c>
      <c r="P35">
        <v>2534.9423299999999</v>
      </c>
      <c r="Q35">
        <v>2452.7122859999999</v>
      </c>
    </row>
    <row r="36" spans="1:17" x14ac:dyDescent="0.25">
      <c r="A36" t="s">
        <v>80</v>
      </c>
      <c r="B36" t="s">
        <v>81</v>
      </c>
      <c r="C36" t="s">
        <v>89</v>
      </c>
      <c r="D36" t="s">
        <v>90</v>
      </c>
      <c r="E36" t="s">
        <v>55</v>
      </c>
      <c r="F36">
        <v>25964</v>
      </c>
      <c r="G36">
        <v>26200</v>
      </c>
      <c r="H36">
        <v>30649</v>
      </c>
      <c r="I36">
        <v>28023</v>
      </c>
      <c r="J36">
        <v>27251</v>
      </c>
      <c r="K36">
        <v>26320</v>
      </c>
      <c r="L36">
        <v>29820</v>
      </c>
      <c r="M36">
        <v>27274</v>
      </c>
      <c r="N36">
        <v>22957</v>
      </c>
      <c r="O36">
        <v>19083</v>
      </c>
      <c r="P36">
        <v>22062</v>
      </c>
      <c r="Q36">
        <v>19053</v>
      </c>
    </row>
    <row r="37" spans="1:17" x14ac:dyDescent="0.25">
      <c r="A37" t="s">
        <v>82</v>
      </c>
      <c r="B37" t="s">
        <v>83</v>
      </c>
      <c r="C37" t="s">
        <v>89</v>
      </c>
      <c r="D37" t="s">
        <v>90</v>
      </c>
      <c r="E37" t="s">
        <v>55</v>
      </c>
      <c r="F37">
        <v>3512.0760009999999</v>
      </c>
      <c r="G37">
        <v>3786.2280030000002</v>
      </c>
      <c r="H37">
        <v>3796.9350760000002</v>
      </c>
      <c r="I37">
        <v>3829.1372430000001</v>
      </c>
      <c r="J37">
        <v>3977.5100400000001</v>
      </c>
      <c r="K37">
        <v>3944.0657759999999</v>
      </c>
      <c r="L37">
        <v>3914.0479270000001</v>
      </c>
      <c r="M37">
        <v>3944.7054600000001</v>
      </c>
      <c r="N37">
        <v>4070.2541390000001</v>
      </c>
      <c r="O37">
        <v>3913.0588590000002</v>
      </c>
      <c r="P37">
        <v>4090.306004</v>
      </c>
      <c r="Q37">
        <v>4050.7497969999999</v>
      </c>
    </row>
    <row r="38" spans="1:17" x14ac:dyDescent="0.25">
      <c r="A38" t="s">
        <v>84</v>
      </c>
      <c r="B38" t="s">
        <v>85</v>
      </c>
      <c r="C38" t="s">
        <v>89</v>
      </c>
      <c r="D38" t="s">
        <v>90</v>
      </c>
      <c r="E38" t="s">
        <v>55</v>
      </c>
      <c r="F38">
        <v>910.47804159999998</v>
      </c>
      <c r="G38">
        <v>943.3817904</v>
      </c>
      <c r="H38">
        <v>1009.2950049999999</v>
      </c>
      <c r="I38">
        <v>997.52840040000001</v>
      </c>
      <c r="J38">
        <v>971.02592189999996</v>
      </c>
      <c r="K38">
        <v>991.13570730000004</v>
      </c>
      <c r="L38">
        <v>1095.8530639999999</v>
      </c>
      <c r="M38">
        <v>1003.789491</v>
      </c>
      <c r="N38">
        <v>970.70954879999999</v>
      </c>
      <c r="O38">
        <v>1036.6615959999999</v>
      </c>
      <c r="P38">
        <v>1109.126775</v>
      </c>
      <c r="Q38">
        <v>1005.280051</v>
      </c>
    </row>
    <row r="39" spans="1:17" x14ac:dyDescent="0.25">
      <c r="A39" t="s">
        <v>86</v>
      </c>
      <c r="B39" t="s">
        <v>87</v>
      </c>
      <c r="C39" t="s">
        <v>89</v>
      </c>
      <c r="D39" t="s">
        <v>90</v>
      </c>
      <c r="E39" t="s">
        <v>55</v>
      </c>
      <c r="F39">
        <v>1515.848833</v>
      </c>
      <c r="G39">
        <v>1528.492731</v>
      </c>
      <c r="H39">
        <v>1566.13392</v>
      </c>
      <c r="I39">
        <v>1550.3530860000001</v>
      </c>
      <c r="J39">
        <v>1425.4545450000001</v>
      </c>
      <c r="K39">
        <v>1466.336777</v>
      </c>
      <c r="L39">
        <v>1435.5574690000001</v>
      </c>
      <c r="M39">
        <v>1449.570346</v>
      </c>
      <c r="N39">
        <v>1390.1539170000001</v>
      </c>
      <c r="O39">
        <v>1370.780475</v>
      </c>
      <c r="P39">
        <v>1412.7442100000001</v>
      </c>
      <c r="Q39">
        <v>1386.080291</v>
      </c>
    </row>
    <row r="40" spans="1:17" x14ac:dyDescent="0.25">
      <c r="A40" t="s">
        <v>91</v>
      </c>
      <c r="B40" t="s">
        <v>46</v>
      </c>
      <c r="C40" t="s">
        <v>46</v>
      </c>
      <c r="D40" t="s">
        <v>46</v>
      </c>
      <c r="E40" t="s">
        <v>50</v>
      </c>
      <c r="F40">
        <v>269052.587895</v>
      </c>
      <c r="G40">
        <v>275351.11047699995</v>
      </c>
      <c r="H40">
        <v>279963.96967000002</v>
      </c>
      <c r="I40">
        <v>282110.84757400001</v>
      </c>
      <c r="J40">
        <v>271338.69743500004</v>
      </c>
      <c r="K40">
        <v>270604.81465700001</v>
      </c>
      <c r="L40">
        <v>277911.04018100002</v>
      </c>
      <c r="M40">
        <v>290259.77423599997</v>
      </c>
      <c r="N40">
        <v>318500.58312899998</v>
      </c>
      <c r="O40">
        <v>312302.02705599996</v>
      </c>
      <c r="P40">
        <v>340056.02054499998</v>
      </c>
      <c r="Q40">
        <v>317716.76662800001</v>
      </c>
    </row>
    <row r="41" spans="1:17" x14ac:dyDescent="0.25">
      <c r="A41" t="s">
        <v>51</v>
      </c>
      <c r="B41" t="s">
        <v>52</v>
      </c>
      <c r="C41" t="s">
        <v>92</v>
      </c>
      <c r="D41" t="s">
        <v>93</v>
      </c>
      <c r="E41" t="s">
        <v>55</v>
      </c>
      <c r="F41">
        <v>21135.592000000001</v>
      </c>
      <c r="G41">
        <v>22689.89</v>
      </c>
      <c r="H41">
        <v>22974.152999999998</v>
      </c>
      <c r="I41">
        <v>23132.978999999999</v>
      </c>
      <c r="J41">
        <v>23250.793000000001</v>
      </c>
      <c r="K41">
        <v>24449.082999999999</v>
      </c>
      <c r="L41">
        <v>26706.412</v>
      </c>
      <c r="M41">
        <v>27390.207999999999</v>
      </c>
      <c r="N41">
        <v>28156.36</v>
      </c>
      <c r="O41">
        <v>29789.88</v>
      </c>
      <c r="P41">
        <v>33170.712</v>
      </c>
      <c r="Q41">
        <v>33503.43</v>
      </c>
    </row>
    <row r="42" spans="1:17" x14ac:dyDescent="0.25">
      <c r="A42" t="s">
        <v>56</v>
      </c>
      <c r="B42" t="s">
        <v>57</v>
      </c>
      <c r="C42" t="s">
        <v>92</v>
      </c>
      <c r="D42" t="s">
        <v>93</v>
      </c>
      <c r="E42" t="s">
        <v>55</v>
      </c>
      <c r="F42">
        <v>5293.6170000000002</v>
      </c>
      <c r="G42">
        <v>5279.38</v>
      </c>
      <c r="H42">
        <v>5401.8689999999997</v>
      </c>
      <c r="I42">
        <v>5578.991</v>
      </c>
      <c r="J42">
        <v>5443.4679999999998</v>
      </c>
      <c r="K42">
        <v>5347.8149999999996</v>
      </c>
      <c r="L42">
        <v>5296.0290000000005</v>
      </c>
      <c r="M42">
        <v>5233.7139999999999</v>
      </c>
      <c r="N42">
        <v>5234.6189999999997</v>
      </c>
      <c r="O42">
        <v>5292.826</v>
      </c>
      <c r="P42">
        <v>5632.2749999999996</v>
      </c>
      <c r="Q42">
        <v>5905.5780000000004</v>
      </c>
    </row>
    <row r="43" spans="1:17" x14ac:dyDescent="0.25">
      <c r="A43" t="s">
        <v>58</v>
      </c>
      <c r="B43" t="s">
        <v>59</v>
      </c>
      <c r="C43" t="s">
        <v>92</v>
      </c>
      <c r="D43" t="s">
        <v>93</v>
      </c>
      <c r="E43" t="s">
        <v>55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</row>
    <row r="44" spans="1:17" x14ac:dyDescent="0.25">
      <c r="A44" t="s">
        <v>60</v>
      </c>
      <c r="B44" t="s">
        <v>61</v>
      </c>
      <c r="C44" t="s">
        <v>92</v>
      </c>
      <c r="D44" t="s">
        <v>93</v>
      </c>
      <c r="E44" t="s">
        <v>55</v>
      </c>
      <c r="F44" t="s">
        <v>46</v>
      </c>
      <c r="G44" t="s">
        <v>46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>
        <v>20363.791499999999</v>
      </c>
      <c r="Q44" t="s">
        <v>46</v>
      </c>
    </row>
    <row r="45" spans="1:17" x14ac:dyDescent="0.25">
      <c r="A45" t="s">
        <v>62</v>
      </c>
      <c r="B45" t="s">
        <v>63</v>
      </c>
      <c r="C45" t="s">
        <v>92</v>
      </c>
      <c r="D45" t="s">
        <v>93</v>
      </c>
      <c r="E45" t="s">
        <v>55</v>
      </c>
      <c r="F45">
        <v>9108.3411589999996</v>
      </c>
      <c r="G45">
        <v>9128.6542769999996</v>
      </c>
      <c r="H45">
        <v>9545.3851680000007</v>
      </c>
      <c r="I45">
        <v>9592.4105830000008</v>
      </c>
      <c r="J45">
        <v>9246.8801829999993</v>
      </c>
      <c r="K45">
        <v>9211.7366099999999</v>
      </c>
      <c r="L45">
        <v>9448.3646509999999</v>
      </c>
      <c r="M45">
        <v>9508.0549109999993</v>
      </c>
      <c r="N45">
        <v>9786.8509890000005</v>
      </c>
      <c r="O45">
        <v>9532.3208219999997</v>
      </c>
      <c r="P45">
        <v>10682.39867</v>
      </c>
      <c r="Q45">
        <v>10289.890740000001</v>
      </c>
    </row>
    <row r="46" spans="1:17" x14ac:dyDescent="0.25">
      <c r="A46" t="s">
        <v>64</v>
      </c>
      <c r="B46" t="s">
        <v>65</v>
      </c>
      <c r="C46" t="s">
        <v>92</v>
      </c>
      <c r="D46" t="s">
        <v>93</v>
      </c>
      <c r="E46" t="s">
        <v>55</v>
      </c>
      <c r="F46">
        <v>13938</v>
      </c>
      <c r="G46">
        <v>14580</v>
      </c>
      <c r="H46">
        <v>15221</v>
      </c>
      <c r="I46">
        <v>15045</v>
      </c>
      <c r="J46">
        <v>14806</v>
      </c>
      <c r="K46">
        <v>15274</v>
      </c>
      <c r="L46">
        <v>15846</v>
      </c>
      <c r="M46">
        <v>16096</v>
      </c>
      <c r="N46">
        <v>15517</v>
      </c>
      <c r="O46">
        <v>15844</v>
      </c>
      <c r="P46">
        <v>16204</v>
      </c>
      <c r="Q46">
        <v>17429</v>
      </c>
    </row>
    <row r="47" spans="1:17" x14ac:dyDescent="0.25">
      <c r="A47" t="s">
        <v>66</v>
      </c>
      <c r="B47" t="s">
        <v>67</v>
      </c>
      <c r="C47" t="s">
        <v>92</v>
      </c>
      <c r="D47" t="s">
        <v>93</v>
      </c>
      <c r="E47" t="s">
        <v>55</v>
      </c>
      <c r="F47">
        <v>7648</v>
      </c>
      <c r="G47">
        <v>7547</v>
      </c>
      <c r="H47">
        <v>7548</v>
      </c>
      <c r="I47">
        <v>7511</v>
      </c>
      <c r="J47">
        <v>7436</v>
      </c>
      <c r="K47">
        <v>6730</v>
      </c>
      <c r="L47">
        <v>6680</v>
      </c>
      <c r="M47">
        <v>6663</v>
      </c>
      <c r="N47">
        <v>5303</v>
      </c>
      <c r="O47">
        <v>5114</v>
      </c>
      <c r="P47">
        <v>4514</v>
      </c>
      <c r="Q47">
        <v>4394</v>
      </c>
    </row>
    <row r="48" spans="1:17" x14ac:dyDescent="0.25">
      <c r="A48" t="s">
        <v>68</v>
      </c>
      <c r="B48" t="s">
        <v>69</v>
      </c>
      <c r="C48" t="s">
        <v>92</v>
      </c>
      <c r="D48" t="s">
        <v>93</v>
      </c>
      <c r="E48" t="s">
        <v>55</v>
      </c>
      <c r="F48">
        <v>31216</v>
      </c>
      <c r="G48">
        <v>33176</v>
      </c>
      <c r="H48">
        <v>33582</v>
      </c>
      <c r="I48">
        <v>33921</v>
      </c>
      <c r="J48">
        <v>29126</v>
      </c>
      <c r="K48">
        <v>28882</v>
      </c>
      <c r="L48">
        <v>28871</v>
      </c>
      <c r="M48">
        <v>29574</v>
      </c>
      <c r="N48">
        <v>32577</v>
      </c>
      <c r="O48">
        <v>29516</v>
      </c>
      <c r="P48">
        <v>29599</v>
      </c>
      <c r="Q48">
        <v>26006</v>
      </c>
    </row>
    <row r="49" spans="1:17" x14ac:dyDescent="0.25">
      <c r="A49" t="s">
        <v>70</v>
      </c>
      <c r="B49" t="s">
        <v>71</v>
      </c>
      <c r="C49" t="s">
        <v>92</v>
      </c>
      <c r="D49" t="s">
        <v>93</v>
      </c>
      <c r="E49" t="s">
        <v>55</v>
      </c>
      <c r="F49">
        <v>1079.383</v>
      </c>
      <c r="G49">
        <v>1173.0060000000001</v>
      </c>
      <c r="H49">
        <v>1250.2560000000001</v>
      </c>
      <c r="I49">
        <v>1343.402</v>
      </c>
      <c r="J49">
        <v>1392.1949999999999</v>
      </c>
      <c r="K49">
        <v>1503.982</v>
      </c>
      <c r="L49">
        <v>1611.8019999999999</v>
      </c>
      <c r="M49">
        <v>1831.4349999999999</v>
      </c>
      <c r="N49">
        <v>1931.451</v>
      </c>
      <c r="O49">
        <v>2040.163</v>
      </c>
      <c r="P49">
        <v>2244.2080000000001</v>
      </c>
      <c r="Q49">
        <v>2311.8809999999999</v>
      </c>
    </row>
    <row r="50" spans="1:17" x14ac:dyDescent="0.25">
      <c r="A50" t="s">
        <v>72</v>
      </c>
      <c r="B50" t="s">
        <v>73</v>
      </c>
      <c r="C50" t="s">
        <v>92</v>
      </c>
      <c r="D50" t="s">
        <v>93</v>
      </c>
      <c r="E50" t="s">
        <v>55</v>
      </c>
      <c r="F50">
        <v>3239.4340000000002</v>
      </c>
      <c r="G50">
        <v>3349.8910000000001</v>
      </c>
      <c r="H50">
        <v>3449.6210000000001</v>
      </c>
      <c r="I50">
        <v>3397.127</v>
      </c>
      <c r="J50">
        <v>3266.078</v>
      </c>
      <c r="K50">
        <v>3456.6289999999999</v>
      </c>
      <c r="L50">
        <v>3529.4450000000002</v>
      </c>
      <c r="M50">
        <v>3904.8139999999999</v>
      </c>
      <c r="N50">
        <v>4012.7570000000001</v>
      </c>
      <c r="O50">
        <v>4097.7610000000004</v>
      </c>
      <c r="P50">
        <v>4454.1840000000002</v>
      </c>
      <c r="Q50">
        <v>4402.78</v>
      </c>
    </row>
    <row r="51" spans="1:17" x14ac:dyDescent="0.25">
      <c r="A51" t="s">
        <v>74</v>
      </c>
      <c r="B51" t="s">
        <v>75</v>
      </c>
      <c r="C51" t="s">
        <v>92</v>
      </c>
      <c r="D51" t="s">
        <v>93</v>
      </c>
      <c r="E51" t="s">
        <v>55</v>
      </c>
      <c r="F51">
        <v>7395.6</v>
      </c>
      <c r="G51">
        <v>6980.9</v>
      </c>
      <c r="H51">
        <v>7245.2</v>
      </c>
      <c r="I51">
        <v>7372.2750999999998</v>
      </c>
      <c r="J51">
        <v>7530</v>
      </c>
      <c r="K51">
        <v>8005</v>
      </c>
      <c r="L51">
        <v>7994</v>
      </c>
      <c r="M51">
        <v>8521.17</v>
      </c>
      <c r="N51">
        <v>8521.2000000000007</v>
      </c>
      <c r="O51">
        <v>10654.8</v>
      </c>
      <c r="P51">
        <v>10914.8</v>
      </c>
      <c r="Q51">
        <v>10998.168</v>
      </c>
    </row>
    <row r="52" spans="1:17" x14ac:dyDescent="0.25">
      <c r="A52" t="s">
        <v>76</v>
      </c>
      <c r="B52" t="s">
        <v>77</v>
      </c>
      <c r="C52" t="s">
        <v>92</v>
      </c>
      <c r="D52" t="s">
        <v>93</v>
      </c>
      <c r="E52" t="s">
        <v>55</v>
      </c>
      <c r="F52">
        <v>4209.3243990000001</v>
      </c>
      <c r="G52">
        <v>4428.4856</v>
      </c>
      <c r="H52">
        <v>4648.4120940000003</v>
      </c>
      <c r="I52">
        <v>4675.2612900000004</v>
      </c>
      <c r="J52">
        <v>4742.6859469999999</v>
      </c>
      <c r="K52">
        <v>4639.0961600000001</v>
      </c>
      <c r="L52">
        <v>4628.0509519999996</v>
      </c>
      <c r="M52">
        <v>4659.29583</v>
      </c>
      <c r="N52">
        <v>4758.1499279999998</v>
      </c>
      <c r="O52">
        <v>4569.8834200000001</v>
      </c>
      <c r="P52">
        <v>4846.9641629999996</v>
      </c>
      <c r="Q52">
        <v>4648.9612500000003</v>
      </c>
    </row>
    <row r="53" spans="1:17" x14ac:dyDescent="0.25">
      <c r="A53" t="s">
        <v>78</v>
      </c>
      <c r="B53" t="s">
        <v>79</v>
      </c>
      <c r="C53" t="s">
        <v>92</v>
      </c>
      <c r="D53" t="s">
        <v>93</v>
      </c>
      <c r="E53" t="s">
        <v>55</v>
      </c>
      <c r="F53">
        <v>13173.186589999999</v>
      </c>
      <c r="G53">
        <v>13539.097169999999</v>
      </c>
      <c r="H53">
        <v>11895.57019</v>
      </c>
      <c r="I53">
        <v>12264.3537</v>
      </c>
      <c r="J53">
        <v>11406.06061</v>
      </c>
      <c r="K53">
        <v>11278.5064</v>
      </c>
      <c r="L53">
        <v>11888.21926</v>
      </c>
      <c r="M53">
        <v>12223.59582</v>
      </c>
      <c r="N53">
        <v>12433.752280000001</v>
      </c>
      <c r="O53">
        <v>12057.84756</v>
      </c>
      <c r="P53">
        <v>12137.53694</v>
      </c>
      <c r="Q53">
        <v>12307.74129</v>
      </c>
    </row>
    <row r="54" spans="1:17" x14ac:dyDescent="0.25">
      <c r="A54" t="s">
        <v>80</v>
      </c>
      <c r="B54" t="s">
        <v>81</v>
      </c>
      <c r="C54" t="s">
        <v>92</v>
      </c>
      <c r="D54" t="s">
        <v>93</v>
      </c>
      <c r="E54" t="s">
        <v>55</v>
      </c>
      <c r="F54">
        <v>120495</v>
      </c>
      <c r="G54">
        <v>121636</v>
      </c>
      <c r="H54">
        <v>125356</v>
      </c>
      <c r="I54">
        <v>125285</v>
      </c>
      <c r="J54">
        <v>121622</v>
      </c>
      <c r="K54">
        <v>121990</v>
      </c>
      <c r="L54">
        <v>123382</v>
      </c>
      <c r="M54">
        <v>130926</v>
      </c>
      <c r="N54">
        <v>154652</v>
      </c>
      <c r="O54">
        <v>149620</v>
      </c>
      <c r="P54">
        <v>152186</v>
      </c>
      <c r="Q54">
        <v>153403</v>
      </c>
    </row>
    <row r="55" spans="1:17" x14ac:dyDescent="0.25">
      <c r="A55" t="s">
        <v>82</v>
      </c>
      <c r="B55" t="s">
        <v>83</v>
      </c>
      <c r="C55" t="s">
        <v>92</v>
      </c>
      <c r="D55" t="s">
        <v>93</v>
      </c>
      <c r="E55" t="s">
        <v>55</v>
      </c>
      <c r="F55">
        <v>13917.53933</v>
      </c>
      <c r="G55">
        <v>14700.688599999999</v>
      </c>
      <c r="H55">
        <v>15719.44277</v>
      </c>
      <c r="I55">
        <v>16642.462390000001</v>
      </c>
      <c r="J55">
        <v>16305.805039999999</v>
      </c>
      <c r="K55">
        <v>14345.515820000001</v>
      </c>
      <c r="L55">
        <v>15745.30062</v>
      </c>
      <c r="M55">
        <v>16885.0877</v>
      </c>
      <c r="N55">
        <v>18022.716820000001</v>
      </c>
      <c r="O55">
        <v>18316.788949999998</v>
      </c>
      <c r="P55">
        <v>16710.963220000001</v>
      </c>
      <c r="Q55">
        <v>16320.414150000001</v>
      </c>
    </row>
    <row r="56" spans="1:17" x14ac:dyDescent="0.25">
      <c r="A56" t="s">
        <v>84</v>
      </c>
      <c r="B56" t="s">
        <v>85</v>
      </c>
      <c r="C56" t="s">
        <v>92</v>
      </c>
      <c r="D56" t="s">
        <v>93</v>
      </c>
      <c r="E56" t="s">
        <v>55</v>
      </c>
      <c r="F56">
        <v>4350.022207</v>
      </c>
      <c r="G56">
        <v>4238.8278499999997</v>
      </c>
      <c r="H56">
        <v>4514.3027179999999</v>
      </c>
      <c r="I56">
        <v>4672.5821310000001</v>
      </c>
      <c r="J56">
        <v>4618.5469149999999</v>
      </c>
      <c r="K56">
        <v>4438.1146669999998</v>
      </c>
      <c r="L56">
        <v>4680.427608</v>
      </c>
      <c r="M56">
        <v>4824.7703149999998</v>
      </c>
      <c r="N56">
        <v>4882.331862</v>
      </c>
      <c r="O56">
        <v>4782.5765940000001</v>
      </c>
      <c r="P56">
        <v>5005.2299419999999</v>
      </c>
      <c r="Q56">
        <v>4955.7750379999998</v>
      </c>
    </row>
    <row r="57" spans="1:17" x14ac:dyDescent="0.25">
      <c r="A57" t="s">
        <v>86</v>
      </c>
      <c r="B57" t="s">
        <v>87</v>
      </c>
      <c r="C57" t="s">
        <v>92</v>
      </c>
      <c r="D57" t="s">
        <v>93</v>
      </c>
      <c r="E57" t="s">
        <v>55</v>
      </c>
      <c r="F57">
        <v>12853.548210000001</v>
      </c>
      <c r="G57">
        <v>12903.28998</v>
      </c>
      <c r="H57">
        <v>11612.757729999999</v>
      </c>
      <c r="I57">
        <v>11677.00338</v>
      </c>
      <c r="J57">
        <v>11146.184740000001</v>
      </c>
      <c r="K57">
        <v>11053.335999999999</v>
      </c>
      <c r="L57">
        <v>11603.989089999999</v>
      </c>
      <c r="M57">
        <v>12018.62866</v>
      </c>
      <c r="N57">
        <v>12711.394249999999</v>
      </c>
      <c r="O57">
        <v>11073.17971</v>
      </c>
      <c r="P57">
        <v>11389.957109999999</v>
      </c>
      <c r="Q57">
        <v>10840.14716</v>
      </c>
    </row>
    <row r="58" spans="1:17" x14ac:dyDescent="0.25">
      <c r="A58" t="s">
        <v>94</v>
      </c>
      <c r="B58" t="s">
        <v>46</v>
      </c>
      <c r="C58" t="s">
        <v>46</v>
      </c>
      <c r="D58" t="s">
        <v>46</v>
      </c>
      <c r="E58" t="s">
        <v>47</v>
      </c>
      <c r="F58" t="s">
        <v>46</v>
      </c>
      <c r="G58" t="s">
        <v>46</v>
      </c>
      <c r="H58" t="s">
        <v>46</v>
      </c>
      <c r="I58" t="s">
        <v>46</v>
      </c>
      <c r="J58" t="s">
        <v>46</v>
      </c>
      <c r="K58" t="s">
        <v>46</v>
      </c>
      <c r="L58" t="s">
        <v>46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</row>
    <row r="59" spans="1:17" x14ac:dyDescent="0.25">
      <c r="A59" t="s">
        <v>95</v>
      </c>
      <c r="B59" t="s">
        <v>46</v>
      </c>
      <c r="C59" t="s">
        <v>46</v>
      </c>
      <c r="D59" t="s">
        <v>46</v>
      </c>
      <c r="E59" t="s">
        <v>50</v>
      </c>
      <c r="F59">
        <v>9896.5062641600016</v>
      </c>
      <c r="G59">
        <v>12011.562314460001</v>
      </c>
      <c r="H59">
        <v>11710.565123090002</v>
      </c>
      <c r="I59">
        <v>11942.373299399998</v>
      </c>
      <c r="J59">
        <v>10791.6361994</v>
      </c>
      <c r="K59">
        <v>11589.181942900001</v>
      </c>
      <c r="L59">
        <v>12093.725853099999</v>
      </c>
      <c r="M59">
        <v>11632.529098499999</v>
      </c>
      <c r="N59">
        <v>11491.101621400001</v>
      </c>
      <c r="O59">
        <v>9520.3575684999996</v>
      </c>
      <c r="P59">
        <v>12068.201980299998</v>
      </c>
      <c r="Q59">
        <v>10747.9861403</v>
      </c>
    </row>
    <row r="60" spans="1:17" x14ac:dyDescent="0.25">
      <c r="A60" t="s">
        <v>51</v>
      </c>
      <c r="B60" t="s">
        <v>52</v>
      </c>
      <c r="C60" t="s">
        <v>96</v>
      </c>
      <c r="D60" t="s">
        <v>97</v>
      </c>
      <c r="E60" t="s">
        <v>55</v>
      </c>
      <c r="F60">
        <v>1291.1379999999999</v>
      </c>
      <c r="G60">
        <v>1525.0650000000001</v>
      </c>
      <c r="H60">
        <v>1316.93</v>
      </c>
      <c r="I60">
        <v>1367.4639999999999</v>
      </c>
      <c r="J60">
        <v>1388.989</v>
      </c>
      <c r="K60">
        <v>1348.8019999999999</v>
      </c>
      <c r="L60">
        <v>1355.538</v>
      </c>
      <c r="M60">
        <v>1472.13</v>
      </c>
      <c r="N60">
        <v>1562.9949999999999</v>
      </c>
      <c r="O60">
        <v>1646.6410000000001</v>
      </c>
      <c r="P60">
        <v>1581.1120000000001</v>
      </c>
      <c r="Q60">
        <v>1526.135</v>
      </c>
    </row>
    <row r="61" spans="1:17" x14ac:dyDescent="0.25">
      <c r="A61" t="s">
        <v>56</v>
      </c>
      <c r="B61" t="s">
        <v>57</v>
      </c>
      <c r="C61" t="s">
        <v>96</v>
      </c>
      <c r="D61" t="s">
        <v>97</v>
      </c>
      <c r="E61" t="s">
        <v>55</v>
      </c>
      <c r="F61">
        <v>176.39</v>
      </c>
      <c r="G61">
        <v>126.414</v>
      </c>
      <c r="H61" t="s">
        <v>46</v>
      </c>
      <c r="I61">
        <v>1141.799</v>
      </c>
      <c r="J61">
        <v>252.596</v>
      </c>
      <c r="K61">
        <v>194.738</v>
      </c>
      <c r="L61">
        <v>168.44</v>
      </c>
      <c r="M61" t="s">
        <v>46</v>
      </c>
      <c r="N61">
        <v>172.09299999999999</v>
      </c>
      <c r="O61">
        <v>176.50800000000001</v>
      </c>
      <c r="P61" t="s">
        <v>46</v>
      </c>
      <c r="Q61" t="s">
        <v>46</v>
      </c>
    </row>
    <row r="62" spans="1:17" x14ac:dyDescent="0.25">
      <c r="A62" t="s">
        <v>58</v>
      </c>
      <c r="B62" t="s">
        <v>59</v>
      </c>
      <c r="C62" t="s">
        <v>96</v>
      </c>
      <c r="D62" t="s">
        <v>97</v>
      </c>
      <c r="E62" t="s">
        <v>55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</row>
    <row r="63" spans="1:17" x14ac:dyDescent="0.25">
      <c r="A63" t="s">
        <v>60</v>
      </c>
      <c r="B63" t="s">
        <v>61</v>
      </c>
      <c r="C63" t="s">
        <v>96</v>
      </c>
      <c r="D63" t="s">
        <v>97</v>
      </c>
      <c r="E63" t="s">
        <v>55</v>
      </c>
      <c r="F63" t="s">
        <v>46</v>
      </c>
      <c r="G63" t="s">
        <v>46</v>
      </c>
      <c r="H63" t="s">
        <v>46</v>
      </c>
      <c r="I63" t="s">
        <v>46</v>
      </c>
      <c r="J63" t="s">
        <v>46</v>
      </c>
      <c r="K63" t="s">
        <v>46</v>
      </c>
      <c r="L63" t="s">
        <v>46</v>
      </c>
      <c r="M63" t="s">
        <v>46</v>
      </c>
      <c r="N63" t="s">
        <v>46</v>
      </c>
      <c r="O63" t="s">
        <v>46</v>
      </c>
      <c r="P63">
        <v>1290.2121</v>
      </c>
      <c r="Q63" t="s">
        <v>46</v>
      </c>
    </row>
    <row r="64" spans="1:17" x14ac:dyDescent="0.25">
      <c r="A64" t="s">
        <v>62</v>
      </c>
      <c r="B64" t="s">
        <v>63</v>
      </c>
      <c r="C64" t="s">
        <v>96</v>
      </c>
      <c r="D64" t="s">
        <v>97</v>
      </c>
      <c r="E64" t="s">
        <v>55</v>
      </c>
      <c r="F64" t="s">
        <v>46</v>
      </c>
      <c r="G64" t="s">
        <v>46</v>
      </c>
      <c r="H64" t="s">
        <v>46</v>
      </c>
      <c r="I64" t="s">
        <v>46</v>
      </c>
      <c r="J64" t="s">
        <v>46</v>
      </c>
      <c r="K64" t="s">
        <v>46</v>
      </c>
      <c r="L64" t="s">
        <v>46</v>
      </c>
      <c r="M64" t="s">
        <v>46</v>
      </c>
      <c r="N64" t="s">
        <v>46</v>
      </c>
      <c r="O64" t="s">
        <v>46</v>
      </c>
      <c r="P64" t="s">
        <v>46</v>
      </c>
      <c r="Q64" t="s">
        <v>46</v>
      </c>
    </row>
    <row r="65" spans="1:17" x14ac:dyDescent="0.25">
      <c r="A65" t="s">
        <v>64</v>
      </c>
      <c r="B65" t="s">
        <v>65</v>
      </c>
      <c r="C65" t="s">
        <v>96</v>
      </c>
      <c r="D65" t="s">
        <v>97</v>
      </c>
      <c r="E65" t="s">
        <v>55</v>
      </c>
      <c r="F65">
        <v>179</v>
      </c>
      <c r="G65">
        <v>186</v>
      </c>
      <c r="H65">
        <v>210</v>
      </c>
      <c r="I65">
        <v>293</v>
      </c>
      <c r="J65">
        <v>217</v>
      </c>
      <c r="K65">
        <v>223</v>
      </c>
      <c r="L65">
        <v>215</v>
      </c>
      <c r="M65">
        <v>262</v>
      </c>
      <c r="N65">
        <v>254</v>
      </c>
      <c r="O65">
        <v>246</v>
      </c>
      <c r="P65">
        <v>239</v>
      </c>
      <c r="Q65">
        <v>289</v>
      </c>
    </row>
    <row r="66" spans="1:17" x14ac:dyDescent="0.25">
      <c r="A66" t="s">
        <v>66</v>
      </c>
      <c r="B66" t="s">
        <v>67</v>
      </c>
      <c r="C66" t="s">
        <v>96</v>
      </c>
      <c r="D66" t="s">
        <v>97</v>
      </c>
      <c r="E66" t="s">
        <v>55</v>
      </c>
      <c r="F66">
        <v>106</v>
      </c>
      <c r="G66">
        <v>147</v>
      </c>
      <c r="H66">
        <v>138</v>
      </c>
      <c r="I66">
        <v>152</v>
      </c>
      <c r="J66">
        <v>158</v>
      </c>
      <c r="K66">
        <v>216</v>
      </c>
      <c r="L66">
        <v>230</v>
      </c>
      <c r="M66">
        <v>313</v>
      </c>
      <c r="N66">
        <v>161</v>
      </c>
      <c r="O66">
        <v>145</v>
      </c>
      <c r="P66">
        <v>198</v>
      </c>
      <c r="Q66">
        <v>168</v>
      </c>
    </row>
    <row r="67" spans="1:17" x14ac:dyDescent="0.25">
      <c r="A67" t="s">
        <v>68</v>
      </c>
      <c r="B67" t="s">
        <v>69</v>
      </c>
      <c r="C67" t="s">
        <v>96</v>
      </c>
      <c r="D67" t="s">
        <v>97</v>
      </c>
      <c r="E67" t="s">
        <v>55</v>
      </c>
      <c r="F67">
        <v>1961</v>
      </c>
      <c r="G67">
        <v>1666</v>
      </c>
      <c r="H67">
        <v>1510</v>
      </c>
      <c r="I67">
        <v>1513</v>
      </c>
      <c r="J67">
        <v>1326</v>
      </c>
      <c r="K67">
        <v>1358</v>
      </c>
      <c r="L67">
        <v>1345</v>
      </c>
      <c r="M67">
        <v>1666</v>
      </c>
      <c r="N67">
        <v>1517</v>
      </c>
      <c r="O67">
        <v>1603</v>
      </c>
      <c r="P67">
        <v>1576</v>
      </c>
      <c r="Q67">
        <v>1598</v>
      </c>
    </row>
    <row r="68" spans="1:17" x14ac:dyDescent="0.25">
      <c r="A68" t="s">
        <v>70</v>
      </c>
      <c r="B68" t="s">
        <v>71</v>
      </c>
      <c r="C68" t="s">
        <v>96</v>
      </c>
      <c r="D68" t="s">
        <v>97</v>
      </c>
      <c r="E68" t="s">
        <v>55</v>
      </c>
      <c r="F68">
        <v>4.2530000000000001</v>
      </c>
      <c r="G68">
        <v>5.5919999999999996</v>
      </c>
      <c r="H68">
        <v>5.5739999999999998</v>
      </c>
      <c r="I68">
        <v>8.4740000000000002</v>
      </c>
      <c r="J68">
        <v>6.7270000000000003</v>
      </c>
      <c r="K68">
        <v>8.4220000000000006</v>
      </c>
      <c r="L68">
        <v>7.444</v>
      </c>
      <c r="M68">
        <v>4.3970000000000002</v>
      </c>
      <c r="N68">
        <v>6.0430000000000001</v>
      </c>
      <c r="O68">
        <v>6.8959999999999999</v>
      </c>
      <c r="P68">
        <v>7.8310000000000004</v>
      </c>
      <c r="Q68">
        <v>5.2320000000000002</v>
      </c>
    </row>
    <row r="69" spans="1:17" x14ac:dyDescent="0.25">
      <c r="A69" t="s">
        <v>72</v>
      </c>
      <c r="B69" t="s">
        <v>73</v>
      </c>
      <c r="C69" t="s">
        <v>96</v>
      </c>
      <c r="D69" t="s">
        <v>97</v>
      </c>
      <c r="E69" t="s">
        <v>55</v>
      </c>
      <c r="F69">
        <v>18.317</v>
      </c>
      <c r="G69">
        <v>16.858000000000001</v>
      </c>
      <c r="H69">
        <v>15.05</v>
      </c>
      <c r="I69">
        <v>13.811</v>
      </c>
      <c r="J69">
        <v>20.942</v>
      </c>
      <c r="K69">
        <v>14.436</v>
      </c>
      <c r="L69">
        <v>42.584000000000003</v>
      </c>
      <c r="M69">
        <v>29.494</v>
      </c>
      <c r="N69">
        <v>24.398</v>
      </c>
      <c r="O69">
        <v>20.954000000000001</v>
      </c>
      <c r="P69">
        <v>21.981000000000002</v>
      </c>
      <c r="Q69">
        <v>26.07</v>
      </c>
    </row>
    <row r="70" spans="1:17" x14ac:dyDescent="0.25">
      <c r="A70" t="s">
        <v>74</v>
      </c>
      <c r="B70" t="s">
        <v>75</v>
      </c>
      <c r="C70" t="s">
        <v>96</v>
      </c>
      <c r="D70" t="s">
        <v>97</v>
      </c>
      <c r="E70" t="s">
        <v>55</v>
      </c>
      <c r="F70" t="s">
        <v>46</v>
      </c>
      <c r="G70" t="s">
        <v>46</v>
      </c>
      <c r="H70" t="s">
        <v>46</v>
      </c>
      <c r="I70">
        <v>140.92723369999999</v>
      </c>
      <c r="J70" t="s">
        <v>46</v>
      </c>
      <c r="K70" t="s">
        <v>46</v>
      </c>
      <c r="L70" t="s">
        <v>46</v>
      </c>
      <c r="M70">
        <v>257.548</v>
      </c>
      <c r="N70" t="s">
        <v>46</v>
      </c>
      <c r="O70" t="s">
        <v>46</v>
      </c>
      <c r="P70" t="s">
        <v>46</v>
      </c>
      <c r="Q70">
        <v>222.34100000000001</v>
      </c>
    </row>
    <row r="71" spans="1:17" x14ac:dyDescent="0.25">
      <c r="A71" t="s">
        <v>76</v>
      </c>
      <c r="B71" t="s">
        <v>77</v>
      </c>
      <c r="C71" t="s">
        <v>96</v>
      </c>
      <c r="D71" t="s">
        <v>97</v>
      </c>
      <c r="E71" t="s">
        <v>55</v>
      </c>
      <c r="F71">
        <v>610.08077370000001</v>
      </c>
      <c r="G71">
        <v>1619.8437200000001</v>
      </c>
      <c r="H71">
        <v>785.18447060000005</v>
      </c>
      <c r="I71" t="s">
        <v>46</v>
      </c>
      <c r="J71">
        <v>663.09012199999995</v>
      </c>
      <c r="K71">
        <v>1479.8558800000001</v>
      </c>
      <c r="L71">
        <v>751.12866359999998</v>
      </c>
      <c r="M71" t="s">
        <v>46</v>
      </c>
      <c r="N71">
        <v>1419.1139470000001</v>
      </c>
      <c r="O71" t="s">
        <v>46</v>
      </c>
      <c r="P71">
        <v>699.31853909999995</v>
      </c>
      <c r="Q71" t="s">
        <v>46</v>
      </c>
    </row>
    <row r="72" spans="1:17" x14ac:dyDescent="0.25">
      <c r="A72" t="s">
        <v>78</v>
      </c>
      <c r="B72" t="s">
        <v>79</v>
      </c>
      <c r="C72" t="s">
        <v>96</v>
      </c>
      <c r="D72" t="s">
        <v>97</v>
      </c>
      <c r="E72" t="s">
        <v>55</v>
      </c>
      <c r="F72">
        <v>40.235283559999999</v>
      </c>
      <c r="G72">
        <v>82.325937260000003</v>
      </c>
      <c r="H72">
        <v>78.619922790000004</v>
      </c>
      <c r="I72">
        <v>106.5397605</v>
      </c>
      <c r="J72">
        <v>116.5388828</v>
      </c>
      <c r="K72">
        <v>164.43945170000001</v>
      </c>
      <c r="L72">
        <v>218.82623039999999</v>
      </c>
      <c r="M72">
        <v>238.73647099999999</v>
      </c>
      <c r="N72">
        <v>317.00250560000001</v>
      </c>
      <c r="O72">
        <v>301.97329789999998</v>
      </c>
      <c r="P72">
        <v>263.39251239999999</v>
      </c>
      <c r="Q72">
        <v>378.38131870000001</v>
      </c>
    </row>
    <row r="73" spans="1:17" x14ac:dyDescent="0.25">
      <c r="A73" t="s">
        <v>80</v>
      </c>
      <c r="B73" t="s">
        <v>81</v>
      </c>
      <c r="C73" t="s">
        <v>96</v>
      </c>
      <c r="D73" t="s">
        <v>97</v>
      </c>
      <c r="E73" t="s">
        <v>55</v>
      </c>
      <c r="F73">
        <v>5126</v>
      </c>
      <c r="G73">
        <v>5442</v>
      </c>
      <c r="H73">
        <v>6451</v>
      </c>
      <c r="I73">
        <v>5736</v>
      </c>
      <c r="J73">
        <v>5518</v>
      </c>
      <c r="K73">
        <v>5384</v>
      </c>
      <c r="L73">
        <v>6558</v>
      </c>
      <c r="M73">
        <v>5711</v>
      </c>
      <c r="N73">
        <v>4724</v>
      </c>
      <c r="O73">
        <v>4042</v>
      </c>
      <c r="P73">
        <v>4896</v>
      </c>
      <c r="Q73">
        <v>4172</v>
      </c>
    </row>
    <row r="74" spans="1:17" x14ac:dyDescent="0.25">
      <c r="A74" t="s">
        <v>82</v>
      </c>
      <c r="B74" t="s">
        <v>83</v>
      </c>
      <c r="C74" t="s">
        <v>96</v>
      </c>
      <c r="D74" t="s">
        <v>97</v>
      </c>
      <c r="E74" t="s">
        <v>55</v>
      </c>
      <c r="F74" t="s">
        <v>46</v>
      </c>
      <c r="G74">
        <v>829.5332823</v>
      </c>
      <c r="H74">
        <v>835.53244640000003</v>
      </c>
      <c r="I74">
        <v>782.00798280000004</v>
      </c>
      <c r="J74">
        <v>812.12121209999998</v>
      </c>
      <c r="K74">
        <v>861.75645589999999</v>
      </c>
      <c r="L74">
        <v>867.98679870000001</v>
      </c>
      <c r="M74">
        <v>907.6313447</v>
      </c>
      <c r="N74">
        <v>967.83694030000004</v>
      </c>
      <c r="O74">
        <v>952.89980679999996</v>
      </c>
      <c r="P74">
        <v>884.24629170000003</v>
      </c>
      <c r="Q74">
        <v>894.21111080000003</v>
      </c>
    </row>
    <row r="75" spans="1:17" x14ac:dyDescent="0.25">
      <c r="A75" t="s">
        <v>84</v>
      </c>
      <c r="B75" t="s">
        <v>85</v>
      </c>
      <c r="C75" t="s">
        <v>96</v>
      </c>
      <c r="D75" t="s">
        <v>97</v>
      </c>
      <c r="E75" t="s">
        <v>55</v>
      </c>
      <c r="F75">
        <v>384.09220690000001</v>
      </c>
      <c r="G75">
        <v>364.9303749</v>
      </c>
      <c r="H75">
        <v>364.67428330000001</v>
      </c>
      <c r="I75">
        <v>312.6803807</v>
      </c>
      <c r="J75">
        <v>311.63198249999999</v>
      </c>
      <c r="K75">
        <v>335.73215529999999</v>
      </c>
      <c r="L75">
        <v>333.77816039999999</v>
      </c>
      <c r="M75">
        <v>359.0856177</v>
      </c>
      <c r="N75">
        <v>365.61922850000002</v>
      </c>
      <c r="O75">
        <v>378.48546379999999</v>
      </c>
      <c r="P75">
        <v>411.10853709999998</v>
      </c>
      <c r="Q75">
        <v>432.06051980000001</v>
      </c>
    </row>
    <row r="76" spans="1:17" x14ac:dyDescent="0.25">
      <c r="A76" t="s">
        <v>86</v>
      </c>
      <c r="B76" t="s">
        <v>87</v>
      </c>
      <c r="C76" t="s">
        <v>96</v>
      </c>
      <c r="D76" t="s">
        <v>97</v>
      </c>
      <c r="E76" t="s">
        <v>55</v>
      </c>
      <c r="F76" t="s">
        <v>46</v>
      </c>
      <c r="G76" t="s">
        <v>46</v>
      </c>
      <c r="H76" t="s">
        <v>46</v>
      </c>
      <c r="I76">
        <v>374.66994169999998</v>
      </c>
      <c r="J76" t="s">
        <v>46</v>
      </c>
      <c r="K76" t="s">
        <v>46</v>
      </c>
      <c r="L76" t="s">
        <v>46</v>
      </c>
      <c r="M76">
        <v>411.50666510000002</v>
      </c>
      <c r="N76" t="s">
        <v>46</v>
      </c>
      <c r="O76" t="s">
        <v>46</v>
      </c>
      <c r="P76" t="s">
        <v>46</v>
      </c>
      <c r="Q76">
        <v>1036.5551909999999</v>
      </c>
    </row>
    <row r="77" spans="1:17" x14ac:dyDescent="0.25">
      <c r="A77" t="s">
        <v>98</v>
      </c>
      <c r="B77" t="s">
        <v>46</v>
      </c>
      <c r="C77" t="s">
        <v>46</v>
      </c>
      <c r="D77" t="s">
        <v>46</v>
      </c>
      <c r="E77" t="s">
        <v>50</v>
      </c>
      <c r="F77">
        <v>11913.604595553001</v>
      </c>
      <c r="G77">
        <v>9026.0618589940004</v>
      </c>
      <c r="H77">
        <v>11984.631602148002</v>
      </c>
      <c r="I77">
        <v>10850.522011093</v>
      </c>
      <c r="J77">
        <v>12066.140550904</v>
      </c>
      <c r="K77">
        <v>14596.686651426999</v>
      </c>
      <c r="L77">
        <v>13335.381231272</v>
      </c>
      <c r="M77">
        <v>15955.180011794</v>
      </c>
      <c r="N77">
        <v>20817.985920690004</v>
      </c>
      <c r="O77">
        <v>14538.502062990001</v>
      </c>
      <c r="P77">
        <v>16714.978393380003</v>
      </c>
      <c r="Q77">
        <v>18992.357201439998</v>
      </c>
    </row>
    <row r="78" spans="1:17" x14ac:dyDescent="0.25">
      <c r="A78" t="s">
        <v>51</v>
      </c>
      <c r="B78" t="s">
        <v>52</v>
      </c>
      <c r="C78" t="s">
        <v>99</v>
      </c>
      <c r="D78" t="s">
        <v>100</v>
      </c>
      <c r="E78" t="s">
        <v>55</v>
      </c>
      <c r="F78">
        <v>2.9420000000000002</v>
      </c>
      <c r="G78">
        <v>2.907</v>
      </c>
      <c r="H78">
        <v>2.9790000000000001</v>
      </c>
      <c r="I78">
        <v>2.9140000000000001</v>
      </c>
      <c r="J78">
        <v>2.84</v>
      </c>
      <c r="K78">
        <v>5.3369999999999997</v>
      </c>
      <c r="L78">
        <v>4.7270000000000003</v>
      </c>
      <c r="M78">
        <v>4.3650000000000002</v>
      </c>
      <c r="N78">
        <v>4.1369999999999996</v>
      </c>
      <c r="O78">
        <v>6.4109999999999996</v>
      </c>
      <c r="P78">
        <v>714.48500000000001</v>
      </c>
      <c r="Q78">
        <v>744.47799999999995</v>
      </c>
    </row>
    <row r="79" spans="1:17" x14ac:dyDescent="0.25">
      <c r="A79" t="s">
        <v>56</v>
      </c>
      <c r="B79" t="s">
        <v>57</v>
      </c>
      <c r="C79" t="s">
        <v>99</v>
      </c>
      <c r="D79" t="s">
        <v>100</v>
      </c>
      <c r="E79" t="s">
        <v>55</v>
      </c>
      <c r="F79">
        <v>0</v>
      </c>
      <c r="G79">
        <v>0</v>
      </c>
      <c r="H79">
        <v>0</v>
      </c>
      <c r="I79">
        <v>120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57.752000000000002</v>
      </c>
      <c r="Q79">
        <v>409.767</v>
      </c>
    </row>
    <row r="80" spans="1:17" x14ac:dyDescent="0.25">
      <c r="A80" t="s">
        <v>58</v>
      </c>
      <c r="B80" t="s">
        <v>59</v>
      </c>
      <c r="C80" t="s">
        <v>99</v>
      </c>
      <c r="D80" t="s">
        <v>100</v>
      </c>
      <c r="E80" t="s">
        <v>55</v>
      </c>
      <c r="F80" t="s">
        <v>46</v>
      </c>
      <c r="G80" t="s">
        <v>46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</row>
    <row r="81" spans="1:17" x14ac:dyDescent="0.25">
      <c r="A81" t="s">
        <v>60</v>
      </c>
      <c r="B81" t="s">
        <v>61</v>
      </c>
      <c r="C81" t="s">
        <v>99</v>
      </c>
      <c r="D81" t="s">
        <v>100</v>
      </c>
      <c r="E81" t="s">
        <v>55</v>
      </c>
      <c r="F81" t="s">
        <v>46</v>
      </c>
      <c r="G81" t="s">
        <v>46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>
        <v>1053.2801999999999</v>
      </c>
      <c r="Q81" t="s">
        <v>46</v>
      </c>
    </row>
    <row r="82" spans="1:17" x14ac:dyDescent="0.25">
      <c r="A82" t="s">
        <v>62</v>
      </c>
      <c r="B82" t="s">
        <v>63</v>
      </c>
      <c r="C82" t="s">
        <v>99</v>
      </c>
      <c r="D82" t="s">
        <v>100</v>
      </c>
      <c r="E82" t="s">
        <v>55</v>
      </c>
      <c r="F82">
        <v>52.292356249999997</v>
      </c>
      <c r="G82">
        <v>98.099166929999996</v>
      </c>
      <c r="H82">
        <v>242.7293047</v>
      </c>
      <c r="I82">
        <v>232.8171309</v>
      </c>
      <c r="J82">
        <v>227.35717</v>
      </c>
      <c r="K82">
        <v>269.40258130000001</v>
      </c>
      <c r="L82">
        <v>126.9377569</v>
      </c>
      <c r="M82">
        <v>125.4671953</v>
      </c>
      <c r="N82">
        <v>126.6890705</v>
      </c>
      <c r="O82">
        <v>85.726908839999993</v>
      </c>
      <c r="P82">
        <v>212.80166439999999</v>
      </c>
      <c r="Q82">
        <v>203.65571689999999</v>
      </c>
    </row>
    <row r="83" spans="1:17" x14ac:dyDescent="0.25">
      <c r="A83" t="s">
        <v>64</v>
      </c>
      <c r="B83" t="s">
        <v>65</v>
      </c>
      <c r="C83" t="s">
        <v>99</v>
      </c>
      <c r="D83" t="s">
        <v>100</v>
      </c>
      <c r="E83" t="s">
        <v>55</v>
      </c>
      <c r="F83">
        <v>244</v>
      </c>
      <c r="G83">
        <v>100</v>
      </c>
      <c r="H83">
        <v>175</v>
      </c>
      <c r="I83">
        <v>100</v>
      </c>
      <c r="J83">
        <v>100</v>
      </c>
      <c r="K83">
        <v>100</v>
      </c>
      <c r="L83">
        <v>9</v>
      </c>
      <c r="M83">
        <v>216</v>
      </c>
      <c r="N83">
        <v>241</v>
      </c>
      <c r="O83">
        <v>243</v>
      </c>
      <c r="P83">
        <v>251</v>
      </c>
      <c r="Q83">
        <v>235</v>
      </c>
    </row>
    <row r="84" spans="1:17" x14ac:dyDescent="0.25">
      <c r="A84" t="s">
        <v>66</v>
      </c>
      <c r="B84" t="s">
        <v>67</v>
      </c>
      <c r="C84" t="s">
        <v>99</v>
      </c>
      <c r="D84" t="s">
        <v>100</v>
      </c>
      <c r="E84" t="s">
        <v>55</v>
      </c>
      <c r="F84">
        <v>59</v>
      </c>
      <c r="G84">
        <v>71</v>
      </c>
      <c r="H84">
        <v>82</v>
      </c>
      <c r="I84">
        <v>81</v>
      </c>
      <c r="J84">
        <v>43</v>
      </c>
      <c r="K84">
        <v>49</v>
      </c>
      <c r="L84">
        <v>55</v>
      </c>
      <c r="M84">
        <v>165</v>
      </c>
      <c r="N84">
        <v>158</v>
      </c>
      <c r="O84">
        <v>154</v>
      </c>
      <c r="P84">
        <v>148</v>
      </c>
      <c r="Q84">
        <v>147</v>
      </c>
    </row>
    <row r="85" spans="1:17" x14ac:dyDescent="0.25">
      <c r="A85" t="s">
        <v>68</v>
      </c>
      <c r="B85" t="s">
        <v>69</v>
      </c>
      <c r="C85" t="s">
        <v>99</v>
      </c>
      <c r="D85" t="s">
        <v>100</v>
      </c>
      <c r="E85" t="s">
        <v>55</v>
      </c>
      <c r="F85">
        <v>1203</v>
      </c>
      <c r="G85">
        <v>2200</v>
      </c>
      <c r="H85">
        <v>2173</v>
      </c>
      <c r="I85">
        <v>1918</v>
      </c>
      <c r="J85">
        <v>2307</v>
      </c>
      <c r="K85">
        <v>1618</v>
      </c>
      <c r="L85">
        <v>1580</v>
      </c>
      <c r="M85">
        <v>1942</v>
      </c>
      <c r="N85">
        <v>2097</v>
      </c>
      <c r="O85">
        <v>1960</v>
      </c>
      <c r="P85">
        <v>2079</v>
      </c>
      <c r="Q85">
        <v>1758</v>
      </c>
    </row>
    <row r="86" spans="1:17" x14ac:dyDescent="0.25">
      <c r="A86" t="s">
        <v>70</v>
      </c>
      <c r="B86" t="s">
        <v>71</v>
      </c>
      <c r="C86" t="s">
        <v>99</v>
      </c>
      <c r="D86" t="s">
        <v>100</v>
      </c>
      <c r="E86" t="s">
        <v>55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39.856000000000002</v>
      </c>
      <c r="N86">
        <v>48.429000000000002</v>
      </c>
      <c r="O86">
        <v>51.423999999999999</v>
      </c>
      <c r="P86">
        <v>57.542000000000002</v>
      </c>
      <c r="Q86">
        <v>60.107999999999997</v>
      </c>
    </row>
    <row r="87" spans="1:17" x14ac:dyDescent="0.25">
      <c r="A87" t="s">
        <v>72</v>
      </c>
      <c r="B87" t="s">
        <v>73</v>
      </c>
      <c r="C87" t="s">
        <v>99</v>
      </c>
      <c r="D87" t="s">
        <v>100</v>
      </c>
      <c r="E87" t="s">
        <v>55</v>
      </c>
      <c r="F87">
        <v>244.21299999999999</v>
      </c>
      <c r="G87">
        <v>199.22399999999999</v>
      </c>
      <c r="H87">
        <v>209.226</v>
      </c>
      <c r="I87">
        <v>314.23700000000002</v>
      </c>
      <c r="J87">
        <v>254.249</v>
      </c>
      <c r="K87">
        <v>363.476</v>
      </c>
      <c r="L87">
        <v>328.483</v>
      </c>
      <c r="M87">
        <v>403.05099999999999</v>
      </c>
      <c r="N87">
        <v>379.37900000000002</v>
      </c>
      <c r="O87">
        <v>337.875</v>
      </c>
      <c r="P87">
        <v>170.91300000000001</v>
      </c>
      <c r="Q87">
        <v>271.25099999999998</v>
      </c>
    </row>
    <row r="88" spans="1:17" x14ac:dyDescent="0.25">
      <c r="A88" t="s">
        <v>74</v>
      </c>
      <c r="B88" t="s">
        <v>75</v>
      </c>
      <c r="C88" t="s">
        <v>99</v>
      </c>
      <c r="D88" t="s">
        <v>100</v>
      </c>
      <c r="E88" t="s">
        <v>55</v>
      </c>
      <c r="F88">
        <v>0</v>
      </c>
      <c r="G88">
        <v>0</v>
      </c>
      <c r="H88">
        <v>0</v>
      </c>
      <c r="I88">
        <v>6.4476512130000003</v>
      </c>
      <c r="J88">
        <v>0</v>
      </c>
      <c r="K88" t="s">
        <v>46</v>
      </c>
      <c r="L88" t="s">
        <v>46</v>
      </c>
      <c r="M88">
        <v>176.13</v>
      </c>
      <c r="N88" t="s">
        <v>46</v>
      </c>
      <c r="O88" t="s">
        <v>46</v>
      </c>
      <c r="P88" t="s">
        <v>46</v>
      </c>
      <c r="Q88">
        <v>391.13600000000002</v>
      </c>
    </row>
    <row r="89" spans="1:17" x14ac:dyDescent="0.25">
      <c r="A89" t="s">
        <v>76</v>
      </c>
      <c r="B89" t="s">
        <v>77</v>
      </c>
      <c r="C89" t="s">
        <v>99</v>
      </c>
      <c r="D89" t="s">
        <v>100</v>
      </c>
      <c r="E89" t="s">
        <v>55</v>
      </c>
      <c r="F89">
        <v>129.5900498</v>
      </c>
      <c r="G89">
        <v>149.54400999999999</v>
      </c>
      <c r="H89">
        <v>325.73849439999998</v>
      </c>
      <c r="I89">
        <v>391.38225</v>
      </c>
      <c r="J89">
        <v>303.1606094</v>
      </c>
      <c r="K89">
        <v>238.55155999999999</v>
      </c>
      <c r="L89">
        <v>48.498074799999998</v>
      </c>
      <c r="M89">
        <v>34.336260000000003</v>
      </c>
      <c r="N89">
        <v>118.110882</v>
      </c>
      <c r="O89">
        <v>122.98584</v>
      </c>
      <c r="P89">
        <v>125.7165153</v>
      </c>
      <c r="Q89">
        <v>195.94206</v>
      </c>
    </row>
    <row r="90" spans="1:17" x14ac:dyDescent="0.25">
      <c r="A90" t="s">
        <v>78</v>
      </c>
      <c r="B90" t="s">
        <v>79</v>
      </c>
      <c r="C90" t="s">
        <v>99</v>
      </c>
      <c r="D90" t="s">
        <v>100</v>
      </c>
      <c r="E90" t="s">
        <v>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71.670131690000005</v>
      </c>
      <c r="O90">
        <v>72.875467850000007</v>
      </c>
      <c r="P90">
        <v>79.747839580000004</v>
      </c>
      <c r="Q90">
        <v>82.124136140000005</v>
      </c>
    </row>
    <row r="91" spans="1:17" x14ac:dyDescent="0.25">
      <c r="A91" t="s">
        <v>80</v>
      </c>
      <c r="B91" t="s">
        <v>81</v>
      </c>
      <c r="C91" t="s">
        <v>99</v>
      </c>
      <c r="D91" t="s">
        <v>100</v>
      </c>
      <c r="E91" t="s">
        <v>55</v>
      </c>
      <c r="F91">
        <v>8061</v>
      </c>
      <c r="G91">
        <v>4299</v>
      </c>
      <c r="H91">
        <v>6987</v>
      </c>
      <c r="I91">
        <v>5977</v>
      </c>
      <c r="J91">
        <v>7646</v>
      </c>
      <c r="K91">
        <v>10932</v>
      </c>
      <c r="L91">
        <v>10207</v>
      </c>
      <c r="M91">
        <v>11563</v>
      </c>
      <c r="N91">
        <v>15913</v>
      </c>
      <c r="O91">
        <v>9907</v>
      </c>
      <c r="P91">
        <v>10177</v>
      </c>
      <c r="Q91">
        <v>12969</v>
      </c>
    </row>
    <row r="92" spans="1:17" x14ac:dyDescent="0.25">
      <c r="A92" t="s">
        <v>82</v>
      </c>
      <c r="B92" t="s">
        <v>83</v>
      </c>
      <c r="C92" t="s">
        <v>99</v>
      </c>
      <c r="D92" t="s">
        <v>100</v>
      </c>
      <c r="E92" t="s">
        <v>55</v>
      </c>
      <c r="F92">
        <v>3.2497729030000002</v>
      </c>
      <c r="G92">
        <v>3.060443764</v>
      </c>
      <c r="H92">
        <v>2.9756544479999998</v>
      </c>
      <c r="I92">
        <v>29.628492479999998</v>
      </c>
      <c r="J92">
        <v>2.3366192039999998</v>
      </c>
      <c r="K92">
        <v>2.3432277269999999</v>
      </c>
      <c r="L92">
        <v>2.4393743720000001</v>
      </c>
      <c r="M92">
        <v>2.5965295940000002</v>
      </c>
      <c r="N92">
        <v>156.3975748</v>
      </c>
      <c r="O92">
        <v>160.467535</v>
      </c>
      <c r="P92">
        <v>167.3581422</v>
      </c>
      <c r="Q92">
        <v>168.22844040000001</v>
      </c>
    </row>
    <row r="93" spans="1:17" x14ac:dyDescent="0.25">
      <c r="A93" t="s">
        <v>84</v>
      </c>
      <c r="B93" t="s">
        <v>85</v>
      </c>
      <c r="C93" t="s">
        <v>99</v>
      </c>
      <c r="D93" t="s">
        <v>100</v>
      </c>
      <c r="E93" t="s">
        <v>55</v>
      </c>
      <c r="F93">
        <v>154.6118146</v>
      </c>
      <c r="G93">
        <v>155.5608263</v>
      </c>
      <c r="H93">
        <v>183.97375160000001</v>
      </c>
      <c r="I93">
        <v>249.53945350000001</v>
      </c>
      <c r="J93">
        <v>148.1708653</v>
      </c>
      <c r="K93">
        <v>153.98038579999999</v>
      </c>
      <c r="L93">
        <v>200.40177929999999</v>
      </c>
      <c r="M93">
        <v>257.76326289999997</v>
      </c>
      <c r="N93">
        <v>233.01497670000001</v>
      </c>
      <c r="O93">
        <v>327.47263629999998</v>
      </c>
      <c r="P93">
        <v>314.4564019</v>
      </c>
      <c r="Q93">
        <v>298.44627500000001</v>
      </c>
    </row>
    <row r="94" spans="1:17" x14ac:dyDescent="0.25">
      <c r="A94" t="s">
        <v>86</v>
      </c>
      <c r="B94" t="s">
        <v>87</v>
      </c>
      <c r="C94" t="s">
        <v>99</v>
      </c>
      <c r="D94" t="s">
        <v>100</v>
      </c>
      <c r="E94" t="s">
        <v>55</v>
      </c>
      <c r="F94">
        <v>1759.705602</v>
      </c>
      <c r="G94">
        <v>1747.666412</v>
      </c>
      <c r="H94">
        <v>1600.009397</v>
      </c>
      <c r="I94">
        <v>1427.5560330000001</v>
      </c>
      <c r="J94">
        <v>1032.0262869999999</v>
      </c>
      <c r="K94">
        <v>864.59589659999995</v>
      </c>
      <c r="L94">
        <v>772.89424589999999</v>
      </c>
      <c r="M94">
        <v>1025.6147639999999</v>
      </c>
      <c r="N94">
        <v>1271.158285</v>
      </c>
      <c r="O94">
        <v>1109.2636749999999</v>
      </c>
      <c r="P94">
        <v>1105.92563</v>
      </c>
      <c r="Q94">
        <v>1058.2205730000001</v>
      </c>
    </row>
    <row r="95" spans="1:17" x14ac:dyDescent="0.25">
      <c r="A95" t="s">
        <v>101</v>
      </c>
      <c r="B95" t="s">
        <v>46</v>
      </c>
      <c r="C95" t="s">
        <v>46</v>
      </c>
      <c r="D95" t="s">
        <v>46</v>
      </c>
      <c r="E95" t="s">
        <v>50</v>
      </c>
      <c r="F95">
        <v>40447.917068827992</v>
      </c>
      <c r="G95">
        <v>43422.299252904995</v>
      </c>
      <c r="H95">
        <v>46511.554988175005</v>
      </c>
      <c r="I95">
        <v>46823.139061383998</v>
      </c>
      <c r="J95">
        <v>43535.257879613011</v>
      </c>
      <c r="K95">
        <v>42162.677113755999</v>
      </c>
      <c r="L95">
        <v>49198.042363515997</v>
      </c>
      <c r="M95">
        <v>51123.934221301002</v>
      </c>
      <c r="N95">
        <v>75839.519542099995</v>
      </c>
      <c r="O95">
        <v>75023.941399000003</v>
      </c>
      <c r="P95">
        <v>84436.290125899992</v>
      </c>
      <c r="Q95">
        <v>82553.166194540012</v>
      </c>
    </row>
    <row r="96" spans="1:17" x14ac:dyDescent="0.25">
      <c r="A96" t="s">
        <v>51</v>
      </c>
      <c r="B96" t="s">
        <v>52</v>
      </c>
      <c r="C96" t="s">
        <v>102</v>
      </c>
      <c r="D96" t="s">
        <v>103</v>
      </c>
      <c r="E96" t="s">
        <v>55</v>
      </c>
      <c r="F96">
        <v>24.731999999999999</v>
      </c>
      <c r="G96">
        <v>22.163</v>
      </c>
      <c r="H96">
        <v>22.225999999999999</v>
      </c>
      <c r="I96">
        <v>25.922999999999998</v>
      </c>
      <c r="J96">
        <v>25.957999999999998</v>
      </c>
      <c r="K96">
        <v>19.675999999999998</v>
      </c>
      <c r="L96">
        <v>19.896000000000001</v>
      </c>
      <c r="M96">
        <v>19.753</v>
      </c>
      <c r="N96">
        <v>19.855</v>
      </c>
      <c r="O96">
        <v>16.247</v>
      </c>
      <c r="P96">
        <v>2667.5859999999998</v>
      </c>
      <c r="Q96">
        <v>2665.7310000000002</v>
      </c>
    </row>
    <row r="97" spans="1:17" x14ac:dyDescent="0.25">
      <c r="A97" t="s">
        <v>56</v>
      </c>
      <c r="B97" t="s">
        <v>57</v>
      </c>
      <c r="C97" t="s">
        <v>102</v>
      </c>
      <c r="D97" t="s">
        <v>103</v>
      </c>
      <c r="E97" t="s">
        <v>55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223.66399999999999</v>
      </c>
      <c r="Q97">
        <v>218.39099999999999</v>
      </c>
    </row>
    <row r="98" spans="1:17" x14ac:dyDescent="0.25">
      <c r="A98" t="s">
        <v>58</v>
      </c>
      <c r="B98" t="s">
        <v>59</v>
      </c>
      <c r="C98" t="s">
        <v>102</v>
      </c>
      <c r="D98" t="s">
        <v>103</v>
      </c>
      <c r="E98" t="s">
        <v>55</v>
      </c>
      <c r="F98" t="s">
        <v>46</v>
      </c>
      <c r="G98" t="s">
        <v>46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</row>
    <row r="99" spans="1:17" x14ac:dyDescent="0.25">
      <c r="A99" t="s">
        <v>60</v>
      </c>
      <c r="B99" t="s">
        <v>61</v>
      </c>
      <c r="C99" t="s">
        <v>102</v>
      </c>
      <c r="D99" t="s">
        <v>103</v>
      </c>
      <c r="E99" t="s">
        <v>55</v>
      </c>
      <c r="F99" t="s">
        <v>46</v>
      </c>
      <c r="G99" t="s">
        <v>46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>
        <v>3543.8724000000002</v>
      </c>
      <c r="Q99" t="s">
        <v>46</v>
      </c>
    </row>
    <row r="100" spans="1:17" x14ac:dyDescent="0.25">
      <c r="A100" t="s">
        <v>62</v>
      </c>
      <c r="B100" t="s">
        <v>63</v>
      </c>
      <c r="C100" t="s">
        <v>102</v>
      </c>
      <c r="D100" t="s">
        <v>103</v>
      </c>
      <c r="E100" t="s">
        <v>55</v>
      </c>
      <c r="F100">
        <v>1278.902317</v>
      </c>
      <c r="G100">
        <v>1393.412368</v>
      </c>
      <c r="H100">
        <v>1212.4411270000001</v>
      </c>
      <c r="I100">
        <v>1149.446815</v>
      </c>
      <c r="J100">
        <v>1174.4123239999999</v>
      </c>
      <c r="K100">
        <v>1122.430636</v>
      </c>
      <c r="L100">
        <v>1477.807546</v>
      </c>
      <c r="M100">
        <v>1473.9754620000001</v>
      </c>
      <c r="N100">
        <v>1807.4131219999999</v>
      </c>
      <c r="O100">
        <v>1674.870478</v>
      </c>
      <c r="P100">
        <v>2102.9734939999998</v>
      </c>
      <c r="Q100">
        <v>2733.171437</v>
      </c>
    </row>
    <row r="101" spans="1:17" x14ac:dyDescent="0.25">
      <c r="A101" t="s">
        <v>64</v>
      </c>
      <c r="B101" t="s">
        <v>65</v>
      </c>
      <c r="C101" t="s">
        <v>102</v>
      </c>
      <c r="D101" t="s">
        <v>103</v>
      </c>
      <c r="E101" t="s">
        <v>55</v>
      </c>
      <c r="F101">
        <v>747</v>
      </c>
      <c r="G101">
        <v>723</v>
      </c>
      <c r="H101">
        <v>698</v>
      </c>
      <c r="I101">
        <v>673</v>
      </c>
      <c r="J101">
        <v>649</v>
      </c>
      <c r="K101">
        <v>624</v>
      </c>
      <c r="L101">
        <v>736</v>
      </c>
      <c r="M101">
        <v>1395</v>
      </c>
      <c r="N101">
        <v>1413</v>
      </c>
      <c r="O101">
        <v>1457</v>
      </c>
      <c r="P101">
        <v>1460</v>
      </c>
      <c r="Q101">
        <v>3164</v>
      </c>
    </row>
    <row r="102" spans="1:17" x14ac:dyDescent="0.25">
      <c r="A102" t="s">
        <v>66</v>
      </c>
      <c r="B102" t="s">
        <v>67</v>
      </c>
      <c r="C102" t="s">
        <v>102</v>
      </c>
      <c r="D102" t="s">
        <v>103</v>
      </c>
      <c r="E102" t="s">
        <v>55</v>
      </c>
      <c r="F102">
        <v>2071</v>
      </c>
      <c r="G102">
        <v>1991</v>
      </c>
      <c r="H102">
        <v>1979</v>
      </c>
      <c r="I102">
        <v>1972</v>
      </c>
      <c r="J102">
        <v>2001</v>
      </c>
      <c r="K102">
        <v>1528</v>
      </c>
      <c r="L102">
        <v>1512</v>
      </c>
      <c r="M102">
        <v>1778</v>
      </c>
      <c r="N102">
        <v>1752</v>
      </c>
      <c r="O102">
        <v>1713</v>
      </c>
      <c r="P102">
        <v>1693</v>
      </c>
      <c r="Q102">
        <v>1820</v>
      </c>
    </row>
    <row r="103" spans="1:17" x14ac:dyDescent="0.25">
      <c r="A103" t="s">
        <v>68</v>
      </c>
      <c r="B103" t="s">
        <v>69</v>
      </c>
      <c r="C103" t="s">
        <v>102</v>
      </c>
      <c r="D103" t="s">
        <v>103</v>
      </c>
      <c r="E103" t="s">
        <v>55</v>
      </c>
      <c r="F103">
        <v>6249</v>
      </c>
      <c r="G103">
        <v>6325</v>
      </c>
      <c r="H103">
        <v>6367</v>
      </c>
      <c r="I103">
        <v>6092</v>
      </c>
      <c r="J103">
        <v>4747</v>
      </c>
      <c r="K103">
        <v>5409</v>
      </c>
      <c r="L103">
        <v>5980</v>
      </c>
      <c r="M103">
        <v>5470</v>
      </c>
      <c r="N103">
        <v>9022</v>
      </c>
      <c r="O103">
        <v>8837</v>
      </c>
      <c r="P103">
        <v>8412</v>
      </c>
      <c r="Q103">
        <v>9735</v>
      </c>
    </row>
    <row r="104" spans="1:17" x14ac:dyDescent="0.25">
      <c r="A104" t="s">
        <v>70</v>
      </c>
      <c r="B104" t="s">
        <v>71</v>
      </c>
      <c r="C104" t="s">
        <v>102</v>
      </c>
      <c r="D104" t="s">
        <v>103</v>
      </c>
      <c r="E104" t="s">
        <v>55</v>
      </c>
      <c r="F104">
        <v>25.033000000000001</v>
      </c>
      <c r="G104">
        <v>25.041</v>
      </c>
      <c r="H104">
        <v>25.033000000000001</v>
      </c>
      <c r="I104">
        <v>25.024999999999999</v>
      </c>
      <c r="J104">
        <v>25.02</v>
      </c>
      <c r="K104">
        <v>25.027999999999999</v>
      </c>
      <c r="L104">
        <v>25.030999999999999</v>
      </c>
      <c r="M104">
        <v>152.935</v>
      </c>
      <c r="N104">
        <v>183.137</v>
      </c>
      <c r="O104">
        <v>178.98</v>
      </c>
      <c r="P104">
        <v>205.922</v>
      </c>
      <c r="Q104">
        <v>214.358</v>
      </c>
    </row>
    <row r="105" spans="1:17" x14ac:dyDescent="0.25">
      <c r="A105" t="s">
        <v>72</v>
      </c>
      <c r="B105" t="s">
        <v>73</v>
      </c>
      <c r="C105" t="s">
        <v>102</v>
      </c>
      <c r="D105" t="s">
        <v>103</v>
      </c>
      <c r="E105" t="s">
        <v>55</v>
      </c>
      <c r="F105">
        <v>1026.047</v>
      </c>
      <c r="G105">
        <v>1016.371</v>
      </c>
      <c r="H105">
        <v>1006.687</v>
      </c>
      <c r="I105">
        <v>996.99900000000002</v>
      </c>
      <c r="J105">
        <v>987.31399999999996</v>
      </c>
      <c r="K105">
        <v>983.88400000000001</v>
      </c>
      <c r="L105">
        <v>975.64499999999998</v>
      </c>
      <c r="M105">
        <v>1243.5419999999999</v>
      </c>
      <c r="N105">
        <v>1265.2629999999999</v>
      </c>
      <c r="O105">
        <v>1250.319</v>
      </c>
      <c r="P105">
        <v>1662.6210000000001</v>
      </c>
      <c r="Q105">
        <v>1668.386</v>
      </c>
    </row>
    <row r="106" spans="1:17" x14ac:dyDescent="0.25">
      <c r="A106" t="s">
        <v>74</v>
      </c>
      <c r="B106" t="s">
        <v>75</v>
      </c>
      <c r="C106" t="s">
        <v>102</v>
      </c>
      <c r="D106" t="s">
        <v>103</v>
      </c>
      <c r="E106" t="s">
        <v>55</v>
      </c>
      <c r="F106">
        <v>88.2</v>
      </c>
      <c r="G106">
        <v>111.4</v>
      </c>
      <c r="H106">
        <v>79.900000000000006</v>
      </c>
      <c r="I106">
        <v>69.849554810000001</v>
      </c>
      <c r="J106">
        <v>52.3</v>
      </c>
      <c r="K106">
        <v>424.1</v>
      </c>
      <c r="L106">
        <v>557</v>
      </c>
      <c r="M106">
        <v>430.67899999999997</v>
      </c>
      <c r="N106">
        <v>576.70000000000005</v>
      </c>
      <c r="O106">
        <v>915.6</v>
      </c>
      <c r="P106">
        <v>894.8</v>
      </c>
      <c r="Q106">
        <v>664.45</v>
      </c>
    </row>
    <row r="107" spans="1:17" x14ac:dyDescent="0.25">
      <c r="A107" t="s">
        <v>76</v>
      </c>
      <c r="B107" t="s">
        <v>77</v>
      </c>
      <c r="C107" t="s">
        <v>102</v>
      </c>
      <c r="D107" t="s">
        <v>103</v>
      </c>
      <c r="E107" t="s">
        <v>55</v>
      </c>
      <c r="F107">
        <v>1432.090686</v>
      </c>
      <c r="G107">
        <v>1407.1536599999999</v>
      </c>
      <c r="H107">
        <v>1221.8896319999999</v>
      </c>
      <c r="I107">
        <v>1279.2960599999999</v>
      </c>
      <c r="J107">
        <v>1567.455089</v>
      </c>
      <c r="K107">
        <v>1553.8370600000001</v>
      </c>
      <c r="L107">
        <v>1555.924835</v>
      </c>
      <c r="M107">
        <v>1572.3987299999999</v>
      </c>
      <c r="N107">
        <v>1752.477879</v>
      </c>
      <c r="O107">
        <v>1566.87013</v>
      </c>
      <c r="P107">
        <v>1664.555519</v>
      </c>
      <c r="Q107">
        <v>1481.3044199999999</v>
      </c>
    </row>
    <row r="108" spans="1:17" x14ac:dyDescent="0.25">
      <c r="A108" t="s">
        <v>78</v>
      </c>
      <c r="B108" t="s">
        <v>79</v>
      </c>
      <c r="C108" t="s">
        <v>102</v>
      </c>
      <c r="D108" t="s">
        <v>103</v>
      </c>
      <c r="E108" t="s">
        <v>55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484.28117320000001</v>
      </c>
      <c r="O108">
        <v>504.04352720000003</v>
      </c>
      <c r="P108">
        <v>501.93402550000002</v>
      </c>
      <c r="Q108">
        <v>532.54649830000005</v>
      </c>
    </row>
    <row r="109" spans="1:17" x14ac:dyDescent="0.25">
      <c r="A109" t="s">
        <v>80</v>
      </c>
      <c r="B109" t="s">
        <v>81</v>
      </c>
      <c r="C109" t="s">
        <v>102</v>
      </c>
      <c r="D109" t="s">
        <v>103</v>
      </c>
      <c r="E109" t="s">
        <v>55</v>
      </c>
      <c r="F109">
        <v>26929</v>
      </c>
      <c r="G109">
        <v>29858</v>
      </c>
      <c r="H109">
        <v>33366</v>
      </c>
      <c r="I109">
        <v>33718</v>
      </c>
      <c r="J109">
        <v>31498</v>
      </c>
      <c r="K109">
        <v>29695</v>
      </c>
      <c r="L109">
        <v>35605</v>
      </c>
      <c r="M109">
        <v>37142</v>
      </c>
      <c r="N109">
        <v>56126</v>
      </c>
      <c r="O109">
        <v>55526</v>
      </c>
      <c r="P109">
        <v>57981</v>
      </c>
      <c r="Q109">
        <v>56484</v>
      </c>
    </row>
    <row r="110" spans="1:17" x14ac:dyDescent="0.25">
      <c r="A110" t="s">
        <v>82</v>
      </c>
      <c r="B110" t="s">
        <v>83</v>
      </c>
      <c r="C110" t="s">
        <v>102</v>
      </c>
      <c r="D110" t="s">
        <v>103</v>
      </c>
      <c r="E110" t="s">
        <v>55</v>
      </c>
      <c r="F110">
        <v>9.5945676179999992</v>
      </c>
      <c r="G110">
        <v>9.0283091049999999</v>
      </c>
      <c r="H110">
        <v>8.9269633450000008</v>
      </c>
      <c r="I110">
        <v>8.2898372739999999</v>
      </c>
      <c r="J110">
        <v>7.1558963130000004</v>
      </c>
      <c r="K110">
        <v>6.340498556</v>
      </c>
      <c r="L110">
        <v>6.6006600659999997</v>
      </c>
      <c r="M110">
        <v>6.3470723409999996</v>
      </c>
      <c r="N110">
        <v>836.82858220000003</v>
      </c>
      <c r="O110">
        <v>799.50755990000005</v>
      </c>
      <c r="P110">
        <v>824.85661540000001</v>
      </c>
      <c r="Q110">
        <v>916.23470789999999</v>
      </c>
    </row>
    <row r="111" spans="1:17" x14ac:dyDescent="0.25">
      <c r="A111" t="s">
        <v>84</v>
      </c>
      <c r="B111" t="s">
        <v>85</v>
      </c>
      <c r="C111" t="s">
        <v>102</v>
      </c>
      <c r="D111" t="s">
        <v>103</v>
      </c>
      <c r="E111" t="s">
        <v>55</v>
      </c>
      <c r="F111">
        <v>64.577630110000001</v>
      </c>
      <c r="G111">
        <v>64.035195099999996</v>
      </c>
      <c r="H111">
        <v>58.260181830000001</v>
      </c>
      <c r="I111">
        <v>118.375806</v>
      </c>
      <c r="J111">
        <v>113.3844469</v>
      </c>
      <c r="K111">
        <v>50.094073700000003</v>
      </c>
      <c r="L111">
        <v>29.903859950000001</v>
      </c>
      <c r="M111">
        <v>30.090892960000001</v>
      </c>
      <c r="N111">
        <v>118.56038789999999</v>
      </c>
      <c r="O111">
        <v>119.48746610000001</v>
      </c>
      <c r="P111">
        <v>135.15012390000001</v>
      </c>
      <c r="Q111">
        <v>23.70853494</v>
      </c>
    </row>
    <row r="112" spans="1:17" x14ac:dyDescent="0.25">
      <c r="A112" t="s">
        <v>86</v>
      </c>
      <c r="B112" t="s">
        <v>87</v>
      </c>
      <c r="C112" t="s">
        <v>102</v>
      </c>
      <c r="D112" t="s">
        <v>103</v>
      </c>
      <c r="E112" t="s">
        <v>55</v>
      </c>
      <c r="F112">
        <v>502.73986810000002</v>
      </c>
      <c r="G112">
        <v>476.6947207</v>
      </c>
      <c r="H112">
        <v>466.19108399999999</v>
      </c>
      <c r="I112">
        <v>694.93398830000001</v>
      </c>
      <c r="J112">
        <v>687.25812340000004</v>
      </c>
      <c r="K112">
        <v>721.28684550000003</v>
      </c>
      <c r="L112">
        <v>717.23346249999997</v>
      </c>
      <c r="M112">
        <v>409.21306399999997</v>
      </c>
      <c r="N112">
        <v>482.00339780000002</v>
      </c>
      <c r="O112">
        <v>465.0162378</v>
      </c>
      <c r="P112">
        <v>462.3549481</v>
      </c>
      <c r="Q112">
        <v>231.88459639999999</v>
      </c>
    </row>
    <row r="113" spans="1:17" x14ac:dyDescent="0.25">
      <c r="A113" t="s">
        <v>104</v>
      </c>
      <c r="B113" t="s">
        <v>46</v>
      </c>
      <c r="C113" t="s">
        <v>46</v>
      </c>
      <c r="D113" t="s">
        <v>46</v>
      </c>
      <c r="E113" t="s">
        <v>50</v>
      </c>
      <c r="F113">
        <v>165447.020253</v>
      </c>
      <c r="G113">
        <v>168055.22492500002</v>
      </c>
      <c r="H113">
        <v>174688.96728899999</v>
      </c>
      <c r="I113">
        <v>173399.69730100001</v>
      </c>
      <c r="J113">
        <v>166929.27709399996</v>
      </c>
      <c r="K113">
        <v>166243.036544</v>
      </c>
      <c r="L113">
        <v>171449.13146199999</v>
      </c>
      <c r="M113">
        <v>181669.88309700001</v>
      </c>
      <c r="N113">
        <v>210838.00778400002</v>
      </c>
      <c r="O113">
        <v>205817.41844099999</v>
      </c>
      <c r="P113">
        <v>220887.27628500003</v>
      </c>
      <c r="Q113">
        <v>214623.579509</v>
      </c>
    </row>
    <row r="114" spans="1:17" x14ac:dyDescent="0.25">
      <c r="A114" t="s">
        <v>51</v>
      </c>
      <c r="B114" t="s">
        <v>52</v>
      </c>
      <c r="C114" t="s">
        <v>105</v>
      </c>
      <c r="D114" t="s">
        <v>106</v>
      </c>
      <c r="E114" t="s">
        <v>55</v>
      </c>
      <c r="F114">
        <v>12258.932000000001</v>
      </c>
      <c r="G114">
        <v>12979.69</v>
      </c>
      <c r="H114">
        <v>13080.716</v>
      </c>
      <c r="I114">
        <v>12694.553</v>
      </c>
      <c r="J114">
        <v>13098.057000000001</v>
      </c>
      <c r="K114">
        <v>13724.495000000001</v>
      </c>
      <c r="L114">
        <v>13650.843999999999</v>
      </c>
      <c r="M114">
        <v>13661.663</v>
      </c>
      <c r="N114">
        <v>14013.402</v>
      </c>
      <c r="O114">
        <v>14962.189</v>
      </c>
      <c r="P114">
        <v>17569.504000000001</v>
      </c>
      <c r="Q114">
        <v>17582.624</v>
      </c>
    </row>
    <row r="115" spans="1:17" x14ac:dyDescent="0.25">
      <c r="A115" t="s">
        <v>56</v>
      </c>
      <c r="B115" t="s">
        <v>57</v>
      </c>
      <c r="C115" t="s">
        <v>105</v>
      </c>
      <c r="D115" t="s">
        <v>106</v>
      </c>
      <c r="E115" t="s">
        <v>55</v>
      </c>
      <c r="F115">
        <v>1711.9280000000001</v>
      </c>
      <c r="G115">
        <v>1705.31</v>
      </c>
      <c r="H115">
        <v>1773.9770000000001</v>
      </c>
      <c r="I115">
        <v>1972.7739999999999</v>
      </c>
      <c r="J115">
        <v>1880.5989999999999</v>
      </c>
      <c r="K115">
        <v>1855.7729999999999</v>
      </c>
      <c r="L115">
        <v>1796.8689999999999</v>
      </c>
      <c r="M115">
        <v>1740.9269999999999</v>
      </c>
      <c r="N115">
        <v>1706.934</v>
      </c>
      <c r="O115">
        <v>1750.36</v>
      </c>
      <c r="P115">
        <v>2050.471</v>
      </c>
      <c r="Q115">
        <v>2326.7660000000001</v>
      </c>
    </row>
    <row r="116" spans="1:17" x14ac:dyDescent="0.25">
      <c r="A116" t="s">
        <v>58</v>
      </c>
      <c r="B116" t="s">
        <v>59</v>
      </c>
      <c r="C116" t="s">
        <v>105</v>
      </c>
      <c r="D116" t="s">
        <v>106</v>
      </c>
      <c r="E116" t="s">
        <v>55</v>
      </c>
      <c r="F116" t="s">
        <v>46</v>
      </c>
      <c r="G116" t="s">
        <v>46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</row>
    <row r="117" spans="1:17" x14ac:dyDescent="0.25">
      <c r="A117" t="s">
        <v>60</v>
      </c>
      <c r="B117" t="s">
        <v>61</v>
      </c>
      <c r="C117" t="s">
        <v>105</v>
      </c>
      <c r="D117" t="s">
        <v>106</v>
      </c>
      <c r="E117" t="s">
        <v>55</v>
      </c>
      <c r="F117" t="s">
        <v>46</v>
      </c>
      <c r="G117" t="s">
        <v>46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>
        <v>10910.0964</v>
      </c>
      <c r="Q117" t="s">
        <v>46</v>
      </c>
    </row>
    <row r="118" spans="1:17" x14ac:dyDescent="0.25">
      <c r="A118" t="s">
        <v>62</v>
      </c>
      <c r="B118" t="s">
        <v>63</v>
      </c>
      <c r="C118" t="s">
        <v>105</v>
      </c>
      <c r="D118" t="s">
        <v>106</v>
      </c>
      <c r="E118" t="s">
        <v>55</v>
      </c>
      <c r="F118">
        <v>3995.6123470000002</v>
      </c>
      <c r="G118">
        <v>4160.1938479999999</v>
      </c>
      <c r="H118">
        <v>4314.2204840000004</v>
      </c>
      <c r="I118">
        <v>4270.0170690000004</v>
      </c>
      <c r="J118">
        <v>4127.4537849999997</v>
      </c>
      <c r="K118">
        <v>4045.3350340000002</v>
      </c>
      <c r="L118">
        <v>4360.29727</v>
      </c>
      <c r="M118">
        <v>4284.5776910000004</v>
      </c>
      <c r="N118">
        <v>4691.9193459999997</v>
      </c>
      <c r="O118">
        <v>4333.2399370000003</v>
      </c>
      <c r="P118">
        <v>5223.3179229999996</v>
      </c>
      <c r="Q118">
        <v>5524.9386720000002</v>
      </c>
    </row>
    <row r="119" spans="1:17" x14ac:dyDescent="0.25">
      <c r="A119" t="s">
        <v>64</v>
      </c>
      <c r="B119" t="s">
        <v>65</v>
      </c>
      <c r="C119" t="s">
        <v>105</v>
      </c>
      <c r="D119" t="s">
        <v>106</v>
      </c>
      <c r="E119" t="s">
        <v>55</v>
      </c>
      <c r="F119">
        <v>3455</v>
      </c>
      <c r="G119">
        <v>3601</v>
      </c>
      <c r="H119">
        <v>4552</v>
      </c>
      <c r="I119">
        <v>4057</v>
      </c>
      <c r="J119">
        <v>4158</v>
      </c>
      <c r="K119">
        <v>4296</v>
      </c>
      <c r="L119">
        <v>4422</v>
      </c>
      <c r="M119">
        <v>4960</v>
      </c>
      <c r="N119">
        <v>4960</v>
      </c>
      <c r="O119">
        <v>5142</v>
      </c>
      <c r="P119">
        <v>5182</v>
      </c>
      <c r="Q119">
        <v>6816</v>
      </c>
    </row>
    <row r="120" spans="1:17" x14ac:dyDescent="0.25">
      <c r="A120" t="s">
        <v>66</v>
      </c>
      <c r="B120" t="s">
        <v>67</v>
      </c>
      <c r="C120" t="s">
        <v>105</v>
      </c>
      <c r="D120" t="s">
        <v>106</v>
      </c>
      <c r="E120" t="s">
        <v>55</v>
      </c>
      <c r="F120">
        <v>4189</v>
      </c>
      <c r="G120">
        <v>4093</v>
      </c>
      <c r="H120">
        <v>3877</v>
      </c>
      <c r="I120">
        <v>3859</v>
      </c>
      <c r="J120">
        <v>3795</v>
      </c>
      <c r="K120">
        <v>3229</v>
      </c>
      <c r="L120">
        <v>3316</v>
      </c>
      <c r="M120">
        <v>3594</v>
      </c>
      <c r="N120">
        <v>3260</v>
      </c>
      <c r="O120">
        <v>3104</v>
      </c>
      <c r="P120">
        <v>3072</v>
      </c>
      <c r="Q120">
        <v>3032</v>
      </c>
    </row>
    <row r="121" spans="1:17" x14ac:dyDescent="0.25">
      <c r="A121" t="s">
        <v>68</v>
      </c>
      <c r="B121" t="s">
        <v>69</v>
      </c>
      <c r="C121" t="s">
        <v>105</v>
      </c>
      <c r="D121" t="s">
        <v>106</v>
      </c>
      <c r="E121" t="s">
        <v>55</v>
      </c>
      <c r="F121">
        <v>18871</v>
      </c>
      <c r="G121">
        <v>20669</v>
      </c>
      <c r="H121">
        <v>20380</v>
      </c>
      <c r="I121">
        <v>20084</v>
      </c>
      <c r="J121">
        <v>17312</v>
      </c>
      <c r="K121">
        <v>17045</v>
      </c>
      <c r="L121">
        <v>17515</v>
      </c>
      <c r="M121">
        <v>17849</v>
      </c>
      <c r="N121">
        <v>21360</v>
      </c>
      <c r="O121">
        <v>20646</v>
      </c>
      <c r="P121">
        <v>20498</v>
      </c>
      <c r="Q121">
        <v>20877</v>
      </c>
    </row>
    <row r="122" spans="1:17" x14ac:dyDescent="0.25">
      <c r="A122" t="s">
        <v>70</v>
      </c>
      <c r="B122" t="s">
        <v>71</v>
      </c>
      <c r="C122" t="s">
        <v>105</v>
      </c>
      <c r="D122" t="s">
        <v>106</v>
      </c>
      <c r="E122" t="s">
        <v>55</v>
      </c>
      <c r="F122">
        <v>159.67699999999999</v>
      </c>
      <c r="G122">
        <v>187.86099999999999</v>
      </c>
      <c r="H122">
        <v>275.30900000000003</v>
      </c>
      <c r="I122">
        <v>288.05399999999997</v>
      </c>
      <c r="J122">
        <v>279.392</v>
      </c>
      <c r="K122">
        <v>308.04700000000003</v>
      </c>
      <c r="L122">
        <v>349.20600000000002</v>
      </c>
      <c r="M122">
        <v>493.21</v>
      </c>
      <c r="N122">
        <v>509.20400000000001</v>
      </c>
      <c r="O122">
        <v>548.04600000000005</v>
      </c>
      <c r="P122">
        <v>648.06299999999999</v>
      </c>
      <c r="Q122">
        <v>664.399</v>
      </c>
    </row>
    <row r="123" spans="1:17" x14ac:dyDescent="0.25">
      <c r="A123" t="s">
        <v>72</v>
      </c>
      <c r="B123" t="s">
        <v>73</v>
      </c>
      <c r="C123" t="s">
        <v>105</v>
      </c>
      <c r="D123" t="s">
        <v>106</v>
      </c>
      <c r="E123" t="s">
        <v>55</v>
      </c>
      <c r="F123">
        <v>1976.3340000000001</v>
      </c>
      <c r="G123">
        <v>2031.6990000000001</v>
      </c>
      <c r="H123">
        <v>2020.827</v>
      </c>
      <c r="I123">
        <v>2031.13</v>
      </c>
      <c r="J123">
        <v>1969.653</v>
      </c>
      <c r="K123">
        <v>2171.6109999999999</v>
      </c>
      <c r="L123">
        <v>2125.2629999999999</v>
      </c>
      <c r="M123">
        <v>2409.645</v>
      </c>
      <c r="N123">
        <v>2429.3870000000002</v>
      </c>
      <c r="O123">
        <v>2492.0770000000002</v>
      </c>
      <c r="P123">
        <v>2765.0129999999999</v>
      </c>
      <c r="Q123">
        <v>2829.701</v>
      </c>
    </row>
    <row r="124" spans="1:17" x14ac:dyDescent="0.25">
      <c r="A124" t="s">
        <v>74</v>
      </c>
      <c r="B124" t="s">
        <v>75</v>
      </c>
      <c r="C124" t="s">
        <v>105</v>
      </c>
      <c r="D124" t="s">
        <v>106</v>
      </c>
      <c r="E124" t="s">
        <v>55</v>
      </c>
      <c r="F124">
        <v>2020.7</v>
      </c>
      <c r="G124">
        <v>1924.9</v>
      </c>
      <c r="H124">
        <v>1807.4</v>
      </c>
      <c r="I124">
        <v>1786.459932</v>
      </c>
      <c r="J124">
        <v>1852.2</v>
      </c>
      <c r="K124">
        <v>2230.5</v>
      </c>
      <c r="L124">
        <v>2273.6</v>
      </c>
      <c r="M124">
        <v>2412.0509999999999</v>
      </c>
      <c r="N124">
        <v>2412.1</v>
      </c>
      <c r="O124">
        <v>4091.1</v>
      </c>
      <c r="P124">
        <v>3970.8</v>
      </c>
      <c r="Q124">
        <v>4097.4520000000002</v>
      </c>
    </row>
    <row r="125" spans="1:17" x14ac:dyDescent="0.25">
      <c r="A125" t="s">
        <v>76</v>
      </c>
      <c r="B125" t="s">
        <v>77</v>
      </c>
      <c r="C125" t="s">
        <v>105</v>
      </c>
      <c r="D125" t="s">
        <v>106</v>
      </c>
      <c r="E125" t="s">
        <v>55</v>
      </c>
      <c r="F125">
        <v>3575.6312699999999</v>
      </c>
      <c r="G125">
        <v>3722.0760500000001</v>
      </c>
      <c r="H125">
        <v>3868.2744590000002</v>
      </c>
      <c r="I125">
        <v>3948.3380999999999</v>
      </c>
      <c r="J125">
        <v>4037.6065010000002</v>
      </c>
      <c r="K125">
        <v>3921.8155200000001</v>
      </c>
      <c r="L125">
        <v>3851.9638</v>
      </c>
      <c r="M125">
        <v>3870.5717399999999</v>
      </c>
      <c r="N125">
        <v>3940.8153550000002</v>
      </c>
      <c r="O125">
        <v>3762.2982099999999</v>
      </c>
      <c r="P125">
        <v>3947.7986190000001</v>
      </c>
      <c r="Q125">
        <v>3800.5738200000001</v>
      </c>
    </row>
    <row r="126" spans="1:17" x14ac:dyDescent="0.25">
      <c r="A126" t="s">
        <v>78</v>
      </c>
      <c r="B126" t="s">
        <v>79</v>
      </c>
      <c r="C126" t="s">
        <v>105</v>
      </c>
      <c r="D126" t="s">
        <v>106</v>
      </c>
      <c r="E126" t="s">
        <v>55</v>
      </c>
      <c r="F126">
        <v>2570.5703659999999</v>
      </c>
      <c r="G126">
        <v>2464.8814080000002</v>
      </c>
      <c r="H126">
        <v>2346.225226</v>
      </c>
      <c r="I126">
        <v>2297.5130490000001</v>
      </c>
      <c r="J126">
        <v>2543.5560420000002</v>
      </c>
      <c r="K126">
        <v>2298.5685640000002</v>
      </c>
      <c r="L126">
        <v>2555.8903719999998</v>
      </c>
      <c r="M126">
        <v>2846.3734420000001</v>
      </c>
      <c r="N126">
        <v>4185.0133980000001</v>
      </c>
      <c r="O126">
        <v>3442.8352089999998</v>
      </c>
      <c r="P126">
        <v>3540.6355960000001</v>
      </c>
      <c r="Q126">
        <v>3572.0682409999999</v>
      </c>
    </row>
    <row r="127" spans="1:17" x14ac:dyDescent="0.25">
      <c r="A127" t="s">
        <v>80</v>
      </c>
      <c r="B127" t="s">
        <v>81</v>
      </c>
      <c r="C127" t="s">
        <v>105</v>
      </c>
      <c r="D127" t="s">
        <v>106</v>
      </c>
      <c r="E127" t="s">
        <v>55</v>
      </c>
      <c r="F127">
        <v>101951</v>
      </c>
      <c r="G127">
        <v>101879</v>
      </c>
      <c r="H127">
        <v>107631</v>
      </c>
      <c r="I127">
        <v>106995</v>
      </c>
      <c r="J127">
        <v>102974</v>
      </c>
      <c r="K127">
        <v>102071</v>
      </c>
      <c r="L127">
        <v>106452</v>
      </c>
      <c r="M127">
        <v>114320</v>
      </c>
      <c r="N127">
        <v>136876</v>
      </c>
      <c r="O127">
        <v>131524</v>
      </c>
      <c r="P127">
        <v>131202</v>
      </c>
      <c r="Q127">
        <v>133275</v>
      </c>
    </row>
    <row r="128" spans="1:17" x14ac:dyDescent="0.25">
      <c r="A128" t="s">
        <v>82</v>
      </c>
      <c r="B128" t="s">
        <v>83</v>
      </c>
      <c r="C128" t="s">
        <v>105</v>
      </c>
      <c r="D128" t="s">
        <v>106</v>
      </c>
      <c r="E128" t="s">
        <v>55</v>
      </c>
      <c r="F128">
        <v>2671.468077</v>
      </c>
      <c r="G128">
        <v>2838.4085690000002</v>
      </c>
      <c r="H128">
        <v>2884.8186810000002</v>
      </c>
      <c r="I128">
        <v>3187.9029780000001</v>
      </c>
      <c r="J128">
        <v>3427.0901789999998</v>
      </c>
      <c r="K128">
        <v>3499.8173660000002</v>
      </c>
      <c r="L128">
        <v>3440.5223129999999</v>
      </c>
      <c r="M128">
        <v>3612.638175</v>
      </c>
      <c r="N128">
        <v>4684.3830200000002</v>
      </c>
      <c r="O128">
        <v>4496.4871190000003</v>
      </c>
      <c r="P128">
        <v>4671.9878689999996</v>
      </c>
      <c r="Q128">
        <v>4796.1026190000002</v>
      </c>
    </row>
    <row r="129" spans="1:17" x14ac:dyDescent="0.25">
      <c r="A129" t="s">
        <v>84</v>
      </c>
      <c r="B129" t="s">
        <v>85</v>
      </c>
      <c r="C129" t="s">
        <v>105</v>
      </c>
      <c r="D129" t="s">
        <v>106</v>
      </c>
      <c r="E129" t="s">
        <v>55</v>
      </c>
      <c r="F129">
        <v>1592.001845</v>
      </c>
      <c r="G129">
        <v>1539.061974</v>
      </c>
      <c r="H129">
        <v>1669.8276470000001</v>
      </c>
      <c r="I129">
        <v>1701.7654279999999</v>
      </c>
      <c r="J129">
        <v>1657.0719240000001</v>
      </c>
      <c r="K129">
        <v>1705.937326</v>
      </c>
      <c r="L129">
        <v>1623.1740569999999</v>
      </c>
      <c r="M129">
        <v>1829.803255</v>
      </c>
      <c r="N129">
        <v>1739.582079</v>
      </c>
      <c r="O129">
        <v>1755.647849</v>
      </c>
      <c r="P129">
        <v>1844.618074</v>
      </c>
      <c r="Q129">
        <v>2009.6049680000001</v>
      </c>
    </row>
    <row r="130" spans="1:17" x14ac:dyDescent="0.25">
      <c r="A130" t="s">
        <v>86</v>
      </c>
      <c r="B130" t="s">
        <v>87</v>
      </c>
      <c r="C130" t="s">
        <v>105</v>
      </c>
      <c r="D130" t="s">
        <v>106</v>
      </c>
      <c r="E130" t="s">
        <v>55</v>
      </c>
      <c r="F130">
        <v>4448.1653480000004</v>
      </c>
      <c r="G130">
        <v>4259.1430760000003</v>
      </c>
      <c r="H130">
        <v>4207.3717919999999</v>
      </c>
      <c r="I130">
        <v>4226.1897449999997</v>
      </c>
      <c r="J130">
        <v>3817.597663</v>
      </c>
      <c r="K130">
        <v>3840.1367340000002</v>
      </c>
      <c r="L130">
        <v>3716.5016500000002</v>
      </c>
      <c r="M130">
        <v>3785.4227940000001</v>
      </c>
      <c r="N130">
        <v>4069.2675859999999</v>
      </c>
      <c r="O130">
        <v>3767.138117</v>
      </c>
      <c r="P130">
        <v>3790.970804</v>
      </c>
      <c r="Q130">
        <v>3419.349189</v>
      </c>
    </row>
    <row r="131" spans="1:17" x14ac:dyDescent="0.25">
      <c r="A131" t="s">
        <v>107</v>
      </c>
      <c r="B131" t="s">
        <v>46</v>
      </c>
      <c r="C131" t="s">
        <v>46</v>
      </c>
      <c r="D131" t="s">
        <v>46</v>
      </c>
      <c r="E131" t="s">
        <v>50</v>
      </c>
      <c r="F131">
        <v>103605.56764539999</v>
      </c>
      <c r="G131">
        <v>107295.88554599999</v>
      </c>
      <c r="H131">
        <v>105275.002379</v>
      </c>
      <c r="I131">
        <v>108711.15026600001</v>
      </c>
      <c r="J131">
        <v>104473.9694403</v>
      </c>
      <c r="K131">
        <v>104361.77810799998</v>
      </c>
      <c r="L131">
        <v>106461.90871340001</v>
      </c>
      <c r="M131">
        <v>108589.89112999999</v>
      </c>
      <c r="N131">
        <v>107662.5753392</v>
      </c>
      <c r="O131">
        <v>106484.60860499999</v>
      </c>
      <c r="P131">
        <v>119168.74426470003</v>
      </c>
      <c r="Q131">
        <v>103093.18711900001</v>
      </c>
    </row>
    <row r="132" spans="1:17" x14ac:dyDescent="0.25">
      <c r="A132" t="s">
        <v>51</v>
      </c>
      <c r="B132" t="s">
        <v>52</v>
      </c>
      <c r="C132" t="s">
        <v>108</v>
      </c>
      <c r="D132" t="s">
        <v>109</v>
      </c>
      <c r="E132" t="s">
        <v>55</v>
      </c>
      <c r="F132">
        <v>8876.66</v>
      </c>
      <c r="G132">
        <v>9710.2000000000007</v>
      </c>
      <c r="H132">
        <v>9893.4369999999999</v>
      </c>
      <c r="I132">
        <v>10438.425999999999</v>
      </c>
      <c r="J132">
        <v>10152.736000000001</v>
      </c>
      <c r="K132">
        <v>10724.588</v>
      </c>
      <c r="L132">
        <v>13055.567999999999</v>
      </c>
      <c r="M132">
        <v>13728.545</v>
      </c>
      <c r="N132">
        <v>14142.958000000001</v>
      </c>
      <c r="O132">
        <v>14827.691000000001</v>
      </c>
      <c r="P132">
        <v>15601.208000000001</v>
      </c>
      <c r="Q132">
        <v>15920.806</v>
      </c>
    </row>
    <row r="133" spans="1:17" x14ac:dyDescent="0.25">
      <c r="A133" t="s">
        <v>56</v>
      </c>
      <c r="B133" t="s">
        <v>57</v>
      </c>
      <c r="C133" t="s">
        <v>108</v>
      </c>
      <c r="D133" t="s">
        <v>109</v>
      </c>
      <c r="E133" t="s">
        <v>55</v>
      </c>
      <c r="F133">
        <v>3581.6889999999999</v>
      </c>
      <c r="G133">
        <v>3574.07</v>
      </c>
      <c r="H133">
        <v>3627.8919999999998</v>
      </c>
      <c r="I133">
        <v>3606.2170000000001</v>
      </c>
      <c r="J133">
        <v>3562.8690000000001</v>
      </c>
      <c r="K133">
        <v>3492.0419999999999</v>
      </c>
      <c r="L133">
        <v>3499.16</v>
      </c>
      <c r="M133">
        <v>3492.7869999999998</v>
      </c>
      <c r="N133">
        <v>3527.6849999999999</v>
      </c>
      <c r="O133">
        <v>3542.4659999999999</v>
      </c>
      <c r="P133">
        <v>3581.8040000000001</v>
      </c>
      <c r="Q133">
        <v>3578.8119999999999</v>
      </c>
    </row>
    <row r="134" spans="1:17" x14ac:dyDescent="0.25">
      <c r="A134" t="s">
        <v>58</v>
      </c>
      <c r="B134" t="s">
        <v>59</v>
      </c>
      <c r="C134" t="s">
        <v>108</v>
      </c>
      <c r="D134" t="s">
        <v>109</v>
      </c>
      <c r="E134" t="s">
        <v>55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</row>
    <row r="135" spans="1:17" x14ac:dyDescent="0.25">
      <c r="A135" t="s">
        <v>60</v>
      </c>
      <c r="B135" t="s">
        <v>61</v>
      </c>
      <c r="C135" t="s">
        <v>108</v>
      </c>
      <c r="D135" t="s">
        <v>109</v>
      </c>
      <c r="E135" t="s">
        <v>55</v>
      </c>
      <c r="F135" t="s">
        <v>46</v>
      </c>
      <c r="G135" t="s">
        <v>46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>
        <v>9453.6951000000008</v>
      </c>
      <c r="Q135" t="s">
        <v>46</v>
      </c>
    </row>
    <row r="136" spans="1:17" x14ac:dyDescent="0.25">
      <c r="A136" t="s">
        <v>62</v>
      </c>
      <c r="B136" t="s">
        <v>63</v>
      </c>
      <c r="C136" t="s">
        <v>108</v>
      </c>
      <c r="D136" t="s">
        <v>109</v>
      </c>
      <c r="E136" t="s">
        <v>55</v>
      </c>
      <c r="F136">
        <v>5112.7288120000003</v>
      </c>
      <c r="G136">
        <v>4968.4604289999997</v>
      </c>
      <c r="H136">
        <v>5231.1646840000003</v>
      </c>
      <c r="I136">
        <v>5322.3935140000003</v>
      </c>
      <c r="J136">
        <v>5119.4263979999996</v>
      </c>
      <c r="K136">
        <v>5166.4015769999996</v>
      </c>
      <c r="L136">
        <v>5088.0673809999998</v>
      </c>
      <c r="M136">
        <v>5223.4772199999998</v>
      </c>
      <c r="N136">
        <v>5094.9316429999999</v>
      </c>
      <c r="O136">
        <v>5199.0808850000003</v>
      </c>
      <c r="P136">
        <v>5459.0807519999998</v>
      </c>
      <c r="Q136">
        <v>4764.9520650000004</v>
      </c>
    </row>
    <row r="137" spans="1:17" x14ac:dyDescent="0.25">
      <c r="A137" t="s">
        <v>64</v>
      </c>
      <c r="B137" t="s">
        <v>65</v>
      </c>
      <c r="C137" t="s">
        <v>108</v>
      </c>
      <c r="D137" t="s">
        <v>109</v>
      </c>
      <c r="E137" t="s">
        <v>55</v>
      </c>
      <c r="F137">
        <v>10483</v>
      </c>
      <c r="G137">
        <v>10979</v>
      </c>
      <c r="H137">
        <v>10669</v>
      </c>
      <c r="I137">
        <v>10988</v>
      </c>
      <c r="J137">
        <v>10648</v>
      </c>
      <c r="K137">
        <v>10978</v>
      </c>
      <c r="L137">
        <v>11424</v>
      </c>
      <c r="M137">
        <v>11136</v>
      </c>
      <c r="N137">
        <v>10557</v>
      </c>
      <c r="O137">
        <v>10702</v>
      </c>
      <c r="P137">
        <v>11022</v>
      </c>
      <c r="Q137">
        <v>10613</v>
      </c>
    </row>
    <row r="138" spans="1:17" x14ac:dyDescent="0.25">
      <c r="A138" t="s">
        <v>66</v>
      </c>
      <c r="B138" t="s">
        <v>67</v>
      </c>
      <c r="C138" t="s">
        <v>108</v>
      </c>
      <c r="D138" t="s">
        <v>109</v>
      </c>
      <c r="E138" t="s">
        <v>55</v>
      </c>
      <c r="F138">
        <v>3459</v>
      </c>
      <c r="G138">
        <v>3454</v>
      </c>
      <c r="H138">
        <v>3671</v>
      </c>
      <c r="I138">
        <v>3652</v>
      </c>
      <c r="J138">
        <v>3641</v>
      </c>
      <c r="K138">
        <v>3501</v>
      </c>
      <c r="L138">
        <v>3364</v>
      </c>
      <c r="M138">
        <v>3069</v>
      </c>
      <c r="N138">
        <v>2043</v>
      </c>
      <c r="O138">
        <v>2010</v>
      </c>
      <c r="P138">
        <v>1442</v>
      </c>
      <c r="Q138">
        <v>1362</v>
      </c>
    </row>
    <row r="139" spans="1:17" x14ac:dyDescent="0.25">
      <c r="A139" t="s">
        <v>68</v>
      </c>
      <c r="B139" t="s">
        <v>69</v>
      </c>
      <c r="C139" t="s">
        <v>108</v>
      </c>
      <c r="D139" t="s">
        <v>109</v>
      </c>
      <c r="E139" t="s">
        <v>55</v>
      </c>
      <c r="F139">
        <v>12345</v>
      </c>
      <c r="G139">
        <v>12507</v>
      </c>
      <c r="H139">
        <v>13202</v>
      </c>
      <c r="I139">
        <v>13837</v>
      </c>
      <c r="J139">
        <v>11814</v>
      </c>
      <c r="K139">
        <v>11837</v>
      </c>
      <c r="L139">
        <v>11356</v>
      </c>
      <c r="M139">
        <v>11725</v>
      </c>
      <c r="N139">
        <v>11217</v>
      </c>
      <c r="O139">
        <v>8870</v>
      </c>
      <c r="P139">
        <v>9101</v>
      </c>
      <c r="Q139">
        <v>5129</v>
      </c>
    </row>
    <row r="140" spans="1:17" x14ac:dyDescent="0.25">
      <c r="A140" t="s">
        <v>70</v>
      </c>
      <c r="B140" t="s">
        <v>71</v>
      </c>
      <c r="C140" t="s">
        <v>108</v>
      </c>
      <c r="D140" t="s">
        <v>109</v>
      </c>
      <c r="E140" t="s">
        <v>55</v>
      </c>
      <c r="F140">
        <v>919.70600000000002</v>
      </c>
      <c r="G140">
        <v>985.14499999999998</v>
      </c>
      <c r="H140">
        <v>974.947</v>
      </c>
      <c r="I140">
        <v>1055.348</v>
      </c>
      <c r="J140">
        <v>1112.8030000000001</v>
      </c>
      <c r="K140">
        <v>1195.9349999999999</v>
      </c>
      <c r="L140">
        <v>1262.596</v>
      </c>
      <c r="M140">
        <v>1338.2249999999999</v>
      </c>
      <c r="N140">
        <v>1422.2470000000001</v>
      </c>
      <c r="O140">
        <v>1492.117</v>
      </c>
      <c r="P140">
        <v>1596.145</v>
      </c>
      <c r="Q140">
        <v>1647.482</v>
      </c>
    </row>
    <row r="141" spans="1:17" x14ac:dyDescent="0.25">
      <c r="A141" t="s">
        <v>72</v>
      </c>
      <c r="B141" t="s">
        <v>73</v>
      </c>
      <c r="C141" t="s">
        <v>108</v>
      </c>
      <c r="D141" t="s">
        <v>109</v>
      </c>
      <c r="E141" t="s">
        <v>55</v>
      </c>
      <c r="F141">
        <v>1263.0999999999999</v>
      </c>
      <c r="G141">
        <v>1318.192</v>
      </c>
      <c r="H141">
        <v>1428.7940000000001</v>
      </c>
      <c r="I141">
        <v>1365.9970000000001</v>
      </c>
      <c r="J141">
        <v>1296.425</v>
      </c>
      <c r="K141">
        <v>1285.018</v>
      </c>
      <c r="L141">
        <v>1404.182</v>
      </c>
      <c r="M141">
        <v>1495.1690000000001</v>
      </c>
      <c r="N141">
        <v>1583.37</v>
      </c>
      <c r="O141">
        <v>1605.684</v>
      </c>
      <c r="P141">
        <v>1689.171</v>
      </c>
      <c r="Q141">
        <v>1573.079</v>
      </c>
    </row>
    <row r="142" spans="1:17" x14ac:dyDescent="0.25">
      <c r="A142" t="s">
        <v>74</v>
      </c>
      <c r="B142" t="s">
        <v>75</v>
      </c>
      <c r="C142" t="s">
        <v>108</v>
      </c>
      <c r="D142" t="s">
        <v>109</v>
      </c>
      <c r="E142" t="s">
        <v>55</v>
      </c>
      <c r="F142">
        <v>5374.9</v>
      </c>
      <c r="G142">
        <v>5056</v>
      </c>
      <c r="H142">
        <v>5437.8</v>
      </c>
      <c r="I142">
        <v>5585.8151669999997</v>
      </c>
      <c r="J142">
        <v>5677.8</v>
      </c>
      <c r="K142">
        <v>5774.5</v>
      </c>
      <c r="L142">
        <v>5720.4</v>
      </c>
      <c r="M142">
        <v>6109.1189999999997</v>
      </c>
      <c r="N142">
        <v>6109.1</v>
      </c>
      <c r="O142">
        <v>6563.7</v>
      </c>
      <c r="P142">
        <v>6944</v>
      </c>
      <c r="Q142">
        <v>6900.7160000000003</v>
      </c>
    </row>
    <row r="143" spans="1:17" x14ac:dyDescent="0.25">
      <c r="A143" t="s">
        <v>76</v>
      </c>
      <c r="B143" t="s">
        <v>77</v>
      </c>
      <c r="C143" t="s">
        <v>108</v>
      </c>
      <c r="D143" t="s">
        <v>109</v>
      </c>
      <c r="E143" t="s">
        <v>55</v>
      </c>
      <c r="F143">
        <v>633.69312939999998</v>
      </c>
      <c r="G143">
        <v>706.40954999999997</v>
      </c>
      <c r="H143">
        <v>780.13763500000005</v>
      </c>
      <c r="I143">
        <v>726.92318999999998</v>
      </c>
      <c r="J143">
        <v>705.07944629999997</v>
      </c>
      <c r="K143">
        <v>717.28063999999995</v>
      </c>
      <c r="L143">
        <v>776.08715240000004</v>
      </c>
      <c r="M143">
        <v>788.72409000000005</v>
      </c>
      <c r="N143">
        <v>817.33457320000002</v>
      </c>
      <c r="O143">
        <v>807.58520999999996</v>
      </c>
      <c r="P143">
        <v>899.16554369999994</v>
      </c>
      <c r="Q143">
        <v>848.38742999999999</v>
      </c>
    </row>
    <row r="144" spans="1:17" x14ac:dyDescent="0.25">
      <c r="A144" t="s">
        <v>78</v>
      </c>
      <c r="B144" t="s">
        <v>79</v>
      </c>
      <c r="C144" t="s">
        <v>108</v>
      </c>
      <c r="D144" t="s">
        <v>109</v>
      </c>
      <c r="E144" t="s">
        <v>55</v>
      </c>
      <c r="F144">
        <v>10602.61622</v>
      </c>
      <c r="G144">
        <v>11074.215759999999</v>
      </c>
      <c r="H144">
        <v>9549.3449639999999</v>
      </c>
      <c r="I144">
        <v>9966.8406510000004</v>
      </c>
      <c r="J144">
        <v>8862.5045640000008</v>
      </c>
      <c r="K144">
        <v>8979.9378359999992</v>
      </c>
      <c r="L144">
        <v>9332.3288850000008</v>
      </c>
      <c r="M144">
        <v>9377.2223770000001</v>
      </c>
      <c r="N144">
        <v>8248.7388809999993</v>
      </c>
      <c r="O144">
        <v>8615.0123459999995</v>
      </c>
      <c r="P144">
        <v>8596.9013470000009</v>
      </c>
      <c r="Q144">
        <v>8735.6730530000004</v>
      </c>
    </row>
    <row r="145" spans="1:17" x14ac:dyDescent="0.25">
      <c r="A145" t="s">
        <v>80</v>
      </c>
      <c r="B145" t="s">
        <v>81</v>
      </c>
      <c r="C145" t="s">
        <v>108</v>
      </c>
      <c r="D145" t="s">
        <v>109</v>
      </c>
      <c r="E145" t="s">
        <v>55</v>
      </c>
      <c r="F145">
        <v>18544</v>
      </c>
      <c r="G145">
        <v>19757</v>
      </c>
      <c r="H145">
        <v>17725</v>
      </c>
      <c r="I145">
        <v>18290</v>
      </c>
      <c r="J145">
        <v>18648</v>
      </c>
      <c r="K145">
        <v>19919</v>
      </c>
      <c r="L145">
        <v>16930</v>
      </c>
      <c r="M145">
        <v>16606</v>
      </c>
      <c r="N145">
        <v>17776</v>
      </c>
      <c r="O145">
        <v>18096</v>
      </c>
      <c r="P145">
        <v>20984</v>
      </c>
      <c r="Q145">
        <v>20128</v>
      </c>
    </row>
    <row r="146" spans="1:17" x14ac:dyDescent="0.25">
      <c r="A146" t="s">
        <v>82</v>
      </c>
      <c r="B146" t="s">
        <v>83</v>
      </c>
      <c r="C146" t="s">
        <v>108</v>
      </c>
      <c r="D146" t="s">
        <v>109</v>
      </c>
      <c r="E146" t="s">
        <v>55</v>
      </c>
      <c r="F146">
        <v>11246.071260000001</v>
      </c>
      <c r="G146">
        <v>11862.28003</v>
      </c>
      <c r="H146">
        <v>12834.624089999999</v>
      </c>
      <c r="I146">
        <v>13454.55941</v>
      </c>
      <c r="J146">
        <v>12878.71486</v>
      </c>
      <c r="K146">
        <v>10845.69845</v>
      </c>
      <c r="L146">
        <v>12304.7783</v>
      </c>
      <c r="M146">
        <v>13272.44952</v>
      </c>
      <c r="N146">
        <v>13338.3338</v>
      </c>
      <c r="O146">
        <v>13820.30183</v>
      </c>
      <c r="P146">
        <v>12038.975350000001</v>
      </c>
      <c r="Q146">
        <v>11524.311530000001</v>
      </c>
    </row>
    <row r="147" spans="1:17" x14ac:dyDescent="0.25">
      <c r="A147" t="s">
        <v>84</v>
      </c>
      <c r="B147" t="s">
        <v>85</v>
      </c>
      <c r="C147" t="s">
        <v>108</v>
      </c>
      <c r="D147" t="s">
        <v>109</v>
      </c>
      <c r="E147" t="s">
        <v>55</v>
      </c>
      <c r="F147">
        <v>2758.0203620000002</v>
      </c>
      <c r="G147">
        <v>2699.7658759999999</v>
      </c>
      <c r="H147">
        <v>2844.4750709999998</v>
      </c>
      <c r="I147">
        <v>2970.8167020000001</v>
      </c>
      <c r="J147">
        <v>3026.0240960000001</v>
      </c>
      <c r="K147">
        <v>2732.1773410000001</v>
      </c>
      <c r="L147">
        <v>3057.2535509999998</v>
      </c>
      <c r="M147">
        <v>2994.9670599999999</v>
      </c>
      <c r="N147">
        <v>3142.7497830000002</v>
      </c>
      <c r="O147">
        <v>3026.9287450000002</v>
      </c>
      <c r="P147">
        <v>3160.611868</v>
      </c>
      <c r="Q147">
        <v>2946.1700700000001</v>
      </c>
    </row>
    <row r="148" spans="1:17" x14ac:dyDescent="0.25">
      <c r="A148" t="s">
        <v>86</v>
      </c>
      <c r="B148" t="s">
        <v>87</v>
      </c>
      <c r="C148" t="s">
        <v>108</v>
      </c>
      <c r="D148" t="s">
        <v>109</v>
      </c>
      <c r="E148" t="s">
        <v>55</v>
      </c>
      <c r="F148">
        <v>8405.3828620000004</v>
      </c>
      <c r="G148">
        <v>8644.1469010000001</v>
      </c>
      <c r="H148">
        <v>7405.3859350000002</v>
      </c>
      <c r="I148">
        <v>7450.8136320000003</v>
      </c>
      <c r="J148">
        <v>7328.5870759999998</v>
      </c>
      <c r="K148">
        <v>7213.1992639999999</v>
      </c>
      <c r="L148">
        <v>7887.4874440000003</v>
      </c>
      <c r="M148">
        <v>8233.2058629999992</v>
      </c>
      <c r="N148">
        <v>8642.1266589999996</v>
      </c>
      <c r="O148">
        <v>7306.0415890000004</v>
      </c>
      <c r="P148">
        <v>7598.986304</v>
      </c>
      <c r="Q148">
        <v>7420.797971</v>
      </c>
    </row>
    <row r="149" spans="1:17" x14ac:dyDescent="0.25">
      <c r="A149" t="s">
        <v>110</v>
      </c>
      <c r="B149" t="s">
        <v>46</v>
      </c>
      <c r="C149" t="s">
        <v>46</v>
      </c>
      <c r="D149" t="s">
        <v>46</v>
      </c>
      <c r="E149" t="s">
        <v>47</v>
      </c>
      <c r="F149" t="s">
        <v>46</v>
      </c>
      <c r="G149" t="s">
        <v>46</v>
      </c>
      <c r="H149" t="s">
        <v>46</v>
      </c>
      <c r="I149" t="s">
        <v>46</v>
      </c>
      <c r="J149" t="s">
        <v>46</v>
      </c>
      <c r="K149" t="s">
        <v>46</v>
      </c>
      <c r="L149" t="s">
        <v>46</v>
      </c>
      <c r="M149" t="s">
        <v>46</v>
      </c>
      <c r="N149" t="s">
        <v>46</v>
      </c>
      <c r="O149" t="s">
        <v>46</v>
      </c>
      <c r="P149" t="s">
        <v>46</v>
      </c>
      <c r="Q14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1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29" width="9.140625" bestFit="1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ReferenceData!$C$322</f>
        <v>2020 Q1</v>
      </c>
      <c r="G2" s="1" t="str">
        <f>ReferenceData!$D$322</f>
        <v>2019 Q4</v>
      </c>
      <c r="H2" s="1" t="str">
        <f>ReferenceData!$E$322</f>
        <v>2019 Q3</v>
      </c>
      <c r="I2" s="1" t="str">
        <f>ReferenceData!$F$322</f>
        <v>2019 Q2</v>
      </c>
      <c r="J2" s="1" t="str">
        <f>ReferenceData!$G$322</f>
        <v>2019 Q1</v>
      </c>
      <c r="K2" s="1" t="str">
        <f>ReferenceData!$H$322</f>
        <v>2018 Q4</v>
      </c>
      <c r="L2" s="1" t="str">
        <f>ReferenceData!$I$322</f>
        <v>2018 Q3</v>
      </c>
      <c r="M2" s="1" t="str">
        <f>ReferenceData!$J$322</f>
        <v>2018 Q2</v>
      </c>
      <c r="N2" s="1" t="str">
        <f>ReferenceData!$K$322</f>
        <v>2018 Q1</v>
      </c>
      <c r="O2" s="1" t="str">
        <f>ReferenceData!$L$322</f>
        <v>2017 Q4</v>
      </c>
      <c r="P2" s="1" t="str">
        <f>ReferenceData!$M$322</f>
        <v>2017 Q3</v>
      </c>
      <c r="Q2" s="1" t="str">
        <f>ReferenceData!$N$322</f>
        <v>2017 Q2</v>
      </c>
      <c r="R2" t="str">
        <f>$C$322</f>
        <v>2020 Q1</v>
      </c>
      <c r="S2" t="str">
        <f>$D$322</f>
        <v>2019 Q4</v>
      </c>
      <c r="T2" t="str">
        <f>$E$322</f>
        <v>2019 Q3</v>
      </c>
      <c r="U2" t="str">
        <f>$F$322</f>
        <v>2019 Q2</v>
      </c>
      <c r="V2" t="str">
        <f>$G$322</f>
        <v>2019 Q1</v>
      </c>
      <c r="W2" t="str">
        <f>$H$322</f>
        <v>2018 Q4</v>
      </c>
      <c r="X2" t="str">
        <f>$I$322</f>
        <v>2018 Q3</v>
      </c>
      <c r="Y2" t="str">
        <f>$J$322</f>
        <v>2018 Q2</v>
      </c>
      <c r="Z2" t="str">
        <f>$K$322</f>
        <v>2018 Q1</v>
      </c>
      <c r="AA2" t="str">
        <f>$L$322</f>
        <v>2017 Q4</v>
      </c>
      <c r="AB2" t="str">
        <f>$M$322</f>
        <v>2017 Q3</v>
      </c>
      <c r="AC2" t="str">
        <f>$N$322</f>
        <v>2017 Q2</v>
      </c>
    </row>
    <row r="3" spans="1:29" x14ac:dyDescent="0.25">
      <c r="A3" t="str">
        <f>"Assets ($M):"</f>
        <v>Assets ($M):</v>
      </c>
      <c r="B3" t="str">
        <f>""</f>
        <v/>
      </c>
      <c r="E3" t="str">
        <f>"Heading"</f>
        <v>Heading</v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</row>
    <row r="4" spans="1:29" x14ac:dyDescent="0.25">
      <c r="A4" t="str">
        <f>"Cash &amp; ST Investments"</f>
        <v>Cash &amp; ST Investments</v>
      </c>
      <c r="B4" t="str">
        <f>"BRITBPOV Index"</f>
        <v>BRITBPOV Index</v>
      </c>
      <c r="E4" t="str">
        <f>"Sum"</f>
        <v>Sum</v>
      </c>
      <c r="F4">
        <f ca="1">IF(ISERROR(IF(SUM($F$5:$F$21) = 0, "", SUM($F$5:$F$21))), "", (IF(SUM($F$5:$F$21) = 0, "", SUM($F$5:$F$21))))</f>
        <v>44295.5007721</v>
      </c>
      <c r="G4">
        <f ca="1">IF(ISERROR(IF(SUM($G$5:$G$21) = 0, "", SUM($G$5:$G$21))), "", (IF(SUM($G$5:$G$21) = 0, "", SUM($G$5:$G$21))))</f>
        <v>42973.641259800002</v>
      </c>
      <c r="H4">
        <f ca="1">IF(ISERROR(IF(SUM($H$5:$H$21) = 0, "", SUM($H$5:$H$21))), "", (IF(SUM($H$5:$H$21) = 0, "", SUM($H$5:$H$21))))</f>
        <v>42078.284508199999</v>
      </c>
      <c r="I4">
        <f ca="1">IF(ISERROR(IF(SUM($I$5:$I$21) = 0, "", SUM($I$5:$I$21))), "", (IF(SUM($I$5:$I$21) = 0, "", SUM($I$5:$I$21))))</f>
        <v>76948.2729272</v>
      </c>
      <c r="J4">
        <f ca="1">IF(ISERROR(IF(SUM($J$5:$J$21) = 0, "", SUM($J$5:$J$21))), "", (IF(SUM($J$5:$J$21) = 0, "", SUM($J$5:$J$21))))</f>
        <v>50618.185729999997</v>
      </c>
      <c r="K4">
        <f ca="1">IF(ISERROR(IF(SUM($K$5:$K$21) = 0, "", SUM($K$5:$K$21))), "", (IF(SUM($K$5:$K$21) = 0, "", SUM($K$5:$K$21))))</f>
        <v>43413.318614999996</v>
      </c>
      <c r="L4">
        <f ca="1">IF(ISERROR(IF(SUM($L$5:$L$21) = 0, "", SUM($L$5:$L$21))), "", (IF(SUM($L$5:$L$21) = 0, "", SUM($L$5:$L$21))))</f>
        <v>45332.222559099995</v>
      </c>
      <c r="M4">
        <f ca="1">IF(ISERROR(IF(SUM($M$5:$M$21) = 0, "", SUM($M$5:$M$21))), "", (IF(SUM($M$5:$M$21) = 0, "", SUM($M$5:$M$21))))</f>
        <v>42387.0882643</v>
      </c>
      <c r="N4">
        <f ca="1">IF(ISERROR(IF(SUM($N$5:$N$21) = 0, "", SUM($N$5:$N$21))), "", (IF(SUM($N$5:$N$21) = 0, "", SUM($N$5:$N$21))))</f>
        <v>44248.887874700005</v>
      </c>
      <c r="O4">
        <f ca="1">IF(ISERROR(IF(SUM($O$5:$O$21) = 0, "", SUM($O$5:$O$21))), "", (IF(SUM($O$5:$O$21) = 0, "", SUM($O$5:$O$21))))</f>
        <v>44139.915891800003</v>
      </c>
      <c r="P4">
        <f ca="1">IF(ISERROR(IF(SUM($P$5:$P$21) = 0, "", SUM($P$5:$P$21))), "", (IF(SUM($P$5:$P$21) = 0, "", SUM($P$5:$P$21))))</f>
        <v>45158.117290999995</v>
      </c>
      <c r="Q4">
        <f ca="1">IF(ISERROR(IF(SUM($Q$5:$Q$21) = 0, "", SUM($Q$5:$Q$21))), "", (IF(SUM($Q$5:$Q$21) = 0, "", SUM($Q$5:$Q$21))))</f>
        <v>44196.454791600001</v>
      </c>
      <c r="R4">
        <f>44295.50077</f>
        <v>44295.500769999999</v>
      </c>
      <c r="S4">
        <f>42973.64126</f>
        <v>42973.641259999997</v>
      </c>
      <c r="T4">
        <f>42078.28451</f>
        <v>42078.284509999998</v>
      </c>
      <c r="U4">
        <f>76948.27293</f>
        <v>76948.272930000006</v>
      </c>
      <c r="V4">
        <f>50618.18573</f>
        <v>50618.185729999997</v>
      </c>
      <c r="W4">
        <f>43413.31862</f>
        <v>43413.318619999998</v>
      </c>
      <c r="X4">
        <f>45332.22256</f>
        <v>45332.222560000002</v>
      </c>
      <c r="Y4">
        <f>42387.08826</f>
        <v>42387.088259999997</v>
      </c>
      <c r="Z4">
        <f>44248.88788</f>
        <v>44248.887880000002</v>
      </c>
      <c r="AA4">
        <f>44139.91589</f>
        <v>44139.915889999997</v>
      </c>
      <c r="AB4">
        <f>45158.11729</f>
        <v>45158.117290000002</v>
      </c>
      <c r="AC4">
        <f>44196.45479</f>
        <v>44196.454790000003</v>
      </c>
    </row>
    <row r="5" spans="1:29" x14ac:dyDescent="0.25">
      <c r="A5" t="str">
        <f>"    Accenture PLC"</f>
        <v xml:space="preserve">    Accenture PLC</v>
      </c>
      <c r="B5" t="str">
        <f>"ACN US Equity"</f>
        <v>ACN US Equity</v>
      </c>
      <c r="C5" t="str">
        <f t="shared" ref="C5:C21" si="0">"RR253"</f>
        <v>RR253</v>
      </c>
      <c r="D5" t="str">
        <f t="shared" ref="D5:D21" si="1">"CASH_AND_MARKETABLE_SECURITIES"</f>
        <v>CASH_AND_MARKETABLE_SECURITIES</v>
      </c>
      <c r="E5" t="str">
        <f t="shared" ref="E5:E21" si="2">"Dynamic"</f>
        <v>Dynamic</v>
      </c>
      <c r="F5">
        <f ca="1">IF(AND(ISNUMBER($F$167),$B$165=1),$F$167,HLOOKUP(INDIRECT(ADDRESS(2,COLUMN())),OFFSET($R$2,0,0,ROW()-1,12),ROW()-1,FALSE))</f>
        <v>5440.0990000000002</v>
      </c>
      <c r="G5">
        <f ca="1">IF(AND(ISNUMBER($G$167),$B$165=1),$G$167,HLOOKUP(INDIRECT(ADDRESS(2,COLUMN())),OFFSET($R$2,0,0,ROW()-1,12),ROW()-1,FALSE))</f>
        <v>5813.84</v>
      </c>
      <c r="H5">
        <f ca="1">IF(AND(ISNUMBER($H$167),$B$165=1),$H$167,HLOOKUP(INDIRECT(ADDRESS(2,COLUMN())),OFFSET($R$2,0,0,ROW()-1,12),ROW()-1,FALSE))</f>
        <v>6130.1660000000002</v>
      </c>
      <c r="I5">
        <f ca="1">IF(AND(ISNUMBER($I$167),$B$165=1),$I$167,HLOOKUP(INDIRECT(ADDRESS(2,COLUMN())),OFFSET($R$2,0,0,ROW()-1,12),ROW()-1,FALSE))</f>
        <v>4772.4960000000001</v>
      </c>
      <c r="J5">
        <f ca="1">IF(AND(ISNUMBER($J$167),$B$165=1),$J$167,HLOOKUP(INDIRECT(ADDRESS(2,COLUMN())),OFFSET($R$2,0,0,ROW()-1,12),ROW()-1,FALSE))</f>
        <v>4468</v>
      </c>
      <c r="K5">
        <f ca="1">IF(AND(ISNUMBER($K$167),$B$165=1),$K$167,HLOOKUP(INDIRECT(ADDRESS(2,COLUMN())),OFFSET($R$2,0,0,ROW()-1,12),ROW()-1,FALSE))</f>
        <v>4366.9059999999999</v>
      </c>
      <c r="L5">
        <f ca="1">IF(AND(ISNUMBER($L$167),$B$165=1),$L$167,HLOOKUP(INDIRECT(ADDRESS(2,COLUMN())),OFFSET($R$2,0,0,ROW()-1,12),ROW()-1,FALSE))</f>
        <v>5064.5519999999997</v>
      </c>
      <c r="M5">
        <f ca="1">IF(AND(ISNUMBER($M$167),$B$165=1),$M$167,HLOOKUP(INDIRECT(ADDRESS(2,COLUMN())),OFFSET($R$2,0,0,ROW()-1,12),ROW()-1,FALSE))</f>
        <v>3932.1060000000002</v>
      </c>
      <c r="N5">
        <f ca="1">IF(AND(ISNUMBER($N$167),$B$165=1),$N$167,HLOOKUP(INDIRECT(ADDRESS(2,COLUMN())),OFFSET($R$2,0,0,ROW()-1,12),ROW()-1,FALSE))</f>
        <v>3598.4969999999998</v>
      </c>
      <c r="O5">
        <f ca="1">IF(AND(ISNUMBER($O$167),$B$165=1),$O$167,HLOOKUP(INDIRECT(ADDRESS(2,COLUMN())),OFFSET($R$2,0,0,ROW()-1,12),ROW()-1,FALSE))</f>
        <v>3682.393</v>
      </c>
      <c r="P5">
        <f ca="1">IF(AND(ISNUMBER($P$167),$B$165=1),$P$167,HLOOKUP(INDIRECT(ADDRESS(2,COLUMN())),OFFSET($R$2,0,0,ROW()-1,12),ROW()-1,FALSE))</f>
        <v>4129.8710000000001</v>
      </c>
      <c r="Q5">
        <f ca="1">IF(AND(ISNUMBER($Q$167),$B$165=1),$Q$167,HLOOKUP(INDIRECT(ADDRESS(2,COLUMN())),OFFSET($R$2,0,0,ROW()-1,12),ROW()-1,FALSE))</f>
        <v>3384.8470000000002</v>
      </c>
      <c r="R5">
        <f>5440.099</f>
        <v>5440.0990000000002</v>
      </c>
      <c r="S5">
        <f>5813.84</f>
        <v>5813.84</v>
      </c>
      <c r="T5">
        <f>6130.166</f>
        <v>6130.1660000000002</v>
      </c>
      <c r="U5">
        <f>4772.496</f>
        <v>4772.4960000000001</v>
      </c>
      <c r="V5">
        <f>4468</f>
        <v>4468</v>
      </c>
      <c r="W5">
        <f>4366.906</f>
        <v>4366.9059999999999</v>
      </c>
      <c r="X5">
        <f>5064.552</f>
        <v>5064.5519999999997</v>
      </c>
      <c r="Y5">
        <f>3932.106</f>
        <v>3932.1060000000002</v>
      </c>
      <c r="Z5">
        <f>3598.497</f>
        <v>3598.4969999999998</v>
      </c>
      <c r="AA5">
        <f>3682.393</f>
        <v>3682.393</v>
      </c>
      <c r="AB5">
        <f>4129.871</f>
        <v>4129.8710000000001</v>
      </c>
      <c r="AC5">
        <f>3384.847</f>
        <v>3384.8470000000002</v>
      </c>
    </row>
    <row r="6" spans="1:29" x14ac:dyDescent="0.25">
      <c r="A6" t="str">
        <f>"    Amdocs Ltd"</f>
        <v xml:space="preserve">    Amdocs Ltd</v>
      </c>
      <c r="B6" t="str">
        <f>"DOX US Equity"</f>
        <v>DOX US Equity</v>
      </c>
      <c r="C6" t="str">
        <f t="shared" si="0"/>
        <v>RR253</v>
      </c>
      <c r="D6" t="str">
        <f t="shared" si="1"/>
        <v>CASH_AND_MARKETABLE_SECURITIES</v>
      </c>
      <c r="E6" t="str">
        <f t="shared" si="2"/>
        <v>Dynamic</v>
      </c>
      <c r="F6">
        <f ca="1">IF(AND(ISNUMBER($F$168),$B$165=1),$F$168,HLOOKUP(INDIRECT(ADDRESS(2,COLUMN())),OFFSET($R$2,0,0,ROW()-1,12),ROW()-1,FALSE))</f>
        <v>762.60199999999998</v>
      </c>
      <c r="G6">
        <f ca="1">IF(AND(ISNUMBER($G$168),$B$165=1),$G$168,HLOOKUP(INDIRECT(ADDRESS(2,COLUMN())),OFFSET($R$2,0,0,ROW()-1,12),ROW()-1,FALSE))</f>
        <v>485.875</v>
      </c>
      <c r="H6">
        <f ca="1">IF(AND(ISNUMBER($H$168),$B$165=1),$H$168,HLOOKUP(INDIRECT(ADDRESS(2,COLUMN())),OFFSET($R$2,0,0,ROW()-1,12),ROW()-1,FALSE))</f>
        <v>471.63200000000001</v>
      </c>
      <c r="I6">
        <f ca="1">IF(AND(ISNUMBER($I$168),$B$165=1),$I$168,HLOOKUP(INDIRECT(ADDRESS(2,COLUMN())),OFFSET($R$2,0,0,ROW()-1,12),ROW()-1,FALSE))</f>
        <v>457.70699999999999</v>
      </c>
      <c r="J6">
        <f ca="1">IF(AND(ISNUMBER($J$168),$B$165=1),$J$168,HLOOKUP(INDIRECT(ADDRESS(2,COLUMN())),OFFSET($R$2,0,0,ROW()-1,12),ROW()-1,FALSE))</f>
        <v>449.69600000000003</v>
      </c>
      <c r="K6">
        <f ca="1">IF(AND(ISNUMBER($K$168),$B$165=1),$K$168,HLOOKUP(INDIRECT(ADDRESS(2,COLUMN())),OFFSET($R$2,0,0,ROW()-1,12),ROW()-1,FALSE))</f>
        <v>458.65</v>
      </c>
      <c r="L6">
        <f ca="1">IF(AND(ISNUMBER($L$168),$B$165=1),$L$168,HLOOKUP(INDIRECT(ADDRESS(2,COLUMN())),OFFSET($R$2,0,0,ROW()-1,12),ROW()-1,FALSE))</f>
        <v>519.21600000000001</v>
      </c>
      <c r="M6">
        <f ca="1">IF(AND(ISNUMBER($M$168),$B$165=1),$M$168,HLOOKUP(INDIRECT(ADDRESS(2,COLUMN())),OFFSET($R$2,0,0,ROW()-1,12),ROW()-1,FALSE))</f>
        <v>561.04100000000005</v>
      </c>
      <c r="N6">
        <f ca="1">IF(AND(ISNUMBER($N$168),$B$165=1),$N$168,HLOOKUP(INDIRECT(ADDRESS(2,COLUMN())),OFFSET($R$2,0,0,ROW()-1,12),ROW()-1,FALSE))</f>
        <v>666.84299999999996</v>
      </c>
      <c r="O6">
        <f ca="1">IF(AND(ISNUMBER($O$168),$B$165=1),$O$168,HLOOKUP(INDIRECT(ADDRESS(2,COLUMN())),OFFSET($R$2,0,0,ROW()-1,12),ROW()-1,FALSE))</f>
        <v>965.93799999999999</v>
      </c>
      <c r="P6">
        <f ca="1">IF(AND(ISNUMBER($P$168),$B$165=1),$P$168,HLOOKUP(INDIRECT(ADDRESS(2,COLUMN())),OFFSET($R$2,0,0,ROW()-1,12),ROW()-1,FALSE))</f>
        <v>979.60799999999995</v>
      </c>
      <c r="Q6">
        <f ca="1">IF(AND(ISNUMBER($Q$168),$B$165=1),$Q$168,HLOOKUP(INDIRECT(ADDRESS(2,COLUMN())),OFFSET($R$2,0,0,ROW()-1,12),ROW()-1,FALSE))</f>
        <v>963.03899999999999</v>
      </c>
      <c r="R6">
        <f>762.602</f>
        <v>762.60199999999998</v>
      </c>
      <c r="S6">
        <f>485.875</f>
        <v>485.875</v>
      </c>
      <c r="T6">
        <f>471.632</f>
        <v>471.63200000000001</v>
      </c>
      <c r="U6">
        <f>457.707</f>
        <v>457.70699999999999</v>
      </c>
      <c r="V6">
        <f>449.696</f>
        <v>449.69600000000003</v>
      </c>
      <c r="W6">
        <f>458.65</f>
        <v>458.65</v>
      </c>
      <c r="X6">
        <f>519.216</f>
        <v>519.21600000000001</v>
      </c>
      <c r="Y6">
        <f>561.041</f>
        <v>561.04100000000005</v>
      </c>
      <c r="Z6">
        <f>666.843</f>
        <v>666.84299999999996</v>
      </c>
      <c r="AA6">
        <f>965.938</f>
        <v>965.93799999999999</v>
      </c>
      <c r="AB6">
        <f>979.608</f>
        <v>979.60799999999995</v>
      </c>
      <c r="AC6">
        <f>963.039</f>
        <v>963.03899999999999</v>
      </c>
    </row>
    <row r="7" spans="1:29" x14ac:dyDescent="0.25">
      <c r="A7" t="str">
        <f>"    Atos SE"</f>
        <v xml:space="preserve">    Atos SE</v>
      </c>
      <c r="B7" t="str">
        <f>"ATO FP Equity"</f>
        <v>ATO FP Equity</v>
      </c>
      <c r="C7" t="str">
        <f t="shared" si="0"/>
        <v>RR253</v>
      </c>
      <c r="D7" t="str">
        <f t="shared" si="1"/>
        <v>CASH_AND_MARKETABLE_SECURITIES</v>
      </c>
      <c r="E7" t="str">
        <f t="shared" si="2"/>
        <v>Dynamic</v>
      </c>
      <c r="F7" t="str">
        <f ca="1">IF(AND(ISNUMBER($F$169),$B$165=1),$F$169,HLOOKUP(INDIRECT(ADDRESS(2,COLUMN())),OFFSET($R$2,0,0,ROW()-1,12),ROW()-1,FALSE))</f>
        <v/>
      </c>
      <c r="G7" t="str">
        <f ca="1">IF(AND(ISNUMBER($G$169),$B$165=1),$G$169,HLOOKUP(INDIRECT(ADDRESS(2,COLUMN())),OFFSET($R$2,0,0,ROW()-1,12),ROW()-1,FALSE))</f>
        <v/>
      </c>
      <c r="H7" t="str">
        <f ca="1">IF(AND(ISNUMBER($H$169),$B$165=1),$H$169,HLOOKUP(INDIRECT(ADDRESS(2,COLUMN())),OFFSET($R$2,0,0,ROW()-1,12),ROW()-1,FALSE))</f>
        <v/>
      </c>
      <c r="I7" t="str">
        <f ca="1">IF(AND(ISNUMBER($I$169),$B$165=1),$I$169,HLOOKUP(INDIRECT(ADDRESS(2,COLUMN())),OFFSET($R$2,0,0,ROW()-1,12),ROW()-1,FALSE))</f>
        <v/>
      </c>
      <c r="J7" t="str">
        <f ca="1">IF(AND(ISNUMBER($J$169),$B$165=1),$J$169,HLOOKUP(INDIRECT(ADDRESS(2,COLUMN())),OFFSET($R$2,0,0,ROW()-1,12),ROW()-1,FALSE))</f>
        <v/>
      </c>
      <c r="K7" t="str">
        <f ca="1">IF(AND(ISNUMBER($K$169),$B$165=1),$K$169,HLOOKUP(INDIRECT(ADDRESS(2,COLUMN())),OFFSET($R$2,0,0,ROW()-1,12),ROW()-1,FALSE))</f>
        <v/>
      </c>
      <c r="L7" t="str">
        <f ca="1">IF(AND(ISNUMBER($L$169),$B$165=1),$L$169,HLOOKUP(INDIRECT(ADDRESS(2,COLUMN())),OFFSET($R$2,0,0,ROW()-1,12),ROW()-1,FALSE))</f>
        <v/>
      </c>
      <c r="M7" t="str">
        <f ca="1">IF(AND(ISNUMBER($M$169),$B$165=1),$M$169,HLOOKUP(INDIRECT(ADDRESS(2,COLUMN())),OFFSET($R$2,0,0,ROW()-1,12),ROW()-1,FALSE))</f>
        <v/>
      </c>
      <c r="N7" t="str">
        <f ca="1">IF(AND(ISNUMBER($N$169),$B$165=1),$N$169,HLOOKUP(INDIRECT(ADDRESS(2,COLUMN())),OFFSET($R$2,0,0,ROW()-1,12),ROW()-1,FALSE))</f>
        <v/>
      </c>
      <c r="O7" t="str">
        <f ca="1">IF(AND(ISNUMBER($O$169),$B$165=1),$O$169,HLOOKUP(INDIRECT(ADDRESS(2,COLUMN())),OFFSET($R$2,0,0,ROW()-1,12),ROW()-1,FALSE))</f>
        <v/>
      </c>
      <c r="P7" t="str">
        <f ca="1">IF(AND(ISNUMBER($P$169),$B$165=1),$P$169,HLOOKUP(INDIRECT(ADDRESS(2,COLUMN())),OFFSET($R$2,0,0,ROW()-1,12),ROW()-1,FALSE))</f>
        <v/>
      </c>
      <c r="Q7" t="str">
        <f ca="1">IF(AND(ISNUMBER($Q$169),$B$165=1),$Q$169,HLOOKUP(INDIRECT(ADDRESS(2,COLUMN())),OFFSET($R$2,0,0,ROW()-1,12),ROW()-1,FALSE))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t="str">
        <f>""</f>
        <v/>
      </c>
      <c r="AC7" t="str">
        <f>""</f>
        <v/>
      </c>
    </row>
    <row r="8" spans="1:29" x14ac:dyDescent="0.25">
      <c r="A8" t="str">
        <f>"    Capgemini SE"</f>
        <v xml:space="preserve">    Capgemini SE</v>
      </c>
      <c r="B8" t="str">
        <f>"CAP FP Equity"</f>
        <v>CAP FP Equity</v>
      </c>
      <c r="C8" t="str">
        <f t="shared" si="0"/>
        <v>RR253</v>
      </c>
      <c r="D8" t="str">
        <f t="shared" si="1"/>
        <v>CASH_AND_MARKETABLE_SECURITIES</v>
      </c>
      <c r="E8" t="str">
        <f t="shared" si="2"/>
        <v>Dynamic</v>
      </c>
      <c r="F8" t="str">
        <f ca="1">IF(AND(ISNUMBER($F$170),$B$165=1),$F$170,HLOOKUP(INDIRECT(ADDRESS(2,COLUMN())),OFFSET($R$2,0,0,ROW()-1,12),ROW()-1,FALSE))</f>
        <v/>
      </c>
      <c r="G8">
        <f ca="1">IF(AND(ISNUMBER($G$170),$B$165=1),$G$170,HLOOKUP(INDIRECT(ADDRESS(2,COLUMN())),OFFSET($R$2,0,0,ROW()-1,12),ROW()-1,FALSE))</f>
        <v>3002.6345999999999</v>
      </c>
      <c r="H8" t="str">
        <f ca="1">IF(AND(ISNUMBER($H$170),$B$165=1),$H$170,HLOOKUP(INDIRECT(ADDRESS(2,COLUMN())),OFFSET($R$2,0,0,ROW()-1,12),ROW()-1,FALSE))</f>
        <v/>
      </c>
      <c r="I8" t="str">
        <f ca="1">IF(AND(ISNUMBER($I$170),$B$165=1),$I$170,HLOOKUP(INDIRECT(ADDRESS(2,COLUMN())),OFFSET($R$2,0,0,ROW()-1,12),ROW()-1,FALSE))</f>
        <v/>
      </c>
      <c r="J8" t="str">
        <f ca="1">IF(AND(ISNUMBER($J$170),$B$165=1),$J$170,HLOOKUP(INDIRECT(ADDRESS(2,COLUMN())),OFFSET($R$2,0,0,ROW()-1,12),ROW()-1,FALSE))</f>
        <v/>
      </c>
      <c r="K8" t="str">
        <f ca="1">IF(AND(ISNUMBER($K$170),$B$165=1),$K$170,HLOOKUP(INDIRECT(ADDRESS(2,COLUMN())),OFFSET($R$2,0,0,ROW()-1,12),ROW()-1,FALSE))</f>
        <v/>
      </c>
      <c r="L8" t="str">
        <f ca="1">IF(AND(ISNUMBER($L$170),$B$165=1),$L$170,HLOOKUP(INDIRECT(ADDRESS(2,COLUMN())),OFFSET($R$2,0,0,ROW()-1,12),ROW()-1,FALSE))</f>
        <v/>
      </c>
      <c r="M8" t="str">
        <f ca="1">IF(AND(ISNUMBER($M$170),$B$165=1),$M$170,HLOOKUP(INDIRECT(ADDRESS(2,COLUMN())),OFFSET($R$2,0,0,ROW()-1,12),ROW()-1,FALSE))</f>
        <v/>
      </c>
      <c r="N8" t="str">
        <f ca="1">IF(AND(ISNUMBER($N$170),$B$165=1),$N$170,HLOOKUP(INDIRECT(ADDRESS(2,COLUMN())),OFFSET($R$2,0,0,ROW()-1,12),ROW()-1,FALSE))</f>
        <v/>
      </c>
      <c r="O8" t="str">
        <f ca="1">IF(AND(ISNUMBER($O$170),$B$165=1),$O$170,HLOOKUP(INDIRECT(ADDRESS(2,COLUMN())),OFFSET($R$2,0,0,ROW()-1,12),ROW()-1,FALSE))</f>
        <v/>
      </c>
      <c r="P8" t="str">
        <f ca="1">IF(AND(ISNUMBER($P$170),$B$165=1),$P$170,HLOOKUP(INDIRECT(ADDRESS(2,COLUMN())),OFFSET($R$2,0,0,ROW()-1,12),ROW()-1,FALSE))</f>
        <v/>
      </c>
      <c r="Q8" t="str">
        <f ca="1">IF(AND(ISNUMBER($Q$170),$B$165=1),$Q$170,HLOOKUP(INDIRECT(ADDRESS(2,COLUMN())),OFFSET($R$2,0,0,ROW()-1,12),ROW()-1,FALSE))</f>
        <v/>
      </c>
      <c r="R8" t="str">
        <f>""</f>
        <v/>
      </c>
      <c r="S8">
        <f>3002.6346</f>
        <v>3002.6345999999999</v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</row>
    <row r="9" spans="1:29" x14ac:dyDescent="0.25">
      <c r="A9" t="str">
        <f>"    CGI Inc"</f>
        <v xml:space="preserve">    CGI Inc</v>
      </c>
      <c r="B9" t="str">
        <f>"GIB US Equity"</f>
        <v>GIB US Equity</v>
      </c>
      <c r="C9" t="str">
        <f t="shared" si="0"/>
        <v>RR253</v>
      </c>
      <c r="D9" t="str">
        <f t="shared" si="1"/>
        <v>CASH_AND_MARKETABLE_SECURITIES</v>
      </c>
      <c r="E9" t="str">
        <f t="shared" si="2"/>
        <v>Dynamic</v>
      </c>
      <c r="F9">
        <f ca="1">IF(AND(ISNUMBER($F$171),$B$165=1),$F$171,HLOOKUP(INDIRECT(ADDRESS(2,COLUMN())),OFFSET($R$2,0,0,ROW()-1,12),ROW()-1,FALSE))</f>
        <v>213.2292401</v>
      </c>
      <c r="G9">
        <f ca="1">IF(AND(ISNUMBER($G$171),$B$165=1),$G$171,HLOOKUP(INDIRECT(ADDRESS(2,COLUMN())),OFFSET($R$2,0,0,ROW()-1,12),ROW()-1,FALSE))</f>
        <v>164.18400370000001</v>
      </c>
      <c r="H9">
        <f ca="1">IF(AND(ISNUMBER($H$171),$B$165=1),$H$171,HLOOKUP(INDIRECT(ADDRESS(2,COLUMN())),OFFSET($R$2,0,0,ROW()-1,12),ROW()-1,FALSE))</f>
        <v>161.49157919999999</v>
      </c>
      <c r="I9">
        <f ca="1">IF(AND(ISNUMBER($I$171),$B$165=1),$I$171,HLOOKUP(INDIRECT(ADDRESS(2,COLUMN())),OFFSET($R$2,0,0,ROW()-1,12),ROW()-1,FALSE))</f>
        <v>171.96288089999999</v>
      </c>
      <c r="J9">
        <f ca="1">IF(AND(ISNUMBER($J$171),$B$165=1),$J$171,HLOOKUP(INDIRECT(ADDRESS(2,COLUMN())),OFFSET($R$2,0,0,ROW()-1,12),ROW()-1,FALSE))</f>
        <v>406.94097399999998</v>
      </c>
      <c r="K9">
        <f ca="1">IF(AND(ISNUMBER($K$171),$B$165=1),$K$171,HLOOKUP(INDIRECT(ADDRESS(2,COLUMN())),OFFSET($R$2,0,0,ROW()-1,12),ROW()-1,FALSE))</f>
        <v>298.10041100000001</v>
      </c>
      <c r="L9">
        <f ca="1">IF(AND(ISNUMBER($L$171),$B$165=1),$L$171,HLOOKUP(INDIRECT(ADDRESS(2,COLUMN())),OFFSET($R$2,0,0,ROW()-1,12),ROW()-1,FALSE))</f>
        <v>142.27606460000001</v>
      </c>
      <c r="M9">
        <f ca="1">IF(AND(ISNUMBER($M$171),$B$165=1),$M$171,HLOOKUP(INDIRECT(ADDRESS(2,COLUMN())),OFFSET($R$2,0,0,ROW()-1,12),ROW()-1,FALSE))</f>
        <v>130.16051730000001</v>
      </c>
      <c r="N9">
        <f ca="1">IF(AND(ISNUMBER($N$171),$B$165=1),$N$171,HLOOKUP(INDIRECT(ADDRESS(2,COLUMN())),OFFSET($R$2,0,0,ROW()-1,12),ROW()-1,FALSE))</f>
        <v>223.09411130000001</v>
      </c>
      <c r="O9">
        <f ca="1">IF(AND(ISNUMBER($O$171),$B$165=1),$O$171,HLOOKUP(INDIRECT(ADDRESS(2,COLUMN())),OFFSET($R$2,0,0,ROW()-1,12),ROW()-1,FALSE))</f>
        <v>190.7415981</v>
      </c>
      <c r="P9">
        <f ca="1">IF(AND(ISNUMBER($P$171),$B$165=1),$P$171,HLOOKUP(INDIRECT(ADDRESS(2,COLUMN())),OFFSET($R$2,0,0,ROW()-1,12),ROW()-1,FALSE))</f>
        <v>132.8676706</v>
      </c>
      <c r="Q9">
        <f ca="1">IF(AND(ISNUMBER($Q$171),$B$165=1),$Q$171,HLOOKUP(INDIRECT(ADDRESS(2,COLUMN())),OFFSET($R$2,0,0,ROW()-1,12),ROW()-1,FALSE))</f>
        <v>233.18990070000001</v>
      </c>
      <c r="R9">
        <f>213.2292401</f>
        <v>213.2292401</v>
      </c>
      <c r="S9">
        <f>164.1840037</f>
        <v>164.18400370000001</v>
      </c>
      <c r="T9">
        <f>161.4915792</f>
        <v>161.49157919999999</v>
      </c>
      <c r="U9">
        <f>171.9628809</f>
        <v>171.96288089999999</v>
      </c>
      <c r="V9">
        <f>406.940974</f>
        <v>406.94097399999998</v>
      </c>
      <c r="W9">
        <f>298.100411</f>
        <v>298.10041100000001</v>
      </c>
      <c r="X9">
        <f>142.2760646</f>
        <v>142.27606460000001</v>
      </c>
      <c r="Y9">
        <f>130.1605173</f>
        <v>130.16051730000001</v>
      </c>
      <c r="Z9">
        <f>223.0941113</f>
        <v>223.09411130000001</v>
      </c>
      <c r="AA9">
        <f>190.7415981</f>
        <v>190.7415981</v>
      </c>
      <c r="AB9">
        <f>132.8676706</f>
        <v>132.8676706</v>
      </c>
      <c r="AC9">
        <f>233.1899007</f>
        <v>233.18990070000001</v>
      </c>
    </row>
    <row r="10" spans="1:29" x14ac:dyDescent="0.25">
      <c r="A10" t="str">
        <f>"    Cognizant Technology Solutions Corp"</f>
        <v xml:space="preserve">    Cognizant Technology Solutions Corp</v>
      </c>
      <c r="B10" t="str">
        <f>"CTSH US Equity"</f>
        <v>CTSH US Equity</v>
      </c>
      <c r="C10" t="str">
        <f t="shared" si="0"/>
        <v>RR253</v>
      </c>
      <c r="D10" t="str">
        <f t="shared" si="1"/>
        <v>CASH_AND_MARKETABLE_SECURITIES</v>
      </c>
      <c r="E10" t="str">
        <f t="shared" si="2"/>
        <v>Dynamic</v>
      </c>
      <c r="F10">
        <f ca="1">IF(AND(ISNUMBER($F$172),$B$165=1),$F$172,HLOOKUP(INDIRECT(ADDRESS(2,COLUMN())),OFFSET($R$2,0,0,ROW()-1,12),ROW()-1,FALSE))</f>
        <v>4282</v>
      </c>
      <c r="G10">
        <f ca="1">IF(AND(ISNUMBER($G$172),$B$165=1),$G$172,HLOOKUP(INDIRECT(ADDRESS(2,COLUMN())),OFFSET($R$2,0,0,ROW()-1,12),ROW()-1,FALSE))</f>
        <v>3424</v>
      </c>
      <c r="H10">
        <f ca="1">IF(AND(ISNUMBER($H$172),$B$165=1),$H$172,HLOOKUP(INDIRECT(ADDRESS(2,COLUMN())),OFFSET($R$2,0,0,ROW()-1,12),ROW()-1,FALSE))</f>
        <v>3077</v>
      </c>
      <c r="I10">
        <f ca="1">IF(AND(ISNUMBER($I$172),$B$165=1),$I$172,HLOOKUP(INDIRECT(ADDRESS(2,COLUMN())),OFFSET($R$2,0,0,ROW()-1,12),ROW()-1,FALSE))</f>
        <v>3003</v>
      </c>
      <c r="J10">
        <f ca="1">IF(AND(ISNUMBER($J$172),$B$165=1),$J$172,HLOOKUP(INDIRECT(ADDRESS(2,COLUMN())),OFFSET($R$2,0,0,ROW()-1,12),ROW()-1,FALSE))</f>
        <v>3668</v>
      </c>
      <c r="K10">
        <f ca="1">IF(AND(ISNUMBER($K$172),$B$165=1),$K$172,HLOOKUP(INDIRECT(ADDRESS(2,COLUMN())),OFFSET($R$2,0,0,ROW()-1,12),ROW()-1,FALSE))</f>
        <v>4511</v>
      </c>
      <c r="L10">
        <f ca="1">IF(AND(ISNUMBER($L$172),$B$165=1),$L$172,HLOOKUP(INDIRECT(ADDRESS(2,COLUMN())),OFFSET($R$2,0,0,ROW()-1,12),ROW()-1,FALSE))</f>
        <v>4763</v>
      </c>
      <c r="M10">
        <f ca="1">IF(AND(ISNUMBER($M$172),$B$165=1),$M$172,HLOOKUP(INDIRECT(ADDRESS(2,COLUMN())),OFFSET($R$2,0,0,ROW()-1,12),ROW()-1,FALSE))</f>
        <v>4247</v>
      </c>
      <c r="N10">
        <f ca="1">IF(AND(ISNUMBER($N$172),$B$165=1),$N$172,HLOOKUP(INDIRECT(ADDRESS(2,COLUMN())),OFFSET($R$2,0,0,ROW()-1,12),ROW()-1,FALSE))</f>
        <v>4830</v>
      </c>
      <c r="O10">
        <f ca="1">IF(AND(ISNUMBER($O$172),$B$165=1),$O$172,HLOOKUP(INDIRECT(ADDRESS(2,COLUMN())),OFFSET($R$2,0,0,ROW()-1,12),ROW()-1,FALSE))</f>
        <v>5056</v>
      </c>
      <c r="P10">
        <f ca="1">IF(AND(ISNUMBER($P$172),$B$165=1),$P$172,HLOOKUP(INDIRECT(ADDRESS(2,COLUMN())),OFFSET($R$2,0,0,ROW()-1,12),ROW()-1,FALSE))</f>
        <v>4713</v>
      </c>
      <c r="Q10">
        <f ca="1">IF(AND(ISNUMBER($Q$172),$B$165=1),$Q$172,HLOOKUP(INDIRECT(ADDRESS(2,COLUMN())),OFFSET($R$2,0,0,ROW()-1,12),ROW()-1,FALSE))</f>
        <v>4378</v>
      </c>
      <c r="R10">
        <f>4282</f>
        <v>4282</v>
      </c>
      <c r="S10">
        <f>3424</f>
        <v>3424</v>
      </c>
      <c r="T10">
        <f>3077</f>
        <v>3077</v>
      </c>
      <c r="U10">
        <f>3003</f>
        <v>3003</v>
      </c>
      <c r="V10">
        <f>3668</f>
        <v>3668</v>
      </c>
      <c r="W10">
        <f>4511</f>
        <v>4511</v>
      </c>
      <c r="X10">
        <f>4763</f>
        <v>4763</v>
      </c>
      <c r="Y10">
        <f>4247</f>
        <v>4247</v>
      </c>
      <c r="Z10">
        <f>4830</f>
        <v>4830</v>
      </c>
      <c r="AA10">
        <f>5056</f>
        <v>5056</v>
      </c>
      <c r="AB10">
        <f>4713</f>
        <v>4713</v>
      </c>
      <c r="AC10">
        <f>4378</f>
        <v>4378</v>
      </c>
    </row>
    <row r="11" spans="1:29" x14ac:dyDescent="0.25">
      <c r="A11" t="str">
        <f>"    Conduent Inc"</f>
        <v xml:space="preserve">    Conduent Inc</v>
      </c>
      <c r="B11" t="str">
        <f>"CNDT US Equity"</f>
        <v>CNDT US Equity</v>
      </c>
      <c r="C11" t="str">
        <f t="shared" si="0"/>
        <v>RR253</v>
      </c>
      <c r="D11" t="str">
        <f t="shared" si="1"/>
        <v>CASH_AND_MARKETABLE_SECURITIES</v>
      </c>
      <c r="E11" t="str">
        <f t="shared" si="2"/>
        <v>Dynamic</v>
      </c>
      <c r="F11">
        <f ca="1">IF(AND(ISNUMBER($F$173),$B$165=1),$F$173,HLOOKUP(INDIRECT(ADDRESS(2,COLUMN())),OFFSET($R$2,0,0,ROW()-1,12),ROW()-1,FALSE))</f>
        <v>395</v>
      </c>
      <c r="G11">
        <f ca="1">IF(AND(ISNUMBER($G$173),$B$165=1),$G$173,HLOOKUP(INDIRECT(ADDRESS(2,COLUMN())),OFFSET($R$2,0,0,ROW()-1,12),ROW()-1,FALSE))</f>
        <v>496</v>
      </c>
      <c r="H11">
        <f ca="1">IF(AND(ISNUMBER($H$173),$B$165=1),$H$173,HLOOKUP(INDIRECT(ADDRESS(2,COLUMN())),OFFSET($R$2,0,0,ROW()-1,12),ROW()-1,FALSE))</f>
        <v>228</v>
      </c>
      <c r="I11">
        <f ca="1">IF(AND(ISNUMBER($I$173),$B$165=1),$I$173,HLOOKUP(INDIRECT(ADDRESS(2,COLUMN())),OFFSET($R$2,0,0,ROW()-1,12),ROW()-1,FALSE))</f>
        <v>276</v>
      </c>
      <c r="J11">
        <f ca="1">IF(AND(ISNUMBER($J$173),$B$165=1),$J$173,HLOOKUP(INDIRECT(ADDRESS(2,COLUMN())),OFFSET($R$2,0,0,ROW()-1,12),ROW()-1,FALSE))</f>
        <v>520</v>
      </c>
      <c r="K11">
        <f ca="1">IF(AND(ISNUMBER($K$173),$B$165=1),$K$173,HLOOKUP(INDIRECT(ADDRESS(2,COLUMN())),OFFSET($R$2,0,0,ROW()-1,12),ROW()-1,FALSE))</f>
        <v>756</v>
      </c>
      <c r="L11">
        <f ca="1">IF(AND(ISNUMBER($L$173),$B$165=1),$L$173,HLOOKUP(INDIRECT(ADDRESS(2,COLUMN())),OFFSET($R$2,0,0,ROW()-1,12),ROW()-1,FALSE))</f>
        <v>586</v>
      </c>
      <c r="M11">
        <f ca="1">IF(AND(ISNUMBER($M$173),$B$165=1),$M$173,HLOOKUP(INDIRECT(ADDRESS(2,COLUMN())),OFFSET($R$2,0,0,ROW()-1,12),ROW()-1,FALSE))</f>
        <v>993</v>
      </c>
      <c r="N11">
        <f ca="1">IF(AND(ISNUMBER($N$173),$B$165=1),$N$173,HLOOKUP(INDIRECT(ADDRESS(2,COLUMN())),OFFSET($R$2,0,0,ROW()-1,12),ROW()-1,FALSE))</f>
        <v>553</v>
      </c>
      <c r="O11">
        <f ca="1">IF(AND(ISNUMBER($O$173),$B$165=1),$O$173,HLOOKUP(INDIRECT(ADDRESS(2,COLUMN())),OFFSET($R$2,0,0,ROW()-1,12),ROW()-1,FALSE))</f>
        <v>658</v>
      </c>
      <c r="P11">
        <f ca="1">IF(AND(ISNUMBER($P$173),$B$165=1),$P$173,HLOOKUP(INDIRECT(ADDRESS(2,COLUMN())),OFFSET($R$2,0,0,ROW()-1,12),ROW()-1,FALSE))</f>
        <v>468</v>
      </c>
      <c r="Q11">
        <f ca="1">IF(AND(ISNUMBER($Q$173),$B$165=1),$Q$173,HLOOKUP(INDIRECT(ADDRESS(2,COLUMN())),OFFSET($R$2,0,0,ROW()-1,12),ROW()-1,FALSE))</f>
        <v>309</v>
      </c>
      <c r="R11">
        <f>395</f>
        <v>395</v>
      </c>
      <c r="S11">
        <f>496</f>
        <v>496</v>
      </c>
      <c r="T11">
        <f>228</f>
        <v>228</v>
      </c>
      <c r="U11">
        <f>276</f>
        <v>276</v>
      </c>
      <c r="V11">
        <f>520</f>
        <v>520</v>
      </c>
      <c r="W11">
        <f>756</f>
        <v>756</v>
      </c>
      <c r="X11">
        <f>586</f>
        <v>586</v>
      </c>
      <c r="Y11">
        <f>993</f>
        <v>993</v>
      </c>
      <c r="Z11">
        <f>553</f>
        <v>553</v>
      </c>
      <c r="AA11">
        <f>658</f>
        <v>658</v>
      </c>
      <c r="AB11">
        <f>468</f>
        <v>468</v>
      </c>
      <c r="AC11">
        <f>309</f>
        <v>309</v>
      </c>
    </row>
    <row r="12" spans="1:29" x14ac:dyDescent="0.25">
      <c r="A12" t="str">
        <f>"    DXC Technology Co"</f>
        <v xml:space="preserve">    DXC Technology Co</v>
      </c>
      <c r="B12" t="str">
        <f>"DXC US Equity"</f>
        <v>DXC US Equity</v>
      </c>
      <c r="C12" t="str">
        <f t="shared" si="0"/>
        <v>RR253</v>
      </c>
      <c r="D12" t="str">
        <f t="shared" si="1"/>
        <v>CASH_AND_MARKETABLE_SECURITIES</v>
      </c>
      <c r="E12" t="str">
        <f t="shared" si="2"/>
        <v>Dynamic</v>
      </c>
      <c r="F12">
        <f ca="1">IF(AND(ISNUMBER($F$174),$B$165=1),$F$174,HLOOKUP(INDIRECT(ADDRESS(2,COLUMN())),OFFSET($R$2,0,0,ROW()-1,12),ROW()-1,FALSE))</f>
        <v>3679</v>
      </c>
      <c r="G12">
        <f ca="1">IF(AND(ISNUMBER($G$174),$B$165=1),$G$174,HLOOKUP(INDIRECT(ADDRESS(2,COLUMN())),OFFSET($R$2,0,0,ROW()-1,12),ROW()-1,FALSE))</f>
        <v>2560</v>
      </c>
      <c r="H12">
        <f ca="1">IF(AND(ISNUMBER($H$174),$B$165=1),$H$174,HLOOKUP(INDIRECT(ADDRESS(2,COLUMN())),OFFSET($R$2,0,0,ROW()-1,12),ROW()-1,FALSE))</f>
        <v>2880</v>
      </c>
      <c r="I12">
        <f ca="1">IF(AND(ISNUMBER($I$174),$B$165=1),$I$174,HLOOKUP(INDIRECT(ADDRESS(2,COLUMN())),OFFSET($R$2,0,0,ROW()-1,12),ROW()-1,FALSE))</f>
        <v>1868</v>
      </c>
      <c r="J12">
        <f ca="1">IF(AND(ISNUMBER($J$174),$B$165=1),$J$174,HLOOKUP(INDIRECT(ADDRESS(2,COLUMN())),OFFSET($R$2,0,0,ROW()-1,12),ROW()-1,FALSE))</f>
        <v>2899</v>
      </c>
      <c r="K12">
        <f ca="1">IF(AND(ISNUMBER($K$174),$B$165=1),$K$174,HLOOKUP(INDIRECT(ADDRESS(2,COLUMN())),OFFSET($R$2,0,0,ROW()-1,12),ROW()-1,FALSE))</f>
        <v>2475</v>
      </c>
      <c r="L12">
        <f ca="1">IF(AND(ISNUMBER($L$174),$B$165=1),$L$174,HLOOKUP(INDIRECT(ADDRESS(2,COLUMN())),OFFSET($R$2,0,0,ROW()-1,12),ROW()-1,FALSE))</f>
        <v>2780</v>
      </c>
      <c r="M12">
        <f ca="1">IF(AND(ISNUMBER($M$174),$B$165=1),$M$174,HLOOKUP(INDIRECT(ADDRESS(2,COLUMN())),OFFSET($R$2,0,0,ROW()-1,12),ROW()-1,FALSE))</f>
        <v>2579</v>
      </c>
      <c r="N12">
        <f ca="1">IF(AND(ISNUMBER($N$174),$B$165=1),$N$174,HLOOKUP(INDIRECT(ADDRESS(2,COLUMN())),OFFSET($R$2,0,0,ROW()-1,12),ROW()-1,FALSE))</f>
        <v>2593</v>
      </c>
      <c r="O12">
        <f ca="1">IF(AND(ISNUMBER($O$174),$B$165=1),$O$174,HLOOKUP(INDIRECT(ADDRESS(2,COLUMN())),OFFSET($R$2,0,0,ROW()-1,12),ROW()-1,FALSE))</f>
        <v>2926</v>
      </c>
      <c r="P12">
        <f ca="1">IF(AND(ISNUMBER($P$174),$B$165=1),$P$174,HLOOKUP(INDIRECT(ADDRESS(2,COLUMN())),OFFSET($R$2,0,0,ROW()-1,12),ROW()-1,FALSE))</f>
        <v>2671</v>
      </c>
      <c r="Q12">
        <f ca="1">IF(AND(ISNUMBER($Q$174),$B$165=1),$Q$174,HLOOKUP(INDIRECT(ADDRESS(2,COLUMN())),OFFSET($R$2,0,0,ROW()-1,12),ROW()-1,FALSE))</f>
        <v>2517</v>
      </c>
      <c r="R12">
        <f>3679</f>
        <v>3679</v>
      </c>
      <c r="S12">
        <f>2560</f>
        <v>2560</v>
      </c>
      <c r="T12">
        <f>2880</f>
        <v>2880</v>
      </c>
      <c r="U12">
        <f>1868</f>
        <v>1868</v>
      </c>
      <c r="V12">
        <f>2899</f>
        <v>2899</v>
      </c>
      <c r="W12">
        <f>2475</f>
        <v>2475</v>
      </c>
      <c r="X12">
        <f>2780</f>
        <v>2780</v>
      </c>
      <c r="Y12">
        <f>2579</f>
        <v>2579</v>
      </c>
      <c r="Z12">
        <f>2593</f>
        <v>2593</v>
      </c>
      <c r="AA12">
        <f>2926</f>
        <v>2926</v>
      </c>
      <c r="AB12">
        <f>2671</f>
        <v>2671</v>
      </c>
      <c r="AC12">
        <f>2517</f>
        <v>2517</v>
      </c>
    </row>
    <row r="13" spans="1:29" x14ac:dyDescent="0.25">
      <c r="A13" t="str">
        <f>"    EPAM Systems Inc"</f>
        <v xml:space="preserve">    EPAM Systems Inc</v>
      </c>
      <c r="B13" t="str">
        <f>"EPAM US Equity"</f>
        <v>EPAM US Equity</v>
      </c>
      <c r="C13" t="str">
        <f t="shared" si="0"/>
        <v>RR253</v>
      </c>
      <c r="D13" t="str">
        <f t="shared" si="1"/>
        <v>CASH_AND_MARKETABLE_SECURITIES</v>
      </c>
      <c r="E13" t="str">
        <f t="shared" si="2"/>
        <v>Dynamic</v>
      </c>
      <c r="F13">
        <f ca="1">IF(AND(ISNUMBER($F$175),$B$165=1),$F$175,HLOOKUP(INDIRECT(ADDRESS(2,COLUMN())),OFFSET($R$2,0,0,ROW()-1,12),ROW()-1,FALSE))</f>
        <v>916.25300000000004</v>
      </c>
      <c r="G13">
        <f ca="1">IF(AND(ISNUMBER($G$175),$B$165=1),$G$175,HLOOKUP(INDIRECT(ADDRESS(2,COLUMN())),OFFSET($R$2,0,0,ROW()-1,12),ROW()-1,FALSE))</f>
        <v>936.55200000000002</v>
      </c>
      <c r="H13">
        <f ca="1">IF(AND(ISNUMBER($H$175),$B$165=1),$H$175,HLOOKUP(INDIRECT(ADDRESS(2,COLUMN())),OFFSET($R$2,0,0,ROW()-1,12),ROW()-1,FALSE))</f>
        <v>853.24099999999999</v>
      </c>
      <c r="I13">
        <f ca="1">IF(AND(ISNUMBER($I$175),$B$165=1),$I$175,HLOOKUP(INDIRECT(ADDRESS(2,COLUMN())),OFFSET($R$2,0,0,ROW()-1,12),ROW()-1,FALSE))</f>
        <v>777.36500000000001</v>
      </c>
      <c r="J13">
        <f ca="1">IF(AND(ISNUMBER($J$175),$B$165=1),$J$175,HLOOKUP(INDIRECT(ADDRESS(2,COLUMN())),OFFSET($R$2,0,0,ROW()-1,12),ROW()-1,FALSE))</f>
        <v>762.529</v>
      </c>
      <c r="K13">
        <f ca="1">IF(AND(ISNUMBER($K$175),$B$165=1),$K$175,HLOOKUP(INDIRECT(ADDRESS(2,COLUMN())),OFFSET($R$2,0,0,ROW()-1,12),ROW()-1,FALSE))</f>
        <v>770.56</v>
      </c>
      <c r="L13">
        <f ca="1">IF(AND(ISNUMBER($L$175),$B$165=1),$L$175,HLOOKUP(INDIRECT(ADDRESS(2,COLUMN())),OFFSET($R$2,0,0,ROW()-1,12),ROW()-1,FALSE))</f>
        <v>685.10799999999995</v>
      </c>
      <c r="M13">
        <f ca="1">IF(AND(ISNUMBER($M$175),$B$165=1),$M$175,HLOOKUP(INDIRECT(ADDRESS(2,COLUMN())),OFFSET($R$2,0,0,ROW()-1,12),ROW()-1,FALSE))</f>
        <v>584.08100000000002</v>
      </c>
      <c r="N13">
        <f ca="1">IF(AND(ISNUMBER($N$175),$B$165=1),$N$175,HLOOKUP(INDIRECT(ADDRESS(2,COLUMN())),OFFSET($R$2,0,0,ROW()-1,12),ROW()-1,FALSE))</f>
        <v>535.85699999999997</v>
      </c>
      <c r="O13">
        <f ca="1">IF(AND(ISNUMBER($O$175),$B$165=1),$O$175,HLOOKUP(INDIRECT(ADDRESS(2,COLUMN())),OFFSET($R$2,0,0,ROW()-1,12),ROW()-1,FALSE))</f>
        <v>582.58500000000004</v>
      </c>
      <c r="P13">
        <f ca="1">IF(AND(ISNUMBER($P$175),$B$165=1),$P$175,HLOOKUP(INDIRECT(ADDRESS(2,COLUMN())),OFFSET($R$2,0,0,ROW()-1,12),ROW()-1,FALSE))</f>
        <v>512.49300000000005</v>
      </c>
      <c r="Q13">
        <f ca="1">IF(AND(ISNUMBER($Q$175),$B$165=1),$Q$175,HLOOKUP(INDIRECT(ADDRESS(2,COLUMN())),OFFSET($R$2,0,0,ROW()-1,12),ROW()-1,FALSE))</f>
        <v>443.50099999999998</v>
      </c>
      <c r="R13">
        <f>916.253</f>
        <v>916.25300000000004</v>
      </c>
      <c r="S13">
        <f>936.552</f>
        <v>936.55200000000002</v>
      </c>
      <c r="T13">
        <f>853.241</f>
        <v>853.24099999999999</v>
      </c>
      <c r="U13">
        <f>777.365</f>
        <v>777.36500000000001</v>
      </c>
      <c r="V13">
        <f>762.529</f>
        <v>762.529</v>
      </c>
      <c r="W13">
        <f>770.56</f>
        <v>770.56</v>
      </c>
      <c r="X13">
        <f>685.108</f>
        <v>685.10799999999995</v>
      </c>
      <c r="Y13">
        <f>584.081</f>
        <v>584.08100000000002</v>
      </c>
      <c r="Z13">
        <f>535.857</f>
        <v>535.85699999999997</v>
      </c>
      <c r="AA13">
        <f>582.585</f>
        <v>582.58500000000004</v>
      </c>
      <c r="AB13">
        <f>512.493</f>
        <v>512.49300000000005</v>
      </c>
      <c r="AC13">
        <f>443.501</f>
        <v>443.50099999999998</v>
      </c>
    </row>
    <row r="14" spans="1:29" x14ac:dyDescent="0.25">
      <c r="A14" t="str">
        <f>"    Genpact Ltd"</f>
        <v xml:space="preserve">    Genpact Ltd</v>
      </c>
      <c r="B14" t="str">
        <f>"G US Equity"</f>
        <v>G US Equity</v>
      </c>
      <c r="C14" t="str">
        <f t="shared" si="0"/>
        <v>RR253</v>
      </c>
      <c r="D14" t="str">
        <f t="shared" si="1"/>
        <v>CASH_AND_MARKETABLE_SECURITIES</v>
      </c>
      <c r="E14" t="str">
        <f t="shared" si="2"/>
        <v>Dynamic</v>
      </c>
      <c r="F14">
        <f ca="1">IF(AND(ISNUMBER($F$176),$B$165=1),$F$176,HLOOKUP(INDIRECT(ADDRESS(2,COLUMN())),OFFSET($R$2,0,0,ROW()-1,12),ROW()-1,FALSE))</f>
        <v>401.62400000000002</v>
      </c>
      <c r="G14">
        <f ca="1">IF(AND(ISNUMBER($G$176),$B$165=1),$G$176,HLOOKUP(INDIRECT(ADDRESS(2,COLUMN())),OFFSET($R$2,0,0,ROW()-1,12),ROW()-1,FALSE))</f>
        <v>467.096</v>
      </c>
      <c r="H14">
        <f ca="1">IF(AND(ISNUMBER($H$176),$B$165=1),$H$176,HLOOKUP(INDIRECT(ADDRESS(2,COLUMN())),OFFSET($R$2,0,0,ROW()-1,12),ROW()-1,FALSE))</f>
        <v>456.87200000000001</v>
      </c>
      <c r="I14">
        <f ca="1">IF(AND(ISNUMBER($I$176),$B$165=1),$I$176,HLOOKUP(INDIRECT(ADDRESS(2,COLUMN())),OFFSET($R$2,0,0,ROW()-1,12),ROW()-1,FALSE))</f>
        <v>378.03</v>
      </c>
      <c r="J14">
        <f ca="1">IF(AND(ISNUMBER($J$176),$B$165=1),$J$176,HLOOKUP(INDIRECT(ADDRESS(2,COLUMN())),OFFSET($R$2,0,0,ROW()-1,12),ROW()-1,FALSE))</f>
        <v>325.37700000000001</v>
      </c>
      <c r="K14">
        <f ca="1">IF(AND(ISNUMBER($K$176),$B$165=1),$K$176,HLOOKUP(INDIRECT(ADDRESS(2,COLUMN())),OFFSET($R$2,0,0,ROW()-1,12),ROW()-1,FALSE))</f>
        <v>368.39600000000002</v>
      </c>
      <c r="L14">
        <f ca="1">IF(AND(ISNUMBER($L$176),$B$165=1),$L$176,HLOOKUP(INDIRECT(ADDRESS(2,COLUMN())),OFFSET($R$2,0,0,ROW()-1,12),ROW()-1,FALSE))</f>
        <v>401.23</v>
      </c>
      <c r="M14">
        <f ca="1">IF(AND(ISNUMBER($M$176),$B$165=1),$M$176,HLOOKUP(INDIRECT(ADDRESS(2,COLUMN())),OFFSET($R$2,0,0,ROW()-1,12),ROW()-1,FALSE))</f>
        <v>333.90300000000002</v>
      </c>
      <c r="N14">
        <f ca="1">IF(AND(ISNUMBER($N$176),$B$165=1),$N$176,HLOOKUP(INDIRECT(ADDRESS(2,COLUMN())),OFFSET($R$2,0,0,ROW()-1,12),ROW()-1,FALSE))</f>
        <v>424.226</v>
      </c>
      <c r="O14">
        <f ca="1">IF(AND(ISNUMBER($O$176),$B$165=1),$O$176,HLOOKUP(INDIRECT(ADDRESS(2,COLUMN())),OFFSET($R$2,0,0,ROW()-1,12),ROW()-1,FALSE))</f>
        <v>504.46800000000002</v>
      </c>
      <c r="P14">
        <f ca="1">IF(AND(ISNUMBER($P$176),$B$165=1),$P$176,HLOOKUP(INDIRECT(ADDRESS(2,COLUMN())),OFFSET($R$2,0,0,ROW()-1,12),ROW()-1,FALSE))</f>
        <v>440.05500000000001</v>
      </c>
      <c r="Q14">
        <f ca="1">IF(AND(ISNUMBER($Q$176),$B$165=1),$Q$176,HLOOKUP(INDIRECT(ADDRESS(2,COLUMN())),OFFSET($R$2,0,0,ROW()-1,12),ROW()-1,FALSE))</f>
        <v>441.06400000000002</v>
      </c>
      <c r="R14">
        <f>401.624</f>
        <v>401.62400000000002</v>
      </c>
      <c r="S14">
        <f>467.096</f>
        <v>467.096</v>
      </c>
      <c r="T14">
        <f>456.872</f>
        <v>456.87200000000001</v>
      </c>
      <c r="U14">
        <f>378.03</f>
        <v>378.03</v>
      </c>
      <c r="V14">
        <f>325.377</f>
        <v>325.37700000000001</v>
      </c>
      <c r="W14">
        <f>368.396</f>
        <v>368.39600000000002</v>
      </c>
      <c r="X14">
        <f>401.23</f>
        <v>401.23</v>
      </c>
      <c r="Y14">
        <f>333.903</f>
        <v>333.90300000000002</v>
      </c>
      <c r="Z14">
        <f>424.226</f>
        <v>424.226</v>
      </c>
      <c r="AA14">
        <f>504.468</f>
        <v>504.46800000000002</v>
      </c>
      <c r="AB14">
        <f>440.055</f>
        <v>440.05500000000001</v>
      </c>
      <c r="AC14">
        <f>441.064</f>
        <v>441.06400000000002</v>
      </c>
    </row>
    <row r="15" spans="1:29" x14ac:dyDescent="0.25">
      <c r="A15" t="str">
        <f>"    HCL Technologies Ltd"</f>
        <v xml:space="preserve">    HCL Technologies Ltd</v>
      </c>
      <c r="B15" t="str">
        <f>"HCLT IN Equity"</f>
        <v>HCLT IN Equity</v>
      </c>
      <c r="C15" t="str">
        <f t="shared" si="0"/>
        <v>RR253</v>
      </c>
      <c r="D15" t="str">
        <f t="shared" si="1"/>
        <v>CASH_AND_MARKETABLE_SECURITIES</v>
      </c>
      <c r="E15" t="str">
        <f t="shared" si="2"/>
        <v>Dynamic</v>
      </c>
      <c r="F15">
        <f ca="1">IF(AND(ISNUMBER($F$177),$B$165=1),$F$177,HLOOKUP(INDIRECT(ADDRESS(2,COLUMN())),OFFSET($R$2,0,0,ROW()-1,12),ROW()-1,FALSE))</f>
        <v>2031.9079999999999</v>
      </c>
      <c r="G15">
        <f ca="1">IF(AND(ISNUMBER($G$177),$B$165=1),$G$177,HLOOKUP(INDIRECT(ADDRESS(2,COLUMN())),OFFSET($R$2,0,0,ROW()-1,12),ROW()-1,FALSE))</f>
        <v>1673.6</v>
      </c>
      <c r="H15">
        <f ca="1">IF(AND(ISNUMBER($H$177),$B$165=1),$H$177,HLOOKUP(INDIRECT(ADDRESS(2,COLUMN())),OFFSET($R$2,0,0,ROW()-1,12),ROW()-1,FALSE))</f>
        <v>1096.9000000000001</v>
      </c>
      <c r="I15">
        <f ca="1">IF(AND(ISNUMBER($I$177),$B$165=1),$I$177,HLOOKUP(INDIRECT(ADDRESS(2,COLUMN())),OFFSET($R$2,0,0,ROW()-1,12),ROW()-1,FALSE))</f>
        <v>1648.2</v>
      </c>
      <c r="J15">
        <f ca="1">IF(AND(ISNUMBER($J$177),$B$165=1),$J$177,HLOOKUP(INDIRECT(ADDRESS(2,COLUMN())),OFFSET($R$2,0,0,ROW()-1,12),ROW()-1,FALSE))</f>
        <v>1648.1110000000001</v>
      </c>
      <c r="K15">
        <f ca="1">IF(AND(ISNUMBER($K$177),$B$165=1),$K$177,HLOOKUP(INDIRECT(ADDRESS(2,COLUMN())),OFFSET($R$2,0,0,ROW()-1,12),ROW()-1,FALSE))</f>
        <v>1360.9</v>
      </c>
      <c r="L15">
        <f ca="1">IF(AND(ISNUMBER($L$177),$B$165=1),$L$177,HLOOKUP(INDIRECT(ADDRESS(2,COLUMN())),OFFSET($R$2,0,0,ROW()-1,12),ROW()-1,FALSE))</f>
        <v>1318.6</v>
      </c>
      <c r="M15">
        <f ca="1">IF(AND(ISNUMBER($M$177),$B$165=1),$M$177,HLOOKUP(INDIRECT(ADDRESS(2,COLUMN())),OFFSET($R$2,0,0,ROW()-1,12),ROW()-1,FALSE))</f>
        <v>1457.2</v>
      </c>
      <c r="N15">
        <f ca="1">IF(AND(ISNUMBER($N$177),$B$165=1),$N$177,HLOOKUP(INDIRECT(ADDRESS(2,COLUMN())),OFFSET($R$2,0,0,ROW()-1,12),ROW()-1,FALSE))</f>
        <v>977.89376730000004</v>
      </c>
      <c r="O15">
        <f ca="1">IF(AND(ISNUMBER($O$177),$B$165=1),$O$177,HLOOKUP(INDIRECT(ADDRESS(2,COLUMN())),OFFSET($R$2,0,0,ROW()-1,12),ROW()-1,FALSE))</f>
        <v>1300.5999999999999</v>
      </c>
      <c r="P15">
        <f ca="1">IF(AND(ISNUMBER($P$177),$B$165=1),$P$177,HLOOKUP(INDIRECT(ADDRESS(2,COLUMN())),OFFSET($R$2,0,0,ROW()-1,12),ROW()-1,FALSE))</f>
        <v>1488.8</v>
      </c>
      <c r="Q15">
        <f ca="1">IF(AND(ISNUMBER($Q$177),$B$165=1),$Q$177,HLOOKUP(INDIRECT(ADDRESS(2,COLUMN())),OFFSET($R$2,0,0,ROW()-1,12),ROW()-1,FALSE))</f>
        <v>1808.3</v>
      </c>
      <c r="R15">
        <f>2031.908</f>
        <v>2031.9079999999999</v>
      </c>
      <c r="S15">
        <f>1673.6</f>
        <v>1673.6</v>
      </c>
      <c r="T15">
        <f>1096.9</f>
        <v>1096.9000000000001</v>
      </c>
      <c r="U15">
        <f>1648.2</f>
        <v>1648.2</v>
      </c>
      <c r="V15">
        <f>1648.111</f>
        <v>1648.1110000000001</v>
      </c>
      <c r="W15">
        <f>1360.9</f>
        <v>1360.9</v>
      </c>
      <c r="X15">
        <f>1318.6</f>
        <v>1318.6</v>
      </c>
      <c r="Y15">
        <f>1457.2</f>
        <v>1457.2</v>
      </c>
      <c r="Z15">
        <f>977.8937673</f>
        <v>977.89376730000004</v>
      </c>
      <c r="AA15">
        <f>1300.6</f>
        <v>1300.5999999999999</v>
      </c>
      <c r="AB15">
        <f>1488.8</f>
        <v>1488.8</v>
      </c>
      <c r="AC15">
        <f>1808.3</f>
        <v>1808.3</v>
      </c>
    </row>
    <row r="16" spans="1:29" x14ac:dyDescent="0.25">
      <c r="A16" t="str">
        <f>"    Indra Sistemas SA"</f>
        <v xml:space="preserve">    Indra Sistemas SA</v>
      </c>
      <c r="B16" t="str">
        <f>"IDR SM Equity"</f>
        <v>IDR SM Equity</v>
      </c>
      <c r="C16" t="str">
        <f t="shared" si="0"/>
        <v>RR253</v>
      </c>
      <c r="D16" t="str">
        <f t="shared" si="1"/>
        <v>CASH_AND_MARKETABLE_SECURITIES</v>
      </c>
      <c r="E16" t="str">
        <f t="shared" si="2"/>
        <v>Dynamic</v>
      </c>
      <c r="F16">
        <f ca="1">IF(AND(ISNUMBER($F$178),$B$165=1),$F$178,HLOOKUP(INDIRECT(ADDRESS(2,COLUMN())),OFFSET($R$2,0,0,ROW()-1,12),ROW()-1,FALSE))</f>
        <v>899.73171000000002</v>
      </c>
      <c r="G16">
        <f ca="1">IF(AND(ISNUMBER($G$178),$B$165=1),$G$178,HLOOKUP(INDIRECT(ADDRESS(2,COLUMN())),OFFSET($R$2,0,0,ROW()-1,12),ROW()-1,FALSE))</f>
        <v>959.52815610000005</v>
      </c>
      <c r="H16">
        <f ca="1">IF(AND(ISNUMBER($H$178),$B$165=1),$H$178,HLOOKUP(INDIRECT(ADDRESS(2,COLUMN())),OFFSET($R$2,0,0,ROW()-1,12),ROW()-1,FALSE))</f>
        <v>823.83068000000003</v>
      </c>
      <c r="I16">
        <f ca="1">IF(AND(ISNUMBER($I$178),$B$165=1),$I$178,HLOOKUP(INDIRECT(ADDRESS(2,COLUMN())),OFFSET($R$2,0,0,ROW()-1,12),ROW()-1,FALSE))</f>
        <v>841.57354329999998</v>
      </c>
      <c r="J16">
        <f ca="1">IF(AND(ISNUMBER($J$178),$B$165=1),$J$178,HLOOKUP(INDIRECT(ADDRESS(2,COLUMN())),OFFSET($R$2,0,0,ROW()-1,12),ROW()-1,FALSE))</f>
        <v>941.89074000000005</v>
      </c>
      <c r="K16">
        <f ca="1">IF(AND(ISNUMBER($K$178),$B$165=1),$K$178,HLOOKUP(INDIRECT(ADDRESS(2,COLUMN())),OFFSET($R$2,0,0,ROW()-1,12),ROW()-1,FALSE))</f>
        <v>1051.09319</v>
      </c>
      <c r="L16">
        <f ca="1">IF(AND(ISNUMBER($L$178),$B$165=1),$L$178,HLOOKUP(INDIRECT(ADDRESS(2,COLUMN())),OFFSET($R$2,0,0,ROW()-1,12),ROW()-1,FALSE))</f>
        <v>996.01664000000005</v>
      </c>
      <c r="M16">
        <f ca="1">IF(AND(ISNUMBER($M$178),$B$165=1),$M$178,HLOOKUP(INDIRECT(ADDRESS(2,COLUMN())),OFFSET($R$2,0,0,ROW()-1,12),ROW()-1,FALSE))</f>
        <v>1104.626685</v>
      </c>
      <c r="N16">
        <f ca="1">IF(AND(ISNUMBER($N$178),$B$165=1),$N$178,HLOOKUP(INDIRECT(ADDRESS(2,COLUMN())),OFFSET($R$2,0,0,ROW()-1,12),ROW()-1,FALSE))</f>
        <v>928.96271999999999</v>
      </c>
      <c r="O16">
        <f ca="1">IF(AND(ISNUMBER($O$178),$B$165=1),$O$178,HLOOKUP(INDIRECT(ADDRESS(2,COLUMN())),OFFSET($R$2,0,0,ROW()-1,12),ROW()-1,FALSE))</f>
        <v>842.15312200000005</v>
      </c>
      <c r="P16">
        <f ca="1">IF(AND(ISNUMBER($P$178),$B$165=1),$P$178,HLOOKUP(INDIRECT(ADDRESS(2,COLUMN())),OFFSET($R$2,0,0,ROW()-1,12),ROW()-1,FALSE))</f>
        <v>753.62154999999996</v>
      </c>
      <c r="Q16">
        <f ca="1">IF(AND(ISNUMBER($Q$178),$B$165=1),$Q$178,HLOOKUP(INDIRECT(ADDRESS(2,COLUMN())),OFFSET($R$2,0,0,ROW()-1,12),ROW()-1,FALSE))</f>
        <v>614.93015739999998</v>
      </c>
      <c r="R16">
        <f>899.73171</f>
        <v>899.73171000000002</v>
      </c>
      <c r="S16">
        <f>959.5281561</f>
        <v>959.52815610000005</v>
      </c>
      <c r="T16">
        <f>823.83068</f>
        <v>823.83068000000003</v>
      </c>
      <c r="U16">
        <f>841.5735433</f>
        <v>841.57354329999998</v>
      </c>
      <c r="V16">
        <f>941.89074</f>
        <v>941.89074000000005</v>
      </c>
      <c r="W16">
        <f>1051.09319</f>
        <v>1051.09319</v>
      </c>
      <c r="X16">
        <f>996.01664</f>
        <v>996.01664000000005</v>
      </c>
      <c r="Y16">
        <f>1104.626685</f>
        <v>1104.626685</v>
      </c>
      <c r="Z16">
        <f>928.96272</f>
        <v>928.96271999999999</v>
      </c>
      <c r="AA16">
        <f>842.153122</f>
        <v>842.15312200000005</v>
      </c>
      <c r="AB16">
        <f>753.62155</f>
        <v>753.62154999999996</v>
      </c>
      <c r="AC16">
        <f>614.9301574</f>
        <v>614.93015739999998</v>
      </c>
    </row>
    <row r="17" spans="1:29" x14ac:dyDescent="0.25">
      <c r="A17" t="str">
        <f>"    Infosys Ltd"</f>
        <v xml:space="preserve">    Infosys Ltd</v>
      </c>
      <c r="B17" t="str">
        <f>"INFY US Equity"</f>
        <v>INFY US Equity</v>
      </c>
      <c r="C17" t="str">
        <f t="shared" si="0"/>
        <v>RR253</v>
      </c>
      <c r="D17" t="str">
        <f t="shared" si="1"/>
        <v>CASH_AND_MARKETABLE_SECURITIES</v>
      </c>
      <c r="E17" t="str">
        <f t="shared" si="2"/>
        <v>Dynamic</v>
      </c>
      <c r="F17">
        <f ca="1">IF(AND(ISNUMBER($F$179),$B$165=1),$F$179,HLOOKUP(INDIRECT(ADDRESS(2,COLUMN())),OFFSET($R$2,0,0,ROW()-1,12),ROW()-1,FALSE))</f>
        <v>3091.7946179999999</v>
      </c>
      <c r="G17">
        <f ca="1">IF(AND(ISNUMBER($G$179),$B$165=1),$G$179,HLOOKUP(INDIRECT(ADDRESS(2,COLUMN())),OFFSET($R$2,0,0,ROW()-1,12),ROW()-1,FALSE))</f>
        <v>2859.4093320000002</v>
      </c>
      <c r="H17">
        <f ca="1">IF(AND(ISNUMBER($H$179),$B$165=1),$H$179,HLOOKUP(INDIRECT(ADDRESS(2,COLUMN())),OFFSET($R$2,0,0,ROW()-1,12),ROW()-1,FALSE))</f>
        <v>2828.8417049999998</v>
      </c>
      <c r="I17">
        <f ca="1">IF(AND(ISNUMBER($I$179),$B$165=1),$I$179,HLOOKUP(INDIRECT(ADDRESS(2,COLUMN())),OFFSET($R$2,0,0,ROW()-1,12),ROW()-1,FALSE))</f>
        <v>3048.8822220000002</v>
      </c>
      <c r="J17">
        <f ca="1">IF(AND(ISNUMBER($J$179),$B$165=1),$J$179,HLOOKUP(INDIRECT(ADDRESS(2,COLUMN())),OFFSET($R$2,0,0,ROW()-1,12),ROW()-1,FALSE))</f>
        <v>3778.6718169999999</v>
      </c>
      <c r="K17">
        <f ca="1">IF(AND(ISNUMBER($K$179),$B$165=1),$K$179,HLOOKUP(INDIRECT(ADDRESS(2,COLUMN())),OFFSET($R$2,0,0,ROW()-1,12),ROW()-1,FALSE))</f>
        <v>3769.12039</v>
      </c>
      <c r="L17">
        <f ca="1">IF(AND(ISNUMBER($L$179),$B$165=1),$L$179,HLOOKUP(INDIRECT(ADDRESS(2,COLUMN())),OFFSET($R$2,0,0,ROW()-1,12),ROW()-1,FALSE))</f>
        <v>3505.3308430000002</v>
      </c>
      <c r="M17">
        <f ca="1">IF(AND(ISNUMBER($M$179),$B$165=1),$M$179,HLOOKUP(INDIRECT(ADDRESS(2,COLUMN())),OFFSET($R$2,0,0,ROW()-1,12),ROW()-1,FALSE))</f>
        <v>3414.6768889999998</v>
      </c>
      <c r="N17">
        <f ca="1">IF(AND(ISNUMBER($N$179),$B$165=1),$N$179,HLOOKUP(INDIRECT(ADDRESS(2,COLUMN())),OFFSET($R$2,0,0,ROW()-1,12),ROW()-1,FALSE))</f>
        <v>4025.9441200000001</v>
      </c>
      <c r="O17">
        <f ca="1">IF(AND(ISNUMBER($O$179),$B$165=1),$O$179,HLOOKUP(INDIRECT(ADDRESS(2,COLUMN())),OFFSET($R$2,0,0,ROW()-1,12),ROW()-1,FALSE))</f>
        <v>3616.5164479999999</v>
      </c>
      <c r="P17">
        <f ca="1">IF(AND(ISNUMBER($P$179),$B$165=1),$P$179,HLOOKUP(INDIRECT(ADDRESS(2,COLUMN())),OFFSET($R$2,0,0,ROW()-1,12),ROW()-1,FALSE))</f>
        <v>5426.3198160000002</v>
      </c>
      <c r="Q17">
        <f ca="1">IF(AND(ISNUMBER($Q$179),$B$165=1),$Q$179,HLOOKUP(INDIRECT(ADDRESS(2,COLUMN())),OFFSET($R$2,0,0,ROW()-1,12),ROW()-1,FALSE))</f>
        <v>5184.9352909999998</v>
      </c>
      <c r="R17">
        <f>3091.794618</f>
        <v>3091.7946179999999</v>
      </c>
      <c r="S17">
        <f>2859.409332</f>
        <v>2859.4093320000002</v>
      </c>
      <c r="T17">
        <f>2828.841705</f>
        <v>2828.8417049999998</v>
      </c>
      <c r="U17">
        <f>3048.882222</f>
        <v>3048.8822220000002</v>
      </c>
      <c r="V17">
        <f>3778.671817</f>
        <v>3778.6718169999999</v>
      </c>
      <c r="W17">
        <f>3769.12039</f>
        <v>3769.12039</v>
      </c>
      <c r="X17">
        <f>3505.330843</f>
        <v>3505.3308430000002</v>
      </c>
      <c r="Y17">
        <f>3414.676889</f>
        <v>3414.6768889999998</v>
      </c>
      <c r="Z17">
        <f>4025.94412</f>
        <v>4025.9441200000001</v>
      </c>
      <c r="AA17">
        <f>3616.516448</f>
        <v>3616.5164479999999</v>
      </c>
      <c r="AB17">
        <f>5426.319816</f>
        <v>5426.3198160000002</v>
      </c>
      <c r="AC17">
        <f>5184.935291</f>
        <v>5184.9352909999998</v>
      </c>
    </row>
    <row r="18" spans="1:29" x14ac:dyDescent="0.25">
      <c r="A18" t="str">
        <f>"    International Business Machines Corp"</f>
        <v xml:space="preserve">    International Business Machines Corp</v>
      </c>
      <c r="B18" t="str">
        <f>"IBM US Equity"</f>
        <v>IBM US Equity</v>
      </c>
      <c r="C18" t="str">
        <f t="shared" si="0"/>
        <v>RR253</v>
      </c>
      <c r="D18" t="str">
        <f t="shared" si="1"/>
        <v>CASH_AND_MARKETABLE_SECURITIES</v>
      </c>
      <c r="E18" t="str">
        <f t="shared" si="2"/>
        <v>Dynamic</v>
      </c>
      <c r="F18">
        <f ca="1">IF(AND(ISNUMBER($F$180),$B$165=1),$F$180,HLOOKUP(INDIRECT(ADDRESS(2,COLUMN())),OFFSET($R$2,0,0,ROW()-1,12),ROW()-1,FALSE))</f>
        <v>11865</v>
      </c>
      <c r="G18">
        <f ca="1">IF(AND(ISNUMBER($G$180),$B$165=1),$G$180,HLOOKUP(INDIRECT(ADDRESS(2,COLUMN())),OFFSET($R$2,0,0,ROW()-1,12),ROW()-1,FALSE))</f>
        <v>8868</v>
      </c>
      <c r="H18">
        <f ca="1">IF(AND(ISNUMBER($H$180),$B$165=1),$H$180,HLOOKUP(INDIRECT(ADDRESS(2,COLUMN())),OFFSET($R$2,0,0,ROW()-1,12),ROW()-1,FALSE))</f>
        <v>10820</v>
      </c>
      <c r="I18">
        <f ca="1">IF(AND(ISNUMBER($I$180),$B$165=1),$I$180,HLOOKUP(INDIRECT(ADDRESS(2,COLUMN())),OFFSET($R$2,0,0,ROW()-1,12),ROW()-1,FALSE))</f>
        <v>46273</v>
      </c>
      <c r="J18">
        <f ca="1">IF(AND(ISNUMBER($J$180),$B$165=1),$J$180,HLOOKUP(INDIRECT(ADDRESS(2,COLUMN())),OFFSET($R$2,0,0,ROW()-1,12),ROW()-1,FALSE))</f>
        <v>18006</v>
      </c>
      <c r="K18">
        <f ca="1">IF(AND(ISNUMBER($K$180),$B$165=1),$K$180,HLOOKUP(INDIRECT(ADDRESS(2,COLUMN())),OFFSET($R$2,0,0,ROW()-1,12),ROW()-1,FALSE))</f>
        <v>11997</v>
      </c>
      <c r="L18">
        <f ca="1">IF(AND(ISNUMBER($L$180),$B$165=1),$L$180,HLOOKUP(INDIRECT(ADDRESS(2,COLUMN())),OFFSET($R$2,0,0,ROW()-1,12),ROW()-1,FALSE))</f>
        <v>14495</v>
      </c>
      <c r="M18">
        <f ca="1">IF(AND(ISNUMBER($M$180),$B$165=1),$M$180,HLOOKUP(INDIRECT(ADDRESS(2,COLUMN())),OFFSET($R$2,0,0,ROW()-1,12),ROW()-1,FALSE))</f>
        <v>11707</v>
      </c>
      <c r="N18">
        <f ca="1">IF(AND(ISNUMBER($N$180),$B$165=1),$N$180,HLOOKUP(INDIRECT(ADDRESS(2,COLUMN())),OFFSET($R$2,0,0,ROW()-1,12),ROW()-1,FALSE))</f>
        <v>12842</v>
      </c>
      <c r="O18">
        <f ca="1">IF(AND(ISNUMBER($O$180),$B$165=1),$O$180,HLOOKUP(INDIRECT(ADDRESS(2,COLUMN())),OFFSET($R$2,0,0,ROW()-1,12),ROW()-1,FALSE))</f>
        <v>12580</v>
      </c>
      <c r="P18">
        <f ca="1">IF(AND(ISNUMBER($P$180),$B$165=1),$P$180,HLOOKUP(INDIRECT(ADDRESS(2,COLUMN())),OFFSET($R$2,0,0,ROW()-1,12),ROW()-1,FALSE))</f>
        <v>11515</v>
      </c>
      <c r="Q18">
        <f ca="1">IF(AND(ISNUMBER($Q$180),$B$165=1),$Q$180,HLOOKUP(INDIRECT(ADDRESS(2,COLUMN())),OFFSET($R$2,0,0,ROW()-1,12),ROW()-1,FALSE))</f>
        <v>12295</v>
      </c>
      <c r="R18">
        <f>11865</f>
        <v>11865</v>
      </c>
      <c r="S18">
        <f>8868</f>
        <v>8868</v>
      </c>
      <c r="T18">
        <f>10820</f>
        <v>10820</v>
      </c>
      <c r="U18">
        <f>46273</f>
        <v>46273</v>
      </c>
      <c r="V18">
        <f>18006</f>
        <v>18006</v>
      </c>
      <c r="W18">
        <f>11997</f>
        <v>11997</v>
      </c>
      <c r="X18">
        <f>14495</f>
        <v>14495</v>
      </c>
      <c r="Y18">
        <f>11707</f>
        <v>11707</v>
      </c>
      <c r="Z18">
        <f>12842</f>
        <v>12842</v>
      </c>
      <c r="AA18">
        <f>12580</f>
        <v>12580</v>
      </c>
      <c r="AB18">
        <f>11515</f>
        <v>11515</v>
      </c>
      <c r="AC18">
        <f>12295</f>
        <v>12295</v>
      </c>
    </row>
    <row r="19" spans="1:29" x14ac:dyDescent="0.25">
      <c r="A19" t="str">
        <f>"    Tata Consultancy Services Ltd"</f>
        <v xml:space="preserve">    Tata Consultancy Services Ltd</v>
      </c>
      <c r="B19" t="str">
        <f>"TCS IN Equity"</f>
        <v>TCS IN Equity</v>
      </c>
      <c r="C19" t="str">
        <f t="shared" si="0"/>
        <v>RR253</v>
      </c>
      <c r="D19" t="str">
        <f t="shared" si="1"/>
        <v>CASH_AND_MARKETABLE_SECURITIES</v>
      </c>
      <c r="E19" t="str">
        <f t="shared" si="2"/>
        <v>Dynamic</v>
      </c>
      <c r="F19">
        <f ca="1">IF(AND(ISNUMBER($F$181),$B$165=1),$F$181,HLOOKUP(INDIRECT(ADDRESS(2,COLUMN())),OFFSET($R$2,0,0,ROW()-1,12),ROW()-1,FALSE))</f>
        <v>4721.9388200000003</v>
      </c>
      <c r="G19">
        <f ca="1">IF(AND(ISNUMBER($G$181),$B$165=1),$G$181,HLOOKUP(INDIRECT(ADDRESS(2,COLUMN())),OFFSET($R$2,0,0,ROW()-1,12),ROW()-1,FALSE))</f>
        <v>5187.5408040000002</v>
      </c>
      <c r="H19">
        <f ca="1">IF(AND(ISNUMBER($H$181),$B$165=1),$H$181,HLOOKUP(INDIRECT(ADDRESS(2,COLUMN())),OFFSET($R$2,0,0,ROW()-1,12),ROW()-1,FALSE))</f>
        <v>6573.2256950000001</v>
      </c>
      <c r="I19">
        <f ca="1">IF(AND(ISNUMBER($I$181),$B$165=1),$I$181,HLOOKUP(INDIRECT(ADDRESS(2,COLUMN())),OFFSET($R$2,0,0,ROW()-1,12),ROW()-1,FALSE))</f>
        <v>6155.2166139999999</v>
      </c>
      <c r="J19">
        <f ca="1">IF(AND(ISNUMBER($J$181),$B$165=1),$J$181,HLOOKUP(INDIRECT(ADDRESS(2,COLUMN())),OFFSET($R$2,0,0,ROW()-1,12),ROW()-1,FALSE))</f>
        <v>6021.4963799999996</v>
      </c>
      <c r="K19">
        <f ca="1">IF(AND(ISNUMBER($K$181),$B$165=1),$K$181,HLOOKUP(INDIRECT(ADDRESS(2,COLUMN())),OFFSET($R$2,0,0,ROW()-1,12),ROW()-1,FALSE))</f>
        <v>5176.9263879999999</v>
      </c>
      <c r="L19">
        <f ca="1">IF(AND(ISNUMBER($L$181),$B$165=1),$L$181,HLOOKUP(INDIRECT(ADDRESS(2,COLUMN())),OFFSET($R$2,0,0,ROW()-1,12),ROW()-1,FALSE))</f>
        <v>4669.6393500000004</v>
      </c>
      <c r="M19">
        <f ca="1">IF(AND(ISNUMBER($M$181),$B$165=1),$M$181,HLOOKUP(INDIRECT(ADDRESS(2,COLUMN())),OFFSET($R$2,0,0,ROW()-1,12),ROW()-1,FALSE))</f>
        <v>5601.6064260000003</v>
      </c>
      <c r="N19">
        <f ca="1">IF(AND(ISNUMBER($N$181),$B$165=1),$N$181,HLOOKUP(INDIRECT(ADDRESS(2,COLUMN())),OFFSET($R$2,0,0,ROW()-1,12),ROW()-1,FALSE))</f>
        <v>6546.8222290000003</v>
      </c>
      <c r="O19">
        <f ca="1">IF(AND(ISNUMBER($O$181),$B$165=1),$O$181,HLOOKUP(INDIRECT(ADDRESS(2,COLUMN())),OFFSET($R$2,0,0,ROW()-1,12),ROW()-1,FALSE))</f>
        <v>5752.5665019999997</v>
      </c>
      <c r="P19">
        <f ca="1">IF(AND(ISNUMBER($P$181),$B$165=1),$P$181,HLOOKUP(INDIRECT(ADDRESS(2,COLUMN())),OFFSET($R$2,0,0,ROW()-1,12),ROW()-1,FALSE))</f>
        <v>5132.0581480000001</v>
      </c>
      <c r="Q19">
        <f ca="1">IF(AND(ISNUMBER($Q$181),$B$165=1),$Q$181,HLOOKUP(INDIRECT(ADDRESS(2,COLUMN())),OFFSET($R$2,0,0,ROW()-1,12),ROW()-1,FALSE))</f>
        <v>4935.321782</v>
      </c>
      <c r="R19">
        <f>4721.93882</f>
        <v>4721.9388200000003</v>
      </c>
      <c r="S19">
        <f>5187.540804</f>
        <v>5187.5408040000002</v>
      </c>
      <c r="T19">
        <f>6573.225695</f>
        <v>6573.2256950000001</v>
      </c>
      <c r="U19">
        <f>6155.216614</f>
        <v>6155.2166139999999</v>
      </c>
      <c r="V19">
        <f>6021.49638</f>
        <v>6021.4963799999996</v>
      </c>
      <c r="W19">
        <f>5176.926388</f>
        <v>5176.9263879999999</v>
      </c>
      <c r="X19">
        <f>4669.63935</f>
        <v>4669.6393500000004</v>
      </c>
      <c r="Y19">
        <f>5601.606426</f>
        <v>5601.6064260000003</v>
      </c>
      <c r="Z19">
        <f>6546.822229</f>
        <v>6546.8222290000003</v>
      </c>
      <c r="AA19">
        <f>5752.566502</f>
        <v>5752.5665019999997</v>
      </c>
      <c r="AB19">
        <f>5132.058148</f>
        <v>5132.0581480000001</v>
      </c>
      <c r="AC19">
        <f>4935.321782</f>
        <v>4935.321782</v>
      </c>
    </row>
    <row r="20" spans="1:29" x14ac:dyDescent="0.25">
      <c r="A20" t="str">
        <f>"    Tech Mahindra Ltd"</f>
        <v xml:space="preserve">    Tech Mahindra Ltd</v>
      </c>
      <c r="B20" t="str">
        <f>"TECHM IN Equity"</f>
        <v>TECHM IN Equity</v>
      </c>
      <c r="C20" t="str">
        <f t="shared" si="0"/>
        <v>RR253</v>
      </c>
      <c r="D20" t="str">
        <f t="shared" si="1"/>
        <v>CASH_AND_MARKETABLE_SECURITIES</v>
      </c>
      <c r="E20" t="str">
        <f t="shared" si="2"/>
        <v>Dynamic</v>
      </c>
      <c r="F20">
        <f ca="1">IF(AND(ISNUMBER($F$182),$B$165=1),$F$182,HLOOKUP(INDIRECT(ADDRESS(2,COLUMN())),OFFSET($R$2,0,0,ROW()-1,12),ROW()-1,FALSE))</f>
        <v>1162.2887029999999</v>
      </c>
      <c r="G20">
        <f ca="1">IF(AND(ISNUMBER($G$182),$B$165=1),$G$182,HLOOKUP(INDIRECT(ADDRESS(2,COLUMN())),OFFSET($R$2,0,0,ROW()-1,12),ROW()-1,FALSE))</f>
        <v>1148.8041330000001</v>
      </c>
      <c r="H20">
        <f ca="1">IF(AND(ISNUMBER($H$182),$B$165=1),$H$182,HLOOKUP(INDIRECT(ADDRESS(2,COLUMN())),OFFSET($R$2,0,0,ROW()-1,12),ROW()-1,FALSE))</f>
        <v>1061.76019</v>
      </c>
      <c r="I20">
        <f ca="1">IF(AND(ISNUMBER($I$182),$B$165=1),$I$182,HLOOKUP(INDIRECT(ADDRESS(2,COLUMN())),OFFSET($R$2,0,0,ROW()-1,12),ROW()-1,FALSE))</f>
        <v>1128.978672</v>
      </c>
      <c r="J20">
        <f ca="1">IF(AND(ISNUMBER($J$182),$B$165=1),$J$182,HLOOKUP(INDIRECT(ADDRESS(2,COLUMN())),OFFSET($R$2,0,0,ROW()-1,12),ROW()-1,FALSE))</f>
        <v>1251.801342</v>
      </c>
      <c r="K20">
        <f ca="1">IF(AND(ISNUMBER($K$182),$B$165=1),$K$182,HLOOKUP(INDIRECT(ADDRESS(2,COLUMN())),OFFSET($R$2,0,0,ROW()-1,12),ROW()-1,FALSE))</f>
        <v>961.51528199999996</v>
      </c>
      <c r="L20">
        <f ca="1">IF(AND(ISNUMBER($L$182),$B$165=1),$L$182,HLOOKUP(INDIRECT(ADDRESS(2,COLUMN())),OFFSET($R$2,0,0,ROW()-1,12),ROW()-1,FALSE))</f>
        <v>876.47743949999995</v>
      </c>
      <c r="M20">
        <f ca="1">IF(AND(ISNUMBER($M$182),$B$165=1),$M$182,HLOOKUP(INDIRECT(ADDRESS(2,COLUMN())),OFFSET($R$2,0,0,ROW()-1,12),ROW()-1,FALSE))</f>
        <v>1047.7984670000001</v>
      </c>
      <c r="N20">
        <f ca="1">IF(AND(ISNUMBER($N$182),$B$165=1),$N$182,HLOOKUP(INDIRECT(ADDRESS(2,COLUMN())),OFFSET($R$2,0,0,ROW()-1,12),ROW()-1,FALSE))</f>
        <v>989.1003991</v>
      </c>
      <c r="O20">
        <f ca="1">IF(AND(ISNUMBER($O$182),$B$165=1),$O$182,HLOOKUP(INDIRECT(ADDRESS(2,COLUMN())),OFFSET($R$2,0,0,ROW()-1,12),ROW()-1,FALSE))</f>
        <v>950.37704670000005</v>
      </c>
      <c r="P20">
        <f ca="1">IF(AND(ISNUMBER($P$182),$B$165=1),$P$182,HLOOKUP(INDIRECT(ADDRESS(2,COLUMN())),OFFSET($R$2,0,0,ROW()-1,12),ROW()-1,FALSE))</f>
        <v>912.20964040000001</v>
      </c>
      <c r="Q20">
        <f ca="1">IF(AND(ISNUMBER($Q$182),$B$165=1),$Q$182,HLOOKUP(INDIRECT(ADDRESS(2,COLUMN())),OFFSET($R$2,0,0,ROW()-1,12),ROW()-1,FALSE))</f>
        <v>931.04446150000001</v>
      </c>
      <c r="R20">
        <f>1162.288703</f>
        <v>1162.2887029999999</v>
      </c>
      <c r="S20">
        <f>1148.804133</f>
        <v>1148.8041330000001</v>
      </c>
      <c r="T20">
        <f>1061.76019</f>
        <v>1061.76019</v>
      </c>
      <c r="U20">
        <f>1128.978672</f>
        <v>1128.978672</v>
      </c>
      <c r="V20">
        <f>1251.801342</f>
        <v>1251.801342</v>
      </c>
      <c r="W20">
        <f>961.515282</f>
        <v>961.51528199999996</v>
      </c>
      <c r="X20">
        <f>876.4774395</f>
        <v>876.47743949999995</v>
      </c>
      <c r="Y20">
        <f>1047.798467</f>
        <v>1047.7984670000001</v>
      </c>
      <c r="Z20">
        <f>989.1003991</f>
        <v>989.1003991</v>
      </c>
      <c r="AA20">
        <f>950.3770467</f>
        <v>950.37704670000005</v>
      </c>
      <c r="AB20">
        <f>912.2096404</f>
        <v>912.20964040000001</v>
      </c>
      <c r="AC20">
        <f>931.0444615</f>
        <v>931.04446150000001</v>
      </c>
    </row>
    <row r="21" spans="1:29" x14ac:dyDescent="0.25">
      <c r="A21" t="str">
        <f>"    Wipro Ltd"</f>
        <v xml:space="preserve">    Wipro Ltd</v>
      </c>
      <c r="B21" t="str">
        <f>"WIT US Equity"</f>
        <v>WIT US Equity</v>
      </c>
      <c r="C21" t="str">
        <f t="shared" si="0"/>
        <v>RR253</v>
      </c>
      <c r="D21" t="str">
        <f t="shared" si="1"/>
        <v>CASH_AND_MARKETABLE_SECURITIES</v>
      </c>
      <c r="E21" t="str">
        <f t="shared" si="2"/>
        <v>Dynamic</v>
      </c>
      <c r="F21">
        <f ca="1">IF(AND(ISNUMBER($F$183),$B$165=1),$F$183,HLOOKUP(INDIRECT(ADDRESS(2,COLUMN())),OFFSET($R$2,0,0,ROW()-1,12),ROW()-1,FALSE))</f>
        <v>4433.0316810000004</v>
      </c>
      <c r="G21">
        <f ca="1">IF(AND(ISNUMBER($G$183),$B$165=1),$G$183,HLOOKUP(INDIRECT(ADDRESS(2,COLUMN())),OFFSET($R$2,0,0,ROW()-1,12),ROW()-1,FALSE))</f>
        <v>4926.5772310000002</v>
      </c>
      <c r="H21">
        <f ca="1">IF(AND(ISNUMBER($H$183),$B$165=1),$H$183,HLOOKUP(INDIRECT(ADDRESS(2,COLUMN())),OFFSET($R$2,0,0,ROW()-1,12),ROW()-1,FALSE))</f>
        <v>4615.3236589999997</v>
      </c>
      <c r="I21">
        <f ca="1">IF(AND(ISNUMBER($I$183),$B$165=1),$I$183,HLOOKUP(INDIRECT(ADDRESS(2,COLUMN())),OFFSET($R$2,0,0,ROW()-1,12),ROW()-1,FALSE))</f>
        <v>6147.860995</v>
      </c>
      <c r="J21">
        <f ca="1">IF(AND(ISNUMBER($J$183),$B$165=1),$J$183,HLOOKUP(INDIRECT(ADDRESS(2,COLUMN())),OFFSET($R$2,0,0,ROW()-1,12),ROW()-1,FALSE))</f>
        <v>5470.6714769999999</v>
      </c>
      <c r="K21">
        <f ca="1">IF(AND(ISNUMBER($K$183),$B$165=1),$K$183,HLOOKUP(INDIRECT(ADDRESS(2,COLUMN())),OFFSET($R$2,0,0,ROW()-1,12),ROW()-1,FALSE))</f>
        <v>5092.1509539999997</v>
      </c>
      <c r="L21">
        <f ca="1">IF(AND(ISNUMBER($L$183),$B$165=1),$L$183,HLOOKUP(INDIRECT(ADDRESS(2,COLUMN())),OFFSET($R$2,0,0,ROW()-1,12),ROW()-1,FALSE))</f>
        <v>4529.7762220000004</v>
      </c>
      <c r="M21">
        <f ca="1">IF(AND(ISNUMBER($M$183),$B$165=1),$M$183,HLOOKUP(INDIRECT(ADDRESS(2,COLUMN())),OFFSET($R$2,0,0,ROW()-1,12),ROW()-1,FALSE))</f>
        <v>4693.8882800000001</v>
      </c>
      <c r="N21">
        <f ca="1">IF(AND(ISNUMBER($N$183),$B$165=1),$N$183,HLOOKUP(INDIRECT(ADDRESS(2,COLUMN())),OFFSET($R$2,0,0,ROW()-1,12),ROW()-1,FALSE))</f>
        <v>4513.6475280000004</v>
      </c>
      <c r="O21">
        <f ca="1">IF(AND(ISNUMBER($O$183),$B$165=1),$O$183,HLOOKUP(INDIRECT(ADDRESS(2,COLUMN())),OFFSET($R$2,0,0,ROW()-1,12),ROW()-1,FALSE))</f>
        <v>4531.5771750000004</v>
      </c>
      <c r="P21">
        <f ca="1">IF(AND(ISNUMBER($P$183),$B$165=1),$P$183,HLOOKUP(INDIRECT(ADDRESS(2,COLUMN())),OFFSET($R$2,0,0,ROW()-1,12),ROW()-1,FALSE))</f>
        <v>5883.2134660000002</v>
      </c>
      <c r="Q21">
        <f ca="1">IF(AND(ISNUMBER($Q$183),$B$165=1),$Q$183,HLOOKUP(INDIRECT(ADDRESS(2,COLUMN())),OFFSET($R$2,0,0,ROW()-1,12),ROW()-1,FALSE))</f>
        <v>5757.2821990000002</v>
      </c>
      <c r="R21">
        <f>4433.031681</f>
        <v>4433.0316810000004</v>
      </c>
      <c r="S21">
        <f>4926.577231</f>
        <v>4926.5772310000002</v>
      </c>
      <c r="T21">
        <f>4615.323659</f>
        <v>4615.3236589999997</v>
      </c>
      <c r="U21">
        <f>6147.860995</f>
        <v>6147.860995</v>
      </c>
      <c r="V21">
        <f>5470.671477</f>
        <v>5470.6714769999999</v>
      </c>
      <c r="W21">
        <f>5092.150954</f>
        <v>5092.1509539999997</v>
      </c>
      <c r="X21">
        <f>4529.776222</f>
        <v>4529.7762220000004</v>
      </c>
      <c r="Y21">
        <f>4693.88828</f>
        <v>4693.8882800000001</v>
      </c>
      <c r="Z21">
        <f>4513.647528</f>
        <v>4513.6475280000004</v>
      </c>
      <c r="AA21">
        <f>4531.577175</f>
        <v>4531.5771750000004</v>
      </c>
      <c r="AB21">
        <f>5883.213466</f>
        <v>5883.2134660000002</v>
      </c>
      <c r="AC21">
        <f>5757.282199</f>
        <v>5757.2821990000002</v>
      </c>
    </row>
    <row r="22" spans="1:29" x14ac:dyDescent="0.25">
      <c r="A22" t="str">
        <f>"Accounts &amp; Notes Receivable"</f>
        <v>Accounts &amp; Notes Receivable</v>
      </c>
      <c r="B22" t="str">
        <f>""</f>
        <v/>
      </c>
      <c r="E22" t="str">
        <f>"Sum"</f>
        <v>Sum</v>
      </c>
      <c r="F22">
        <f ca="1">IF(ISERROR(IF(SUM($F$23:$F$39) = 0, "", SUM($F$23:$F$39))), "", (IF(SUM($F$23:$F$39) = 0, "", SUM($F$23:$F$39))))</f>
        <v>47597.111195999998</v>
      </c>
      <c r="G22">
        <f ca="1">IF(ISERROR(IF(SUM($G$23:$G$39) = 0, "", SUM($G$23:$G$39))), "", (IF(SUM($G$23:$G$39) = 0, "", SUM($G$23:$G$39))))</f>
        <v>57321.641279999989</v>
      </c>
      <c r="H22">
        <f ca="1">IF(ISERROR(IF(SUM($H$23:$H$39) = 0, "", SUM($H$23:$H$39))), "", (IF(SUM($H$23:$H$39) = 0, "", SUM($H$23:$H$39))))</f>
        <v>49534.368897599998</v>
      </c>
      <c r="I22">
        <f ca="1">IF(ISERROR(IF(SUM($I$23:$I$39) = 0, "", SUM($I$23:$I$39))), "", (IF(SUM($I$23:$I$39) = 0, "", SUM($I$23:$I$39))))</f>
        <v>55494.539212800002</v>
      </c>
      <c r="J22">
        <f ca="1">IF(ISERROR(IF(SUM($J$23:$J$39) = 0, "", SUM($J$23:$J$39))), "", (IF(SUM($J$23:$J$39) = 0, "", SUM($J$23:$J$39))))</f>
        <v>55365.718109999994</v>
      </c>
      <c r="K22">
        <f ca="1">IF(ISERROR(IF(SUM($K$23:$K$39) = 0, "", SUM($K$23:$K$39))), "", (IF(SUM($K$23:$K$39) = 0, "", SUM($K$23:$K$39))))</f>
        <v>61385.236367000005</v>
      </c>
      <c r="L22">
        <f ca="1">IF(ISERROR(IF(SUM($L$23:$L$39) = 0, "", SUM($L$23:$L$39))), "", (IF(SUM($L$23:$L$39) = 0, "", SUM($L$23:$L$39))))</f>
        <v>52886.319763300009</v>
      </c>
      <c r="M22">
        <f ca="1">IF(ISERROR(IF(SUM($M$23:$M$39) = 0, "", SUM($M$23:$M$39))), "", (IF(SUM($M$23:$M$39) = 0, "", SUM($M$23:$M$39))))</f>
        <v>54362.891580900003</v>
      </c>
      <c r="N22">
        <f ca="1">IF(ISERROR(IF(SUM($N$23:$N$39) = 0, "", SUM($N$23:$N$39))), "", (IF(SUM($N$23:$N$39) = 0, "", SUM($N$23:$N$39))))</f>
        <v>52937.842565400002</v>
      </c>
      <c r="O22">
        <f ca="1">IF(ISERROR(IF(SUM($O$23:$O$39) = 0, "", SUM($O$23:$O$39))), "", (IF(SUM($O$23:$O$39) = 0, "", SUM($O$23:$O$39))))</f>
        <v>59361.469650999999</v>
      </c>
      <c r="P22">
        <f ca="1">IF(ISERROR(IF(SUM($P$23:$P$39) = 0, "", SUM($P$23:$P$39))), "", (IF(SUM($P$23:$P$39) = 0, "", SUM($P$23:$P$39))))</f>
        <v>54363.704775700004</v>
      </c>
      <c r="Q22">
        <f ca="1">IF(ISERROR(IF(SUM($Q$23:$Q$39) = 0, "", SUM($Q$23:$Q$39))), "", (IF(SUM($Q$23:$Q$39) = 0, "", SUM($Q$23:$Q$39))))</f>
        <v>53600.0539307</v>
      </c>
      <c r="R22">
        <f>47597.1112</f>
        <v>47597.111199999999</v>
      </c>
      <c r="S22">
        <f>57321.64128</f>
        <v>57321.641280000003</v>
      </c>
      <c r="T22">
        <f>49534.3689</f>
        <v>49534.368900000001</v>
      </c>
      <c r="U22">
        <f>55494.53921</f>
        <v>55494.539210000003</v>
      </c>
      <c r="V22">
        <f>55365.71811</f>
        <v>55365.718110000002</v>
      </c>
      <c r="W22">
        <f>61385.23637</f>
        <v>61385.236369999999</v>
      </c>
      <c r="X22">
        <f>52886.31976</f>
        <v>52886.319759999998</v>
      </c>
      <c r="Y22">
        <f>54362.89158</f>
        <v>54362.891580000003</v>
      </c>
      <c r="Z22">
        <f>52937.84257</f>
        <v>52937.842570000001</v>
      </c>
      <c r="AA22">
        <f>59361.46965</f>
        <v>59361.469649999999</v>
      </c>
      <c r="AB22">
        <f>54363.70478</f>
        <v>54363.70478</v>
      </c>
      <c r="AC22">
        <f>53600.05393</f>
        <v>53600.053930000002</v>
      </c>
    </row>
    <row r="23" spans="1:29" x14ac:dyDescent="0.25">
      <c r="A23" t="str">
        <f>"    Accenture PLC"</f>
        <v xml:space="preserve">    Accenture PLC</v>
      </c>
      <c r="B23" t="str">
        <f>"ACN US Equity"</f>
        <v>ACN US Equity</v>
      </c>
      <c r="C23" t="str">
        <f t="shared" ref="C23:C39" si="3">"BS012"</f>
        <v>BS012</v>
      </c>
      <c r="D23" t="str">
        <f t="shared" ref="D23:D39" si="4">"BS_ACCT_NOTE_RCV"</f>
        <v>BS_ACCT_NOTE_RCV</v>
      </c>
      <c r="E23" t="str">
        <f t="shared" ref="E23:E39" si="5">"Dynamic"</f>
        <v>Dynamic</v>
      </c>
      <c r="F23">
        <f ca="1">IF(AND(ISNUMBER($F$184),$B$165=1),$F$184,HLOOKUP(INDIRECT(ADDRESS(2,COLUMN())),OFFSET($R$2,0,0,ROW()-1,12),ROW()-1,FALSE))</f>
        <v>8517.9490000000005</v>
      </c>
      <c r="G23">
        <f ca="1">IF(AND(ISNUMBER($G$184),$B$165=1),$G$184,HLOOKUP(INDIRECT(ADDRESS(2,COLUMN())),OFFSET($R$2,0,0,ROW()-1,12),ROW()-1,FALSE))</f>
        <v>8577.3860000000004</v>
      </c>
      <c r="H23">
        <f ca="1">IF(AND(ISNUMBER($H$184),$B$165=1),$H$184,HLOOKUP(INDIRECT(ADDRESS(2,COLUMN())),OFFSET($R$2,0,0,ROW()-1,12),ROW()-1,FALSE))</f>
        <v>8095.0709999999999</v>
      </c>
      <c r="I23">
        <f ca="1">IF(AND(ISNUMBER($I$184),$B$165=1),$I$184,HLOOKUP(INDIRECT(ADDRESS(2,COLUMN())),OFFSET($R$2,0,0,ROW()-1,12),ROW()-1,FALSE))</f>
        <v>8134.1469999999999</v>
      </c>
      <c r="J23">
        <f ca="1">IF(AND(ISNUMBER($J$184),$B$165=1),$J$184,HLOOKUP(INDIRECT(ADDRESS(2,COLUMN())),OFFSET($R$2,0,0,ROW()-1,12),ROW()-1,FALSE))</f>
        <v>8151.4110000000001</v>
      </c>
      <c r="K23">
        <f ca="1">IF(AND(ISNUMBER($K$184),$B$165=1),$K$184,HLOOKUP(INDIRECT(ADDRESS(2,COLUMN())),OFFSET($R$2,0,0,ROW()-1,12),ROW()-1,FALSE))</f>
        <v>8023.0569999999998</v>
      </c>
      <c r="L23">
        <f ca="1">IF(AND(ISNUMBER($L$184),$B$165=1),$L$184,HLOOKUP(INDIRECT(ADDRESS(2,COLUMN())),OFFSET($R$2,0,0,ROW()-1,12),ROW()-1,FALSE))</f>
        <v>4996.4539999999997</v>
      </c>
      <c r="M23">
        <f ca="1">IF(AND(ISNUMBER($M$184),$B$165=1),$M$184,HLOOKUP(INDIRECT(ADDRESS(2,COLUMN())),OFFSET($R$2,0,0,ROW()-1,12),ROW()-1,FALSE))</f>
        <v>4986.652</v>
      </c>
      <c r="N23">
        <f ca="1">IF(AND(ISNUMBER($N$184),$B$165=1),$N$184,HLOOKUP(INDIRECT(ADDRESS(2,COLUMN())),OFFSET($R$2,0,0,ROW()-1,12),ROW()-1,FALSE))</f>
        <v>5030.6980000000003</v>
      </c>
      <c r="O23">
        <f ca="1">IF(AND(ISNUMBER($O$184),$B$165=1),$O$184,HLOOKUP(INDIRECT(ADDRESS(2,COLUMN())),OFFSET($R$2,0,0,ROW()-1,12),ROW()-1,FALSE))</f>
        <v>4981.0839999999998</v>
      </c>
      <c r="P23">
        <f ca="1">IF(AND(ISNUMBER($P$184),$B$165=1),$P$184,HLOOKUP(INDIRECT(ADDRESS(2,COLUMN())),OFFSET($R$2,0,0,ROW()-1,12),ROW()-1,FALSE))</f>
        <v>4569.2139999999999</v>
      </c>
      <c r="Q23">
        <f ca="1">IF(AND(ISNUMBER($Q$184),$B$165=1),$Q$184,HLOOKUP(INDIRECT(ADDRESS(2,COLUMN())),OFFSET($R$2,0,0,ROW()-1,12),ROW()-1,FALSE))</f>
        <v>4474.415</v>
      </c>
      <c r="R23">
        <f>8517.949</f>
        <v>8517.9490000000005</v>
      </c>
      <c r="S23">
        <f>8577.386</f>
        <v>8577.3860000000004</v>
      </c>
      <c r="T23">
        <f>8095.071</f>
        <v>8095.0709999999999</v>
      </c>
      <c r="U23">
        <f>8134.147</f>
        <v>8134.1469999999999</v>
      </c>
      <c r="V23">
        <f>8151.411</f>
        <v>8151.4110000000001</v>
      </c>
      <c r="W23">
        <f>8023.057</f>
        <v>8023.0569999999998</v>
      </c>
      <c r="X23">
        <f>4996.454</f>
        <v>4996.4539999999997</v>
      </c>
      <c r="Y23">
        <f>4986.652</f>
        <v>4986.652</v>
      </c>
      <c r="Z23">
        <f>5030.698</f>
        <v>5030.6980000000003</v>
      </c>
      <c r="AA23">
        <f>4981.084</f>
        <v>4981.0839999999998</v>
      </c>
      <c r="AB23">
        <f>4569.214</f>
        <v>4569.2139999999999</v>
      </c>
      <c r="AC23">
        <f>4474.415</f>
        <v>4474.415</v>
      </c>
    </row>
    <row r="24" spans="1:29" x14ac:dyDescent="0.25">
      <c r="A24" t="str">
        <f>"    Amdocs Ltd"</f>
        <v xml:space="preserve">    Amdocs Ltd</v>
      </c>
      <c r="B24" t="str">
        <f>"DOX US Equity"</f>
        <v>DOX US Equity</v>
      </c>
      <c r="C24" t="str">
        <f t="shared" si="3"/>
        <v>BS012</v>
      </c>
      <c r="D24" t="str">
        <f t="shared" si="4"/>
        <v>BS_ACCT_NOTE_RCV</v>
      </c>
      <c r="E24" t="str">
        <f t="shared" si="5"/>
        <v>Dynamic</v>
      </c>
      <c r="F24">
        <f ca="1">IF(AND(ISNUMBER($F$185),$B$165=1),$F$185,HLOOKUP(INDIRECT(ADDRESS(2,COLUMN())),OFFSET($R$2,0,0,ROW()-1,12),ROW()-1,FALSE))</f>
        <v>755.39300000000003</v>
      </c>
      <c r="G24">
        <f ca="1">IF(AND(ISNUMBER($G$185),$B$165=1),$G$185,HLOOKUP(INDIRECT(ADDRESS(2,COLUMN())),OFFSET($R$2,0,0,ROW()-1,12),ROW()-1,FALSE))</f>
        <v>1002.264</v>
      </c>
      <c r="H24">
        <f ca="1">IF(AND(ISNUMBER($H$185),$B$165=1),$H$185,HLOOKUP(INDIRECT(ADDRESS(2,COLUMN())),OFFSET($R$2,0,0,ROW()-1,12),ROW()-1,FALSE))</f>
        <v>987.85799999999995</v>
      </c>
      <c r="I24">
        <f ca="1">IF(AND(ISNUMBER($I$185),$B$165=1),$I$185,HLOOKUP(INDIRECT(ADDRESS(2,COLUMN())),OFFSET($R$2,0,0,ROW()-1,12),ROW()-1,FALSE))</f>
        <v>952.89099999999996</v>
      </c>
      <c r="J24">
        <f ca="1">IF(AND(ISNUMBER($J$185),$B$165=1),$J$185,HLOOKUP(INDIRECT(ADDRESS(2,COLUMN())),OFFSET($R$2,0,0,ROW()-1,12),ROW()-1,FALSE))</f>
        <v>764.928</v>
      </c>
      <c r="K24">
        <f ca="1">IF(AND(ISNUMBER($K$185),$B$165=1),$K$185,HLOOKUP(INDIRECT(ADDRESS(2,COLUMN())),OFFSET($R$2,0,0,ROW()-1,12),ROW()-1,FALSE))</f>
        <v>1008.748</v>
      </c>
      <c r="L24">
        <f ca="1">IF(AND(ISNUMBER($L$185),$B$165=1),$L$185,HLOOKUP(INDIRECT(ADDRESS(2,COLUMN())),OFFSET($R$2,0,0,ROW()-1,12),ROW()-1,FALSE))</f>
        <v>707.505</v>
      </c>
      <c r="M24">
        <f ca="1">IF(AND(ISNUMBER($M$185),$B$165=1),$M$185,HLOOKUP(INDIRECT(ADDRESS(2,COLUMN())),OFFSET($R$2,0,0,ROW()-1,12),ROW()-1,FALSE))</f>
        <v>733.27499999999998</v>
      </c>
      <c r="N24">
        <f ca="1">IF(AND(ISNUMBER($N$185),$B$165=1),$N$185,HLOOKUP(INDIRECT(ADDRESS(2,COLUMN())),OFFSET($R$2,0,0,ROW()-1,12),ROW()-1,FALSE))</f>
        <v>722.90200000000004</v>
      </c>
      <c r="O24">
        <f ca="1">IF(AND(ISNUMBER($O$185),$B$165=1),$O$185,HLOOKUP(INDIRECT(ADDRESS(2,COLUMN())),OFFSET($R$2,0,0,ROW()-1,12),ROW()-1,FALSE))</f>
        <v>681.63300000000004</v>
      </c>
      <c r="P24">
        <f ca="1">IF(AND(ISNUMBER($P$185),$B$165=1),$P$185,HLOOKUP(INDIRECT(ADDRESS(2,COLUMN())),OFFSET($R$2,0,0,ROW()-1,12),ROW()-1,FALSE))</f>
        <v>635.37300000000005</v>
      </c>
      <c r="Q24">
        <f ca="1">IF(AND(ISNUMBER($Q$185),$B$165=1),$Q$185,HLOOKUP(INDIRECT(ADDRESS(2,COLUMN())),OFFSET($R$2,0,0,ROW()-1,12),ROW()-1,FALSE))</f>
        <v>718.48800000000006</v>
      </c>
      <c r="R24">
        <f>755.393</f>
        <v>755.39300000000003</v>
      </c>
      <c r="S24">
        <f>1002.264</f>
        <v>1002.264</v>
      </c>
      <c r="T24">
        <f>987.858</f>
        <v>987.85799999999995</v>
      </c>
      <c r="U24">
        <f>952.891</f>
        <v>952.89099999999996</v>
      </c>
      <c r="V24">
        <f>764.928</f>
        <v>764.928</v>
      </c>
      <c r="W24">
        <f>1008.748</f>
        <v>1008.748</v>
      </c>
      <c r="X24">
        <f>707.505</f>
        <v>707.505</v>
      </c>
      <c r="Y24">
        <f>733.275</f>
        <v>733.27499999999998</v>
      </c>
      <c r="Z24">
        <f>722.902</f>
        <v>722.90200000000004</v>
      </c>
      <c r="AA24">
        <f>681.633</f>
        <v>681.63300000000004</v>
      </c>
      <c r="AB24">
        <f>635.373</f>
        <v>635.37300000000005</v>
      </c>
      <c r="AC24">
        <f>718.488</f>
        <v>718.48800000000006</v>
      </c>
    </row>
    <row r="25" spans="1:29" x14ac:dyDescent="0.25">
      <c r="A25" t="str">
        <f>"    Atos SE"</f>
        <v xml:space="preserve">    Atos SE</v>
      </c>
      <c r="B25" t="str">
        <f>"ATO FP Equity"</f>
        <v>ATO FP Equity</v>
      </c>
      <c r="C25" t="str">
        <f t="shared" si="3"/>
        <v>BS012</v>
      </c>
      <c r="D25" t="str">
        <f t="shared" si="4"/>
        <v>BS_ACCT_NOTE_RCV</v>
      </c>
      <c r="E25" t="str">
        <f t="shared" si="5"/>
        <v>Dynamic</v>
      </c>
      <c r="F25" t="str">
        <f ca="1">IF(AND(ISNUMBER($F$186),$B$165=1),$F$186,HLOOKUP(INDIRECT(ADDRESS(2,COLUMN())),OFFSET($R$2,0,0,ROW()-1,12),ROW()-1,FALSE))</f>
        <v/>
      </c>
      <c r="G25" t="str">
        <f ca="1">IF(AND(ISNUMBER($G$186),$B$165=1),$G$186,HLOOKUP(INDIRECT(ADDRESS(2,COLUMN())),OFFSET($R$2,0,0,ROW()-1,12),ROW()-1,FALSE))</f>
        <v/>
      </c>
      <c r="H25" t="str">
        <f ca="1">IF(AND(ISNUMBER($H$186),$B$165=1),$H$186,HLOOKUP(INDIRECT(ADDRESS(2,COLUMN())),OFFSET($R$2,0,0,ROW()-1,12),ROW()-1,FALSE))</f>
        <v/>
      </c>
      <c r="I25" t="str">
        <f ca="1">IF(AND(ISNUMBER($I$186),$B$165=1),$I$186,HLOOKUP(INDIRECT(ADDRESS(2,COLUMN())),OFFSET($R$2,0,0,ROW()-1,12),ROW()-1,FALSE))</f>
        <v/>
      </c>
      <c r="J25" t="str">
        <f ca="1">IF(AND(ISNUMBER($J$186),$B$165=1),$J$186,HLOOKUP(INDIRECT(ADDRESS(2,COLUMN())),OFFSET($R$2,0,0,ROW()-1,12),ROW()-1,FALSE))</f>
        <v/>
      </c>
      <c r="K25" t="str">
        <f ca="1">IF(AND(ISNUMBER($K$186),$B$165=1),$K$186,HLOOKUP(INDIRECT(ADDRESS(2,COLUMN())),OFFSET($R$2,0,0,ROW()-1,12),ROW()-1,FALSE))</f>
        <v/>
      </c>
      <c r="L25" t="str">
        <f ca="1">IF(AND(ISNUMBER($L$186),$B$165=1),$L$186,HLOOKUP(INDIRECT(ADDRESS(2,COLUMN())),OFFSET($R$2,0,0,ROW()-1,12),ROW()-1,FALSE))</f>
        <v/>
      </c>
      <c r="M25" t="str">
        <f ca="1">IF(AND(ISNUMBER($M$186),$B$165=1),$M$186,HLOOKUP(INDIRECT(ADDRESS(2,COLUMN())),OFFSET($R$2,0,0,ROW()-1,12),ROW()-1,FALSE))</f>
        <v/>
      </c>
      <c r="N25" t="str">
        <f ca="1">IF(AND(ISNUMBER($N$186),$B$165=1),$N$186,HLOOKUP(INDIRECT(ADDRESS(2,COLUMN())),OFFSET($R$2,0,0,ROW()-1,12),ROW()-1,FALSE))</f>
        <v/>
      </c>
      <c r="O25" t="str">
        <f ca="1">IF(AND(ISNUMBER($O$186),$B$165=1),$O$186,HLOOKUP(INDIRECT(ADDRESS(2,COLUMN())),OFFSET($R$2,0,0,ROW()-1,12),ROW()-1,FALSE))</f>
        <v/>
      </c>
      <c r="P25" t="str">
        <f ca="1">IF(AND(ISNUMBER($P$186),$B$165=1),$P$186,HLOOKUP(INDIRECT(ADDRESS(2,COLUMN())),OFFSET($R$2,0,0,ROW()-1,12),ROW()-1,FALSE))</f>
        <v/>
      </c>
      <c r="Q25" t="str">
        <f ca="1">IF(AND(ISNUMBER($Q$186),$B$165=1),$Q$186,HLOOKUP(INDIRECT(ADDRESS(2,COLUMN())),OFFSET($R$2,0,0,ROW()-1,12),ROW()-1,FALSE))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</row>
    <row r="26" spans="1:29" x14ac:dyDescent="0.25">
      <c r="A26" t="str">
        <f>"    Capgemini SE"</f>
        <v xml:space="preserve">    Capgemini SE</v>
      </c>
      <c r="B26" t="str">
        <f>"CAP FP Equity"</f>
        <v>CAP FP Equity</v>
      </c>
      <c r="C26" t="str">
        <f t="shared" si="3"/>
        <v>BS012</v>
      </c>
      <c r="D26" t="str">
        <f t="shared" si="4"/>
        <v>BS_ACCT_NOTE_RCV</v>
      </c>
      <c r="E26" t="str">
        <f t="shared" si="5"/>
        <v>Dynamic</v>
      </c>
      <c r="F26" t="str">
        <f ca="1">IF(AND(ISNUMBER($F$187),$B$165=1),$F$187,HLOOKUP(INDIRECT(ADDRESS(2,COLUMN())),OFFSET($R$2,0,0,ROW()-1,12),ROW()-1,FALSE))</f>
        <v/>
      </c>
      <c r="G26">
        <f ca="1">IF(AND(ISNUMBER($G$187),$B$165=1),$G$187,HLOOKUP(INDIRECT(ADDRESS(2,COLUMN())),OFFSET($R$2,0,0,ROW()-1,12),ROW()-1,FALSE))</f>
        <v>2381.6709000000001</v>
      </c>
      <c r="H26" t="str">
        <f ca="1">IF(AND(ISNUMBER($H$187),$B$165=1),$H$187,HLOOKUP(INDIRECT(ADDRESS(2,COLUMN())),OFFSET($R$2,0,0,ROW()-1,12),ROW()-1,FALSE))</f>
        <v/>
      </c>
      <c r="I26" t="str">
        <f ca="1">IF(AND(ISNUMBER($I$187),$B$165=1),$I$187,HLOOKUP(INDIRECT(ADDRESS(2,COLUMN())),OFFSET($R$2,0,0,ROW()-1,12),ROW()-1,FALSE))</f>
        <v/>
      </c>
      <c r="J26" t="str">
        <f ca="1">IF(AND(ISNUMBER($J$187),$B$165=1),$J$187,HLOOKUP(INDIRECT(ADDRESS(2,COLUMN())),OFFSET($R$2,0,0,ROW()-1,12),ROW()-1,FALSE))</f>
        <v/>
      </c>
      <c r="K26" t="str">
        <f ca="1">IF(AND(ISNUMBER($K$187),$B$165=1),$K$187,HLOOKUP(INDIRECT(ADDRESS(2,COLUMN())),OFFSET($R$2,0,0,ROW()-1,12),ROW()-1,FALSE))</f>
        <v/>
      </c>
      <c r="L26" t="str">
        <f ca="1">IF(AND(ISNUMBER($L$187),$B$165=1),$L$187,HLOOKUP(INDIRECT(ADDRESS(2,COLUMN())),OFFSET($R$2,0,0,ROW()-1,12),ROW()-1,FALSE))</f>
        <v/>
      </c>
      <c r="M26" t="str">
        <f ca="1">IF(AND(ISNUMBER($M$187),$B$165=1),$M$187,HLOOKUP(INDIRECT(ADDRESS(2,COLUMN())),OFFSET($R$2,0,0,ROW()-1,12),ROW()-1,FALSE))</f>
        <v/>
      </c>
      <c r="N26" t="str">
        <f ca="1">IF(AND(ISNUMBER($N$187),$B$165=1),$N$187,HLOOKUP(INDIRECT(ADDRESS(2,COLUMN())),OFFSET($R$2,0,0,ROW()-1,12),ROW()-1,FALSE))</f>
        <v/>
      </c>
      <c r="O26" t="str">
        <f ca="1">IF(AND(ISNUMBER($O$187),$B$165=1),$O$187,HLOOKUP(INDIRECT(ADDRESS(2,COLUMN())),OFFSET($R$2,0,0,ROW()-1,12),ROW()-1,FALSE))</f>
        <v/>
      </c>
      <c r="P26" t="str">
        <f ca="1">IF(AND(ISNUMBER($P$187),$B$165=1),$P$187,HLOOKUP(INDIRECT(ADDRESS(2,COLUMN())),OFFSET($R$2,0,0,ROW()-1,12),ROW()-1,FALSE))</f>
        <v/>
      </c>
      <c r="Q26" t="str">
        <f ca="1">IF(AND(ISNUMBER($Q$187),$B$165=1),$Q$187,HLOOKUP(INDIRECT(ADDRESS(2,COLUMN())),OFFSET($R$2,0,0,ROW()-1,12),ROW()-1,FALSE))</f>
        <v/>
      </c>
      <c r="R26" t="str">
        <f>""</f>
        <v/>
      </c>
      <c r="S26">
        <f>2381.6709</f>
        <v>2381.6709000000001</v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</row>
    <row r="27" spans="1:29" x14ac:dyDescent="0.25">
      <c r="A27" t="str">
        <f>"    CGI Inc"</f>
        <v xml:space="preserve">    CGI Inc</v>
      </c>
      <c r="B27" t="str">
        <f>"GIB US Equity"</f>
        <v>GIB US Equity</v>
      </c>
      <c r="C27" t="str">
        <f t="shared" si="3"/>
        <v>BS012</v>
      </c>
      <c r="D27" t="str">
        <f t="shared" si="4"/>
        <v>BS_ACCT_NOTE_RCV</v>
      </c>
      <c r="E27" t="str">
        <f t="shared" si="5"/>
        <v>Dynamic</v>
      </c>
      <c r="F27">
        <f ca="1">IF(AND(ISNUMBER($F$188),$B$165=1),$F$188,HLOOKUP(INDIRECT(ADDRESS(2,COLUMN())),OFFSET($R$2,0,0,ROW()-1,12),ROW()-1,FALSE))</f>
        <v>1050.296771</v>
      </c>
      <c r="G27">
        <f ca="1">IF(AND(ISNUMBER($G$188),$B$165=1),$G$188,HLOOKUP(INDIRECT(ADDRESS(2,COLUMN())),OFFSET($R$2,0,0,ROW()-1,12),ROW()-1,FALSE))</f>
        <v>1201.526429</v>
      </c>
      <c r="H27">
        <f ca="1">IF(AND(ISNUMBER($H$188),$B$165=1),$H$188,HLOOKUP(INDIRECT(ADDRESS(2,COLUMN())),OFFSET($R$2,0,0,ROW()-1,12),ROW()-1,FALSE))</f>
        <v>739.91994560000001</v>
      </c>
      <c r="I27">
        <f ca="1">IF(AND(ISNUMBER($I$188),$B$165=1),$I$188,HLOOKUP(INDIRECT(ADDRESS(2,COLUMN())),OFFSET($R$2,0,0,ROW()-1,12),ROW()-1,FALSE))</f>
        <v>1129.4730010000001</v>
      </c>
      <c r="J27">
        <f ca="1">IF(AND(ISNUMBER($J$188),$B$165=1),$J$188,HLOOKUP(INDIRECT(ADDRESS(2,COLUMN())),OFFSET($R$2,0,0,ROW()-1,12),ROW()-1,FALSE))</f>
        <v>1093.7876859999999</v>
      </c>
      <c r="K27">
        <f ca="1">IF(AND(ISNUMBER($K$188),$B$165=1),$K$188,HLOOKUP(INDIRECT(ADDRESS(2,COLUMN())),OFFSET($R$2,0,0,ROW()-1,12),ROW()-1,FALSE))</f>
        <v>1118.5298</v>
      </c>
      <c r="L27">
        <f ca="1">IF(AND(ISNUMBER($L$188),$B$165=1),$L$188,HLOOKUP(INDIRECT(ADDRESS(2,COLUMN())),OFFSET($R$2,0,0,ROW()-1,12),ROW()-1,FALSE))</f>
        <v>870.83391300000005</v>
      </c>
      <c r="M27" t="str">
        <f ca="1">IF(AND(ISNUMBER($M$188),$B$165=1),$M$188,HLOOKUP(INDIRECT(ADDRESS(2,COLUMN())),OFFSET($R$2,0,0,ROW()-1,12),ROW()-1,FALSE))</f>
        <v/>
      </c>
      <c r="N27">
        <f ca="1">IF(AND(ISNUMBER($N$188),$B$165=1),$N$188,HLOOKUP(INDIRECT(ADDRESS(2,COLUMN())),OFFSET($R$2,0,0,ROW()-1,12),ROW()-1,FALSE))</f>
        <v>1040.626115</v>
      </c>
      <c r="O27">
        <f ca="1">IF(AND(ISNUMBER($O$188),$B$165=1),$O$188,HLOOKUP(INDIRECT(ADDRESS(2,COLUMN())),OFFSET($R$2,0,0,ROW()-1,12),ROW()-1,FALSE))</f>
        <v>1146.1818470000001</v>
      </c>
      <c r="P27">
        <f ca="1">IF(AND(ISNUMBER($P$188),$B$165=1),$P$188,HLOOKUP(INDIRECT(ADDRESS(2,COLUMN())),OFFSET($R$2,0,0,ROW()-1,12),ROW()-1,FALSE))</f>
        <v>746.17910930000005</v>
      </c>
      <c r="Q27">
        <f ca="1">IF(AND(ISNUMBER($Q$188),$B$165=1),$Q$188,HLOOKUP(INDIRECT(ADDRESS(2,COLUMN())),OFFSET($R$2,0,0,ROW()-1,12),ROW()-1,FALSE))</f>
        <v>971.27318909999997</v>
      </c>
      <c r="R27">
        <f>1050.296771</f>
        <v>1050.296771</v>
      </c>
      <c r="S27">
        <f>1201.526429</f>
        <v>1201.526429</v>
      </c>
      <c r="T27">
        <f>739.9199456</f>
        <v>739.91994560000001</v>
      </c>
      <c r="U27">
        <f>1129.473001</f>
        <v>1129.4730010000001</v>
      </c>
      <c r="V27">
        <f>1093.787686</f>
        <v>1093.7876859999999</v>
      </c>
      <c r="W27">
        <f>1118.5298</f>
        <v>1118.5298</v>
      </c>
      <c r="X27">
        <f>870.833913</f>
        <v>870.83391300000005</v>
      </c>
      <c r="Y27" t="str">
        <f>""</f>
        <v/>
      </c>
      <c r="Z27">
        <f>1040.626115</f>
        <v>1040.626115</v>
      </c>
      <c r="AA27">
        <f>1146.181847</f>
        <v>1146.1818470000001</v>
      </c>
      <c r="AB27">
        <f>746.1791093</f>
        <v>746.17910930000005</v>
      </c>
      <c r="AC27">
        <f>971.2731891</f>
        <v>971.27318909999997</v>
      </c>
    </row>
    <row r="28" spans="1:29" x14ac:dyDescent="0.25">
      <c r="A28" t="str">
        <f>"    Cognizant Technology Solutions Corp"</f>
        <v xml:space="preserve">    Cognizant Technology Solutions Corp</v>
      </c>
      <c r="B28" t="str">
        <f>"CTSH US Equity"</f>
        <v>CTSH US Equity</v>
      </c>
      <c r="C28" t="str">
        <f t="shared" si="3"/>
        <v>BS012</v>
      </c>
      <c r="D28" t="str">
        <f t="shared" si="4"/>
        <v>BS_ACCT_NOTE_RCV</v>
      </c>
      <c r="E28" t="str">
        <f t="shared" si="5"/>
        <v>Dynamic</v>
      </c>
      <c r="F28">
        <f ca="1">IF(AND(ISNUMBER($F$189),$B$165=1),$F$189,HLOOKUP(INDIRECT(ADDRESS(2,COLUMN())),OFFSET($R$2,0,0,ROW()-1,12),ROW()-1,FALSE))</f>
        <v>3220</v>
      </c>
      <c r="G28">
        <f ca="1">IF(AND(ISNUMBER($G$189),$B$165=1),$G$189,HLOOKUP(INDIRECT(ADDRESS(2,COLUMN())),OFFSET($R$2,0,0,ROW()-1,12),ROW()-1,FALSE))</f>
        <v>3256</v>
      </c>
      <c r="H28">
        <f ca="1">IF(AND(ISNUMBER($H$189),$B$165=1),$H$189,HLOOKUP(INDIRECT(ADDRESS(2,COLUMN())),OFFSET($R$2,0,0,ROW()-1,12),ROW()-1,FALSE))</f>
        <v>3438</v>
      </c>
      <c r="I28">
        <f ca="1">IF(AND(ISNUMBER($I$189),$B$165=1),$I$189,HLOOKUP(INDIRECT(ADDRESS(2,COLUMN())),OFFSET($R$2,0,0,ROW()-1,12),ROW()-1,FALSE))</f>
        <v>3386</v>
      </c>
      <c r="J28">
        <f ca="1">IF(AND(ISNUMBER($J$189),$B$165=1),$J$189,HLOOKUP(INDIRECT(ADDRESS(2,COLUMN())),OFFSET($R$2,0,0,ROW()-1,12),ROW()-1,FALSE))</f>
        <v>3377</v>
      </c>
      <c r="K28">
        <f ca="1">IF(AND(ISNUMBER($K$189),$B$165=1),$K$189,HLOOKUP(INDIRECT(ADDRESS(2,COLUMN())),OFFSET($R$2,0,0,ROW()-1,12),ROW()-1,FALSE))</f>
        <v>3190</v>
      </c>
      <c r="L28">
        <f ca="1">IF(AND(ISNUMBER($L$189),$B$165=1),$L$189,HLOOKUP(INDIRECT(ADDRESS(2,COLUMN())),OFFSET($R$2,0,0,ROW()-1,12),ROW()-1,FALSE))</f>
        <v>3187</v>
      </c>
      <c r="M28">
        <f ca="1">IF(AND(ISNUMBER($M$189),$B$165=1),$M$189,HLOOKUP(INDIRECT(ADDRESS(2,COLUMN())),OFFSET($R$2,0,0,ROW()-1,12),ROW()-1,FALSE))</f>
        <v>3204</v>
      </c>
      <c r="N28">
        <f ca="1">IF(AND(ISNUMBER($N$189),$B$165=1),$N$189,HLOOKUP(INDIRECT(ADDRESS(2,COLUMN())),OFFSET($R$2,0,0,ROW()-1,12),ROW()-1,FALSE))</f>
        <v>3145</v>
      </c>
      <c r="O28">
        <f ca="1">IF(AND(ISNUMBER($O$189),$B$165=1),$O$189,HLOOKUP(INDIRECT(ADDRESS(2,COLUMN())),OFFSET($R$2,0,0,ROW()-1,12),ROW()-1,FALSE))</f>
        <v>2865</v>
      </c>
      <c r="P28">
        <f ca="1">IF(AND(ISNUMBER($P$189),$B$165=1),$P$189,HLOOKUP(INDIRECT(ADDRESS(2,COLUMN())),OFFSET($R$2,0,0,ROW()-1,12),ROW()-1,FALSE))</f>
        <v>2889</v>
      </c>
      <c r="Q28">
        <f ca="1">IF(AND(ISNUMBER($Q$189),$B$165=1),$Q$189,HLOOKUP(INDIRECT(ADDRESS(2,COLUMN())),OFFSET($R$2,0,0,ROW()-1,12),ROW()-1,FALSE))</f>
        <v>2680</v>
      </c>
      <c r="R28">
        <f>3220</f>
        <v>3220</v>
      </c>
      <c r="S28">
        <f>3256</f>
        <v>3256</v>
      </c>
      <c r="T28">
        <f>3438</f>
        <v>3438</v>
      </c>
      <c r="U28">
        <f>3386</f>
        <v>3386</v>
      </c>
      <c r="V28">
        <f>3377</f>
        <v>3377</v>
      </c>
      <c r="W28">
        <f>3190</f>
        <v>3190</v>
      </c>
      <c r="X28">
        <f>3187</f>
        <v>3187</v>
      </c>
      <c r="Y28">
        <f>3204</f>
        <v>3204</v>
      </c>
      <c r="Z28">
        <f>3145</f>
        <v>3145</v>
      </c>
      <c r="AA28">
        <f>2865</f>
        <v>2865</v>
      </c>
      <c r="AB28">
        <f>2889</f>
        <v>2889</v>
      </c>
      <c r="AC28">
        <f>2680</f>
        <v>2680</v>
      </c>
    </row>
    <row r="29" spans="1:29" x14ac:dyDescent="0.25">
      <c r="A29" t="str">
        <f>"    Conduent Inc"</f>
        <v xml:space="preserve">    Conduent Inc</v>
      </c>
      <c r="B29" t="str">
        <f>"CNDT US Equity"</f>
        <v>CNDT US Equity</v>
      </c>
      <c r="C29" t="str">
        <f t="shared" si="3"/>
        <v>BS012</v>
      </c>
      <c r="D29" t="str">
        <f t="shared" si="4"/>
        <v>BS_ACCT_NOTE_RCV</v>
      </c>
      <c r="E29" t="str">
        <f t="shared" si="5"/>
        <v>Dynamic</v>
      </c>
      <c r="F29">
        <f ca="1">IF(AND(ISNUMBER($F$190),$B$165=1),$F$190,HLOOKUP(INDIRECT(ADDRESS(2,COLUMN())),OFFSET($R$2,0,0,ROW()-1,12),ROW()-1,FALSE))</f>
        <v>690</v>
      </c>
      <c r="G29">
        <f ca="1">IF(AND(ISNUMBER($G$190),$B$165=1),$G$190,HLOOKUP(INDIRECT(ADDRESS(2,COLUMN())),OFFSET($R$2,0,0,ROW()-1,12),ROW()-1,FALSE))</f>
        <v>652</v>
      </c>
      <c r="H29">
        <f ca="1">IF(AND(ISNUMBER($H$190),$B$165=1),$H$190,HLOOKUP(INDIRECT(ADDRESS(2,COLUMN())),OFFSET($R$2,0,0,ROW()-1,12),ROW()-1,FALSE))</f>
        <v>840</v>
      </c>
      <c r="I29">
        <f ca="1">IF(AND(ISNUMBER($I$190),$B$165=1),$I$190,HLOOKUP(INDIRECT(ADDRESS(2,COLUMN())),OFFSET($R$2,0,0,ROW()-1,12),ROW()-1,FALSE))</f>
        <v>824</v>
      </c>
      <c r="J29">
        <f ca="1">IF(AND(ISNUMBER($J$190),$B$165=1),$J$190,HLOOKUP(INDIRECT(ADDRESS(2,COLUMN())),OFFSET($R$2,0,0,ROW()-1,12),ROW()-1,FALSE))</f>
        <v>820</v>
      </c>
      <c r="K29">
        <f ca="1">IF(AND(ISNUMBER($K$190),$B$165=1),$K$190,HLOOKUP(INDIRECT(ADDRESS(2,COLUMN())),OFFSET($R$2,0,0,ROW()-1,12),ROW()-1,FALSE))</f>
        <v>782</v>
      </c>
      <c r="L29">
        <f ca="1">IF(AND(ISNUMBER($L$190),$B$165=1),$L$190,HLOOKUP(INDIRECT(ADDRESS(2,COLUMN())),OFFSET($R$2,0,0,ROW()-1,12),ROW()-1,FALSE))</f>
        <v>951</v>
      </c>
      <c r="M29">
        <f ca="1">IF(AND(ISNUMBER($M$190),$B$165=1),$M$190,HLOOKUP(INDIRECT(ADDRESS(2,COLUMN())),OFFSET($R$2,0,0,ROW()-1,12),ROW()-1,FALSE))</f>
        <v>930</v>
      </c>
      <c r="N29">
        <f ca="1">IF(AND(ISNUMBER($N$190),$B$165=1),$N$190,HLOOKUP(INDIRECT(ADDRESS(2,COLUMN())),OFFSET($R$2,0,0,ROW()-1,12),ROW()-1,FALSE))</f>
        <v>1026</v>
      </c>
      <c r="O29">
        <f ca="1">IF(AND(ISNUMBER($O$190),$B$165=1),$O$190,HLOOKUP(INDIRECT(ADDRESS(2,COLUMN())),OFFSET($R$2,0,0,ROW()-1,12),ROW()-1,FALSE))</f>
        <v>1115</v>
      </c>
      <c r="P29">
        <f ca="1">IF(AND(ISNUMBER($P$190),$B$165=1),$P$190,HLOOKUP(INDIRECT(ADDRESS(2,COLUMN())),OFFSET($R$2,0,0,ROW()-1,12),ROW()-1,FALSE))</f>
        <v>1411</v>
      </c>
      <c r="Q29">
        <f ca="1">IF(AND(ISNUMBER($Q$190),$B$165=1),$Q$190,HLOOKUP(INDIRECT(ADDRESS(2,COLUMN())),OFFSET($R$2,0,0,ROW()-1,12),ROW()-1,FALSE))</f>
        <v>1413</v>
      </c>
      <c r="R29">
        <f>690</f>
        <v>690</v>
      </c>
      <c r="S29">
        <f>652</f>
        <v>652</v>
      </c>
      <c r="T29">
        <f>840</f>
        <v>840</v>
      </c>
      <c r="U29">
        <f>824</f>
        <v>824</v>
      </c>
      <c r="V29">
        <f>820</f>
        <v>820</v>
      </c>
      <c r="W29">
        <f>782</f>
        <v>782</v>
      </c>
      <c r="X29">
        <f>951</f>
        <v>951</v>
      </c>
      <c r="Y29">
        <f>930</f>
        <v>930</v>
      </c>
      <c r="Z29">
        <f>1026</f>
        <v>1026</v>
      </c>
      <c r="AA29">
        <f>1115</f>
        <v>1115</v>
      </c>
      <c r="AB29">
        <f>1411</f>
        <v>1411</v>
      </c>
      <c r="AC29">
        <f>1413</f>
        <v>1413</v>
      </c>
    </row>
    <row r="30" spans="1:29" x14ac:dyDescent="0.25">
      <c r="A30" t="str">
        <f>"    DXC Technology Co"</f>
        <v xml:space="preserve">    DXC Technology Co</v>
      </c>
      <c r="B30" t="str">
        <f>"DXC US Equity"</f>
        <v>DXC US Equity</v>
      </c>
      <c r="C30" t="str">
        <f t="shared" si="3"/>
        <v>BS012</v>
      </c>
      <c r="D30" t="str">
        <f t="shared" si="4"/>
        <v>BS_ACCT_NOTE_RCV</v>
      </c>
      <c r="E30" t="str">
        <f t="shared" si="5"/>
        <v>Dynamic</v>
      </c>
      <c r="F30">
        <f ca="1">IF(AND(ISNUMBER($F$191),$B$165=1),$F$191,HLOOKUP(INDIRECT(ADDRESS(2,COLUMN())),OFFSET($R$2,0,0,ROW()-1,12),ROW()-1,FALSE))</f>
        <v>2094</v>
      </c>
      <c r="G30">
        <f ca="1">IF(AND(ISNUMBER($G$191),$B$165=1),$G$191,HLOOKUP(INDIRECT(ADDRESS(2,COLUMN())),OFFSET($R$2,0,0,ROW()-1,12),ROW()-1,FALSE))</f>
        <v>4619</v>
      </c>
      <c r="H30">
        <f ca="1">IF(AND(ISNUMBER($H$191),$B$165=1),$H$191,HLOOKUP(INDIRECT(ADDRESS(2,COLUMN())),OFFSET($R$2,0,0,ROW()-1,12),ROW()-1,FALSE))</f>
        <v>4611</v>
      </c>
      <c r="I30">
        <f ca="1">IF(AND(ISNUMBER($I$191),$B$165=1),$I$191,HLOOKUP(INDIRECT(ADDRESS(2,COLUMN())),OFFSET($R$2,0,0,ROW()-1,12),ROW()-1,FALSE))</f>
        <v>5234</v>
      </c>
      <c r="J30">
        <f ca="1">IF(AND(ISNUMBER($J$191),$B$165=1),$J$191,HLOOKUP(INDIRECT(ADDRESS(2,COLUMN())),OFFSET($R$2,0,0,ROW()-1,12),ROW()-1,FALSE))</f>
        <v>2508</v>
      </c>
      <c r="K30">
        <f ca="1">IF(AND(ISNUMBER($K$191),$B$165=1),$K$191,HLOOKUP(INDIRECT(ADDRESS(2,COLUMN())),OFFSET($R$2,0,0,ROW()-1,12),ROW()-1,FALSE))</f>
        <v>5096</v>
      </c>
      <c r="L30">
        <f ca="1">IF(AND(ISNUMBER($L$191),$B$165=1),$L$191,HLOOKUP(INDIRECT(ADDRESS(2,COLUMN())),OFFSET($R$2,0,0,ROW()-1,12),ROW()-1,FALSE))</f>
        <v>4928</v>
      </c>
      <c r="M30">
        <f ca="1">IF(AND(ISNUMBER($M$191),$B$165=1),$M$191,HLOOKUP(INDIRECT(ADDRESS(2,COLUMN())),OFFSET($R$2,0,0,ROW()-1,12),ROW()-1,FALSE))</f>
        <v>5271</v>
      </c>
      <c r="N30">
        <f ca="1">IF(AND(ISNUMBER($N$191),$B$165=1),$N$191,HLOOKUP(INDIRECT(ADDRESS(2,COLUMN())),OFFSET($R$2,0,0,ROW()-1,12),ROW()-1,FALSE))</f>
        <v>3110</v>
      </c>
      <c r="O30">
        <f ca="1">IF(AND(ISNUMBER($O$191),$B$165=1),$O$191,HLOOKUP(INDIRECT(ADDRESS(2,COLUMN())),OFFSET($R$2,0,0,ROW()-1,12),ROW()-1,FALSE))</f>
        <v>5611</v>
      </c>
      <c r="P30">
        <f ca="1">IF(AND(ISNUMBER($P$191),$B$165=1),$P$191,HLOOKUP(INDIRECT(ADDRESS(2,COLUMN())),OFFSET($R$2,0,0,ROW()-1,12),ROW()-1,FALSE))</f>
        <v>5676</v>
      </c>
      <c r="Q30">
        <f ca="1">IF(AND(ISNUMBER($Q$191),$B$165=1),$Q$191,HLOOKUP(INDIRECT(ADDRESS(2,COLUMN())),OFFSET($R$2,0,0,ROW()-1,12),ROW()-1,FALSE))</f>
        <v>5776</v>
      </c>
      <c r="R30">
        <f>2094</f>
        <v>2094</v>
      </c>
      <c r="S30">
        <f>4619</f>
        <v>4619</v>
      </c>
      <c r="T30">
        <f>4611</f>
        <v>4611</v>
      </c>
      <c r="U30">
        <f>5234</f>
        <v>5234</v>
      </c>
      <c r="V30">
        <f>2508</f>
        <v>2508</v>
      </c>
      <c r="W30">
        <f>5096</f>
        <v>5096</v>
      </c>
      <c r="X30">
        <f>4928</f>
        <v>4928</v>
      </c>
      <c r="Y30">
        <f>5271</f>
        <v>5271</v>
      </c>
      <c r="Z30">
        <f>3110</f>
        <v>3110</v>
      </c>
      <c r="AA30">
        <f>5611</f>
        <v>5611</v>
      </c>
      <c r="AB30">
        <f>5676</f>
        <v>5676</v>
      </c>
      <c r="AC30">
        <f>5776</f>
        <v>5776</v>
      </c>
    </row>
    <row r="31" spans="1:29" x14ac:dyDescent="0.25">
      <c r="A31" t="str">
        <f>"    EPAM Systems Inc"</f>
        <v xml:space="preserve">    EPAM Systems Inc</v>
      </c>
      <c r="B31" t="str">
        <f>"EPAM US Equity"</f>
        <v>EPAM US Equity</v>
      </c>
      <c r="C31" t="str">
        <f t="shared" si="3"/>
        <v>BS012</v>
      </c>
      <c r="D31" t="str">
        <f t="shared" si="4"/>
        <v>BS_ACCT_NOTE_RCV</v>
      </c>
      <c r="E31" t="str">
        <f t="shared" si="5"/>
        <v>Dynamic</v>
      </c>
      <c r="F31">
        <f ca="1">IF(AND(ISNUMBER($F$192),$B$165=1),$F$192,HLOOKUP(INDIRECT(ADDRESS(2,COLUMN())),OFFSET($R$2,0,0,ROW()-1,12),ROW()-1,FALSE))</f>
        <v>542.69799999999998</v>
      </c>
      <c r="G31">
        <f ca="1">IF(AND(ISNUMBER($G$192),$B$165=1),$G$192,HLOOKUP(INDIRECT(ADDRESS(2,COLUMN())),OFFSET($R$2,0,0,ROW()-1,12),ROW()-1,FALSE))</f>
        <v>497.71600000000001</v>
      </c>
      <c r="H31">
        <f ca="1">IF(AND(ISNUMBER($H$192),$B$165=1),$H$192,HLOOKUP(INDIRECT(ADDRESS(2,COLUMN())),OFFSET($R$2,0,0,ROW()-1,12),ROW()-1,FALSE))</f>
        <v>339.11200000000002</v>
      </c>
      <c r="I31">
        <f ca="1">IF(AND(ISNUMBER($I$192),$B$165=1),$I$192,HLOOKUP(INDIRECT(ADDRESS(2,COLUMN())),OFFSET($R$2,0,0,ROW()-1,12),ROW()-1,FALSE))</f>
        <v>343.86399999999998</v>
      </c>
      <c r="J31">
        <f ca="1">IF(AND(ISNUMBER($J$192),$B$165=1),$J$192,HLOOKUP(INDIRECT(ADDRESS(2,COLUMN())),OFFSET($R$2,0,0,ROW()-1,12),ROW()-1,FALSE))</f>
        <v>307.202</v>
      </c>
      <c r="K31">
        <f ca="1">IF(AND(ISNUMBER($K$192),$B$165=1),$K$192,HLOOKUP(INDIRECT(ADDRESS(2,COLUMN())),OFFSET($R$2,0,0,ROW()-1,12),ROW()-1,FALSE))</f>
        <v>297.685</v>
      </c>
      <c r="L31">
        <f ca="1">IF(AND(ISNUMBER($L$192),$B$165=1),$L$192,HLOOKUP(INDIRECT(ADDRESS(2,COLUMN())),OFFSET($R$2,0,0,ROW()-1,12),ROW()-1,FALSE))</f>
        <v>282.27600000000001</v>
      </c>
      <c r="M31">
        <f ca="1">IF(AND(ISNUMBER($M$192),$B$165=1),$M$192,HLOOKUP(INDIRECT(ADDRESS(2,COLUMN())),OFFSET($R$2,0,0,ROW()-1,12),ROW()-1,FALSE))</f>
        <v>283.00099999999998</v>
      </c>
      <c r="N31">
        <f ca="1">IF(AND(ISNUMBER($N$192),$B$165=1),$N$192,HLOOKUP(INDIRECT(ADDRESS(2,COLUMN())),OFFSET($R$2,0,0,ROW()-1,12),ROW()-1,FALSE))</f>
        <v>262.29500000000002</v>
      </c>
      <c r="O31">
        <f ca="1">IF(AND(ISNUMBER($O$192),$B$165=1),$O$192,HLOOKUP(INDIRECT(ADDRESS(2,COLUMN())),OFFSET($R$2,0,0,ROW()-1,12),ROW()-1,FALSE))</f>
        <v>265.63900000000001</v>
      </c>
      <c r="P31">
        <f ca="1">IF(AND(ISNUMBER($P$192),$B$165=1),$P$192,HLOOKUP(INDIRECT(ADDRESS(2,COLUMN())),OFFSET($R$2,0,0,ROW()-1,12),ROW()-1,FALSE))</f>
        <v>230.119</v>
      </c>
      <c r="Q31">
        <f ca="1">IF(AND(ISNUMBER($Q$192),$B$165=1),$Q$192,HLOOKUP(INDIRECT(ADDRESS(2,COLUMN())),OFFSET($R$2,0,0,ROW()-1,12),ROW()-1,FALSE))</f>
        <v>208.273</v>
      </c>
      <c r="R31">
        <f>542.698</f>
        <v>542.69799999999998</v>
      </c>
      <c r="S31">
        <f>497.716</f>
        <v>497.71600000000001</v>
      </c>
      <c r="T31">
        <f>339.112</f>
        <v>339.11200000000002</v>
      </c>
      <c r="U31">
        <f>343.864</f>
        <v>343.86399999999998</v>
      </c>
      <c r="V31">
        <f>307.202</f>
        <v>307.202</v>
      </c>
      <c r="W31">
        <f>297.685</f>
        <v>297.685</v>
      </c>
      <c r="X31">
        <f>282.276</f>
        <v>282.27600000000001</v>
      </c>
      <c r="Y31">
        <f>283.001</f>
        <v>283.00099999999998</v>
      </c>
      <c r="Z31">
        <f>262.295</f>
        <v>262.29500000000002</v>
      </c>
      <c r="AA31">
        <f>265.639</f>
        <v>265.63900000000001</v>
      </c>
      <c r="AB31">
        <f>230.119</f>
        <v>230.119</v>
      </c>
      <c r="AC31">
        <f>208.273</f>
        <v>208.273</v>
      </c>
    </row>
    <row r="32" spans="1:29" x14ac:dyDescent="0.25">
      <c r="A32" t="str">
        <f>"    Genpact Ltd"</f>
        <v xml:space="preserve">    Genpact Ltd</v>
      </c>
      <c r="B32" t="str">
        <f>"G US Equity"</f>
        <v>G US Equity</v>
      </c>
      <c r="C32" t="str">
        <f t="shared" si="3"/>
        <v>BS012</v>
      </c>
      <c r="D32" t="str">
        <f t="shared" si="4"/>
        <v>BS_ACCT_NOTE_RCV</v>
      </c>
      <c r="E32" t="str">
        <f t="shared" si="5"/>
        <v>Dynamic</v>
      </c>
      <c r="F32">
        <f ca="1">IF(AND(ISNUMBER($F$193),$B$165=1),$F$193,HLOOKUP(INDIRECT(ADDRESS(2,COLUMN())),OFFSET($R$2,0,0,ROW()-1,12),ROW()-1,FALSE))</f>
        <v>910.95500000000004</v>
      </c>
      <c r="G32">
        <f ca="1">IF(AND(ISNUMBER($G$193),$B$165=1),$G$193,HLOOKUP(INDIRECT(ADDRESS(2,COLUMN())),OFFSET($R$2,0,0,ROW()-1,12),ROW()-1,FALSE))</f>
        <v>914.255</v>
      </c>
      <c r="H32">
        <f ca="1">IF(AND(ISNUMBER($H$193),$B$165=1),$H$193,HLOOKUP(INDIRECT(ADDRESS(2,COLUMN())),OFFSET($R$2,0,0,ROW()-1,12),ROW()-1,FALSE))</f>
        <v>863.23199999999997</v>
      </c>
      <c r="I32">
        <f ca="1">IF(AND(ISNUMBER($I$193),$B$165=1),$I$193,HLOOKUP(INDIRECT(ADDRESS(2,COLUMN())),OFFSET($R$2,0,0,ROW()-1,12),ROW()-1,FALSE))</f>
        <v>856.60199999999998</v>
      </c>
      <c r="J32">
        <f ca="1">IF(AND(ISNUMBER($J$193),$B$165=1),$J$193,HLOOKUP(INDIRECT(ADDRESS(2,COLUMN())),OFFSET($R$2,0,0,ROW()-1,12),ROW()-1,FALSE))</f>
        <v>838.99199999999996</v>
      </c>
      <c r="K32">
        <f ca="1">IF(AND(ISNUMBER($K$193),$B$165=1),$K$193,HLOOKUP(INDIRECT(ADDRESS(2,COLUMN())),OFFSET($R$2,0,0,ROW()-1,12),ROW()-1,FALSE))</f>
        <v>774.18399999999997</v>
      </c>
      <c r="L32">
        <f ca="1">IF(AND(ISNUMBER($L$193),$B$165=1),$L$193,HLOOKUP(INDIRECT(ADDRESS(2,COLUMN())),OFFSET($R$2,0,0,ROW()-1,12),ROW()-1,FALSE))</f>
        <v>710.04499999999996</v>
      </c>
      <c r="M32">
        <f ca="1">IF(AND(ISNUMBER($M$193),$B$165=1),$M$193,HLOOKUP(INDIRECT(ADDRESS(2,COLUMN())),OFFSET($R$2,0,0,ROW()-1,12),ROW()-1,FALSE))</f>
        <v>691.34699999999998</v>
      </c>
      <c r="N32">
        <f ca="1">IF(AND(ISNUMBER($N$193),$B$165=1),$N$193,HLOOKUP(INDIRECT(ADDRESS(2,COLUMN())),OFFSET($R$2,0,0,ROW()-1,12),ROW()-1,FALSE))</f>
        <v>703.06600000000003</v>
      </c>
      <c r="O32">
        <f ca="1">IF(AND(ISNUMBER($O$193),$B$165=1),$O$193,HLOOKUP(INDIRECT(ADDRESS(2,COLUMN())),OFFSET($R$2,0,0,ROW()-1,12),ROW()-1,FALSE))</f>
        <v>693.08500000000004</v>
      </c>
      <c r="P32">
        <f ca="1">IF(AND(ISNUMBER($P$193),$B$165=1),$P$193,HLOOKUP(INDIRECT(ADDRESS(2,COLUMN())),OFFSET($R$2,0,0,ROW()-1,12),ROW()-1,FALSE))</f>
        <v>670.69200000000001</v>
      </c>
      <c r="Q32">
        <f ca="1">IF(AND(ISNUMBER($Q$193),$B$165=1),$Q$193,HLOOKUP(INDIRECT(ADDRESS(2,COLUMN())),OFFSET($R$2,0,0,ROW()-1,12),ROW()-1,FALSE))</f>
        <v>637.61300000000006</v>
      </c>
      <c r="R32">
        <f>910.955</f>
        <v>910.95500000000004</v>
      </c>
      <c r="S32">
        <f>914.255</f>
        <v>914.255</v>
      </c>
      <c r="T32">
        <f>863.232</f>
        <v>863.23199999999997</v>
      </c>
      <c r="U32">
        <f>856.602</f>
        <v>856.60199999999998</v>
      </c>
      <c r="V32">
        <f>838.992</f>
        <v>838.99199999999996</v>
      </c>
      <c r="W32">
        <f>774.184</f>
        <v>774.18399999999997</v>
      </c>
      <c r="X32">
        <f>710.045</f>
        <v>710.04499999999996</v>
      </c>
      <c r="Y32">
        <f>691.347</f>
        <v>691.34699999999998</v>
      </c>
      <c r="Z32">
        <f>703.066</f>
        <v>703.06600000000003</v>
      </c>
      <c r="AA32">
        <f>693.085</f>
        <v>693.08500000000004</v>
      </c>
      <c r="AB32">
        <f>670.692</f>
        <v>670.69200000000001</v>
      </c>
      <c r="AC32">
        <f>637.613</f>
        <v>637.61300000000006</v>
      </c>
    </row>
    <row r="33" spans="1:29" x14ac:dyDescent="0.25">
      <c r="A33" t="str">
        <f>"    HCL Technologies Ltd"</f>
        <v xml:space="preserve">    HCL Technologies Ltd</v>
      </c>
      <c r="B33" t="str">
        <f>"HCLT IN Equity"</f>
        <v>HCLT IN Equity</v>
      </c>
      <c r="C33" t="str">
        <f t="shared" si="3"/>
        <v>BS012</v>
      </c>
      <c r="D33" t="str">
        <f t="shared" si="4"/>
        <v>BS_ACCT_NOTE_RCV</v>
      </c>
      <c r="E33" t="str">
        <f t="shared" si="5"/>
        <v>Dynamic</v>
      </c>
      <c r="F33">
        <f ca="1">IF(AND(ISNUMBER($F$194),$B$165=1),$F$194,HLOOKUP(INDIRECT(ADDRESS(2,COLUMN())),OFFSET($R$2,0,0,ROW()-1,12),ROW()-1,FALSE))</f>
        <v>1867.9970000000001</v>
      </c>
      <c r="G33">
        <f ca="1">IF(AND(ISNUMBER($G$194),$B$165=1),$G$194,HLOOKUP(INDIRECT(ADDRESS(2,COLUMN())),OFFSET($R$2,0,0,ROW()-1,12),ROW()-1,FALSE))</f>
        <v>1859.2</v>
      </c>
      <c r="H33">
        <f ca="1">IF(AND(ISNUMBER($H$194),$B$165=1),$H$194,HLOOKUP(INDIRECT(ADDRESS(2,COLUMN())),OFFSET($R$2,0,0,ROW()-1,12),ROW()-1,FALSE))</f>
        <v>1944.8</v>
      </c>
      <c r="I33">
        <f ca="1">IF(AND(ISNUMBER($I$194),$B$165=1),$I$194,HLOOKUP(INDIRECT(ADDRESS(2,COLUMN())),OFFSET($R$2,0,0,ROW()-1,12),ROW()-1,FALSE))</f>
        <v>1693.5</v>
      </c>
      <c r="J33">
        <f ca="1">IF(AND(ISNUMBER($J$194),$B$165=1),$J$194,HLOOKUP(INDIRECT(ADDRESS(2,COLUMN())),OFFSET($R$2,0,0,ROW()-1,12),ROW()-1,FALSE))</f>
        <v>1693.5129999999999</v>
      </c>
      <c r="K33">
        <f ca="1">IF(AND(ISNUMBER($K$194),$B$165=1),$K$194,HLOOKUP(INDIRECT(ADDRESS(2,COLUMN())),OFFSET($R$2,0,0,ROW()-1,12),ROW()-1,FALSE))</f>
        <v>1601.3</v>
      </c>
      <c r="L33">
        <f ca="1">IF(AND(ISNUMBER($L$194),$B$165=1),$L$194,HLOOKUP(INDIRECT(ADDRESS(2,COLUMN())),OFFSET($R$2,0,0,ROW()-1,12),ROW()-1,FALSE))</f>
        <v>1494.3</v>
      </c>
      <c r="M33">
        <f ca="1">IF(AND(ISNUMBER($M$194),$B$165=1),$M$194,HLOOKUP(INDIRECT(ADDRESS(2,COLUMN())),OFFSET($R$2,0,0,ROW()-1,12),ROW()-1,FALSE))</f>
        <v>1504.9</v>
      </c>
      <c r="N33">
        <f ca="1">IF(AND(ISNUMBER($N$194),$B$165=1),$N$194,HLOOKUP(INDIRECT(ADDRESS(2,COLUMN())),OFFSET($R$2,0,0,ROW()-1,12),ROW()-1,FALSE))</f>
        <v>1479.7359530000001</v>
      </c>
      <c r="O33">
        <f ca="1">IF(AND(ISNUMBER($O$194),$B$165=1),$O$194,HLOOKUP(INDIRECT(ADDRESS(2,COLUMN())),OFFSET($R$2,0,0,ROW()-1,12),ROW()-1,FALSE))</f>
        <v>1463.1</v>
      </c>
      <c r="P33">
        <f ca="1">IF(AND(ISNUMBER($P$194),$B$165=1),$P$194,HLOOKUP(INDIRECT(ADDRESS(2,COLUMN())),OFFSET($R$2,0,0,ROW()-1,12),ROW()-1,FALSE))</f>
        <v>1362.5</v>
      </c>
      <c r="Q33">
        <f ca="1">IF(AND(ISNUMBER($Q$194),$B$165=1),$Q$194,HLOOKUP(INDIRECT(ADDRESS(2,COLUMN())),OFFSET($R$2,0,0,ROW()-1,12),ROW()-1,FALSE))</f>
        <v>1321.4</v>
      </c>
      <c r="R33">
        <f>1867.997</f>
        <v>1867.9970000000001</v>
      </c>
      <c r="S33">
        <f>1859.2</f>
        <v>1859.2</v>
      </c>
      <c r="T33">
        <f>1944.8</f>
        <v>1944.8</v>
      </c>
      <c r="U33">
        <f>1693.5</f>
        <v>1693.5</v>
      </c>
      <c r="V33">
        <f>1693.513</f>
        <v>1693.5129999999999</v>
      </c>
      <c r="W33">
        <f>1601.3</f>
        <v>1601.3</v>
      </c>
      <c r="X33">
        <f>1494.3</f>
        <v>1494.3</v>
      </c>
      <c r="Y33">
        <f>1504.9</f>
        <v>1504.9</v>
      </c>
      <c r="Z33">
        <f>1479.735953</f>
        <v>1479.7359530000001</v>
      </c>
      <c r="AA33">
        <f>1463.1</f>
        <v>1463.1</v>
      </c>
      <c r="AB33">
        <f>1362.5</f>
        <v>1362.5</v>
      </c>
      <c r="AC33">
        <f>1321.4</f>
        <v>1321.4</v>
      </c>
    </row>
    <row r="34" spans="1:29" x14ac:dyDescent="0.25">
      <c r="A34" t="str">
        <f>"    Indra Sistemas SA"</f>
        <v xml:space="preserve">    Indra Sistemas SA</v>
      </c>
      <c r="B34" t="str">
        <f>"IDR SM Equity"</f>
        <v>IDR SM Equity</v>
      </c>
      <c r="C34" t="str">
        <f t="shared" si="3"/>
        <v>BS012</v>
      </c>
      <c r="D34" t="str">
        <f t="shared" si="4"/>
        <v>BS_ACCT_NOTE_RCV</v>
      </c>
      <c r="E34" t="str">
        <f t="shared" si="5"/>
        <v>Dynamic</v>
      </c>
      <c r="F34" t="str">
        <f ca="1">IF(AND(ISNUMBER($F$195),$B$165=1),$F$195,HLOOKUP(INDIRECT(ADDRESS(2,COLUMN())),OFFSET($R$2,0,0,ROW()-1,12),ROW()-1,FALSE))</f>
        <v/>
      </c>
      <c r="G34">
        <f ca="1">IF(AND(ISNUMBER($G$195),$B$165=1),$G$195,HLOOKUP(INDIRECT(ADDRESS(2,COLUMN())),OFFSET($R$2,0,0,ROW()-1,12),ROW()-1,FALSE))</f>
        <v>1151.5036319999999</v>
      </c>
      <c r="H34" t="str">
        <f ca="1">IF(AND(ISNUMBER($H$195),$B$165=1),$H$195,HLOOKUP(INDIRECT(ADDRESS(2,COLUMN())),OFFSET($R$2,0,0,ROW()-1,12),ROW()-1,FALSE))</f>
        <v/>
      </c>
      <c r="I34">
        <f ca="1">IF(AND(ISNUMBER($I$195),$B$165=1),$I$195,HLOOKUP(INDIRECT(ADDRESS(2,COLUMN())),OFFSET($R$2,0,0,ROW()-1,12),ROW()-1,FALSE))</f>
        <v>1259.2257990000001</v>
      </c>
      <c r="J34" t="str">
        <f ca="1">IF(AND(ISNUMBER($J$195),$B$165=1),$J$195,HLOOKUP(INDIRECT(ADDRESS(2,COLUMN())),OFFSET($R$2,0,0,ROW()-1,12),ROW()-1,FALSE))</f>
        <v/>
      </c>
      <c r="K34">
        <f ca="1">IF(AND(ISNUMBER($K$195),$B$165=1),$K$195,HLOOKUP(INDIRECT(ADDRESS(2,COLUMN())),OFFSET($R$2,0,0,ROW()-1,12),ROW()-1,FALSE))</f>
        <v>1095.830428</v>
      </c>
      <c r="L34" t="str">
        <f ca="1">IF(AND(ISNUMBER($L$195),$B$165=1),$L$195,HLOOKUP(INDIRECT(ADDRESS(2,COLUMN())),OFFSET($R$2,0,0,ROW()-1,12),ROW()-1,FALSE))</f>
        <v/>
      </c>
      <c r="M34">
        <f ca="1">IF(AND(ISNUMBER($M$195),$B$165=1),$M$195,HLOOKUP(INDIRECT(ADDRESS(2,COLUMN())),OFFSET($R$2,0,0,ROW()-1,12),ROW()-1,FALSE))</f>
        <v>1133.1419189999999</v>
      </c>
      <c r="N34" t="str">
        <f ca="1">IF(AND(ISNUMBER($N$195),$B$165=1),$N$195,HLOOKUP(INDIRECT(ADDRESS(2,COLUMN())),OFFSET($R$2,0,0,ROW()-1,12),ROW()-1,FALSE))</f>
        <v/>
      </c>
      <c r="O34">
        <f ca="1">IF(AND(ISNUMBER($O$195),$B$165=1),$O$195,HLOOKUP(INDIRECT(ADDRESS(2,COLUMN())),OFFSET($R$2,0,0,ROW()-1,12),ROW()-1,FALSE))</f>
        <v>1460.0129919999999</v>
      </c>
      <c r="P34">
        <f ca="1">IF(AND(ISNUMBER($P$195),$B$165=1),$P$195,HLOOKUP(INDIRECT(ADDRESS(2,COLUMN())),OFFSET($R$2,0,0,ROW()-1,12),ROW()-1,FALSE))</f>
        <v>1661.5083099999999</v>
      </c>
      <c r="Q34">
        <f ca="1">IF(AND(ISNUMBER($Q$195),$B$165=1),$Q$195,HLOOKUP(INDIRECT(ADDRESS(2,COLUMN())),OFFSET($R$2,0,0,ROW()-1,12),ROW()-1,FALSE))</f>
        <v>1564.657246</v>
      </c>
      <c r="R34" t="str">
        <f>""</f>
        <v/>
      </c>
      <c r="S34">
        <f>1151.503632</f>
        <v>1151.5036319999999</v>
      </c>
      <c r="T34" t="str">
        <f>""</f>
        <v/>
      </c>
      <c r="U34">
        <f>1259.225799</f>
        <v>1259.2257990000001</v>
      </c>
      <c r="V34" t="str">
        <f>""</f>
        <v/>
      </c>
      <c r="W34">
        <f>1095.830428</f>
        <v>1095.830428</v>
      </c>
      <c r="X34" t="str">
        <f>""</f>
        <v/>
      </c>
      <c r="Y34">
        <f>1133.141919</f>
        <v>1133.1419189999999</v>
      </c>
      <c r="Z34" t="str">
        <f>""</f>
        <v/>
      </c>
      <c r="AA34">
        <f>1460.012992</f>
        <v>1460.0129919999999</v>
      </c>
      <c r="AB34">
        <f>1661.50831</f>
        <v>1661.5083099999999</v>
      </c>
      <c r="AC34">
        <f>1564.657246</f>
        <v>1564.657246</v>
      </c>
    </row>
    <row r="35" spans="1:29" x14ac:dyDescent="0.25">
      <c r="A35" t="str">
        <f>"    Infosys Ltd"</f>
        <v xml:space="preserve">    Infosys Ltd</v>
      </c>
      <c r="B35" t="str">
        <f>"INFY US Equity"</f>
        <v>INFY US Equity</v>
      </c>
      <c r="C35" t="str">
        <f t="shared" si="3"/>
        <v>BS012</v>
      </c>
      <c r="D35" t="str">
        <f t="shared" si="4"/>
        <v>BS_ACCT_NOTE_RCV</v>
      </c>
      <c r="E35" t="str">
        <f t="shared" si="5"/>
        <v>Dynamic</v>
      </c>
      <c r="F35">
        <f ca="1">IF(AND(ISNUMBER($F$196),$B$165=1),$F$196,HLOOKUP(INDIRECT(ADDRESS(2,COLUMN())),OFFSET($R$2,0,0,ROW()-1,12),ROW()-1,FALSE))</f>
        <v>2452.7122859999999</v>
      </c>
      <c r="G35">
        <f ca="1">IF(AND(ISNUMBER($G$196),$B$165=1),$G$196,HLOOKUP(INDIRECT(ADDRESS(2,COLUMN())),OFFSET($R$2,0,0,ROW()-1,12),ROW()-1,FALSE))</f>
        <v>2534.9423299999999</v>
      </c>
      <c r="H35">
        <f ca="1">IF(AND(ISNUMBER($H$196),$B$165=1),$H$196,HLOOKUP(INDIRECT(ADDRESS(2,COLUMN())),OFFSET($R$2,0,0,ROW()-1,12),ROW()-1,FALSE))</f>
        <v>2271.8750220000002</v>
      </c>
      <c r="I35">
        <f ca="1">IF(AND(ISNUMBER($I$196),$B$165=1),$I$196,HLOOKUP(INDIRECT(ADDRESS(2,COLUMN())),OFFSET($R$2,0,0,ROW()-1,12),ROW()-1,FALSE))</f>
        <v>2292.7188080000001</v>
      </c>
      <c r="J35">
        <f ca="1">IF(AND(ISNUMBER($J$196),$B$165=1),$J$196,HLOOKUP(INDIRECT(ADDRESS(2,COLUMN())),OFFSET($R$2,0,0,ROW()-1,12),ROW()-1,FALSE))</f>
        <v>2138.8191270000002</v>
      </c>
      <c r="K35">
        <f ca="1">IF(AND(ISNUMBER($K$196),$B$165=1),$K$196,HLOOKUP(INDIRECT(ADDRESS(2,COLUMN())),OFFSET($R$2,0,0,ROW()-1,12),ROW()-1,FALSE))</f>
        <v>2132.443679</v>
      </c>
      <c r="L35">
        <f ca="1">IF(AND(ISNUMBER($L$196),$B$165=1),$L$196,HLOOKUP(INDIRECT(ADDRESS(2,COLUMN())),OFFSET($R$2,0,0,ROW()-1,12),ROW()-1,FALSE))</f>
        <v>2037.3675900000001</v>
      </c>
      <c r="M35">
        <f ca="1">IF(AND(ISNUMBER($M$196),$B$165=1),$M$196,HLOOKUP(INDIRECT(ADDRESS(2,COLUMN())),OFFSET($R$2,0,0,ROW()-1,12),ROW()-1,FALSE))</f>
        <v>2000.584155</v>
      </c>
      <c r="N35">
        <f ca="1">IF(AND(ISNUMBER($N$196),$B$165=1),$N$196,HLOOKUP(INDIRECT(ADDRESS(2,COLUMN())),OFFSET($R$2,0,0,ROW()-1,12),ROW()-1,FALSE))</f>
        <v>2017.5007680000001</v>
      </c>
      <c r="O35">
        <f ca="1">IF(AND(ISNUMBER($O$196),$B$165=1),$O$196,HLOOKUP(INDIRECT(ADDRESS(2,COLUMN())),OFFSET($R$2,0,0,ROW()-1,12),ROW()-1,FALSE))</f>
        <v>2058.369811</v>
      </c>
      <c r="P35">
        <f ca="1">IF(AND(ISNUMBER($P$196),$B$165=1),$P$196,HLOOKUP(INDIRECT(ADDRESS(2,COLUMN())),OFFSET($R$2,0,0,ROW()-1,12),ROW()-1,FALSE))</f>
        <v>2054.0168319999998</v>
      </c>
      <c r="Q35">
        <f ca="1">IF(AND(ISNUMBER($Q$196),$B$165=1),$Q$196,HLOOKUP(INDIRECT(ADDRESS(2,COLUMN())),OFFSET($R$2,0,0,ROW()-1,12),ROW()-1,FALSE))</f>
        <v>1932.53162</v>
      </c>
      <c r="R35">
        <f>2452.712286</f>
        <v>2452.7122859999999</v>
      </c>
      <c r="S35">
        <f>2534.94233</f>
        <v>2534.9423299999999</v>
      </c>
      <c r="T35">
        <f>2271.875022</f>
        <v>2271.8750220000002</v>
      </c>
      <c r="U35">
        <f>2292.718808</f>
        <v>2292.7188080000001</v>
      </c>
      <c r="V35">
        <f>2138.819127</f>
        <v>2138.8191270000002</v>
      </c>
      <c r="W35">
        <f>2132.443679</f>
        <v>2132.443679</v>
      </c>
      <c r="X35">
        <f>2037.36759</f>
        <v>2037.3675900000001</v>
      </c>
      <c r="Y35">
        <f>2000.584155</f>
        <v>2000.584155</v>
      </c>
      <c r="Z35">
        <f>2017.500768</f>
        <v>2017.5007680000001</v>
      </c>
      <c r="AA35">
        <f>2058.369811</f>
        <v>2058.369811</v>
      </c>
      <c r="AB35">
        <f>2054.016832</f>
        <v>2054.0168319999998</v>
      </c>
      <c r="AC35">
        <f>1932.53162</f>
        <v>1932.53162</v>
      </c>
    </row>
    <row r="36" spans="1:29" x14ac:dyDescent="0.25">
      <c r="A36" t="str">
        <f>"    International Business Machines Corp"</f>
        <v xml:space="preserve">    International Business Machines Corp</v>
      </c>
      <c r="B36" t="str">
        <f>"IBM US Equity"</f>
        <v>IBM US Equity</v>
      </c>
      <c r="C36" t="str">
        <f t="shared" si="3"/>
        <v>BS012</v>
      </c>
      <c r="D36" t="str">
        <f t="shared" si="4"/>
        <v>BS_ACCT_NOTE_RCV</v>
      </c>
      <c r="E36" t="str">
        <f t="shared" si="5"/>
        <v>Dynamic</v>
      </c>
      <c r="F36">
        <f ca="1">IF(AND(ISNUMBER($F$197),$B$165=1),$F$197,HLOOKUP(INDIRECT(ADDRESS(2,COLUMN())),OFFSET($R$2,0,0,ROW()-1,12),ROW()-1,FALSE))</f>
        <v>19053</v>
      </c>
      <c r="G36">
        <f ca="1">IF(AND(ISNUMBER($G$197),$B$165=1),$G$197,HLOOKUP(INDIRECT(ADDRESS(2,COLUMN())),OFFSET($R$2,0,0,ROW()-1,12),ROW()-1,FALSE))</f>
        <v>22062</v>
      </c>
      <c r="H36">
        <f ca="1">IF(AND(ISNUMBER($H$197),$B$165=1),$H$197,HLOOKUP(INDIRECT(ADDRESS(2,COLUMN())),OFFSET($R$2,0,0,ROW()-1,12),ROW()-1,FALSE))</f>
        <v>19083</v>
      </c>
      <c r="I36">
        <f ca="1">IF(AND(ISNUMBER($I$197),$B$165=1),$I$197,HLOOKUP(INDIRECT(ADDRESS(2,COLUMN())),OFFSET($R$2,0,0,ROW()-1,12),ROW()-1,FALSE))</f>
        <v>22957</v>
      </c>
      <c r="J36">
        <f ca="1">IF(AND(ISNUMBER($J$197),$B$165=1),$J$197,HLOOKUP(INDIRECT(ADDRESS(2,COLUMN())),OFFSET($R$2,0,0,ROW()-1,12),ROW()-1,FALSE))</f>
        <v>27274</v>
      </c>
      <c r="K36">
        <f ca="1">IF(AND(ISNUMBER($K$197),$B$165=1),$K$197,HLOOKUP(INDIRECT(ADDRESS(2,COLUMN())),OFFSET($R$2,0,0,ROW()-1,12),ROW()-1,FALSE))</f>
        <v>29820</v>
      </c>
      <c r="L36">
        <f ca="1">IF(AND(ISNUMBER($L$197),$B$165=1),$L$197,HLOOKUP(INDIRECT(ADDRESS(2,COLUMN())),OFFSET($R$2,0,0,ROW()-1,12),ROW()-1,FALSE))</f>
        <v>26320</v>
      </c>
      <c r="M36">
        <f ca="1">IF(AND(ISNUMBER($M$197),$B$165=1),$M$197,HLOOKUP(INDIRECT(ADDRESS(2,COLUMN())),OFFSET($R$2,0,0,ROW()-1,12),ROW()-1,FALSE))</f>
        <v>27251</v>
      </c>
      <c r="N36">
        <f ca="1">IF(AND(ISNUMBER($N$197),$B$165=1),$N$197,HLOOKUP(INDIRECT(ADDRESS(2,COLUMN())),OFFSET($R$2,0,0,ROW()-1,12),ROW()-1,FALSE))</f>
        <v>28023</v>
      </c>
      <c r="O36">
        <f ca="1">IF(AND(ISNUMBER($O$197),$B$165=1),$O$197,HLOOKUP(INDIRECT(ADDRESS(2,COLUMN())),OFFSET($R$2,0,0,ROW()-1,12),ROW()-1,FALSE))</f>
        <v>30649</v>
      </c>
      <c r="P36">
        <f ca="1">IF(AND(ISNUMBER($P$197),$B$165=1),$P$197,HLOOKUP(INDIRECT(ADDRESS(2,COLUMN())),OFFSET($R$2,0,0,ROW()-1,12),ROW()-1,FALSE))</f>
        <v>26200</v>
      </c>
      <c r="Q36">
        <f ca="1">IF(AND(ISNUMBER($Q$197),$B$165=1),$Q$197,HLOOKUP(INDIRECT(ADDRESS(2,COLUMN())),OFFSET($R$2,0,0,ROW()-1,12),ROW()-1,FALSE))</f>
        <v>25964</v>
      </c>
      <c r="R36">
        <f>19053</f>
        <v>19053</v>
      </c>
      <c r="S36">
        <f>22062</f>
        <v>22062</v>
      </c>
      <c r="T36">
        <f>19083</f>
        <v>19083</v>
      </c>
      <c r="U36">
        <f>22957</f>
        <v>22957</v>
      </c>
      <c r="V36">
        <f>27274</f>
        <v>27274</v>
      </c>
      <c r="W36">
        <f>29820</f>
        <v>29820</v>
      </c>
      <c r="X36">
        <f>26320</f>
        <v>26320</v>
      </c>
      <c r="Y36">
        <f>27251</f>
        <v>27251</v>
      </c>
      <c r="Z36">
        <f>28023</f>
        <v>28023</v>
      </c>
      <c r="AA36">
        <f>30649</f>
        <v>30649</v>
      </c>
      <c r="AB36">
        <f>26200</f>
        <v>26200</v>
      </c>
      <c r="AC36">
        <f>25964</f>
        <v>25964</v>
      </c>
    </row>
    <row r="37" spans="1:29" x14ac:dyDescent="0.25">
      <c r="A37" t="str">
        <f>"    Tata Consultancy Services Ltd"</f>
        <v xml:space="preserve">    Tata Consultancy Services Ltd</v>
      </c>
      <c r="B37" t="str">
        <f>"TCS IN Equity"</f>
        <v>TCS IN Equity</v>
      </c>
      <c r="C37" t="str">
        <f t="shared" si="3"/>
        <v>BS012</v>
      </c>
      <c r="D37" t="str">
        <f t="shared" si="4"/>
        <v>BS_ACCT_NOTE_RCV</v>
      </c>
      <c r="E37" t="str">
        <f t="shared" si="5"/>
        <v>Dynamic</v>
      </c>
      <c r="F37">
        <f ca="1">IF(AND(ISNUMBER($F$198),$B$165=1),$F$198,HLOOKUP(INDIRECT(ADDRESS(2,COLUMN())),OFFSET($R$2,0,0,ROW()-1,12),ROW()-1,FALSE))</f>
        <v>4050.7497969999999</v>
      </c>
      <c r="G37">
        <f ca="1">IF(AND(ISNUMBER($G$198),$B$165=1),$G$198,HLOOKUP(INDIRECT(ADDRESS(2,COLUMN())),OFFSET($R$2,0,0,ROW()-1,12),ROW()-1,FALSE))</f>
        <v>4090.306004</v>
      </c>
      <c r="H37">
        <f ca="1">IF(AND(ISNUMBER($H$198),$B$165=1),$H$198,HLOOKUP(INDIRECT(ADDRESS(2,COLUMN())),OFFSET($R$2,0,0,ROW()-1,12),ROW()-1,FALSE))</f>
        <v>3913.0588590000002</v>
      </c>
      <c r="I37">
        <f ca="1">IF(AND(ISNUMBER($I$198),$B$165=1),$I$198,HLOOKUP(INDIRECT(ADDRESS(2,COLUMN())),OFFSET($R$2,0,0,ROW()-1,12),ROW()-1,FALSE))</f>
        <v>4070.2541390000001</v>
      </c>
      <c r="J37">
        <f ca="1">IF(AND(ISNUMBER($J$198),$B$165=1),$J$198,HLOOKUP(INDIRECT(ADDRESS(2,COLUMN())),OFFSET($R$2,0,0,ROW()-1,12),ROW()-1,FALSE))</f>
        <v>3944.7054600000001</v>
      </c>
      <c r="K37">
        <f ca="1">IF(AND(ISNUMBER($K$198),$B$165=1),$K$198,HLOOKUP(INDIRECT(ADDRESS(2,COLUMN())),OFFSET($R$2,0,0,ROW()-1,12),ROW()-1,FALSE))</f>
        <v>3914.0479270000001</v>
      </c>
      <c r="L37">
        <f ca="1">IF(AND(ISNUMBER($L$198),$B$165=1),$L$198,HLOOKUP(INDIRECT(ADDRESS(2,COLUMN())),OFFSET($R$2,0,0,ROW()-1,12),ROW()-1,FALSE))</f>
        <v>3944.0657759999999</v>
      </c>
      <c r="M37">
        <f ca="1">IF(AND(ISNUMBER($M$198),$B$165=1),$M$198,HLOOKUP(INDIRECT(ADDRESS(2,COLUMN())),OFFSET($R$2,0,0,ROW()-1,12),ROW()-1,FALSE))</f>
        <v>3977.5100400000001</v>
      </c>
      <c r="N37">
        <f ca="1">IF(AND(ISNUMBER($N$198),$B$165=1),$N$198,HLOOKUP(INDIRECT(ADDRESS(2,COLUMN())),OFFSET($R$2,0,0,ROW()-1,12),ROW()-1,FALSE))</f>
        <v>3829.1372430000001</v>
      </c>
      <c r="O37">
        <f ca="1">IF(AND(ISNUMBER($O$198),$B$165=1),$O$198,HLOOKUP(INDIRECT(ADDRESS(2,COLUMN())),OFFSET($R$2,0,0,ROW()-1,12),ROW()-1,FALSE))</f>
        <v>3796.9350760000002</v>
      </c>
      <c r="P37">
        <f ca="1">IF(AND(ISNUMBER($P$198),$B$165=1),$P$198,HLOOKUP(INDIRECT(ADDRESS(2,COLUMN())),OFFSET($R$2,0,0,ROW()-1,12),ROW()-1,FALSE))</f>
        <v>3786.2280030000002</v>
      </c>
      <c r="Q37">
        <f ca="1">IF(AND(ISNUMBER($Q$198),$B$165=1),$Q$198,HLOOKUP(INDIRECT(ADDRESS(2,COLUMN())),OFFSET($R$2,0,0,ROW()-1,12),ROW()-1,FALSE))</f>
        <v>3512.0760009999999</v>
      </c>
      <c r="R37">
        <f>4050.749797</f>
        <v>4050.7497969999999</v>
      </c>
      <c r="S37">
        <f>4090.306004</f>
        <v>4090.306004</v>
      </c>
      <c r="T37">
        <f>3913.058859</f>
        <v>3913.0588590000002</v>
      </c>
      <c r="U37">
        <f>4070.254139</f>
        <v>4070.2541390000001</v>
      </c>
      <c r="V37">
        <f>3944.70546</f>
        <v>3944.7054600000001</v>
      </c>
      <c r="W37">
        <f>3914.047927</f>
        <v>3914.0479270000001</v>
      </c>
      <c r="X37">
        <f>3944.065776</f>
        <v>3944.0657759999999</v>
      </c>
      <c r="Y37">
        <f>3977.51004</f>
        <v>3977.5100400000001</v>
      </c>
      <c r="Z37">
        <f>3829.137243</f>
        <v>3829.1372430000001</v>
      </c>
      <c r="AA37">
        <f>3796.935076</f>
        <v>3796.9350760000002</v>
      </c>
      <c r="AB37">
        <f>3786.228003</f>
        <v>3786.2280030000002</v>
      </c>
      <c r="AC37">
        <f>3512.076001</f>
        <v>3512.0760009999999</v>
      </c>
    </row>
    <row r="38" spans="1:29" x14ac:dyDescent="0.25">
      <c r="A38" t="str">
        <f>"    Tech Mahindra Ltd"</f>
        <v xml:space="preserve">    Tech Mahindra Ltd</v>
      </c>
      <c r="B38" t="str">
        <f>"TECHM IN Equity"</f>
        <v>TECHM IN Equity</v>
      </c>
      <c r="C38" t="str">
        <f t="shared" si="3"/>
        <v>BS012</v>
      </c>
      <c r="D38" t="str">
        <f t="shared" si="4"/>
        <v>BS_ACCT_NOTE_RCV</v>
      </c>
      <c r="E38" t="str">
        <f t="shared" si="5"/>
        <v>Dynamic</v>
      </c>
      <c r="F38">
        <f ca="1">IF(AND(ISNUMBER($F$199),$B$165=1),$F$199,HLOOKUP(INDIRECT(ADDRESS(2,COLUMN())),OFFSET($R$2,0,0,ROW()-1,12),ROW()-1,FALSE))</f>
        <v>1005.280051</v>
      </c>
      <c r="G38">
        <f ca="1">IF(AND(ISNUMBER($G$199),$B$165=1),$G$199,HLOOKUP(INDIRECT(ADDRESS(2,COLUMN())),OFFSET($R$2,0,0,ROW()-1,12),ROW()-1,FALSE))</f>
        <v>1109.126775</v>
      </c>
      <c r="H38">
        <f ca="1">IF(AND(ISNUMBER($H$199),$B$165=1),$H$199,HLOOKUP(INDIRECT(ADDRESS(2,COLUMN())),OFFSET($R$2,0,0,ROW()-1,12),ROW()-1,FALSE))</f>
        <v>1036.6615959999999</v>
      </c>
      <c r="I38">
        <f ca="1">IF(AND(ISNUMBER($I$199),$B$165=1),$I$199,HLOOKUP(INDIRECT(ADDRESS(2,COLUMN())),OFFSET($R$2,0,0,ROW()-1,12),ROW()-1,FALSE))</f>
        <v>970.70954879999999</v>
      </c>
      <c r="J38">
        <f ca="1">IF(AND(ISNUMBER($J$199),$B$165=1),$J$199,HLOOKUP(INDIRECT(ADDRESS(2,COLUMN())),OFFSET($R$2,0,0,ROW()-1,12),ROW()-1,FALSE))</f>
        <v>1003.789491</v>
      </c>
      <c r="K38">
        <f ca="1">IF(AND(ISNUMBER($K$199),$B$165=1),$K$199,HLOOKUP(INDIRECT(ADDRESS(2,COLUMN())),OFFSET($R$2,0,0,ROW()-1,12),ROW()-1,FALSE))</f>
        <v>1095.8530639999999</v>
      </c>
      <c r="L38">
        <f ca="1">IF(AND(ISNUMBER($L$199),$B$165=1),$L$199,HLOOKUP(INDIRECT(ADDRESS(2,COLUMN())),OFFSET($R$2,0,0,ROW()-1,12),ROW()-1,FALSE))</f>
        <v>991.13570730000004</v>
      </c>
      <c r="M38">
        <f ca="1">IF(AND(ISNUMBER($M$199),$B$165=1),$M$199,HLOOKUP(INDIRECT(ADDRESS(2,COLUMN())),OFFSET($R$2,0,0,ROW()-1,12),ROW()-1,FALSE))</f>
        <v>971.02592189999996</v>
      </c>
      <c r="N38">
        <f ca="1">IF(AND(ISNUMBER($N$199),$B$165=1),$N$199,HLOOKUP(INDIRECT(ADDRESS(2,COLUMN())),OFFSET($R$2,0,0,ROW()-1,12),ROW()-1,FALSE))</f>
        <v>997.52840040000001</v>
      </c>
      <c r="O38">
        <f ca="1">IF(AND(ISNUMBER($O$199),$B$165=1),$O$199,HLOOKUP(INDIRECT(ADDRESS(2,COLUMN())),OFFSET($R$2,0,0,ROW()-1,12),ROW()-1,FALSE))</f>
        <v>1009.2950049999999</v>
      </c>
      <c r="P38">
        <f ca="1">IF(AND(ISNUMBER($P$199),$B$165=1),$P$199,HLOOKUP(INDIRECT(ADDRESS(2,COLUMN())),OFFSET($R$2,0,0,ROW()-1,12),ROW()-1,FALSE))</f>
        <v>943.3817904</v>
      </c>
      <c r="Q38">
        <f ca="1">IF(AND(ISNUMBER($Q$199),$B$165=1),$Q$199,HLOOKUP(INDIRECT(ADDRESS(2,COLUMN())),OFFSET($R$2,0,0,ROW()-1,12),ROW()-1,FALSE))</f>
        <v>910.47804159999998</v>
      </c>
      <c r="R38">
        <f>1005.280051</f>
        <v>1005.280051</v>
      </c>
      <c r="S38">
        <f>1109.126775</f>
        <v>1109.126775</v>
      </c>
      <c r="T38">
        <f>1036.661596</f>
        <v>1036.6615959999999</v>
      </c>
      <c r="U38">
        <f>970.7095488</f>
        <v>970.70954879999999</v>
      </c>
      <c r="V38">
        <f>1003.789491</f>
        <v>1003.789491</v>
      </c>
      <c r="W38">
        <f>1095.853064</f>
        <v>1095.8530639999999</v>
      </c>
      <c r="X38">
        <f>991.1357073</f>
        <v>991.13570730000004</v>
      </c>
      <c r="Y38">
        <f>971.0259219</f>
        <v>971.02592189999996</v>
      </c>
      <c r="Z38">
        <f>997.5284004</f>
        <v>997.52840040000001</v>
      </c>
      <c r="AA38">
        <f>1009.295005</f>
        <v>1009.2950049999999</v>
      </c>
      <c r="AB38">
        <f>943.3817904</f>
        <v>943.3817904</v>
      </c>
      <c r="AC38">
        <f>910.4780416</f>
        <v>910.47804159999998</v>
      </c>
    </row>
    <row r="39" spans="1:29" x14ac:dyDescent="0.25">
      <c r="A39" t="str">
        <f>"    Wipro Ltd"</f>
        <v xml:space="preserve">    Wipro Ltd</v>
      </c>
      <c r="B39" t="str">
        <f>"WIT US Equity"</f>
        <v>WIT US Equity</v>
      </c>
      <c r="C39" t="str">
        <f t="shared" si="3"/>
        <v>BS012</v>
      </c>
      <c r="D39" t="str">
        <f t="shared" si="4"/>
        <v>BS_ACCT_NOTE_RCV</v>
      </c>
      <c r="E39" t="str">
        <f t="shared" si="5"/>
        <v>Dynamic</v>
      </c>
      <c r="F39">
        <f ca="1">IF(AND(ISNUMBER($F$200),$B$165=1),$F$200,HLOOKUP(INDIRECT(ADDRESS(2,COLUMN())),OFFSET($R$2,0,0,ROW()-1,12),ROW()-1,FALSE))</f>
        <v>1386.080291</v>
      </c>
      <c r="G39">
        <f ca="1">IF(AND(ISNUMBER($G$200),$B$165=1),$G$200,HLOOKUP(INDIRECT(ADDRESS(2,COLUMN())),OFFSET($R$2,0,0,ROW()-1,12),ROW()-1,FALSE))</f>
        <v>1412.7442100000001</v>
      </c>
      <c r="H39">
        <f ca="1">IF(AND(ISNUMBER($H$200),$B$165=1),$H$200,HLOOKUP(INDIRECT(ADDRESS(2,COLUMN())),OFFSET($R$2,0,0,ROW()-1,12),ROW()-1,FALSE))</f>
        <v>1370.780475</v>
      </c>
      <c r="I39">
        <f ca="1">IF(AND(ISNUMBER($I$200),$B$165=1),$I$200,HLOOKUP(INDIRECT(ADDRESS(2,COLUMN())),OFFSET($R$2,0,0,ROW()-1,12),ROW()-1,FALSE))</f>
        <v>1390.1539170000001</v>
      </c>
      <c r="J39">
        <f ca="1">IF(AND(ISNUMBER($J$200),$B$165=1),$J$200,HLOOKUP(INDIRECT(ADDRESS(2,COLUMN())),OFFSET($R$2,0,0,ROW()-1,12),ROW()-1,FALSE))</f>
        <v>1449.570346</v>
      </c>
      <c r="K39">
        <f ca="1">IF(AND(ISNUMBER($K$200),$B$165=1),$K$200,HLOOKUP(INDIRECT(ADDRESS(2,COLUMN())),OFFSET($R$2,0,0,ROW()-1,12),ROW()-1,FALSE))</f>
        <v>1435.5574690000001</v>
      </c>
      <c r="L39">
        <f ca="1">IF(AND(ISNUMBER($L$200),$B$165=1),$L$200,HLOOKUP(INDIRECT(ADDRESS(2,COLUMN())),OFFSET($R$2,0,0,ROW()-1,12),ROW()-1,FALSE))</f>
        <v>1466.336777</v>
      </c>
      <c r="M39">
        <f ca="1">IF(AND(ISNUMBER($M$200),$B$165=1),$M$200,HLOOKUP(INDIRECT(ADDRESS(2,COLUMN())),OFFSET($R$2,0,0,ROW()-1,12),ROW()-1,FALSE))</f>
        <v>1425.4545450000001</v>
      </c>
      <c r="N39">
        <f ca="1">IF(AND(ISNUMBER($N$200),$B$165=1),$N$200,HLOOKUP(INDIRECT(ADDRESS(2,COLUMN())),OFFSET($R$2,0,0,ROW()-1,12),ROW()-1,FALSE))</f>
        <v>1550.3530860000001</v>
      </c>
      <c r="O39">
        <f ca="1">IF(AND(ISNUMBER($O$200),$B$165=1),$O$200,HLOOKUP(INDIRECT(ADDRESS(2,COLUMN())),OFFSET($R$2,0,0,ROW()-1,12),ROW()-1,FALSE))</f>
        <v>1566.13392</v>
      </c>
      <c r="P39">
        <f ca="1">IF(AND(ISNUMBER($P$200),$B$165=1),$P$200,HLOOKUP(INDIRECT(ADDRESS(2,COLUMN())),OFFSET($R$2,0,0,ROW()-1,12),ROW()-1,FALSE))</f>
        <v>1528.492731</v>
      </c>
      <c r="Q39">
        <f ca="1">IF(AND(ISNUMBER($Q$200),$B$165=1),$Q$200,HLOOKUP(INDIRECT(ADDRESS(2,COLUMN())),OFFSET($R$2,0,0,ROW()-1,12),ROW()-1,FALSE))</f>
        <v>1515.848833</v>
      </c>
      <c r="R39">
        <f>1386.080291</f>
        <v>1386.080291</v>
      </c>
      <c r="S39">
        <f>1412.74421</f>
        <v>1412.7442100000001</v>
      </c>
      <c r="T39">
        <f>1370.780475</f>
        <v>1370.780475</v>
      </c>
      <c r="U39">
        <f>1390.153917</f>
        <v>1390.1539170000001</v>
      </c>
      <c r="V39">
        <f>1449.570346</f>
        <v>1449.570346</v>
      </c>
      <c r="W39">
        <f>1435.557469</f>
        <v>1435.5574690000001</v>
      </c>
      <c r="X39">
        <f>1466.336777</f>
        <v>1466.336777</v>
      </c>
      <c r="Y39">
        <f>1425.454545</f>
        <v>1425.4545450000001</v>
      </c>
      <c r="Z39">
        <f>1550.353086</f>
        <v>1550.3530860000001</v>
      </c>
      <c r="AA39">
        <f>1566.13392</f>
        <v>1566.13392</v>
      </c>
      <c r="AB39">
        <f>1528.492731</f>
        <v>1528.492731</v>
      </c>
      <c r="AC39">
        <f>1515.848833</f>
        <v>1515.848833</v>
      </c>
    </row>
    <row r="40" spans="1:29" x14ac:dyDescent="0.25">
      <c r="A40" t="str">
        <f>"Total Assets"</f>
        <v>Total Assets</v>
      </c>
      <c r="B40" t="str">
        <f>""</f>
        <v/>
      </c>
      <c r="E40" t="str">
        <f>"Sum"</f>
        <v>Sum</v>
      </c>
      <c r="F40">
        <f ca="1">IF(ISERROR(IF(SUM($F$41:$F$57) = 0, "", SUM($F$41:$F$57))), "", (IF(SUM($F$41:$F$57) = 0, "", SUM($F$41:$F$57))))</f>
        <v>317716.76662800001</v>
      </c>
      <c r="G40">
        <f ca="1">IF(ISERROR(IF(SUM($G$41:$G$57) = 0, "", SUM($G$41:$G$57))), "", (IF(SUM($G$41:$G$57) = 0, "", SUM($G$41:$G$57))))</f>
        <v>340056.02054499998</v>
      </c>
      <c r="H40">
        <f ca="1">IF(ISERROR(IF(SUM($H$41:$H$57) = 0, "", SUM($H$41:$H$57))), "", (IF(SUM($H$41:$H$57) = 0, "", SUM($H$41:$H$57))))</f>
        <v>312302.02705599996</v>
      </c>
      <c r="I40">
        <f ca="1">IF(ISERROR(IF(SUM($I$41:$I$57) = 0, "", SUM($I$41:$I$57))), "", (IF(SUM($I$41:$I$57) = 0, "", SUM($I$41:$I$57))))</f>
        <v>318500.58312899998</v>
      </c>
      <c r="J40">
        <f ca="1">IF(ISERROR(IF(SUM($J$41:$J$57) = 0, "", SUM($J$41:$J$57))), "", (IF(SUM($J$41:$J$57) = 0, "", SUM($J$41:$J$57))))</f>
        <v>290259.77423599997</v>
      </c>
      <c r="K40">
        <f ca="1">IF(ISERROR(IF(SUM($K$41:$K$57) = 0, "", SUM($K$41:$K$57))), "", (IF(SUM($K$41:$K$57) = 0, "", SUM($K$41:$K$57))))</f>
        <v>277911.04018100002</v>
      </c>
      <c r="L40">
        <f ca="1">IF(ISERROR(IF(SUM($L$41:$L$57) = 0, "", SUM($L$41:$L$57))), "", (IF(SUM($L$41:$L$57) = 0, "", SUM($L$41:$L$57))))</f>
        <v>270604.81465700001</v>
      </c>
      <c r="M40">
        <f ca="1">IF(ISERROR(IF(SUM($M$41:$M$57) = 0, "", SUM($M$41:$M$57))), "", (IF(SUM($M$41:$M$57) = 0, "", SUM($M$41:$M$57))))</f>
        <v>271338.69743500004</v>
      </c>
      <c r="N40">
        <f ca="1">IF(ISERROR(IF(SUM($N$41:$N$57) = 0, "", SUM($N$41:$N$57))), "", (IF(SUM($N$41:$N$57) = 0, "", SUM($N$41:$N$57))))</f>
        <v>282110.84757400001</v>
      </c>
      <c r="O40">
        <f ca="1">IF(ISERROR(IF(SUM($O$41:$O$57) = 0, "", SUM($O$41:$O$57))), "", (IF(SUM($O$41:$O$57) = 0, "", SUM($O$41:$O$57))))</f>
        <v>279963.96967000002</v>
      </c>
      <c r="P40">
        <f ca="1">IF(ISERROR(IF(SUM($P$41:$P$57) = 0, "", SUM($P$41:$P$57))), "", (IF(SUM($P$41:$P$57) = 0, "", SUM($P$41:$P$57))))</f>
        <v>275351.11047699995</v>
      </c>
      <c r="Q40">
        <f ca="1">IF(ISERROR(IF(SUM($Q$41:$Q$57) = 0, "", SUM($Q$41:$Q$57))), "", (IF(SUM($Q$41:$Q$57) = 0, "", SUM($Q$41:$Q$57))))</f>
        <v>269052.587895</v>
      </c>
      <c r="R40">
        <f>317716.7666</f>
        <v>317716.76659999997</v>
      </c>
      <c r="S40">
        <f>340056.0206</f>
        <v>340056.02059999999</v>
      </c>
      <c r="T40">
        <f>312302.027</f>
        <v>312302.027</v>
      </c>
      <c r="U40">
        <f>318500.5831</f>
        <v>318500.58309999999</v>
      </c>
      <c r="V40">
        <f>290259.7742</f>
        <v>290259.77419999999</v>
      </c>
      <c r="W40">
        <f>277911.0402</f>
        <v>277911.04019999999</v>
      </c>
      <c r="X40">
        <f>270604.8147</f>
        <v>270604.81469999999</v>
      </c>
      <c r="Y40">
        <f>271338.6974</f>
        <v>271338.6974</v>
      </c>
      <c r="Z40">
        <f>282110.8476</f>
        <v>282110.84759999998</v>
      </c>
      <c r="AA40">
        <f>279963.9697</f>
        <v>279963.96970000002</v>
      </c>
      <c r="AB40">
        <f>275351.1105</f>
        <v>275351.11050000001</v>
      </c>
      <c r="AC40">
        <f>269052.5879</f>
        <v>269052.58789999998</v>
      </c>
    </row>
    <row r="41" spans="1:29" x14ac:dyDescent="0.25">
      <c r="A41" t="str">
        <f>"    Accenture PLC"</f>
        <v xml:space="preserve">    Accenture PLC</v>
      </c>
      <c r="B41" t="str">
        <f>"ACN US Equity"</f>
        <v>ACN US Equity</v>
      </c>
      <c r="C41" t="str">
        <f t="shared" ref="C41:C57" si="6">"BS035"</f>
        <v>BS035</v>
      </c>
      <c r="D41" t="str">
        <f t="shared" ref="D41:D57" si="7">"BS_TOT_ASSET"</f>
        <v>BS_TOT_ASSET</v>
      </c>
      <c r="E41" t="str">
        <f t="shared" ref="E41:E57" si="8">"Dynamic"</f>
        <v>Dynamic</v>
      </c>
      <c r="F41">
        <f ca="1">IF(AND(ISNUMBER($F$201),$B$165=1),$F$201,HLOOKUP(INDIRECT(ADDRESS(2,COLUMN())),OFFSET($R$2,0,0,ROW()-1,12),ROW()-1,FALSE))</f>
        <v>33503.43</v>
      </c>
      <c r="G41">
        <f ca="1">IF(AND(ISNUMBER($G$201),$B$165=1),$G$201,HLOOKUP(INDIRECT(ADDRESS(2,COLUMN())),OFFSET($R$2,0,0,ROW()-1,12),ROW()-1,FALSE))</f>
        <v>33170.712</v>
      </c>
      <c r="H41">
        <f ca="1">IF(AND(ISNUMBER($H$201),$B$165=1),$H$201,HLOOKUP(INDIRECT(ADDRESS(2,COLUMN())),OFFSET($R$2,0,0,ROW()-1,12),ROW()-1,FALSE))</f>
        <v>29789.88</v>
      </c>
      <c r="I41">
        <f ca="1">IF(AND(ISNUMBER($I$201),$B$165=1),$I$201,HLOOKUP(INDIRECT(ADDRESS(2,COLUMN())),OFFSET($R$2,0,0,ROW()-1,12),ROW()-1,FALSE))</f>
        <v>28156.36</v>
      </c>
      <c r="J41">
        <f ca="1">IF(AND(ISNUMBER($J$201),$B$165=1),$J$201,HLOOKUP(INDIRECT(ADDRESS(2,COLUMN())),OFFSET($R$2,0,0,ROW()-1,12),ROW()-1,FALSE))</f>
        <v>27390.207999999999</v>
      </c>
      <c r="K41">
        <f ca="1">IF(AND(ISNUMBER($K$201),$B$165=1),$K$201,HLOOKUP(INDIRECT(ADDRESS(2,COLUMN())),OFFSET($R$2,0,0,ROW()-1,12),ROW()-1,FALSE))</f>
        <v>26706.412</v>
      </c>
      <c r="L41">
        <f ca="1">IF(AND(ISNUMBER($L$201),$B$165=1),$L$201,HLOOKUP(INDIRECT(ADDRESS(2,COLUMN())),OFFSET($R$2,0,0,ROW()-1,12),ROW()-1,FALSE))</f>
        <v>24449.082999999999</v>
      </c>
      <c r="M41">
        <f ca="1">IF(AND(ISNUMBER($M$201),$B$165=1),$M$201,HLOOKUP(INDIRECT(ADDRESS(2,COLUMN())),OFFSET($R$2,0,0,ROW()-1,12),ROW()-1,FALSE))</f>
        <v>23250.793000000001</v>
      </c>
      <c r="N41">
        <f ca="1">IF(AND(ISNUMBER($N$201),$B$165=1),$N$201,HLOOKUP(INDIRECT(ADDRESS(2,COLUMN())),OFFSET($R$2,0,0,ROW()-1,12),ROW()-1,FALSE))</f>
        <v>23132.978999999999</v>
      </c>
      <c r="O41">
        <f ca="1">IF(AND(ISNUMBER($O$201),$B$165=1),$O$201,HLOOKUP(INDIRECT(ADDRESS(2,COLUMN())),OFFSET($R$2,0,0,ROW()-1,12),ROW()-1,FALSE))</f>
        <v>22974.152999999998</v>
      </c>
      <c r="P41">
        <f ca="1">IF(AND(ISNUMBER($P$201),$B$165=1),$P$201,HLOOKUP(INDIRECT(ADDRESS(2,COLUMN())),OFFSET($R$2,0,0,ROW()-1,12),ROW()-1,FALSE))</f>
        <v>22689.89</v>
      </c>
      <c r="Q41">
        <f ca="1">IF(AND(ISNUMBER($Q$201),$B$165=1),$Q$201,HLOOKUP(INDIRECT(ADDRESS(2,COLUMN())),OFFSET($R$2,0,0,ROW()-1,12),ROW()-1,FALSE))</f>
        <v>21135.592000000001</v>
      </c>
      <c r="R41">
        <f>33503.43</f>
        <v>33503.43</v>
      </c>
      <c r="S41">
        <f>33170.712</f>
        <v>33170.712</v>
      </c>
      <c r="T41">
        <f>29789.88</f>
        <v>29789.88</v>
      </c>
      <c r="U41">
        <f>28156.36</f>
        <v>28156.36</v>
      </c>
      <c r="V41">
        <f>27390.208</f>
        <v>27390.207999999999</v>
      </c>
      <c r="W41">
        <f>26706.412</f>
        <v>26706.412</v>
      </c>
      <c r="X41">
        <f>24449.083</f>
        <v>24449.082999999999</v>
      </c>
      <c r="Y41">
        <f>23250.793</f>
        <v>23250.793000000001</v>
      </c>
      <c r="Z41">
        <f>23132.979</f>
        <v>23132.978999999999</v>
      </c>
      <c r="AA41">
        <f>22974.153</f>
        <v>22974.152999999998</v>
      </c>
      <c r="AB41">
        <f>22689.89</f>
        <v>22689.89</v>
      </c>
      <c r="AC41">
        <f>21135.592</f>
        <v>21135.592000000001</v>
      </c>
    </row>
    <row r="42" spans="1:29" x14ac:dyDescent="0.25">
      <c r="A42" t="str">
        <f>"    Amdocs Ltd"</f>
        <v xml:space="preserve">    Amdocs Ltd</v>
      </c>
      <c r="B42" t="str">
        <f>"DOX US Equity"</f>
        <v>DOX US Equity</v>
      </c>
      <c r="C42" t="str">
        <f t="shared" si="6"/>
        <v>BS035</v>
      </c>
      <c r="D42" t="str">
        <f t="shared" si="7"/>
        <v>BS_TOT_ASSET</v>
      </c>
      <c r="E42" t="str">
        <f t="shared" si="8"/>
        <v>Dynamic</v>
      </c>
      <c r="F42">
        <f ca="1">IF(AND(ISNUMBER($F$202),$B$165=1),$F$202,HLOOKUP(INDIRECT(ADDRESS(2,COLUMN())),OFFSET($R$2,0,0,ROW()-1,12),ROW()-1,FALSE))</f>
        <v>5905.5780000000004</v>
      </c>
      <c r="G42">
        <f ca="1">IF(AND(ISNUMBER($G$202),$B$165=1),$G$202,HLOOKUP(INDIRECT(ADDRESS(2,COLUMN())),OFFSET($R$2,0,0,ROW()-1,12),ROW()-1,FALSE))</f>
        <v>5632.2749999999996</v>
      </c>
      <c r="H42">
        <f ca="1">IF(AND(ISNUMBER($H$202),$B$165=1),$H$202,HLOOKUP(INDIRECT(ADDRESS(2,COLUMN())),OFFSET($R$2,0,0,ROW()-1,12),ROW()-1,FALSE))</f>
        <v>5292.826</v>
      </c>
      <c r="I42">
        <f ca="1">IF(AND(ISNUMBER($I$202),$B$165=1),$I$202,HLOOKUP(INDIRECT(ADDRESS(2,COLUMN())),OFFSET($R$2,0,0,ROW()-1,12),ROW()-1,FALSE))</f>
        <v>5234.6189999999997</v>
      </c>
      <c r="J42">
        <f ca="1">IF(AND(ISNUMBER($J$202),$B$165=1),$J$202,HLOOKUP(INDIRECT(ADDRESS(2,COLUMN())),OFFSET($R$2,0,0,ROW()-1,12),ROW()-1,FALSE))</f>
        <v>5233.7139999999999</v>
      </c>
      <c r="K42">
        <f ca="1">IF(AND(ISNUMBER($K$202),$B$165=1),$K$202,HLOOKUP(INDIRECT(ADDRESS(2,COLUMN())),OFFSET($R$2,0,0,ROW()-1,12),ROW()-1,FALSE))</f>
        <v>5296.0290000000005</v>
      </c>
      <c r="L42">
        <f ca="1">IF(AND(ISNUMBER($L$202),$B$165=1),$L$202,HLOOKUP(INDIRECT(ADDRESS(2,COLUMN())),OFFSET($R$2,0,0,ROW()-1,12),ROW()-1,FALSE))</f>
        <v>5347.8149999999996</v>
      </c>
      <c r="M42">
        <f ca="1">IF(AND(ISNUMBER($M$202),$B$165=1),$M$202,HLOOKUP(INDIRECT(ADDRESS(2,COLUMN())),OFFSET($R$2,0,0,ROW()-1,12),ROW()-1,FALSE))</f>
        <v>5443.4679999999998</v>
      </c>
      <c r="N42">
        <f ca="1">IF(AND(ISNUMBER($N$202),$B$165=1),$N$202,HLOOKUP(INDIRECT(ADDRESS(2,COLUMN())),OFFSET($R$2,0,0,ROW()-1,12),ROW()-1,FALSE))</f>
        <v>5578.991</v>
      </c>
      <c r="O42">
        <f ca="1">IF(AND(ISNUMBER($O$202),$B$165=1),$O$202,HLOOKUP(INDIRECT(ADDRESS(2,COLUMN())),OFFSET($R$2,0,0,ROW()-1,12),ROW()-1,FALSE))</f>
        <v>5401.8689999999997</v>
      </c>
      <c r="P42">
        <f ca="1">IF(AND(ISNUMBER($P$202),$B$165=1),$P$202,HLOOKUP(INDIRECT(ADDRESS(2,COLUMN())),OFFSET($R$2,0,0,ROW()-1,12),ROW()-1,FALSE))</f>
        <v>5279.38</v>
      </c>
      <c r="Q42">
        <f ca="1">IF(AND(ISNUMBER($Q$202),$B$165=1),$Q$202,HLOOKUP(INDIRECT(ADDRESS(2,COLUMN())),OFFSET($R$2,0,0,ROW()-1,12),ROW()-1,FALSE))</f>
        <v>5293.6170000000002</v>
      </c>
      <c r="R42">
        <f>5905.578</f>
        <v>5905.5780000000004</v>
      </c>
      <c r="S42">
        <f>5632.275</f>
        <v>5632.2749999999996</v>
      </c>
      <c r="T42">
        <f>5292.826</f>
        <v>5292.826</v>
      </c>
      <c r="U42">
        <f>5234.619</f>
        <v>5234.6189999999997</v>
      </c>
      <c r="V42">
        <f>5233.714</f>
        <v>5233.7139999999999</v>
      </c>
      <c r="W42">
        <f>5296.029</f>
        <v>5296.0290000000005</v>
      </c>
      <c r="X42">
        <f>5347.815</f>
        <v>5347.8149999999996</v>
      </c>
      <c r="Y42">
        <f>5443.468</f>
        <v>5443.4679999999998</v>
      </c>
      <c r="Z42">
        <f>5578.991</f>
        <v>5578.991</v>
      </c>
      <c r="AA42">
        <f>5401.869</f>
        <v>5401.8689999999997</v>
      </c>
      <c r="AB42">
        <f>5279.38</f>
        <v>5279.38</v>
      </c>
      <c r="AC42">
        <f>5293.617</f>
        <v>5293.6170000000002</v>
      </c>
    </row>
    <row r="43" spans="1:29" x14ac:dyDescent="0.25">
      <c r="A43" t="str">
        <f>"    Atos SE"</f>
        <v xml:space="preserve">    Atos SE</v>
      </c>
      <c r="B43" t="str">
        <f>"ATO FP Equity"</f>
        <v>ATO FP Equity</v>
      </c>
      <c r="C43" t="str">
        <f t="shared" si="6"/>
        <v>BS035</v>
      </c>
      <c r="D43" t="str">
        <f t="shared" si="7"/>
        <v>BS_TOT_ASSET</v>
      </c>
      <c r="E43" t="str">
        <f t="shared" si="8"/>
        <v>Dynamic</v>
      </c>
      <c r="F43" t="str">
        <f ca="1">IF(AND(ISNUMBER($F$203),$B$165=1),$F$203,HLOOKUP(INDIRECT(ADDRESS(2,COLUMN())),OFFSET($R$2,0,0,ROW()-1,12),ROW()-1,FALSE))</f>
        <v/>
      </c>
      <c r="G43" t="str">
        <f ca="1">IF(AND(ISNUMBER($G$203),$B$165=1),$G$203,HLOOKUP(INDIRECT(ADDRESS(2,COLUMN())),OFFSET($R$2,0,0,ROW()-1,12),ROW()-1,FALSE))</f>
        <v/>
      </c>
      <c r="H43" t="str">
        <f ca="1">IF(AND(ISNUMBER($H$203),$B$165=1),$H$203,HLOOKUP(INDIRECT(ADDRESS(2,COLUMN())),OFFSET($R$2,0,0,ROW()-1,12),ROW()-1,FALSE))</f>
        <v/>
      </c>
      <c r="I43" t="str">
        <f ca="1">IF(AND(ISNUMBER($I$203),$B$165=1),$I$203,HLOOKUP(INDIRECT(ADDRESS(2,COLUMN())),OFFSET($R$2,0,0,ROW()-1,12),ROW()-1,FALSE))</f>
        <v/>
      </c>
      <c r="J43" t="str">
        <f ca="1">IF(AND(ISNUMBER($J$203),$B$165=1),$J$203,HLOOKUP(INDIRECT(ADDRESS(2,COLUMN())),OFFSET($R$2,0,0,ROW()-1,12),ROW()-1,FALSE))</f>
        <v/>
      </c>
      <c r="K43" t="str">
        <f ca="1">IF(AND(ISNUMBER($K$203),$B$165=1),$K$203,HLOOKUP(INDIRECT(ADDRESS(2,COLUMN())),OFFSET($R$2,0,0,ROW()-1,12),ROW()-1,FALSE))</f>
        <v/>
      </c>
      <c r="L43" t="str">
        <f ca="1">IF(AND(ISNUMBER($L$203),$B$165=1),$L$203,HLOOKUP(INDIRECT(ADDRESS(2,COLUMN())),OFFSET($R$2,0,0,ROW()-1,12),ROW()-1,FALSE))</f>
        <v/>
      </c>
      <c r="M43" t="str">
        <f ca="1">IF(AND(ISNUMBER($M$203),$B$165=1),$M$203,HLOOKUP(INDIRECT(ADDRESS(2,COLUMN())),OFFSET($R$2,0,0,ROW()-1,12),ROW()-1,FALSE))</f>
        <v/>
      </c>
      <c r="N43" t="str">
        <f ca="1">IF(AND(ISNUMBER($N$203),$B$165=1),$N$203,HLOOKUP(INDIRECT(ADDRESS(2,COLUMN())),OFFSET($R$2,0,0,ROW()-1,12),ROW()-1,FALSE))</f>
        <v/>
      </c>
      <c r="O43" t="str">
        <f ca="1">IF(AND(ISNUMBER($O$203),$B$165=1),$O$203,HLOOKUP(INDIRECT(ADDRESS(2,COLUMN())),OFFSET($R$2,0,0,ROW()-1,12),ROW()-1,FALSE))</f>
        <v/>
      </c>
      <c r="P43" t="str">
        <f ca="1">IF(AND(ISNUMBER($P$203),$B$165=1),$P$203,HLOOKUP(INDIRECT(ADDRESS(2,COLUMN())),OFFSET($R$2,0,0,ROW()-1,12),ROW()-1,FALSE))</f>
        <v/>
      </c>
      <c r="Q43" t="str">
        <f ca="1">IF(AND(ISNUMBER($Q$203),$B$165=1),$Q$203,HLOOKUP(INDIRECT(ADDRESS(2,COLUMN())),OFFSET($R$2,0,0,ROW()-1,12),ROW()-1,FALSE))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t="str">
        <f>""</f>
        <v/>
      </c>
      <c r="AC43" t="str">
        <f>""</f>
        <v/>
      </c>
    </row>
    <row r="44" spans="1:29" x14ac:dyDescent="0.25">
      <c r="A44" t="str">
        <f>"    Capgemini SE"</f>
        <v xml:space="preserve">    Capgemini SE</v>
      </c>
      <c r="B44" t="str">
        <f>"CAP FP Equity"</f>
        <v>CAP FP Equity</v>
      </c>
      <c r="C44" t="str">
        <f t="shared" si="6"/>
        <v>BS035</v>
      </c>
      <c r="D44" t="str">
        <f t="shared" si="7"/>
        <v>BS_TOT_ASSET</v>
      </c>
      <c r="E44" t="str">
        <f t="shared" si="8"/>
        <v>Dynamic</v>
      </c>
      <c r="F44" t="str">
        <f ca="1">IF(AND(ISNUMBER($F$204),$B$165=1),$F$204,HLOOKUP(INDIRECT(ADDRESS(2,COLUMN())),OFFSET($R$2,0,0,ROW()-1,12),ROW()-1,FALSE))</f>
        <v/>
      </c>
      <c r="G44">
        <f ca="1">IF(AND(ISNUMBER($G$204),$B$165=1),$G$204,HLOOKUP(INDIRECT(ADDRESS(2,COLUMN())),OFFSET($R$2,0,0,ROW()-1,12),ROW()-1,FALSE))</f>
        <v>20363.791499999999</v>
      </c>
      <c r="H44" t="str">
        <f ca="1">IF(AND(ISNUMBER($H$204),$B$165=1),$H$204,HLOOKUP(INDIRECT(ADDRESS(2,COLUMN())),OFFSET($R$2,0,0,ROW()-1,12),ROW()-1,FALSE))</f>
        <v/>
      </c>
      <c r="I44" t="str">
        <f ca="1">IF(AND(ISNUMBER($I$204),$B$165=1),$I$204,HLOOKUP(INDIRECT(ADDRESS(2,COLUMN())),OFFSET($R$2,0,0,ROW()-1,12),ROW()-1,FALSE))</f>
        <v/>
      </c>
      <c r="J44" t="str">
        <f ca="1">IF(AND(ISNUMBER($J$204),$B$165=1),$J$204,HLOOKUP(INDIRECT(ADDRESS(2,COLUMN())),OFFSET($R$2,0,0,ROW()-1,12),ROW()-1,FALSE))</f>
        <v/>
      </c>
      <c r="K44" t="str">
        <f ca="1">IF(AND(ISNUMBER($K$204),$B$165=1),$K$204,HLOOKUP(INDIRECT(ADDRESS(2,COLUMN())),OFFSET($R$2,0,0,ROW()-1,12),ROW()-1,FALSE))</f>
        <v/>
      </c>
      <c r="L44" t="str">
        <f ca="1">IF(AND(ISNUMBER($L$204),$B$165=1),$L$204,HLOOKUP(INDIRECT(ADDRESS(2,COLUMN())),OFFSET($R$2,0,0,ROW()-1,12),ROW()-1,FALSE))</f>
        <v/>
      </c>
      <c r="M44" t="str">
        <f ca="1">IF(AND(ISNUMBER($M$204),$B$165=1),$M$204,HLOOKUP(INDIRECT(ADDRESS(2,COLUMN())),OFFSET($R$2,0,0,ROW()-1,12),ROW()-1,FALSE))</f>
        <v/>
      </c>
      <c r="N44" t="str">
        <f ca="1">IF(AND(ISNUMBER($N$204),$B$165=1),$N$204,HLOOKUP(INDIRECT(ADDRESS(2,COLUMN())),OFFSET($R$2,0,0,ROW()-1,12),ROW()-1,FALSE))</f>
        <v/>
      </c>
      <c r="O44" t="str">
        <f ca="1">IF(AND(ISNUMBER($O$204),$B$165=1),$O$204,HLOOKUP(INDIRECT(ADDRESS(2,COLUMN())),OFFSET($R$2,0,0,ROW()-1,12),ROW()-1,FALSE))</f>
        <v/>
      </c>
      <c r="P44" t="str">
        <f ca="1">IF(AND(ISNUMBER($P$204),$B$165=1),$P$204,HLOOKUP(INDIRECT(ADDRESS(2,COLUMN())),OFFSET($R$2,0,0,ROW()-1,12),ROW()-1,FALSE))</f>
        <v/>
      </c>
      <c r="Q44" t="str">
        <f ca="1">IF(AND(ISNUMBER($Q$204),$B$165=1),$Q$204,HLOOKUP(INDIRECT(ADDRESS(2,COLUMN())),OFFSET($R$2,0,0,ROW()-1,12),ROW()-1,FALSE))</f>
        <v/>
      </c>
      <c r="R44" t="str">
        <f>""</f>
        <v/>
      </c>
      <c r="S44">
        <f>20363.7915</f>
        <v>20363.791499999999</v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</row>
    <row r="45" spans="1:29" x14ac:dyDescent="0.25">
      <c r="A45" t="str">
        <f>"    CGI Inc"</f>
        <v xml:space="preserve">    CGI Inc</v>
      </c>
      <c r="B45" t="str">
        <f>"GIB US Equity"</f>
        <v>GIB US Equity</v>
      </c>
      <c r="C45" t="str">
        <f t="shared" si="6"/>
        <v>BS035</v>
      </c>
      <c r="D45" t="str">
        <f t="shared" si="7"/>
        <v>BS_TOT_ASSET</v>
      </c>
      <c r="E45" t="str">
        <f t="shared" si="8"/>
        <v>Dynamic</v>
      </c>
      <c r="F45">
        <f ca="1">IF(AND(ISNUMBER($F$205),$B$165=1),$F$205,HLOOKUP(INDIRECT(ADDRESS(2,COLUMN())),OFFSET($R$2,0,0,ROW()-1,12),ROW()-1,FALSE))</f>
        <v>10289.890740000001</v>
      </c>
      <c r="G45">
        <f ca="1">IF(AND(ISNUMBER($G$205),$B$165=1),$G$205,HLOOKUP(INDIRECT(ADDRESS(2,COLUMN())),OFFSET($R$2,0,0,ROW()-1,12),ROW()-1,FALSE))</f>
        <v>10682.39867</v>
      </c>
      <c r="H45">
        <f ca="1">IF(AND(ISNUMBER($H$205),$B$165=1),$H$205,HLOOKUP(INDIRECT(ADDRESS(2,COLUMN())),OFFSET($R$2,0,0,ROW()-1,12),ROW()-1,FALSE))</f>
        <v>9532.3208219999997</v>
      </c>
      <c r="I45">
        <f ca="1">IF(AND(ISNUMBER($I$205),$B$165=1),$I$205,HLOOKUP(INDIRECT(ADDRESS(2,COLUMN())),OFFSET($R$2,0,0,ROW()-1,12),ROW()-1,FALSE))</f>
        <v>9786.8509890000005</v>
      </c>
      <c r="J45">
        <f ca="1">IF(AND(ISNUMBER($J$205),$B$165=1),$J$205,HLOOKUP(INDIRECT(ADDRESS(2,COLUMN())),OFFSET($R$2,0,0,ROW()-1,12),ROW()-1,FALSE))</f>
        <v>9508.0549109999993</v>
      </c>
      <c r="K45">
        <f ca="1">IF(AND(ISNUMBER($K$205),$B$165=1),$K$205,HLOOKUP(INDIRECT(ADDRESS(2,COLUMN())),OFFSET($R$2,0,0,ROW()-1,12),ROW()-1,FALSE))</f>
        <v>9448.3646509999999</v>
      </c>
      <c r="L45">
        <f ca="1">IF(AND(ISNUMBER($L$205),$B$165=1),$L$205,HLOOKUP(INDIRECT(ADDRESS(2,COLUMN())),OFFSET($R$2,0,0,ROW()-1,12),ROW()-1,FALSE))</f>
        <v>9211.7366099999999</v>
      </c>
      <c r="M45">
        <f ca="1">IF(AND(ISNUMBER($M$205),$B$165=1),$M$205,HLOOKUP(INDIRECT(ADDRESS(2,COLUMN())),OFFSET($R$2,0,0,ROW()-1,12),ROW()-1,FALSE))</f>
        <v>9246.8801829999993</v>
      </c>
      <c r="N45">
        <f ca="1">IF(AND(ISNUMBER($N$205),$B$165=1),$N$205,HLOOKUP(INDIRECT(ADDRESS(2,COLUMN())),OFFSET($R$2,0,0,ROW()-1,12),ROW()-1,FALSE))</f>
        <v>9592.4105830000008</v>
      </c>
      <c r="O45">
        <f ca="1">IF(AND(ISNUMBER($O$205),$B$165=1),$O$205,HLOOKUP(INDIRECT(ADDRESS(2,COLUMN())),OFFSET($R$2,0,0,ROW()-1,12),ROW()-1,FALSE))</f>
        <v>9545.3851680000007</v>
      </c>
      <c r="P45">
        <f ca="1">IF(AND(ISNUMBER($P$205),$B$165=1),$P$205,HLOOKUP(INDIRECT(ADDRESS(2,COLUMN())),OFFSET($R$2,0,0,ROW()-1,12),ROW()-1,FALSE))</f>
        <v>9128.6542769999996</v>
      </c>
      <c r="Q45">
        <f ca="1">IF(AND(ISNUMBER($Q$205),$B$165=1),$Q$205,HLOOKUP(INDIRECT(ADDRESS(2,COLUMN())),OFFSET($R$2,0,0,ROW()-1,12),ROW()-1,FALSE))</f>
        <v>9108.3411589999996</v>
      </c>
      <c r="R45">
        <f>10289.89074</f>
        <v>10289.890740000001</v>
      </c>
      <c r="S45">
        <f>10682.39867</f>
        <v>10682.39867</v>
      </c>
      <c r="T45">
        <f>9532.320822</f>
        <v>9532.3208219999997</v>
      </c>
      <c r="U45">
        <f>9786.850989</f>
        <v>9786.8509890000005</v>
      </c>
      <c r="V45">
        <f>9508.054911</f>
        <v>9508.0549109999993</v>
      </c>
      <c r="W45">
        <f>9448.364651</f>
        <v>9448.3646509999999</v>
      </c>
      <c r="X45">
        <f>9211.73661</f>
        <v>9211.7366099999999</v>
      </c>
      <c r="Y45">
        <f>9246.880183</f>
        <v>9246.8801829999993</v>
      </c>
      <c r="Z45">
        <f>9592.410583</f>
        <v>9592.4105830000008</v>
      </c>
      <c r="AA45">
        <f>9545.385168</f>
        <v>9545.3851680000007</v>
      </c>
      <c r="AB45">
        <f>9128.654277</f>
        <v>9128.6542769999996</v>
      </c>
      <c r="AC45">
        <f>9108.341159</f>
        <v>9108.3411589999996</v>
      </c>
    </row>
    <row r="46" spans="1:29" x14ac:dyDescent="0.25">
      <c r="A46" t="str">
        <f>"    Cognizant Technology Solutions Corp"</f>
        <v xml:space="preserve">    Cognizant Technology Solutions Corp</v>
      </c>
      <c r="B46" t="str">
        <f>"CTSH US Equity"</f>
        <v>CTSH US Equity</v>
      </c>
      <c r="C46" t="str">
        <f t="shared" si="6"/>
        <v>BS035</v>
      </c>
      <c r="D46" t="str">
        <f t="shared" si="7"/>
        <v>BS_TOT_ASSET</v>
      </c>
      <c r="E46" t="str">
        <f t="shared" si="8"/>
        <v>Dynamic</v>
      </c>
      <c r="F46">
        <f ca="1">IF(AND(ISNUMBER($F$206),$B$165=1),$F$206,HLOOKUP(INDIRECT(ADDRESS(2,COLUMN())),OFFSET($R$2,0,0,ROW()-1,12),ROW()-1,FALSE))</f>
        <v>17429</v>
      </c>
      <c r="G46">
        <f ca="1">IF(AND(ISNUMBER($G$206),$B$165=1),$G$206,HLOOKUP(INDIRECT(ADDRESS(2,COLUMN())),OFFSET($R$2,0,0,ROW()-1,12),ROW()-1,FALSE))</f>
        <v>16204</v>
      </c>
      <c r="H46">
        <f ca="1">IF(AND(ISNUMBER($H$206),$B$165=1),$H$206,HLOOKUP(INDIRECT(ADDRESS(2,COLUMN())),OFFSET($R$2,0,0,ROW()-1,12),ROW()-1,FALSE))</f>
        <v>15844</v>
      </c>
      <c r="I46">
        <f ca="1">IF(AND(ISNUMBER($I$206),$B$165=1),$I$206,HLOOKUP(INDIRECT(ADDRESS(2,COLUMN())),OFFSET($R$2,0,0,ROW()-1,12),ROW()-1,FALSE))</f>
        <v>15517</v>
      </c>
      <c r="J46">
        <f ca="1">IF(AND(ISNUMBER($J$206),$B$165=1),$J$206,HLOOKUP(INDIRECT(ADDRESS(2,COLUMN())),OFFSET($R$2,0,0,ROW()-1,12),ROW()-1,FALSE))</f>
        <v>16096</v>
      </c>
      <c r="K46">
        <f ca="1">IF(AND(ISNUMBER($K$206),$B$165=1),$K$206,HLOOKUP(INDIRECT(ADDRESS(2,COLUMN())),OFFSET($R$2,0,0,ROW()-1,12),ROW()-1,FALSE))</f>
        <v>15846</v>
      </c>
      <c r="L46">
        <f ca="1">IF(AND(ISNUMBER($L$206),$B$165=1),$L$206,HLOOKUP(INDIRECT(ADDRESS(2,COLUMN())),OFFSET($R$2,0,0,ROW()-1,12),ROW()-1,FALSE))</f>
        <v>15274</v>
      </c>
      <c r="M46">
        <f ca="1">IF(AND(ISNUMBER($M$206),$B$165=1),$M$206,HLOOKUP(INDIRECT(ADDRESS(2,COLUMN())),OFFSET($R$2,0,0,ROW()-1,12),ROW()-1,FALSE))</f>
        <v>14806</v>
      </c>
      <c r="N46">
        <f ca="1">IF(AND(ISNUMBER($N$206),$B$165=1),$N$206,HLOOKUP(INDIRECT(ADDRESS(2,COLUMN())),OFFSET($R$2,0,0,ROW()-1,12),ROW()-1,FALSE))</f>
        <v>15045</v>
      </c>
      <c r="O46">
        <f ca="1">IF(AND(ISNUMBER($O$206),$B$165=1),$O$206,HLOOKUP(INDIRECT(ADDRESS(2,COLUMN())),OFFSET($R$2,0,0,ROW()-1,12),ROW()-1,FALSE))</f>
        <v>15221</v>
      </c>
      <c r="P46">
        <f ca="1">IF(AND(ISNUMBER($P$206),$B$165=1),$P$206,HLOOKUP(INDIRECT(ADDRESS(2,COLUMN())),OFFSET($R$2,0,0,ROW()-1,12),ROW()-1,FALSE))</f>
        <v>14580</v>
      </c>
      <c r="Q46">
        <f ca="1">IF(AND(ISNUMBER($Q$206),$B$165=1),$Q$206,HLOOKUP(INDIRECT(ADDRESS(2,COLUMN())),OFFSET($R$2,0,0,ROW()-1,12),ROW()-1,FALSE))</f>
        <v>13938</v>
      </c>
      <c r="R46">
        <f>17429</f>
        <v>17429</v>
      </c>
      <c r="S46">
        <f>16204</f>
        <v>16204</v>
      </c>
      <c r="T46">
        <f>15844</f>
        <v>15844</v>
      </c>
      <c r="U46">
        <f>15517</f>
        <v>15517</v>
      </c>
      <c r="V46">
        <f>16096</f>
        <v>16096</v>
      </c>
      <c r="W46">
        <f>15846</f>
        <v>15846</v>
      </c>
      <c r="X46">
        <f>15274</f>
        <v>15274</v>
      </c>
      <c r="Y46">
        <f>14806</f>
        <v>14806</v>
      </c>
      <c r="Z46">
        <f>15045</f>
        <v>15045</v>
      </c>
      <c r="AA46">
        <f>15221</f>
        <v>15221</v>
      </c>
      <c r="AB46">
        <f>14580</f>
        <v>14580</v>
      </c>
      <c r="AC46">
        <f>13938</f>
        <v>13938</v>
      </c>
    </row>
    <row r="47" spans="1:29" x14ac:dyDescent="0.25">
      <c r="A47" t="str">
        <f>"    Conduent Inc"</f>
        <v xml:space="preserve">    Conduent Inc</v>
      </c>
      <c r="B47" t="str">
        <f>"CNDT US Equity"</f>
        <v>CNDT US Equity</v>
      </c>
      <c r="C47" t="str">
        <f t="shared" si="6"/>
        <v>BS035</v>
      </c>
      <c r="D47" t="str">
        <f t="shared" si="7"/>
        <v>BS_TOT_ASSET</v>
      </c>
      <c r="E47" t="str">
        <f t="shared" si="8"/>
        <v>Dynamic</v>
      </c>
      <c r="F47">
        <f ca="1">IF(AND(ISNUMBER($F$207),$B$165=1),$F$207,HLOOKUP(INDIRECT(ADDRESS(2,COLUMN())),OFFSET($R$2,0,0,ROW()-1,12),ROW()-1,FALSE))</f>
        <v>4394</v>
      </c>
      <c r="G47">
        <f ca="1">IF(AND(ISNUMBER($G$207),$B$165=1),$G$207,HLOOKUP(INDIRECT(ADDRESS(2,COLUMN())),OFFSET($R$2,0,0,ROW()-1,12),ROW()-1,FALSE))</f>
        <v>4514</v>
      </c>
      <c r="H47">
        <f ca="1">IF(AND(ISNUMBER($H$207),$B$165=1),$H$207,HLOOKUP(INDIRECT(ADDRESS(2,COLUMN())),OFFSET($R$2,0,0,ROW()-1,12),ROW()-1,FALSE))</f>
        <v>5114</v>
      </c>
      <c r="I47">
        <f ca="1">IF(AND(ISNUMBER($I$207),$B$165=1),$I$207,HLOOKUP(INDIRECT(ADDRESS(2,COLUMN())),OFFSET($R$2,0,0,ROW()-1,12),ROW()-1,FALSE))</f>
        <v>5303</v>
      </c>
      <c r="J47">
        <f ca="1">IF(AND(ISNUMBER($J$207),$B$165=1),$J$207,HLOOKUP(INDIRECT(ADDRESS(2,COLUMN())),OFFSET($R$2,0,0,ROW()-1,12),ROW()-1,FALSE))</f>
        <v>6663</v>
      </c>
      <c r="K47">
        <f ca="1">IF(AND(ISNUMBER($K$207),$B$165=1),$K$207,HLOOKUP(INDIRECT(ADDRESS(2,COLUMN())),OFFSET($R$2,0,0,ROW()-1,12),ROW()-1,FALSE))</f>
        <v>6680</v>
      </c>
      <c r="L47">
        <f ca="1">IF(AND(ISNUMBER($L$207),$B$165=1),$L$207,HLOOKUP(INDIRECT(ADDRESS(2,COLUMN())),OFFSET($R$2,0,0,ROW()-1,12),ROW()-1,FALSE))</f>
        <v>6730</v>
      </c>
      <c r="M47">
        <f ca="1">IF(AND(ISNUMBER($M$207),$B$165=1),$M$207,HLOOKUP(INDIRECT(ADDRESS(2,COLUMN())),OFFSET($R$2,0,0,ROW()-1,12),ROW()-1,FALSE))</f>
        <v>7436</v>
      </c>
      <c r="N47">
        <f ca="1">IF(AND(ISNUMBER($N$207),$B$165=1),$N$207,HLOOKUP(INDIRECT(ADDRESS(2,COLUMN())),OFFSET($R$2,0,0,ROW()-1,12),ROW()-1,FALSE))</f>
        <v>7511</v>
      </c>
      <c r="O47">
        <f ca="1">IF(AND(ISNUMBER($O$207),$B$165=1),$O$207,HLOOKUP(INDIRECT(ADDRESS(2,COLUMN())),OFFSET($R$2,0,0,ROW()-1,12),ROW()-1,FALSE))</f>
        <v>7548</v>
      </c>
      <c r="P47">
        <f ca="1">IF(AND(ISNUMBER($P$207),$B$165=1),$P$207,HLOOKUP(INDIRECT(ADDRESS(2,COLUMN())),OFFSET($R$2,0,0,ROW()-1,12),ROW()-1,FALSE))</f>
        <v>7547</v>
      </c>
      <c r="Q47">
        <f ca="1">IF(AND(ISNUMBER($Q$207),$B$165=1),$Q$207,HLOOKUP(INDIRECT(ADDRESS(2,COLUMN())),OFFSET($R$2,0,0,ROW()-1,12),ROW()-1,FALSE))</f>
        <v>7648</v>
      </c>
      <c r="R47">
        <f>4394</f>
        <v>4394</v>
      </c>
      <c r="S47">
        <f>4514</f>
        <v>4514</v>
      </c>
      <c r="T47">
        <f>5114</f>
        <v>5114</v>
      </c>
      <c r="U47">
        <f>5303</f>
        <v>5303</v>
      </c>
      <c r="V47">
        <f>6663</f>
        <v>6663</v>
      </c>
      <c r="W47">
        <f>6680</f>
        <v>6680</v>
      </c>
      <c r="X47">
        <f>6730</f>
        <v>6730</v>
      </c>
      <c r="Y47">
        <f>7436</f>
        <v>7436</v>
      </c>
      <c r="Z47">
        <f>7511</f>
        <v>7511</v>
      </c>
      <c r="AA47">
        <f>7548</f>
        <v>7548</v>
      </c>
      <c r="AB47">
        <f>7547</f>
        <v>7547</v>
      </c>
      <c r="AC47">
        <f>7648</f>
        <v>7648</v>
      </c>
    </row>
    <row r="48" spans="1:29" x14ac:dyDescent="0.25">
      <c r="A48" t="str">
        <f>"    DXC Technology Co"</f>
        <v xml:space="preserve">    DXC Technology Co</v>
      </c>
      <c r="B48" t="str">
        <f>"DXC US Equity"</f>
        <v>DXC US Equity</v>
      </c>
      <c r="C48" t="str">
        <f t="shared" si="6"/>
        <v>BS035</v>
      </c>
      <c r="D48" t="str">
        <f t="shared" si="7"/>
        <v>BS_TOT_ASSET</v>
      </c>
      <c r="E48" t="str">
        <f t="shared" si="8"/>
        <v>Dynamic</v>
      </c>
      <c r="F48">
        <f ca="1">IF(AND(ISNUMBER($F$208),$B$165=1),$F$208,HLOOKUP(INDIRECT(ADDRESS(2,COLUMN())),OFFSET($R$2,0,0,ROW()-1,12),ROW()-1,FALSE))</f>
        <v>26006</v>
      </c>
      <c r="G48">
        <f ca="1">IF(AND(ISNUMBER($G$208),$B$165=1),$G$208,HLOOKUP(INDIRECT(ADDRESS(2,COLUMN())),OFFSET($R$2,0,0,ROW()-1,12),ROW()-1,FALSE))</f>
        <v>29599</v>
      </c>
      <c r="H48">
        <f ca="1">IF(AND(ISNUMBER($H$208),$B$165=1),$H$208,HLOOKUP(INDIRECT(ADDRESS(2,COLUMN())),OFFSET($R$2,0,0,ROW()-1,12),ROW()-1,FALSE))</f>
        <v>29516</v>
      </c>
      <c r="I48">
        <f ca="1">IF(AND(ISNUMBER($I$208),$B$165=1),$I$208,HLOOKUP(INDIRECT(ADDRESS(2,COLUMN())),OFFSET($R$2,0,0,ROW()-1,12),ROW()-1,FALSE))</f>
        <v>32577</v>
      </c>
      <c r="J48">
        <f ca="1">IF(AND(ISNUMBER($J$208),$B$165=1),$J$208,HLOOKUP(INDIRECT(ADDRESS(2,COLUMN())),OFFSET($R$2,0,0,ROW()-1,12),ROW()-1,FALSE))</f>
        <v>29574</v>
      </c>
      <c r="K48">
        <f ca="1">IF(AND(ISNUMBER($K$208),$B$165=1),$K$208,HLOOKUP(INDIRECT(ADDRESS(2,COLUMN())),OFFSET($R$2,0,0,ROW()-1,12),ROW()-1,FALSE))</f>
        <v>28871</v>
      </c>
      <c r="L48">
        <f ca="1">IF(AND(ISNUMBER($L$208),$B$165=1),$L$208,HLOOKUP(INDIRECT(ADDRESS(2,COLUMN())),OFFSET($R$2,0,0,ROW()-1,12),ROW()-1,FALSE))</f>
        <v>28882</v>
      </c>
      <c r="M48">
        <f ca="1">IF(AND(ISNUMBER($M$208),$B$165=1),$M$208,HLOOKUP(INDIRECT(ADDRESS(2,COLUMN())),OFFSET($R$2,0,0,ROW()-1,12),ROW()-1,FALSE))</f>
        <v>29126</v>
      </c>
      <c r="N48">
        <f ca="1">IF(AND(ISNUMBER($N$208),$B$165=1),$N$208,HLOOKUP(INDIRECT(ADDRESS(2,COLUMN())),OFFSET($R$2,0,0,ROW()-1,12),ROW()-1,FALSE))</f>
        <v>33921</v>
      </c>
      <c r="O48">
        <f ca="1">IF(AND(ISNUMBER($O$208),$B$165=1),$O$208,HLOOKUP(INDIRECT(ADDRESS(2,COLUMN())),OFFSET($R$2,0,0,ROW()-1,12),ROW()-1,FALSE))</f>
        <v>33582</v>
      </c>
      <c r="P48">
        <f ca="1">IF(AND(ISNUMBER($P$208),$B$165=1),$P$208,HLOOKUP(INDIRECT(ADDRESS(2,COLUMN())),OFFSET($R$2,0,0,ROW()-1,12),ROW()-1,FALSE))</f>
        <v>33176</v>
      </c>
      <c r="Q48">
        <f ca="1">IF(AND(ISNUMBER($Q$208),$B$165=1),$Q$208,HLOOKUP(INDIRECT(ADDRESS(2,COLUMN())),OFFSET($R$2,0,0,ROW()-1,12),ROW()-1,FALSE))</f>
        <v>31216</v>
      </c>
      <c r="R48">
        <f>26006</f>
        <v>26006</v>
      </c>
      <c r="S48">
        <f>29599</f>
        <v>29599</v>
      </c>
      <c r="T48">
        <f>29516</f>
        <v>29516</v>
      </c>
      <c r="U48">
        <f>32577</f>
        <v>32577</v>
      </c>
      <c r="V48">
        <f>29574</f>
        <v>29574</v>
      </c>
      <c r="W48">
        <f>28871</f>
        <v>28871</v>
      </c>
      <c r="X48">
        <f>28882</f>
        <v>28882</v>
      </c>
      <c r="Y48">
        <f>29126</f>
        <v>29126</v>
      </c>
      <c r="Z48">
        <f>33921</f>
        <v>33921</v>
      </c>
      <c r="AA48">
        <f>33582</f>
        <v>33582</v>
      </c>
      <c r="AB48">
        <f>33176</f>
        <v>33176</v>
      </c>
      <c r="AC48">
        <f>31216</f>
        <v>31216</v>
      </c>
    </row>
    <row r="49" spans="1:29" x14ac:dyDescent="0.25">
      <c r="A49" t="str">
        <f>"    EPAM Systems Inc"</f>
        <v xml:space="preserve">    EPAM Systems Inc</v>
      </c>
      <c r="B49" t="str">
        <f>"EPAM US Equity"</f>
        <v>EPAM US Equity</v>
      </c>
      <c r="C49" t="str">
        <f t="shared" si="6"/>
        <v>BS035</v>
      </c>
      <c r="D49" t="str">
        <f t="shared" si="7"/>
        <v>BS_TOT_ASSET</v>
      </c>
      <c r="E49" t="str">
        <f t="shared" si="8"/>
        <v>Dynamic</v>
      </c>
      <c r="F49">
        <f ca="1">IF(AND(ISNUMBER($F$209),$B$165=1),$F$209,HLOOKUP(INDIRECT(ADDRESS(2,COLUMN())),OFFSET($R$2,0,0,ROW()-1,12),ROW()-1,FALSE))</f>
        <v>2311.8809999999999</v>
      </c>
      <c r="G49">
        <f ca="1">IF(AND(ISNUMBER($G$209),$B$165=1),$G$209,HLOOKUP(INDIRECT(ADDRESS(2,COLUMN())),OFFSET($R$2,0,0,ROW()-1,12),ROW()-1,FALSE))</f>
        <v>2244.2080000000001</v>
      </c>
      <c r="H49">
        <f ca="1">IF(AND(ISNUMBER($H$209),$B$165=1),$H$209,HLOOKUP(INDIRECT(ADDRESS(2,COLUMN())),OFFSET($R$2,0,0,ROW()-1,12),ROW()-1,FALSE))</f>
        <v>2040.163</v>
      </c>
      <c r="I49">
        <f ca="1">IF(AND(ISNUMBER($I$209),$B$165=1),$I$209,HLOOKUP(INDIRECT(ADDRESS(2,COLUMN())),OFFSET($R$2,0,0,ROW()-1,12),ROW()-1,FALSE))</f>
        <v>1931.451</v>
      </c>
      <c r="J49">
        <f ca="1">IF(AND(ISNUMBER($J$209),$B$165=1),$J$209,HLOOKUP(INDIRECT(ADDRESS(2,COLUMN())),OFFSET($R$2,0,0,ROW()-1,12),ROW()-1,FALSE))</f>
        <v>1831.4349999999999</v>
      </c>
      <c r="K49">
        <f ca="1">IF(AND(ISNUMBER($K$209),$B$165=1),$K$209,HLOOKUP(INDIRECT(ADDRESS(2,COLUMN())),OFFSET($R$2,0,0,ROW()-1,12),ROW()-1,FALSE))</f>
        <v>1611.8019999999999</v>
      </c>
      <c r="L49">
        <f ca="1">IF(AND(ISNUMBER($L$209),$B$165=1),$L$209,HLOOKUP(INDIRECT(ADDRESS(2,COLUMN())),OFFSET($R$2,0,0,ROW()-1,12),ROW()-1,FALSE))</f>
        <v>1503.982</v>
      </c>
      <c r="M49">
        <f ca="1">IF(AND(ISNUMBER($M$209),$B$165=1),$M$209,HLOOKUP(INDIRECT(ADDRESS(2,COLUMN())),OFFSET($R$2,0,0,ROW()-1,12),ROW()-1,FALSE))</f>
        <v>1392.1949999999999</v>
      </c>
      <c r="N49">
        <f ca="1">IF(AND(ISNUMBER($N$209),$B$165=1),$N$209,HLOOKUP(INDIRECT(ADDRESS(2,COLUMN())),OFFSET($R$2,0,0,ROW()-1,12),ROW()-1,FALSE))</f>
        <v>1343.402</v>
      </c>
      <c r="O49">
        <f ca="1">IF(AND(ISNUMBER($O$209),$B$165=1),$O$209,HLOOKUP(INDIRECT(ADDRESS(2,COLUMN())),OFFSET($R$2,0,0,ROW()-1,12),ROW()-1,FALSE))</f>
        <v>1250.2560000000001</v>
      </c>
      <c r="P49">
        <f ca="1">IF(AND(ISNUMBER($P$209),$B$165=1),$P$209,HLOOKUP(INDIRECT(ADDRESS(2,COLUMN())),OFFSET($R$2,0,0,ROW()-1,12),ROW()-1,FALSE))</f>
        <v>1173.0060000000001</v>
      </c>
      <c r="Q49">
        <f ca="1">IF(AND(ISNUMBER($Q$209),$B$165=1),$Q$209,HLOOKUP(INDIRECT(ADDRESS(2,COLUMN())),OFFSET($R$2,0,0,ROW()-1,12),ROW()-1,FALSE))</f>
        <v>1079.383</v>
      </c>
      <c r="R49">
        <f>2311.881</f>
        <v>2311.8809999999999</v>
      </c>
      <c r="S49">
        <f>2244.208</f>
        <v>2244.2080000000001</v>
      </c>
      <c r="T49">
        <f>2040.163</f>
        <v>2040.163</v>
      </c>
      <c r="U49">
        <f>1931.451</f>
        <v>1931.451</v>
      </c>
      <c r="V49">
        <f>1831.435</f>
        <v>1831.4349999999999</v>
      </c>
      <c r="W49">
        <f>1611.802</f>
        <v>1611.8019999999999</v>
      </c>
      <c r="X49">
        <f>1503.982</f>
        <v>1503.982</v>
      </c>
      <c r="Y49">
        <f>1392.195</f>
        <v>1392.1949999999999</v>
      </c>
      <c r="Z49">
        <f>1343.402</f>
        <v>1343.402</v>
      </c>
      <c r="AA49">
        <f>1250.256</f>
        <v>1250.2560000000001</v>
      </c>
      <c r="AB49">
        <f>1173.006</f>
        <v>1173.0060000000001</v>
      </c>
      <c r="AC49">
        <f>1079.383</f>
        <v>1079.383</v>
      </c>
    </row>
    <row r="50" spans="1:29" x14ac:dyDescent="0.25">
      <c r="A50" t="str">
        <f>"    Genpact Ltd"</f>
        <v xml:space="preserve">    Genpact Ltd</v>
      </c>
      <c r="B50" t="str">
        <f>"G US Equity"</f>
        <v>G US Equity</v>
      </c>
      <c r="C50" t="str">
        <f t="shared" si="6"/>
        <v>BS035</v>
      </c>
      <c r="D50" t="str">
        <f t="shared" si="7"/>
        <v>BS_TOT_ASSET</v>
      </c>
      <c r="E50" t="str">
        <f t="shared" si="8"/>
        <v>Dynamic</v>
      </c>
      <c r="F50">
        <f ca="1">IF(AND(ISNUMBER($F$210),$B$165=1),$F$210,HLOOKUP(INDIRECT(ADDRESS(2,COLUMN())),OFFSET($R$2,0,0,ROW()-1,12),ROW()-1,FALSE))</f>
        <v>4402.78</v>
      </c>
      <c r="G50">
        <f ca="1">IF(AND(ISNUMBER($G$210),$B$165=1),$G$210,HLOOKUP(INDIRECT(ADDRESS(2,COLUMN())),OFFSET($R$2,0,0,ROW()-1,12),ROW()-1,FALSE))</f>
        <v>4454.1840000000002</v>
      </c>
      <c r="H50">
        <f ca="1">IF(AND(ISNUMBER($H$210),$B$165=1),$H$210,HLOOKUP(INDIRECT(ADDRESS(2,COLUMN())),OFFSET($R$2,0,0,ROW()-1,12),ROW()-1,FALSE))</f>
        <v>4097.7610000000004</v>
      </c>
      <c r="I50">
        <f ca="1">IF(AND(ISNUMBER($I$210),$B$165=1),$I$210,HLOOKUP(INDIRECT(ADDRESS(2,COLUMN())),OFFSET($R$2,0,0,ROW()-1,12),ROW()-1,FALSE))</f>
        <v>4012.7570000000001</v>
      </c>
      <c r="J50">
        <f ca="1">IF(AND(ISNUMBER($J$210),$B$165=1),$J$210,HLOOKUP(INDIRECT(ADDRESS(2,COLUMN())),OFFSET($R$2,0,0,ROW()-1,12),ROW()-1,FALSE))</f>
        <v>3904.8139999999999</v>
      </c>
      <c r="K50">
        <f ca="1">IF(AND(ISNUMBER($K$210),$B$165=1),$K$210,HLOOKUP(INDIRECT(ADDRESS(2,COLUMN())),OFFSET($R$2,0,0,ROW()-1,12),ROW()-1,FALSE))</f>
        <v>3529.4450000000002</v>
      </c>
      <c r="L50">
        <f ca="1">IF(AND(ISNUMBER($L$210),$B$165=1),$L$210,HLOOKUP(INDIRECT(ADDRESS(2,COLUMN())),OFFSET($R$2,0,0,ROW()-1,12),ROW()-1,FALSE))</f>
        <v>3456.6289999999999</v>
      </c>
      <c r="M50">
        <f ca="1">IF(AND(ISNUMBER($M$210),$B$165=1),$M$210,HLOOKUP(INDIRECT(ADDRESS(2,COLUMN())),OFFSET($R$2,0,0,ROW()-1,12),ROW()-1,FALSE))</f>
        <v>3266.078</v>
      </c>
      <c r="N50">
        <f ca="1">IF(AND(ISNUMBER($N$210),$B$165=1),$N$210,HLOOKUP(INDIRECT(ADDRESS(2,COLUMN())),OFFSET($R$2,0,0,ROW()-1,12),ROW()-1,FALSE))</f>
        <v>3397.127</v>
      </c>
      <c r="O50">
        <f ca="1">IF(AND(ISNUMBER($O$210),$B$165=1),$O$210,HLOOKUP(INDIRECT(ADDRESS(2,COLUMN())),OFFSET($R$2,0,0,ROW()-1,12),ROW()-1,FALSE))</f>
        <v>3449.6210000000001</v>
      </c>
      <c r="P50">
        <f ca="1">IF(AND(ISNUMBER($P$210),$B$165=1),$P$210,HLOOKUP(INDIRECT(ADDRESS(2,COLUMN())),OFFSET($R$2,0,0,ROW()-1,12),ROW()-1,FALSE))</f>
        <v>3349.8910000000001</v>
      </c>
      <c r="Q50">
        <f ca="1">IF(AND(ISNUMBER($Q$210),$B$165=1),$Q$210,HLOOKUP(INDIRECT(ADDRESS(2,COLUMN())),OFFSET($R$2,0,0,ROW()-1,12),ROW()-1,FALSE))</f>
        <v>3239.4340000000002</v>
      </c>
      <c r="R50">
        <f>4402.78</f>
        <v>4402.78</v>
      </c>
      <c r="S50">
        <f>4454.184</f>
        <v>4454.1840000000002</v>
      </c>
      <c r="T50">
        <f>4097.761</f>
        <v>4097.7610000000004</v>
      </c>
      <c r="U50">
        <f>4012.757</f>
        <v>4012.7570000000001</v>
      </c>
      <c r="V50">
        <f>3904.814</f>
        <v>3904.8139999999999</v>
      </c>
      <c r="W50">
        <f>3529.445</f>
        <v>3529.4450000000002</v>
      </c>
      <c r="X50">
        <f>3456.629</f>
        <v>3456.6289999999999</v>
      </c>
      <c r="Y50">
        <f>3266.078</f>
        <v>3266.078</v>
      </c>
      <c r="Z50">
        <f>3397.127</f>
        <v>3397.127</v>
      </c>
      <c r="AA50">
        <f>3449.621</f>
        <v>3449.6210000000001</v>
      </c>
      <c r="AB50">
        <f>3349.891</f>
        <v>3349.8910000000001</v>
      </c>
      <c r="AC50">
        <f>3239.434</f>
        <v>3239.4340000000002</v>
      </c>
    </row>
    <row r="51" spans="1:29" x14ac:dyDescent="0.25">
      <c r="A51" t="str">
        <f>"    HCL Technologies Ltd"</f>
        <v xml:space="preserve">    HCL Technologies Ltd</v>
      </c>
      <c r="B51" t="str">
        <f>"HCLT IN Equity"</f>
        <v>HCLT IN Equity</v>
      </c>
      <c r="C51" t="str">
        <f t="shared" si="6"/>
        <v>BS035</v>
      </c>
      <c r="D51" t="str">
        <f t="shared" si="7"/>
        <v>BS_TOT_ASSET</v>
      </c>
      <c r="E51" t="str">
        <f t="shared" si="8"/>
        <v>Dynamic</v>
      </c>
      <c r="F51">
        <f ca="1">IF(AND(ISNUMBER($F$211),$B$165=1),$F$211,HLOOKUP(INDIRECT(ADDRESS(2,COLUMN())),OFFSET($R$2,0,0,ROW()-1,12),ROW()-1,FALSE))</f>
        <v>10998.168</v>
      </c>
      <c r="G51">
        <f ca="1">IF(AND(ISNUMBER($G$211),$B$165=1),$G$211,HLOOKUP(INDIRECT(ADDRESS(2,COLUMN())),OFFSET($R$2,0,0,ROW()-1,12),ROW()-1,FALSE))</f>
        <v>10914.8</v>
      </c>
      <c r="H51">
        <f ca="1">IF(AND(ISNUMBER($H$211),$B$165=1),$H$211,HLOOKUP(INDIRECT(ADDRESS(2,COLUMN())),OFFSET($R$2,0,0,ROW()-1,12),ROW()-1,FALSE))</f>
        <v>10654.8</v>
      </c>
      <c r="I51">
        <f ca="1">IF(AND(ISNUMBER($I$211),$B$165=1),$I$211,HLOOKUP(INDIRECT(ADDRESS(2,COLUMN())),OFFSET($R$2,0,0,ROW()-1,12),ROW()-1,FALSE))</f>
        <v>8521.2000000000007</v>
      </c>
      <c r="J51">
        <f ca="1">IF(AND(ISNUMBER($J$211),$B$165=1),$J$211,HLOOKUP(INDIRECT(ADDRESS(2,COLUMN())),OFFSET($R$2,0,0,ROW()-1,12),ROW()-1,FALSE))</f>
        <v>8521.17</v>
      </c>
      <c r="K51">
        <f ca="1">IF(AND(ISNUMBER($K$211),$B$165=1),$K$211,HLOOKUP(INDIRECT(ADDRESS(2,COLUMN())),OFFSET($R$2,0,0,ROW()-1,12),ROW()-1,FALSE))</f>
        <v>7994</v>
      </c>
      <c r="L51">
        <f ca="1">IF(AND(ISNUMBER($L$211),$B$165=1),$L$211,HLOOKUP(INDIRECT(ADDRESS(2,COLUMN())),OFFSET($R$2,0,0,ROW()-1,12),ROW()-1,FALSE))</f>
        <v>8005</v>
      </c>
      <c r="M51">
        <f ca="1">IF(AND(ISNUMBER($M$211),$B$165=1),$M$211,HLOOKUP(INDIRECT(ADDRESS(2,COLUMN())),OFFSET($R$2,0,0,ROW()-1,12),ROW()-1,FALSE))</f>
        <v>7530</v>
      </c>
      <c r="N51">
        <f ca="1">IF(AND(ISNUMBER($N$211),$B$165=1),$N$211,HLOOKUP(INDIRECT(ADDRESS(2,COLUMN())),OFFSET($R$2,0,0,ROW()-1,12),ROW()-1,FALSE))</f>
        <v>7372.2750999999998</v>
      </c>
      <c r="O51">
        <f ca="1">IF(AND(ISNUMBER($O$211),$B$165=1),$O$211,HLOOKUP(INDIRECT(ADDRESS(2,COLUMN())),OFFSET($R$2,0,0,ROW()-1,12),ROW()-1,FALSE))</f>
        <v>7245.2</v>
      </c>
      <c r="P51">
        <f ca="1">IF(AND(ISNUMBER($P$211),$B$165=1),$P$211,HLOOKUP(INDIRECT(ADDRESS(2,COLUMN())),OFFSET($R$2,0,0,ROW()-1,12),ROW()-1,FALSE))</f>
        <v>6980.9</v>
      </c>
      <c r="Q51">
        <f ca="1">IF(AND(ISNUMBER($Q$211),$B$165=1),$Q$211,HLOOKUP(INDIRECT(ADDRESS(2,COLUMN())),OFFSET($R$2,0,0,ROW()-1,12),ROW()-1,FALSE))</f>
        <v>7395.6</v>
      </c>
      <c r="R51">
        <f>10998.168</f>
        <v>10998.168</v>
      </c>
      <c r="S51">
        <f>10914.8</f>
        <v>10914.8</v>
      </c>
      <c r="T51">
        <f>10654.8</f>
        <v>10654.8</v>
      </c>
      <c r="U51">
        <f>8521.2</f>
        <v>8521.2000000000007</v>
      </c>
      <c r="V51">
        <f>8521.17</f>
        <v>8521.17</v>
      </c>
      <c r="W51">
        <f>7994</f>
        <v>7994</v>
      </c>
      <c r="X51">
        <f>8005</f>
        <v>8005</v>
      </c>
      <c r="Y51">
        <f>7530</f>
        <v>7530</v>
      </c>
      <c r="Z51">
        <f>7372.2751</f>
        <v>7372.2750999999998</v>
      </c>
      <c r="AA51">
        <f>7245.2</f>
        <v>7245.2</v>
      </c>
      <c r="AB51">
        <f>6980.9</f>
        <v>6980.9</v>
      </c>
      <c r="AC51">
        <f>7395.6</f>
        <v>7395.6</v>
      </c>
    </row>
    <row r="52" spans="1:29" x14ac:dyDescent="0.25">
      <c r="A52" t="str">
        <f>"    Indra Sistemas SA"</f>
        <v xml:space="preserve">    Indra Sistemas SA</v>
      </c>
      <c r="B52" t="str">
        <f>"IDR SM Equity"</f>
        <v>IDR SM Equity</v>
      </c>
      <c r="C52" t="str">
        <f t="shared" si="6"/>
        <v>BS035</v>
      </c>
      <c r="D52" t="str">
        <f t="shared" si="7"/>
        <v>BS_TOT_ASSET</v>
      </c>
      <c r="E52" t="str">
        <f t="shared" si="8"/>
        <v>Dynamic</v>
      </c>
      <c r="F52">
        <f ca="1">IF(AND(ISNUMBER($F$212),$B$165=1),$F$212,HLOOKUP(INDIRECT(ADDRESS(2,COLUMN())),OFFSET($R$2,0,0,ROW()-1,12),ROW()-1,FALSE))</f>
        <v>4648.9612500000003</v>
      </c>
      <c r="G52">
        <f ca="1">IF(AND(ISNUMBER($G$212),$B$165=1),$G$212,HLOOKUP(INDIRECT(ADDRESS(2,COLUMN())),OFFSET($R$2,0,0,ROW()-1,12),ROW()-1,FALSE))</f>
        <v>4846.9641629999996</v>
      </c>
      <c r="H52">
        <f ca="1">IF(AND(ISNUMBER($H$212),$B$165=1),$H$212,HLOOKUP(INDIRECT(ADDRESS(2,COLUMN())),OFFSET($R$2,0,0,ROW()-1,12),ROW()-1,FALSE))</f>
        <v>4569.8834200000001</v>
      </c>
      <c r="I52">
        <f ca="1">IF(AND(ISNUMBER($I$212),$B$165=1),$I$212,HLOOKUP(INDIRECT(ADDRESS(2,COLUMN())),OFFSET($R$2,0,0,ROW()-1,12),ROW()-1,FALSE))</f>
        <v>4758.1499279999998</v>
      </c>
      <c r="J52">
        <f ca="1">IF(AND(ISNUMBER($J$212),$B$165=1),$J$212,HLOOKUP(INDIRECT(ADDRESS(2,COLUMN())),OFFSET($R$2,0,0,ROW()-1,12),ROW()-1,FALSE))</f>
        <v>4659.29583</v>
      </c>
      <c r="K52">
        <f ca="1">IF(AND(ISNUMBER($K$212),$B$165=1),$K$212,HLOOKUP(INDIRECT(ADDRESS(2,COLUMN())),OFFSET($R$2,0,0,ROW()-1,12),ROW()-1,FALSE))</f>
        <v>4628.0509519999996</v>
      </c>
      <c r="L52">
        <f ca="1">IF(AND(ISNUMBER($L$212),$B$165=1),$L$212,HLOOKUP(INDIRECT(ADDRESS(2,COLUMN())),OFFSET($R$2,0,0,ROW()-1,12),ROW()-1,FALSE))</f>
        <v>4639.0961600000001</v>
      </c>
      <c r="M52">
        <f ca="1">IF(AND(ISNUMBER($M$212),$B$165=1),$M$212,HLOOKUP(INDIRECT(ADDRESS(2,COLUMN())),OFFSET($R$2,0,0,ROW()-1,12),ROW()-1,FALSE))</f>
        <v>4742.6859469999999</v>
      </c>
      <c r="N52">
        <f ca="1">IF(AND(ISNUMBER($N$212),$B$165=1),$N$212,HLOOKUP(INDIRECT(ADDRESS(2,COLUMN())),OFFSET($R$2,0,0,ROW()-1,12),ROW()-1,FALSE))</f>
        <v>4675.2612900000004</v>
      </c>
      <c r="O52">
        <f ca="1">IF(AND(ISNUMBER($O$212),$B$165=1),$O$212,HLOOKUP(INDIRECT(ADDRESS(2,COLUMN())),OFFSET($R$2,0,0,ROW()-1,12),ROW()-1,FALSE))</f>
        <v>4648.4120940000003</v>
      </c>
      <c r="P52">
        <f ca="1">IF(AND(ISNUMBER($P$212),$B$165=1),$P$212,HLOOKUP(INDIRECT(ADDRESS(2,COLUMN())),OFFSET($R$2,0,0,ROW()-1,12),ROW()-1,FALSE))</f>
        <v>4428.4856</v>
      </c>
      <c r="Q52">
        <f ca="1">IF(AND(ISNUMBER($Q$212),$B$165=1),$Q$212,HLOOKUP(INDIRECT(ADDRESS(2,COLUMN())),OFFSET($R$2,0,0,ROW()-1,12),ROW()-1,FALSE))</f>
        <v>4209.3243990000001</v>
      </c>
      <c r="R52">
        <f>4648.96125</f>
        <v>4648.9612500000003</v>
      </c>
      <c r="S52">
        <f>4846.964163</f>
        <v>4846.9641629999996</v>
      </c>
      <c r="T52">
        <f>4569.88342</f>
        <v>4569.8834200000001</v>
      </c>
      <c r="U52">
        <f>4758.149928</f>
        <v>4758.1499279999998</v>
      </c>
      <c r="V52">
        <f>4659.29583</f>
        <v>4659.29583</v>
      </c>
      <c r="W52">
        <f>4628.050952</f>
        <v>4628.0509519999996</v>
      </c>
      <c r="X52">
        <f>4639.09616</f>
        <v>4639.0961600000001</v>
      </c>
      <c r="Y52">
        <f>4742.685947</f>
        <v>4742.6859469999999</v>
      </c>
      <c r="Z52">
        <f>4675.26129</f>
        <v>4675.2612900000004</v>
      </c>
      <c r="AA52">
        <f>4648.412094</f>
        <v>4648.4120940000003</v>
      </c>
      <c r="AB52">
        <f>4428.4856</f>
        <v>4428.4856</v>
      </c>
      <c r="AC52">
        <f>4209.324399</f>
        <v>4209.3243990000001</v>
      </c>
    </row>
    <row r="53" spans="1:29" x14ac:dyDescent="0.25">
      <c r="A53" t="str">
        <f>"    Infosys Ltd"</f>
        <v xml:space="preserve">    Infosys Ltd</v>
      </c>
      <c r="B53" t="str">
        <f>"INFY US Equity"</f>
        <v>INFY US Equity</v>
      </c>
      <c r="C53" t="str">
        <f t="shared" si="6"/>
        <v>BS035</v>
      </c>
      <c r="D53" t="str">
        <f t="shared" si="7"/>
        <v>BS_TOT_ASSET</v>
      </c>
      <c r="E53" t="str">
        <f t="shared" si="8"/>
        <v>Dynamic</v>
      </c>
      <c r="F53">
        <f ca="1">IF(AND(ISNUMBER($F$213),$B$165=1),$F$213,HLOOKUP(INDIRECT(ADDRESS(2,COLUMN())),OFFSET($R$2,0,0,ROW()-1,12),ROW()-1,FALSE))</f>
        <v>12307.74129</v>
      </c>
      <c r="G53">
        <f ca="1">IF(AND(ISNUMBER($G$213),$B$165=1),$G$213,HLOOKUP(INDIRECT(ADDRESS(2,COLUMN())),OFFSET($R$2,0,0,ROW()-1,12),ROW()-1,FALSE))</f>
        <v>12137.53694</v>
      </c>
      <c r="H53">
        <f ca="1">IF(AND(ISNUMBER($H$213),$B$165=1),$H$213,HLOOKUP(INDIRECT(ADDRESS(2,COLUMN())),OFFSET($R$2,0,0,ROW()-1,12),ROW()-1,FALSE))</f>
        <v>12057.84756</v>
      </c>
      <c r="I53">
        <f ca="1">IF(AND(ISNUMBER($I$213),$B$165=1),$I$213,HLOOKUP(INDIRECT(ADDRESS(2,COLUMN())),OFFSET($R$2,0,0,ROW()-1,12),ROW()-1,FALSE))</f>
        <v>12433.752280000001</v>
      </c>
      <c r="J53">
        <f ca="1">IF(AND(ISNUMBER($J$213),$B$165=1),$J$213,HLOOKUP(INDIRECT(ADDRESS(2,COLUMN())),OFFSET($R$2,0,0,ROW()-1,12),ROW()-1,FALSE))</f>
        <v>12223.59582</v>
      </c>
      <c r="K53">
        <f ca="1">IF(AND(ISNUMBER($K$213),$B$165=1),$K$213,HLOOKUP(INDIRECT(ADDRESS(2,COLUMN())),OFFSET($R$2,0,0,ROW()-1,12),ROW()-1,FALSE))</f>
        <v>11888.21926</v>
      </c>
      <c r="L53">
        <f ca="1">IF(AND(ISNUMBER($L$213),$B$165=1),$L$213,HLOOKUP(INDIRECT(ADDRESS(2,COLUMN())),OFFSET($R$2,0,0,ROW()-1,12),ROW()-1,FALSE))</f>
        <v>11278.5064</v>
      </c>
      <c r="M53">
        <f ca="1">IF(AND(ISNUMBER($M$213),$B$165=1),$M$213,HLOOKUP(INDIRECT(ADDRESS(2,COLUMN())),OFFSET($R$2,0,0,ROW()-1,12),ROW()-1,FALSE))</f>
        <v>11406.06061</v>
      </c>
      <c r="N53">
        <f ca="1">IF(AND(ISNUMBER($N$213),$B$165=1),$N$213,HLOOKUP(INDIRECT(ADDRESS(2,COLUMN())),OFFSET($R$2,0,0,ROW()-1,12),ROW()-1,FALSE))</f>
        <v>12264.3537</v>
      </c>
      <c r="O53">
        <f ca="1">IF(AND(ISNUMBER($O$213),$B$165=1),$O$213,HLOOKUP(INDIRECT(ADDRESS(2,COLUMN())),OFFSET($R$2,0,0,ROW()-1,12),ROW()-1,FALSE))</f>
        <v>11895.57019</v>
      </c>
      <c r="P53">
        <f ca="1">IF(AND(ISNUMBER($P$213),$B$165=1),$P$213,HLOOKUP(INDIRECT(ADDRESS(2,COLUMN())),OFFSET($R$2,0,0,ROW()-1,12),ROW()-1,FALSE))</f>
        <v>13539.097169999999</v>
      </c>
      <c r="Q53">
        <f ca="1">IF(AND(ISNUMBER($Q$213),$B$165=1),$Q$213,HLOOKUP(INDIRECT(ADDRESS(2,COLUMN())),OFFSET($R$2,0,0,ROW()-1,12),ROW()-1,FALSE))</f>
        <v>13173.186589999999</v>
      </c>
      <c r="R53">
        <f>12307.74129</f>
        <v>12307.74129</v>
      </c>
      <c r="S53">
        <f>12137.53694</f>
        <v>12137.53694</v>
      </c>
      <c r="T53">
        <f>12057.84756</f>
        <v>12057.84756</v>
      </c>
      <c r="U53">
        <f>12433.75228</f>
        <v>12433.752280000001</v>
      </c>
      <c r="V53">
        <f>12223.59582</f>
        <v>12223.59582</v>
      </c>
      <c r="W53">
        <f>11888.21926</f>
        <v>11888.21926</v>
      </c>
      <c r="X53">
        <f>11278.5064</f>
        <v>11278.5064</v>
      </c>
      <c r="Y53">
        <f>11406.06061</f>
        <v>11406.06061</v>
      </c>
      <c r="Z53">
        <f>12264.3537</f>
        <v>12264.3537</v>
      </c>
      <c r="AA53">
        <f>11895.57019</f>
        <v>11895.57019</v>
      </c>
      <c r="AB53">
        <f>13539.09717</f>
        <v>13539.097169999999</v>
      </c>
      <c r="AC53">
        <f>13173.18659</f>
        <v>13173.186589999999</v>
      </c>
    </row>
    <row r="54" spans="1:29" x14ac:dyDescent="0.25">
      <c r="A54" t="str">
        <f>"    International Business Machines Corp"</f>
        <v xml:space="preserve">    International Business Machines Corp</v>
      </c>
      <c r="B54" t="str">
        <f>"IBM US Equity"</f>
        <v>IBM US Equity</v>
      </c>
      <c r="C54" t="str">
        <f t="shared" si="6"/>
        <v>BS035</v>
      </c>
      <c r="D54" t="str">
        <f t="shared" si="7"/>
        <v>BS_TOT_ASSET</v>
      </c>
      <c r="E54" t="str">
        <f t="shared" si="8"/>
        <v>Dynamic</v>
      </c>
      <c r="F54">
        <f ca="1">IF(AND(ISNUMBER($F$214),$B$165=1),$F$214,HLOOKUP(INDIRECT(ADDRESS(2,COLUMN())),OFFSET($R$2,0,0,ROW()-1,12),ROW()-1,FALSE))</f>
        <v>153403</v>
      </c>
      <c r="G54">
        <f ca="1">IF(AND(ISNUMBER($G$214),$B$165=1),$G$214,HLOOKUP(INDIRECT(ADDRESS(2,COLUMN())),OFFSET($R$2,0,0,ROW()-1,12),ROW()-1,FALSE))</f>
        <v>152186</v>
      </c>
      <c r="H54">
        <f ca="1">IF(AND(ISNUMBER($H$214),$B$165=1),$H$214,HLOOKUP(INDIRECT(ADDRESS(2,COLUMN())),OFFSET($R$2,0,0,ROW()-1,12),ROW()-1,FALSE))</f>
        <v>149620</v>
      </c>
      <c r="I54">
        <f ca="1">IF(AND(ISNUMBER($I$214),$B$165=1),$I$214,HLOOKUP(INDIRECT(ADDRESS(2,COLUMN())),OFFSET($R$2,0,0,ROW()-1,12),ROW()-1,FALSE))</f>
        <v>154652</v>
      </c>
      <c r="J54">
        <f ca="1">IF(AND(ISNUMBER($J$214),$B$165=1),$J$214,HLOOKUP(INDIRECT(ADDRESS(2,COLUMN())),OFFSET($R$2,0,0,ROW()-1,12),ROW()-1,FALSE))</f>
        <v>130926</v>
      </c>
      <c r="K54">
        <f ca="1">IF(AND(ISNUMBER($K$214),$B$165=1),$K$214,HLOOKUP(INDIRECT(ADDRESS(2,COLUMN())),OFFSET($R$2,0,0,ROW()-1,12),ROW()-1,FALSE))</f>
        <v>123382</v>
      </c>
      <c r="L54">
        <f ca="1">IF(AND(ISNUMBER($L$214),$B$165=1),$L$214,HLOOKUP(INDIRECT(ADDRESS(2,COLUMN())),OFFSET($R$2,0,0,ROW()-1,12),ROW()-1,FALSE))</f>
        <v>121990</v>
      </c>
      <c r="M54">
        <f ca="1">IF(AND(ISNUMBER($M$214),$B$165=1),$M$214,HLOOKUP(INDIRECT(ADDRESS(2,COLUMN())),OFFSET($R$2,0,0,ROW()-1,12),ROW()-1,FALSE))</f>
        <v>121622</v>
      </c>
      <c r="N54">
        <f ca="1">IF(AND(ISNUMBER($N$214),$B$165=1),$N$214,HLOOKUP(INDIRECT(ADDRESS(2,COLUMN())),OFFSET($R$2,0,0,ROW()-1,12),ROW()-1,FALSE))</f>
        <v>125285</v>
      </c>
      <c r="O54">
        <f ca="1">IF(AND(ISNUMBER($O$214),$B$165=1),$O$214,HLOOKUP(INDIRECT(ADDRESS(2,COLUMN())),OFFSET($R$2,0,0,ROW()-1,12),ROW()-1,FALSE))</f>
        <v>125356</v>
      </c>
      <c r="P54">
        <f ca="1">IF(AND(ISNUMBER($P$214),$B$165=1),$P$214,HLOOKUP(INDIRECT(ADDRESS(2,COLUMN())),OFFSET($R$2,0,0,ROW()-1,12),ROW()-1,FALSE))</f>
        <v>121636</v>
      </c>
      <c r="Q54">
        <f ca="1">IF(AND(ISNUMBER($Q$214),$B$165=1),$Q$214,HLOOKUP(INDIRECT(ADDRESS(2,COLUMN())),OFFSET($R$2,0,0,ROW()-1,12),ROW()-1,FALSE))</f>
        <v>120495</v>
      </c>
      <c r="R54">
        <f>153403</f>
        <v>153403</v>
      </c>
      <c r="S54">
        <f>152186</f>
        <v>152186</v>
      </c>
      <c r="T54">
        <f>149620</f>
        <v>149620</v>
      </c>
      <c r="U54">
        <f>154652</f>
        <v>154652</v>
      </c>
      <c r="V54">
        <f>130926</f>
        <v>130926</v>
      </c>
      <c r="W54">
        <f>123382</f>
        <v>123382</v>
      </c>
      <c r="X54">
        <f>121990</f>
        <v>121990</v>
      </c>
      <c r="Y54">
        <f>121622</f>
        <v>121622</v>
      </c>
      <c r="Z54">
        <f>125285</f>
        <v>125285</v>
      </c>
      <c r="AA54">
        <f>125356</f>
        <v>125356</v>
      </c>
      <c r="AB54">
        <f>121636</f>
        <v>121636</v>
      </c>
      <c r="AC54">
        <f>120495</f>
        <v>120495</v>
      </c>
    </row>
    <row r="55" spans="1:29" x14ac:dyDescent="0.25">
      <c r="A55" t="str">
        <f>"    Tata Consultancy Services Ltd"</f>
        <v xml:space="preserve">    Tata Consultancy Services Ltd</v>
      </c>
      <c r="B55" t="str">
        <f>"TCS IN Equity"</f>
        <v>TCS IN Equity</v>
      </c>
      <c r="C55" t="str">
        <f t="shared" si="6"/>
        <v>BS035</v>
      </c>
      <c r="D55" t="str">
        <f t="shared" si="7"/>
        <v>BS_TOT_ASSET</v>
      </c>
      <c r="E55" t="str">
        <f t="shared" si="8"/>
        <v>Dynamic</v>
      </c>
      <c r="F55">
        <f ca="1">IF(AND(ISNUMBER($F$215),$B$165=1),$F$215,HLOOKUP(INDIRECT(ADDRESS(2,COLUMN())),OFFSET($R$2,0,0,ROW()-1,12),ROW()-1,FALSE))</f>
        <v>16320.414150000001</v>
      </c>
      <c r="G55">
        <f ca="1">IF(AND(ISNUMBER($G$215),$B$165=1),$G$215,HLOOKUP(INDIRECT(ADDRESS(2,COLUMN())),OFFSET($R$2,0,0,ROW()-1,12),ROW()-1,FALSE))</f>
        <v>16710.963220000001</v>
      </c>
      <c r="H55">
        <f ca="1">IF(AND(ISNUMBER($H$215),$B$165=1),$H$215,HLOOKUP(INDIRECT(ADDRESS(2,COLUMN())),OFFSET($R$2,0,0,ROW()-1,12),ROW()-1,FALSE))</f>
        <v>18316.788949999998</v>
      </c>
      <c r="I55">
        <f ca="1">IF(AND(ISNUMBER($I$215),$B$165=1),$I$215,HLOOKUP(INDIRECT(ADDRESS(2,COLUMN())),OFFSET($R$2,0,0,ROW()-1,12),ROW()-1,FALSE))</f>
        <v>18022.716820000001</v>
      </c>
      <c r="J55">
        <f ca="1">IF(AND(ISNUMBER($J$215),$B$165=1),$J$215,HLOOKUP(INDIRECT(ADDRESS(2,COLUMN())),OFFSET($R$2,0,0,ROW()-1,12),ROW()-1,FALSE))</f>
        <v>16885.0877</v>
      </c>
      <c r="K55">
        <f ca="1">IF(AND(ISNUMBER($K$215),$B$165=1),$K$215,HLOOKUP(INDIRECT(ADDRESS(2,COLUMN())),OFFSET($R$2,0,0,ROW()-1,12),ROW()-1,FALSE))</f>
        <v>15745.30062</v>
      </c>
      <c r="L55">
        <f ca="1">IF(AND(ISNUMBER($L$215),$B$165=1),$L$215,HLOOKUP(INDIRECT(ADDRESS(2,COLUMN())),OFFSET($R$2,0,0,ROW()-1,12),ROW()-1,FALSE))</f>
        <v>14345.515820000001</v>
      </c>
      <c r="M55">
        <f ca="1">IF(AND(ISNUMBER($M$215),$B$165=1),$M$215,HLOOKUP(INDIRECT(ADDRESS(2,COLUMN())),OFFSET($R$2,0,0,ROW()-1,12),ROW()-1,FALSE))</f>
        <v>16305.805039999999</v>
      </c>
      <c r="N55">
        <f ca="1">IF(AND(ISNUMBER($N$215),$B$165=1),$N$215,HLOOKUP(INDIRECT(ADDRESS(2,COLUMN())),OFFSET($R$2,0,0,ROW()-1,12),ROW()-1,FALSE))</f>
        <v>16642.462390000001</v>
      </c>
      <c r="O55">
        <f ca="1">IF(AND(ISNUMBER($O$215),$B$165=1),$O$215,HLOOKUP(INDIRECT(ADDRESS(2,COLUMN())),OFFSET($R$2,0,0,ROW()-1,12),ROW()-1,FALSE))</f>
        <v>15719.44277</v>
      </c>
      <c r="P55">
        <f ca="1">IF(AND(ISNUMBER($P$215),$B$165=1),$P$215,HLOOKUP(INDIRECT(ADDRESS(2,COLUMN())),OFFSET($R$2,0,0,ROW()-1,12),ROW()-1,FALSE))</f>
        <v>14700.688599999999</v>
      </c>
      <c r="Q55">
        <f ca="1">IF(AND(ISNUMBER($Q$215),$B$165=1),$Q$215,HLOOKUP(INDIRECT(ADDRESS(2,COLUMN())),OFFSET($R$2,0,0,ROW()-1,12),ROW()-1,FALSE))</f>
        <v>13917.53933</v>
      </c>
      <c r="R55">
        <f>16320.41415</f>
        <v>16320.414150000001</v>
      </c>
      <c r="S55">
        <f>16710.96322</f>
        <v>16710.963220000001</v>
      </c>
      <c r="T55">
        <f>18316.78895</f>
        <v>18316.788949999998</v>
      </c>
      <c r="U55">
        <f>18022.71682</f>
        <v>18022.716820000001</v>
      </c>
      <c r="V55">
        <f>16885.0877</f>
        <v>16885.0877</v>
      </c>
      <c r="W55">
        <f>15745.30062</f>
        <v>15745.30062</v>
      </c>
      <c r="X55">
        <f>14345.51582</f>
        <v>14345.515820000001</v>
      </c>
      <c r="Y55">
        <f>16305.80504</f>
        <v>16305.805039999999</v>
      </c>
      <c r="Z55">
        <f>16642.46239</f>
        <v>16642.462390000001</v>
      </c>
      <c r="AA55">
        <f>15719.44277</f>
        <v>15719.44277</v>
      </c>
      <c r="AB55">
        <f>14700.6886</f>
        <v>14700.688599999999</v>
      </c>
      <c r="AC55">
        <f>13917.53933</f>
        <v>13917.53933</v>
      </c>
    </row>
    <row r="56" spans="1:29" x14ac:dyDescent="0.25">
      <c r="A56" t="str">
        <f>"    Tech Mahindra Ltd"</f>
        <v xml:space="preserve">    Tech Mahindra Ltd</v>
      </c>
      <c r="B56" t="str">
        <f>"TECHM IN Equity"</f>
        <v>TECHM IN Equity</v>
      </c>
      <c r="C56" t="str">
        <f t="shared" si="6"/>
        <v>BS035</v>
      </c>
      <c r="D56" t="str">
        <f t="shared" si="7"/>
        <v>BS_TOT_ASSET</v>
      </c>
      <c r="E56" t="str">
        <f t="shared" si="8"/>
        <v>Dynamic</v>
      </c>
      <c r="F56">
        <f ca="1">IF(AND(ISNUMBER($F$216),$B$165=1),$F$216,HLOOKUP(INDIRECT(ADDRESS(2,COLUMN())),OFFSET($R$2,0,0,ROW()-1,12),ROW()-1,FALSE))</f>
        <v>4955.7750379999998</v>
      </c>
      <c r="G56">
        <f ca="1">IF(AND(ISNUMBER($G$216),$B$165=1),$G$216,HLOOKUP(INDIRECT(ADDRESS(2,COLUMN())),OFFSET($R$2,0,0,ROW()-1,12),ROW()-1,FALSE))</f>
        <v>5005.2299419999999</v>
      </c>
      <c r="H56">
        <f ca="1">IF(AND(ISNUMBER($H$216),$B$165=1),$H$216,HLOOKUP(INDIRECT(ADDRESS(2,COLUMN())),OFFSET($R$2,0,0,ROW()-1,12),ROW()-1,FALSE))</f>
        <v>4782.5765940000001</v>
      </c>
      <c r="I56">
        <f ca="1">IF(AND(ISNUMBER($I$216),$B$165=1),$I$216,HLOOKUP(INDIRECT(ADDRESS(2,COLUMN())),OFFSET($R$2,0,0,ROW()-1,12),ROW()-1,FALSE))</f>
        <v>4882.331862</v>
      </c>
      <c r="J56">
        <f ca="1">IF(AND(ISNUMBER($J$216),$B$165=1),$J$216,HLOOKUP(INDIRECT(ADDRESS(2,COLUMN())),OFFSET($R$2,0,0,ROW()-1,12),ROW()-1,FALSE))</f>
        <v>4824.7703149999998</v>
      </c>
      <c r="K56">
        <f ca="1">IF(AND(ISNUMBER($K$216),$B$165=1),$K$216,HLOOKUP(INDIRECT(ADDRESS(2,COLUMN())),OFFSET($R$2,0,0,ROW()-1,12),ROW()-1,FALSE))</f>
        <v>4680.427608</v>
      </c>
      <c r="L56">
        <f ca="1">IF(AND(ISNUMBER($L$216),$B$165=1),$L$216,HLOOKUP(INDIRECT(ADDRESS(2,COLUMN())),OFFSET($R$2,0,0,ROW()-1,12),ROW()-1,FALSE))</f>
        <v>4438.1146669999998</v>
      </c>
      <c r="M56">
        <f ca="1">IF(AND(ISNUMBER($M$216),$B$165=1),$M$216,HLOOKUP(INDIRECT(ADDRESS(2,COLUMN())),OFFSET($R$2,0,0,ROW()-1,12),ROW()-1,FALSE))</f>
        <v>4618.5469149999999</v>
      </c>
      <c r="N56">
        <f ca="1">IF(AND(ISNUMBER($N$216),$B$165=1),$N$216,HLOOKUP(INDIRECT(ADDRESS(2,COLUMN())),OFFSET($R$2,0,0,ROW()-1,12),ROW()-1,FALSE))</f>
        <v>4672.5821310000001</v>
      </c>
      <c r="O56">
        <f ca="1">IF(AND(ISNUMBER($O$216),$B$165=1),$O$216,HLOOKUP(INDIRECT(ADDRESS(2,COLUMN())),OFFSET($R$2,0,0,ROW()-1,12),ROW()-1,FALSE))</f>
        <v>4514.3027179999999</v>
      </c>
      <c r="P56">
        <f ca="1">IF(AND(ISNUMBER($P$216),$B$165=1),$P$216,HLOOKUP(INDIRECT(ADDRESS(2,COLUMN())),OFFSET($R$2,0,0,ROW()-1,12),ROW()-1,FALSE))</f>
        <v>4238.8278499999997</v>
      </c>
      <c r="Q56">
        <f ca="1">IF(AND(ISNUMBER($Q$216),$B$165=1),$Q$216,HLOOKUP(INDIRECT(ADDRESS(2,COLUMN())),OFFSET($R$2,0,0,ROW()-1,12),ROW()-1,FALSE))</f>
        <v>4350.022207</v>
      </c>
      <c r="R56">
        <f>4955.775038</f>
        <v>4955.7750379999998</v>
      </c>
      <c r="S56">
        <f>5005.229942</f>
        <v>5005.2299419999999</v>
      </c>
      <c r="T56">
        <f>4782.576594</f>
        <v>4782.5765940000001</v>
      </c>
      <c r="U56">
        <f>4882.331862</f>
        <v>4882.331862</v>
      </c>
      <c r="V56">
        <f>4824.770315</f>
        <v>4824.7703149999998</v>
      </c>
      <c r="W56">
        <f>4680.427608</f>
        <v>4680.427608</v>
      </c>
      <c r="X56">
        <f>4438.114667</f>
        <v>4438.1146669999998</v>
      </c>
      <c r="Y56">
        <f>4618.546915</f>
        <v>4618.5469149999999</v>
      </c>
      <c r="Z56">
        <f>4672.582131</f>
        <v>4672.5821310000001</v>
      </c>
      <c r="AA56">
        <f>4514.302718</f>
        <v>4514.3027179999999</v>
      </c>
      <c r="AB56">
        <f>4238.82785</f>
        <v>4238.8278499999997</v>
      </c>
      <c r="AC56">
        <f>4350.022207</f>
        <v>4350.022207</v>
      </c>
    </row>
    <row r="57" spans="1:29" x14ac:dyDescent="0.25">
      <c r="A57" t="str">
        <f>"    Wipro Ltd"</f>
        <v xml:space="preserve">    Wipro Ltd</v>
      </c>
      <c r="B57" t="str">
        <f>"WIT US Equity"</f>
        <v>WIT US Equity</v>
      </c>
      <c r="C57" t="str">
        <f t="shared" si="6"/>
        <v>BS035</v>
      </c>
      <c r="D57" t="str">
        <f t="shared" si="7"/>
        <v>BS_TOT_ASSET</v>
      </c>
      <c r="E57" t="str">
        <f t="shared" si="8"/>
        <v>Dynamic</v>
      </c>
      <c r="F57">
        <f ca="1">IF(AND(ISNUMBER($F$217),$B$165=1),$F$217,HLOOKUP(INDIRECT(ADDRESS(2,COLUMN())),OFFSET($R$2,0,0,ROW()-1,12),ROW()-1,FALSE))</f>
        <v>10840.14716</v>
      </c>
      <c r="G57">
        <f ca="1">IF(AND(ISNUMBER($G$217),$B$165=1),$G$217,HLOOKUP(INDIRECT(ADDRESS(2,COLUMN())),OFFSET($R$2,0,0,ROW()-1,12),ROW()-1,FALSE))</f>
        <v>11389.957109999999</v>
      </c>
      <c r="H57">
        <f ca="1">IF(AND(ISNUMBER($H$217),$B$165=1),$H$217,HLOOKUP(INDIRECT(ADDRESS(2,COLUMN())),OFFSET($R$2,0,0,ROW()-1,12),ROW()-1,FALSE))</f>
        <v>11073.17971</v>
      </c>
      <c r="I57">
        <f ca="1">IF(AND(ISNUMBER($I$217),$B$165=1),$I$217,HLOOKUP(INDIRECT(ADDRESS(2,COLUMN())),OFFSET($R$2,0,0,ROW()-1,12),ROW()-1,FALSE))</f>
        <v>12711.394249999999</v>
      </c>
      <c r="J57">
        <f ca="1">IF(AND(ISNUMBER($J$217),$B$165=1),$J$217,HLOOKUP(INDIRECT(ADDRESS(2,COLUMN())),OFFSET($R$2,0,0,ROW()-1,12),ROW()-1,FALSE))</f>
        <v>12018.62866</v>
      </c>
      <c r="K57">
        <f ca="1">IF(AND(ISNUMBER($K$217),$B$165=1),$K$217,HLOOKUP(INDIRECT(ADDRESS(2,COLUMN())),OFFSET($R$2,0,0,ROW()-1,12),ROW()-1,FALSE))</f>
        <v>11603.989089999999</v>
      </c>
      <c r="L57">
        <f ca="1">IF(AND(ISNUMBER($L$217),$B$165=1),$L$217,HLOOKUP(INDIRECT(ADDRESS(2,COLUMN())),OFFSET($R$2,0,0,ROW()-1,12),ROW()-1,FALSE))</f>
        <v>11053.335999999999</v>
      </c>
      <c r="M57">
        <f ca="1">IF(AND(ISNUMBER($M$217),$B$165=1),$M$217,HLOOKUP(INDIRECT(ADDRESS(2,COLUMN())),OFFSET($R$2,0,0,ROW()-1,12),ROW()-1,FALSE))</f>
        <v>11146.184740000001</v>
      </c>
      <c r="N57">
        <f ca="1">IF(AND(ISNUMBER($N$217),$B$165=1),$N$217,HLOOKUP(INDIRECT(ADDRESS(2,COLUMN())),OFFSET($R$2,0,0,ROW()-1,12),ROW()-1,FALSE))</f>
        <v>11677.00338</v>
      </c>
      <c r="O57">
        <f ca="1">IF(AND(ISNUMBER($O$217),$B$165=1),$O$217,HLOOKUP(INDIRECT(ADDRESS(2,COLUMN())),OFFSET($R$2,0,0,ROW()-1,12),ROW()-1,FALSE))</f>
        <v>11612.757729999999</v>
      </c>
      <c r="P57">
        <f ca="1">IF(AND(ISNUMBER($P$217),$B$165=1),$P$217,HLOOKUP(INDIRECT(ADDRESS(2,COLUMN())),OFFSET($R$2,0,0,ROW()-1,12),ROW()-1,FALSE))</f>
        <v>12903.28998</v>
      </c>
      <c r="Q57">
        <f ca="1">IF(AND(ISNUMBER($Q$217),$B$165=1),$Q$217,HLOOKUP(INDIRECT(ADDRESS(2,COLUMN())),OFFSET($R$2,0,0,ROW()-1,12),ROW()-1,FALSE))</f>
        <v>12853.548210000001</v>
      </c>
      <c r="R57">
        <f>10840.14716</f>
        <v>10840.14716</v>
      </c>
      <c r="S57">
        <f>11389.95711</f>
        <v>11389.957109999999</v>
      </c>
      <c r="T57">
        <f>11073.17971</f>
        <v>11073.17971</v>
      </c>
      <c r="U57">
        <f>12711.39425</f>
        <v>12711.394249999999</v>
      </c>
      <c r="V57">
        <f>12018.62866</f>
        <v>12018.62866</v>
      </c>
      <c r="W57">
        <f>11603.98909</f>
        <v>11603.989089999999</v>
      </c>
      <c r="X57">
        <f>11053.336</f>
        <v>11053.335999999999</v>
      </c>
      <c r="Y57">
        <f>11146.18474</f>
        <v>11146.184740000001</v>
      </c>
      <c r="Z57">
        <f>11677.00338</f>
        <v>11677.00338</v>
      </c>
      <c r="AA57">
        <f>11612.75773</f>
        <v>11612.757729999999</v>
      </c>
      <c r="AB57">
        <f>12903.28998</f>
        <v>12903.28998</v>
      </c>
      <c r="AC57">
        <f>12853.54821</f>
        <v>12853.548210000001</v>
      </c>
    </row>
    <row r="58" spans="1:29" x14ac:dyDescent="0.25">
      <c r="A58" t="str">
        <f>"Liabilities &amp; Equity ($M):"</f>
        <v>Liabilities &amp; Equity ($M):</v>
      </c>
      <c r="B58" t="str">
        <f>""</f>
        <v/>
      </c>
      <c r="E58" t="str">
        <f>"Heading"</f>
        <v>Heading</v>
      </c>
      <c r="R58" t="str">
        <f>""</f>
        <v/>
      </c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t="str">
        <f>""</f>
        <v/>
      </c>
      <c r="AC58" t="str">
        <f>""</f>
        <v/>
      </c>
    </row>
    <row r="59" spans="1:29" x14ac:dyDescent="0.25">
      <c r="A59" t="str">
        <f>"Accounts Payable"</f>
        <v>Accounts Payable</v>
      </c>
      <c r="B59" t="str">
        <f>""</f>
        <v/>
      </c>
      <c r="E59" t="str">
        <f>"Sum"</f>
        <v>Sum</v>
      </c>
      <c r="F59">
        <f ca="1">IF(ISERROR(IF(SUM($F$60:$F$76) = 0, "", SUM($F$60:$F$76))), "", (IF(SUM($F$60:$F$76) = 0, "", SUM($F$60:$F$76))))</f>
        <v>10747.9861403</v>
      </c>
      <c r="G59">
        <f ca="1">IF(ISERROR(IF(SUM($G$60:$G$76) = 0, "", SUM($G$60:$G$76))), "", (IF(SUM($G$60:$G$76) = 0, "", SUM($G$60:$G$76))))</f>
        <v>12068.201980299998</v>
      </c>
      <c r="H59">
        <f ca="1">IF(ISERROR(IF(SUM($H$60:$H$76) = 0, "", SUM($H$60:$H$76))), "", (IF(SUM($H$60:$H$76) = 0, "", SUM($H$60:$H$76))))</f>
        <v>9520.3575684999996</v>
      </c>
      <c r="I59">
        <f ca="1">IF(ISERROR(IF(SUM($I$60:$I$76) = 0, "", SUM($I$60:$I$76))), "", (IF(SUM($I$60:$I$76) = 0, "", SUM($I$60:$I$76))))</f>
        <v>11491.101621400001</v>
      </c>
      <c r="J59">
        <f ca="1">IF(ISERROR(IF(SUM($J$60:$J$76) = 0, "", SUM($J$60:$J$76))), "", (IF(SUM($J$60:$J$76) = 0, "", SUM($J$60:$J$76))))</f>
        <v>11632.529098499999</v>
      </c>
      <c r="K59">
        <f ca="1">IF(ISERROR(IF(SUM($K$60:$K$76) = 0, "", SUM($K$60:$K$76))), "", (IF(SUM($K$60:$K$76) = 0, "", SUM($K$60:$K$76))))</f>
        <v>12093.725853099999</v>
      </c>
      <c r="L59">
        <f ca="1">IF(ISERROR(IF(SUM($L$60:$L$76) = 0, "", SUM($L$60:$L$76))), "", (IF(SUM($L$60:$L$76) = 0, "", SUM($L$60:$L$76))))</f>
        <v>11589.181942900001</v>
      </c>
      <c r="M59">
        <f ca="1">IF(ISERROR(IF(SUM($M$60:$M$76) = 0, "", SUM($M$60:$M$76))), "", (IF(SUM($M$60:$M$76) = 0, "", SUM($M$60:$M$76))))</f>
        <v>10791.6361994</v>
      </c>
      <c r="N59">
        <f ca="1">IF(ISERROR(IF(SUM($N$60:$N$76) = 0, "", SUM($N$60:$N$76))), "", (IF(SUM($N$60:$N$76) = 0, "", SUM($N$60:$N$76))))</f>
        <v>11942.373299399998</v>
      </c>
      <c r="O59">
        <f ca="1">IF(ISERROR(IF(SUM($O$60:$O$76) = 0, "", SUM($O$60:$O$76))), "", (IF(SUM($O$60:$O$76) = 0, "", SUM($O$60:$O$76))))</f>
        <v>11710.565123090002</v>
      </c>
      <c r="P59">
        <f ca="1">IF(ISERROR(IF(SUM($P$60:$P$76) = 0, "", SUM($P$60:$P$76))), "", (IF(SUM($P$60:$P$76) = 0, "", SUM($P$60:$P$76))))</f>
        <v>12011.562314460001</v>
      </c>
      <c r="Q59">
        <f ca="1">IF(ISERROR(IF(SUM($Q$60:$Q$76) = 0, "", SUM($Q$60:$Q$76))), "", (IF(SUM($Q$60:$Q$76) = 0, "", SUM($Q$60:$Q$76))))</f>
        <v>9896.5062641600016</v>
      </c>
      <c r="R59">
        <f>10747.98614</f>
        <v>10747.986140000001</v>
      </c>
      <c r="S59">
        <f>12068.20198</f>
        <v>12068.20198</v>
      </c>
      <c r="T59">
        <f>9520.357569</f>
        <v>9520.3575689999998</v>
      </c>
      <c r="U59">
        <f>11491.10162</f>
        <v>11491.101619999999</v>
      </c>
      <c r="V59">
        <f>11632.5291</f>
        <v>11632.5291</v>
      </c>
      <c r="W59">
        <f>12093.72585</f>
        <v>12093.725850000001</v>
      </c>
      <c r="X59">
        <f>11589.18194</f>
        <v>11589.18194</v>
      </c>
      <c r="Y59">
        <f>10791.6362</f>
        <v>10791.636200000001</v>
      </c>
      <c r="Z59">
        <f>11942.3733</f>
        <v>11942.373299999999</v>
      </c>
      <c r="AA59">
        <f>11710.56512</f>
        <v>11710.565119999999</v>
      </c>
      <c r="AB59">
        <f>12011.56231</f>
        <v>12011.562309999999</v>
      </c>
      <c r="AC59">
        <f>9896.506264</f>
        <v>9896.5062639999996</v>
      </c>
    </row>
    <row r="60" spans="1:29" x14ac:dyDescent="0.25">
      <c r="A60" t="str">
        <f>"    Accenture PLC"</f>
        <v xml:space="preserve">    Accenture PLC</v>
      </c>
      <c r="B60" t="str">
        <f>"ACN US Equity"</f>
        <v>ACN US Equity</v>
      </c>
      <c r="C60" t="str">
        <f t="shared" ref="C60:C76" si="9">"BS036"</f>
        <v>BS036</v>
      </c>
      <c r="D60" t="str">
        <f t="shared" ref="D60:D76" si="10">"BS_ACCT_PAYABLE"</f>
        <v>BS_ACCT_PAYABLE</v>
      </c>
      <c r="E60" t="str">
        <f t="shared" ref="E60:E76" si="11">"Dynamic"</f>
        <v>Dynamic</v>
      </c>
      <c r="F60">
        <f ca="1">IF(AND(ISNUMBER($F$218),$B$165=1),$F$218,HLOOKUP(INDIRECT(ADDRESS(2,COLUMN())),OFFSET($R$2,0,0,ROW()-1,12),ROW()-1,FALSE))</f>
        <v>1526.135</v>
      </c>
      <c r="G60">
        <f ca="1">IF(AND(ISNUMBER($G$218),$B$165=1),$G$218,HLOOKUP(INDIRECT(ADDRESS(2,COLUMN())),OFFSET($R$2,0,0,ROW()-1,12),ROW()-1,FALSE))</f>
        <v>1581.1120000000001</v>
      </c>
      <c r="H60">
        <f ca="1">IF(AND(ISNUMBER($H$218),$B$165=1),$H$218,HLOOKUP(INDIRECT(ADDRESS(2,COLUMN())),OFFSET($R$2,0,0,ROW()-1,12),ROW()-1,FALSE))</f>
        <v>1646.6410000000001</v>
      </c>
      <c r="I60">
        <f ca="1">IF(AND(ISNUMBER($I$218),$B$165=1),$I$218,HLOOKUP(INDIRECT(ADDRESS(2,COLUMN())),OFFSET($R$2,0,0,ROW()-1,12),ROW()-1,FALSE))</f>
        <v>1562.9949999999999</v>
      </c>
      <c r="J60">
        <f ca="1">IF(AND(ISNUMBER($J$218),$B$165=1),$J$218,HLOOKUP(INDIRECT(ADDRESS(2,COLUMN())),OFFSET($R$2,0,0,ROW()-1,12),ROW()-1,FALSE))</f>
        <v>1472.13</v>
      </c>
      <c r="K60">
        <f ca="1">IF(AND(ISNUMBER($K$218),$B$165=1),$K$218,HLOOKUP(INDIRECT(ADDRESS(2,COLUMN())),OFFSET($R$2,0,0,ROW()-1,12),ROW()-1,FALSE))</f>
        <v>1355.538</v>
      </c>
      <c r="L60">
        <f ca="1">IF(AND(ISNUMBER($L$218),$B$165=1),$L$218,HLOOKUP(INDIRECT(ADDRESS(2,COLUMN())),OFFSET($R$2,0,0,ROW()-1,12),ROW()-1,FALSE))</f>
        <v>1348.8019999999999</v>
      </c>
      <c r="M60">
        <f ca="1">IF(AND(ISNUMBER($M$218),$B$165=1),$M$218,HLOOKUP(INDIRECT(ADDRESS(2,COLUMN())),OFFSET($R$2,0,0,ROW()-1,12),ROW()-1,FALSE))</f>
        <v>1388.989</v>
      </c>
      <c r="N60">
        <f ca="1">IF(AND(ISNUMBER($N$218),$B$165=1),$N$218,HLOOKUP(INDIRECT(ADDRESS(2,COLUMN())),OFFSET($R$2,0,0,ROW()-1,12),ROW()-1,FALSE))</f>
        <v>1367.4639999999999</v>
      </c>
      <c r="O60">
        <f ca="1">IF(AND(ISNUMBER($O$218),$B$165=1),$O$218,HLOOKUP(INDIRECT(ADDRESS(2,COLUMN())),OFFSET($R$2,0,0,ROW()-1,12),ROW()-1,FALSE))</f>
        <v>1316.93</v>
      </c>
      <c r="P60">
        <f ca="1">IF(AND(ISNUMBER($P$218),$B$165=1),$P$218,HLOOKUP(INDIRECT(ADDRESS(2,COLUMN())),OFFSET($R$2,0,0,ROW()-1,12),ROW()-1,FALSE))</f>
        <v>1525.0650000000001</v>
      </c>
      <c r="Q60">
        <f ca="1">IF(AND(ISNUMBER($Q$218),$B$165=1),$Q$218,HLOOKUP(INDIRECT(ADDRESS(2,COLUMN())),OFFSET($R$2,0,0,ROW()-1,12),ROW()-1,FALSE))</f>
        <v>1291.1379999999999</v>
      </c>
      <c r="R60">
        <f>1526.135</f>
        <v>1526.135</v>
      </c>
      <c r="S60">
        <f>1581.112</f>
        <v>1581.1120000000001</v>
      </c>
      <c r="T60">
        <f>1646.641</f>
        <v>1646.6410000000001</v>
      </c>
      <c r="U60">
        <f>1562.995</f>
        <v>1562.9949999999999</v>
      </c>
      <c r="V60">
        <f>1472.13</f>
        <v>1472.13</v>
      </c>
      <c r="W60">
        <f>1355.538</f>
        <v>1355.538</v>
      </c>
      <c r="X60">
        <f>1348.802</f>
        <v>1348.8019999999999</v>
      </c>
      <c r="Y60">
        <f>1388.989</f>
        <v>1388.989</v>
      </c>
      <c r="Z60">
        <f>1367.464</f>
        <v>1367.4639999999999</v>
      </c>
      <c r="AA60">
        <f>1316.93</f>
        <v>1316.93</v>
      </c>
      <c r="AB60">
        <f>1525.065</f>
        <v>1525.0650000000001</v>
      </c>
      <c r="AC60">
        <f>1291.138</f>
        <v>1291.1379999999999</v>
      </c>
    </row>
    <row r="61" spans="1:29" x14ac:dyDescent="0.25">
      <c r="A61" t="str">
        <f>"    Amdocs Ltd"</f>
        <v xml:space="preserve">    Amdocs Ltd</v>
      </c>
      <c r="B61" t="str">
        <f>"DOX US Equity"</f>
        <v>DOX US Equity</v>
      </c>
      <c r="C61" t="str">
        <f t="shared" si="9"/>
        <v>BS036</v>
      </c>
      <c r="D61" t="str">
        <f t="shared" si="10"/>
        <v>BS_ACCT_PAYABLE</v>
      </c>
      <c r="E61" t="str">
        <f t="shared" si="11"/>
        <v>Dynamic</v>
      </c>
      <c r="F61" t="str">
        <f ca="1">IF(AND(ISNUMBER($F$219),$B$165=1),$F$219,HLOOKUP(INDIRECT(ADDRESS(2,COLUMN())),OFFSET($R$2,0,0,ROW()-1,12),ROW()-1,FALSE))</f>
        <v/>
      </c>
      <c r="G61" t="str">
        <f ca="1">IF(AND(ISNUMBER($G$219),$B$165=1),$G$219,HLOOKUP(INDIRECT(ADDRESS(2,COLUMN())),OFFSET($R$2,0,0,ROW()-1,12),ROW()-1,FALSE))</f>
        <v/>
      </c>
      <c r="H61">
        <f ca="1">IF(AND(ISNUMBER($H$219),$B$165=1),$H$219,HLOOKUP(INDIRECT(ADDRESS(2,COLUMN())),OFFSET($R$2,0,0,ROW()-1,12),ROW()-1,FALSE))</f>
        <v>176.50800000000001</v>
      </c>
      <c r="I61">
        <f ca="1">IF(AND(ISNUMBER($I$219),$B$165=1),$I$219,HLOOKUP(INDIRECT(ADDRESS(2,COLUMN())),OFFSET($R$2,0,0,ROW()-1,12),ROW()-1,FALSE))</f>
        <v>172.09299999999999</v>
      </c>
      <c r="J61" t="str">
        <f ca="1">IF(AND(ISNUMBER($J$219),$B$165=1),$J$219,HLOOKUP(INDIRECT(ADDRESS(2,COLUMN())),OFFSET($R$2,0,0,ROW()-1,12),ROW()-1,FALSE))</f>
        <v/>
      </c>
      <c r="K61">
        <f ca="1">IF(AND(ISNUMBER($K$219),$B$165=1),$K$219,HLOOKUP(INDIRECT(ADDRESS(2,COLUMN())),OFFSET($R$2,0,0,ROW()-1,12),ROW()-1,FALSE))</f>
        <v>168.44</v>
      </c>
      <c r="L61">
        <f ca="1">IF(AND(ISNUMBER($L$219),$B$165=1),$L$219,HLOOKUP(INDIRECT(ADDRESS(2,COLUMN())),OFFSET($R$2,0,0,ROW()-1,12),ROW()-1,FALSE))</f>
        <v>194.738</v>
      </c>
      <c r="M61">
        <f ca="1">IF(AND(ISNUMBER($M$219),$B$165=1),$M$219,HLOOKUP(INDIRECT(ADDRESS(2,COLUMN())),OFFSET($R$2,0,0,ROW()-1,12),ROW()-1,FALSE))</f>
        <v>252.596</v>
      </c>
      <c r="N61">
        <f ca="1">IF(AND(ISNUMBER($N$219),$B$165=1),$N$219,HLOOKUP(INDIRECT(ADDRESS(2,COLUMN())),OFFSET($R$2,0,0,ROW()-1,12),ROW()-1,FALSE))</f>
        <v>1141.799</v>
      </c>
      <c r="O61" t="str">
        <f ca="1">IF(AND(ISNUMBER($O$219),$B$165=1),$O$219,HLOOKUP(INDIRECT(ADDRESS(2,COLUMN())),OFFSET($R$2,0,0,ROW()-1,12),ROW()-1,FALSE))</f>
        <v/>
      </c>
      <c r="P61">
        <f ca="1">IF(AND(ISNUMBER($P$219),$B$165=1),$P$219,HLOOKUP(INDIRECT(ADDRESS(2,COLUMN())),OFFSET($R$2,0,0,ROW()-1,12),ROW()-1,FALSE))</f>
        <v>126.414</v>
      </c>
      <c r="Q61">
        <f ca="1">IF(AND(ISNUMBER($Q$219),$B$165=1),$Q$219,HLOOKUP(INDIRECT(ADDRESS(2,COLUMN())),OFFSET($R$2,0,0,ROW()-1,12),ROW()-1,FALSE))</f>
        <v>176.39</v>
      </c>
      <c r="R61" t="str">
        <f>""</f>
        <v/>
      </c>
      <c r="S61" t="str">
        <f>""</f>
        <v/>
      </c>
      <c r="T61">
        <f>176.508</f>
        <v>176.50800000000001</v>
      </c>
      <c r="U61">
        <f>172.093</f>
        <v>172.09299999999999</v>
      </c>
      <c r="V61" t="str">
        <f>""</f>
        <v/>
      </c>
      <c r="W61">
        <f>168.44</f>
        <v>168.44</v>
      </c>
      <c r="X61">
        <f>194.738</f>
        <v>194.738</v>
      </c>
      <c r="Y61">
        <f>252.596</f>
        <v>252.596</v>
      </c>
      <c r="Z61">
        <f>1141.799</f>
        <v>1141.799</v>
      </c>
      <c r="AA61" t="str">
        <f>""</f>
        <v/>
      </c>
      <c r="AB61">
        <f>126.414</f>
        <v>126.414</v>
      </c>
      <c r="AC61">
        <f>176.39</f>
        <v>176.39</v>
      </c>
    </row>
    <row r="62" spans="1:29" x14ac:dyDescent="0.25">
      <c r="A62" t="str">
        <f>"    Atos SE"</f>
        <v xml:space="preserve">    Atos SE</v>
      </c>
      <c r="B62" t="str">
        <f>"ATO FP Equity"</f>
        <v>ATO FP Equity</v>
      </c>
      <c r="C62" t="str">
        <f t="shared" si="9"/>
        <v>BS036</v>
      </c>
      <c r="D62" t="str">
        <f t="shared" si="10"/>
        <v>BS_ACCT_PAYABLE</v>
      </c>
      <c r="E62" t="str">
        <f t="shared" si="11"/>
        <v>Dynamic</v>
      </c>
      <c r="F62" t="str">
        <f ca="1">IF(AND(ISNUMBER($F$220),$B$165=1),$F$220,HLOOKUP(INDIRECT(ADDRESS(2,COLUMN())),OFFSET($R$2,0,0,ROW()-1,12),ROW()-1,FALSE))</f>
        <v/>
      </c>
      <c r="G62" t="str">
        <f ca="1">IF(AND(ISNUMBER($G$220),$B$165=1),$G$220,HLOOKUP(INDIRECT(ADDRESS(2,COLUMN())),OFFSET($R$2,0,0,ROW()-1,12),ROW()-1,FALSE))</f>
        <v/>
      </c>
      <c r="H62" t="str">
        <f ca="1">IF(AND(ISNUMBER($H$220),$B$165=1),$H$220,HLOOKUP(INDIRECT(ADDRESS(2,COLUMN())),OFFSET($R$2,0,0,ROW()-1,12),ROW()-1,FALSE))</f>
        <v/>
      </c>
      <c r="I62" t="str">
        <f ca="1">IF(AND(ISNUMBER($I$220),$B$165=1),$I$220,HLOOKUP(INDIRECT(ADDRESS(2,COLUMN())),OFFSET($R$2,0,0,ROW()-1,12),ROW()-1,FALSE))</f>
        <v/>
      </c>
      <c r="J62" t="str">
        <f ca="1">IF(AND(ISNUMBER($J$220),$B$165=1),$J$220,HLOOKUP(INDIRECT(ADDRESS(2,COLUMN())),OFFSET($R$2,0,0,ROW()-1,12),ROW()-1,FALSE))</f>
        <v/>
      </c>
      <c r="K62" t="str">
        <f ca="1">IF(AND(ISNUMBER($K$220),$B$165=1),$K$220,HLOOKUP(INDIRECT(ADDRESS(2,COLUMN())),OFFSET($R$2,0,0,ROW()-1,12),ROW()-1,FALSE))</f>
        <v/>
      </c>
      <c r="L62" t="str">
        <f ca="1">IF(AND(ISNUMBER($L$220),$B$165=1),$L$220,HLOOKUP(INDIRECT(ADDRESS(2,COLUMN())),OFFSET($R$2,0,0,ROW()-1,12),ROW()-1,FALSE))</f>
        <v/>
      </c>
      <c r="M62" t="str">
        <f ca="1">IF(AND(ISNUMBER($M$220),$B$165=1),$M$220,HLOOKUP(INDIRECT(ADDRESS(2,COLUMN())),OFFSET($R$2,0,0,ROW()-1,12),ROW()-1,FALSE))</f>
        <v/>
      </c>
      <c r="N62" t="str">
        <f ca="1">IF(AND(ISNUMBER($N$220),$B$165=1),$N$220,HLOOKUP(INDIRECT(ADDRESS(2,COLUMN())),OFFSET($R$2,0,0,ROW()-1,12),ROW()-1,FALSE))</f>
        <v/>
      </c>
      <c r="O62" t="str">
        <f ca="1">IF(AND(ISNUMBER($O$220),$B$165=1),$O$220,HLOOKUP(INDIRECT(ADDRESS(2,COLUMN())),OFFSET($R$2,0,0,ROW()-1,12),ROW()-1,FALSE))</f>
        <v/>
      </c>
      <c r="P62" t="str">
        <f ca="1">IF(AND(ISNUMBER($P$220),$B$165=1),$P$220,HLOOKUP(INDIRECT(ADDRESS(2,COLUMN())),OFFSET($R$2,0,0,ROW()-1,12),ROW()-1,FALSE))</f>
        <v/>
      </c>
      <c r="Q62" t="str">
        <f ca="1">IF(AND(ISNUMBER($Q$220),$B$165=1),$Q$220,HLOOKUP(INDIRECT(ADDRESS(2,COLUMN())),OFFSET($R$2,0,0,ROW()-1,12),ROW()-1,FALSE))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</row>
    <row r="63" spans="1:29" x14ac:dyDescent="0.25">
      <c r="A63" t="str">
        <f>"    Capgemini SE"</f>
        <v xml:space="preserve">    Capgemini SE</v>
      </c>
      <c r="B63" t="str">
        <f>"CAP FP Equity"</f>
        <v>CAP FP Equity</v>
      </c>
      <c r="C63" t="str">
        <f t="shared" si="9"/>
        <v>BS036</v>
      </c>
      <c r="D63" t="str">
        <f t="shared" si="10"/>
        <v>BS_ACCT_PAYABLE</v>
      </c>
      <c r="E63" t="str">
        <f t="shared" si="11"/>
        <v>Dynamic</v>
      </c>
      <c r="F63" t="str">
        <f ca="1">IF(AND(ISNUMBER($F$221),$B$165=1),$F$221,HLOOKUP(INDIRECT(ADDRESS(2,COLUMN())),OFFSET($R$2,0,0,ROW()-1,12),ROW()-1,FALSE))</f>
        <v/>
      </c>
      <c r="G63">
        <f ca="1">IF(AND(ISNUMBER($G$221),$B$165=1),$G$221,HLOOKUP(INDIRECT(ADDRESS(2,COLUMN())),OFFSET($R$2,0,0,ROW()-1,12),ROW()-1,FALSE))</f>
        <v>1290.2121</v>
      </c>
      <c r="H63" t="str">
        <f ca="1">IF(AND(ISNUMBER($H$221),$B$165=1),$H$221,HLOOKUP(INDIRECT(ADDRESS(2,COLUMN())),OFFSET($R$2,0,0,ROW()-1,12),ROW()-1,FALSE))</f>
        <v/>
      </c>
      <c r="I63" t="str">
        <f ca="1">IF(AND(ISNUMBER($I$221),$B$165=1),$I$221,HLOOKUP(INDIRECT(ADDRESS(2,COLUMN())),OFFSET($R$2,0,0,ROW()-1,12),ROW()-1,FALSE))</f>
        <v/>
      </c>
      <c r="J63" t="str">
        <f ca="1">IF(AND(ISNUMBER($J$221),$B$165=1),$J$221,HLOOKUP(INDIRECT(ADDRESS(2,COLUMN())),OFFSET($R$2,0,0,ROW()-1,12),ROW()-1,FALSE))</f>
        <v/>
      </c>
      <c r="K63" t="str">
        <f ca="1">IF(AND(ISNUMBER($K$221),$B$165=1),$K$221,HLOOKUP(INDIRECT(ADDRESS(2,COLUMN())),OFFSET($R$2,0,0,ROW()-1,12),ROW()-1,FALSE))</f>
        <v/>
      </c>
      <c r="L63" t="str">
        <f ca="1">IF(AND(ISNUMBER($L$221),$B$165=1),$L$221,HLOOKUP(INDIRECT(ADDRESS(2,COLUMN())),OFFSET($R$2,0,0,ROW()-1,12),ROW()-1,FALSE))</f>
        <v/>
      </c>
      <c r="M63" t="str">
        <f ca="1">IF(AND(ISNUMBER($M$221),$B$165=1),$M$221,HLOOKUP(INDIRECT(ADDRESS(2,COLUMN())),OFFSET($R$2,0,0,ROW()-1,12),ROW()-1,FALSE))</f>
        <v/>
      </c>
      <c r="N63" t="str">
        <f ca="1">IF(AND(ISNUMBER($N$221),$B$165=1),$N$221,HLOOKUP(INDIRECT(ADDRESS(2,COLUMN())),OFFSET($R$2,0,0,ROW()-1,12),ROW()-1,FALSE))</f>
        <v/>
      </c>
      <c r="O63" t="str">
        <f ca="1">IF(AND(ISNUMBER($O$221),$B$165=1),$O$221,HLOOKUP(INDIRECT(ADDRESS(2,COLUMN())),OFFSET($R$2,0,0,ROW()-1,12),ROW()-1,FALSE))</f>
        <v/>
      </c>
      <c r="P63" t="str">
        <f ca="1">IF(AND(ISNUMBER($P$221),$B$165=1),$P$221,HLOOKUP(INDIRECT(ADDRESS(2,COLUMN())),OFFSET($R$2,0,0,ROW()-1,12),ROW()-1,FALSE))</f>
        <v/>
      </c>
      <c r="Q63" t="str">
        <f ca="1">IF(AND(ISNUMBER($Q$221),$B$165=1),$Q$221,HLOOKUP(INDIRECT(ADDRESS(2,COLUMN())),OFFSET($R$2,0,0,ROW()-1,12),ROW()-1,FALSE))</f>
        <v/>
      </c>
      <c r="R63" t="str">
        <f>""</f>
        <v/>
      </c>
      <c r="S63">
        <f>1290.2121</f>
        <v>1290.2121</v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t="str">
        <f>""</f>
        <v/>
      </c>
      <c r="AC63" t="str">
        <f>""</f>
        <v/>
      </c>
    </row>
    <row r="64" spans="1:29" x14ac:dyDescent="0.25">
      <c r="A64" t="str">
        <f>"    CGI Inc"</f>
        <v xml:space="preserve">    CGI Inc</v>
      </c>
      <c r="B64" t="str">
        <f>"GIB US Equity"</f>
        <v>GIB US Equity</v>
      </c>
      <c r="C64" t="str">
        <f t="shared" si="9"/>
        <v>BS036</v>
      </c>
      <c r="D64" t="str">
        <f t="shared" si="10"/>
        <v>BS_ACCT_PAYABLE</v>
      </c>
      <c r="E64" t="str">
        <f t="shared" si="11"/>
        <v>Dynamic</v>
      </c>
      <c r="F64" t="str">
        <f ca="1">IF(AND(ISNUMBER($F$222),$B$165=1),$F$222,HLOOKUP(INDIRECT(ADDRESS(2,COLUMN())),OFFSET($R$2,0,0,ROW()-1,12),ROW()-1,FALSE))</f>
        <v/>
      </c>
      <c r="G64" t="str">
        <f ca="1">IF(AND(ISNUMBER($G$222),$B$165=1),$G$222,HLOOKUP(INDIRECT(ADDRESS(2,COLUMN())),OFFSET($R$2,0,0,ROW()-1,12),ROW()-1,FALSE))</f>
        <v/>
      </c>
      <c r="H64" t="str">
        <f ca="1">IF(AND(ISNUMBER($H$222),$B$165=1),$H$222,HLOOKUP(INDIRECT(ADDRESS(2,COLUMN())),OFFSET($R$2,0,0,ROW()-1,12),ROW()-1,FALSE))</f>
        <v/>
      </c>
      <c r="I64" t="str">
        <f ca="1">IF(AND(ISNUMBER($I$222),$B$165=1),$I$222,HLOOKUP(INDIRECT(ADDRESS(2,COLUMN())),OFFSET($R$2,0,0,ROW()-1,12),ROW()-1,FALSE))</f>
        <v/>
      </c>
      <c r="J64" t="str">
        <f ca="1">IF(AND(ISNUMBER($J$222),$B$165=1),$J$222,HLOOKUP(INDIRECT(ADDRESS(2,COLUMN())),OFFSET($R$2,0,0,ROW()-1,12),ROW()-1,FALSE))</f>
        <v/>
      </c>
      <c r="K64" t="str">
        <f ca="1">IF(AND(ISNUMBER($K$222),$B$165=1),$K$222,HLOOKUP(INDIRECT(ADDRESS(2,COLUMN())),OFFSET($R$2,0,0,ROW()-1,12),ROW()-1,FALSE))</f>
        <v/>
      </c>
      <c r="L64" t="str">
        <f ca="1">IF(AND(ISNUMBER($L$222),$B$165=1),$L$222,HLOOKUP(INDIRECT(ADDRESS(2,COLUMN())),OFFSET($R$2,0,0,ROW()-1,12),ROW()-1,FALSE))</f>
        <v/>
      </c>
      <c r="M64" t="str">
        <f ca="1">IF(AND(ISNUMBER($M$222),$B$165=1),$M$222,HLOOKUP(INDIRECT(ADDRESS(2,COLUMN())),OFFSET($R$2,0,0,ROW()-1,12),ROW()-1,FALSE))</f>
        <v/>
      </c>
      <c r="N64" t="str">
        <f ca="1">IF(AND(ISNUMBER($N$222),$B$165=1),$N$222,HLOOKUP(INDIRECT(ADDRESS(2,COLUMN())),OFFSET($R$2,0,0,ROW()-1,12),ROW()-1,FALSE))</f>
        <v/>
      </c>
      <c r="O64" t="str">
        <f ca="1">IF(AND(ISNUMBER($O$222),$B$165=1),$O$222,HLOOKUP(INDIRECT(ADDRESS(2,COLUMN())),OFFSET($R$2,0,0,ROW()-1,12),ROW()-1,FALSE))</f>
        <v/>
      </c>
      <c r="P64" t="str">
        <f ca="1">IF(AND(ISNUMBER($P$222),$B$165=1),$P$222,HLOOKUP(INDIRECT(ADDRESS(2,COLUMN())),OFFSET($R$2,0,0,ROW()-1,12),ROW()-1,FALSE))</f>
        <v/>
      </c>
      <c r="Q64" t="str">
        <f ca="1">IF(AND(ISNUMBER($Q$222),$B$165=1),$Q$222,HLOOKUP(INDIRECT(ADDRESS(2,COLUMN())),OFFSET($R$2,0,0,ROW()-1,12),ROW()-1,FALSE))</f>
        <v/>
      </c>
      <c r="R64" t="str">
        <f>""</f>
        <v/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t="str">
        <f>""</f>
        <v/>
      </c>
      <c r="AC64" t="str">
        <f>""</f>
        <v/>
      </c>
    </row>
    <row r="65" spans="1:29" x14ac:dyDescent="0.25">
      <c r="A65" t="str">
        <f>"    Cognizant Technology Solutions Corp"</f>
        <v xml:space="preserve">    Cognizant Technology Solutions Corp</v>
      </c>
      <c r="B65" t="str">
        <f>"CTSH US Equity"</f>
        <v>CTSH US Equity</v>
      </c>
      <c r="C65" t="str">
        <f t="shared" si="9"/>
        <v>BS036</v>
      </c>
      <c r="D65" t="str">
        <f t="shared" si="10"/>
        <v>BS_ACCT_PAYABLE</v>
      </c>
      <c r="E65" t="str">
        <f t="shared" si="11"/>
        <v>Dynamic</v>
      </c>
      <c r="F65">
        <f ca="1">IF(AND(ISNUMBER($F$223),$B$165=1),$F$223,HLOOKUP(INDIRECT(ADDRESS(2,COLUMN())),OFFSET($R$2,0,0,ROW()-1,12),ROW()-1,FALSE))</f>
        <v>289</v>
      </c>
      <c r="G65">
        <f ca="1">IF(AND(ISNUMBER($G$223),$B$165=1),$G$223,HLOOKUP(INDIRECT(ADDRESS(2,COLUMN())),OFFSET($R$2,0,0,ROW()-1,12),ROW()-1,FALSE))</f>
        <v>239</v>
      </c>
      <c r="H65">
        <f ca="1">IF(AND(ISNUMBER($H$223),$B$165=1),$H$223,HLOOKUP(INDIRECT(ADDRESS(2,COLUMN())),OFFSET($R$2,0,0,ROW()-1,12),ROW()-1,FALSE))</f>
        <v>246</v>
      </c>
      <c r="I65">
        <f ca="1">IF(AND(ISNUMBER($I$223),$B$165=1),$I$223,HLOOKUP(INDIRECT(ADDRESS(2,COLUMN())),OFFSET($R$2,0,0,ROW()-1,12),ROW()-1,FALSE))</f>
        <v>254</v>
      </c>
      <c r="J65">
        <f ca="1">IF(AND(ISNUMBER($J$223),$B$165=1),$J$223,HLOOKUP(INDIRECT(ADDRESS(2,COLUMN())),OFFSET($R$2,0,0,ROW()-1,12),ROW()-1,FALSE))</f>
        <v>262</v>
      </c>
      <c r="K65">
        <f ca="1">IF(AND(ISNUMBER($K$223),$B$165=1),$K$223,HLOOKUP(INDIRECT(ADDRESS(2,COLUMN())),OFFSET($R$2,0,0,ROW()-1,12),ROW()-1,FALSE))</f>
        <v>215</v>
      </c>
      <c r="L65">
        <f ca="1">IF(AND(ISNUMBER($L$223),$B$165=1),$L$223,HLOOKUP(INDIRECT(ADDRESS(2,COLUMN())),OFFSET($R$2,0,0,ROW()-1,12),ROW()-1,FALSE))</f>
        <v>223</v>
      </c>
      <c r="M65">
        <f ca="1">IF(AND(ISNUMBER($M$223),$B$165=1),$M$223,HLOOKUP(INDIRECT(ADDRESS(2,COLUMN())),OFFSET($R$2,0,0,ROW()-1,12),ROW()-1,FALSE))</f>
        <v>217</v>
      </c>
      <c r="N65">
        <f ca="1">IF(AND(ISNUMBER($N$223),$B$165=1),$N$223,HLOOKUP(INDIRECT(ADDRESS(2,COLUMN())),OFFSET($R$2,0,0,ROW()-1,12),ROW()-1,FALSE))</f>
        <v>293</v>
      </c>
      <c r="O65">
        <f ca="1">IF(AND(ISNUMBER($O$223),$B$165=1),$O$223,HLOOKUP(INDIRECT(ADDRESS(2,COLUMN())),OFFSET($R$2,0,0,ROW()-1,12),ROW()-1,FALSE))</f>
        <v>210</v>
      </c>
      <c r="P65">
        <f ca="1">IF(AND(ISNUMBER($P$223),$B$165=1),$P$223,HLOOKUP(INDIRECT(ADDRESS(2,COLUMN())),OFFSET($R$2,0,0,ROW()-1,12),ROW()-1,FALSE))</f>
        <v>186</v>
      </c>
      <c r="Q65">
        <f ca="1">IF(AND(ISNUMBER($Q$223),$B$165=1),$Q$223,HLOOKUP(INDIRECT(ADDRESS(2,COLUMN())),OFFSET($R$2,0,0,ROW()-1,12),ROW()-1,FALSE))</f>
        <v>179</v>
      </c>
      <c r="R65">
        <f>289</f>
        <v>289</v>
      </c>
      <c r="S65">
        <f>239</f>
        <v>239</v>
      </c>
      <c r="T65">
        <f>246</f>
        <v>246</v>
      </c>
      <c r="U65">
        <f>254</f>
        <v>254</v>
      </c>
      <c r="V65">
        <f>262</f>
        <v>262</v>
      </c>
      <c r="W65">
        <f>215</f>
        <v>215</v>
      </c>
      <c r="X65">
        <f>223</f>
        <v>223</v>
      </c>
      <c r="Y65">
        <f>217</f>
        <v>217</v>
      </c>
      <c r="Z65">
        <f>293</f>
        <v>293</v>
      </c>
      <c r="AA65">
        <f>210</f>
        <v>210</v>
      </c>
      <c r="AB65">
        <f>186</f>
        <v>186</v>
      </c>
      <c r="AC65">
        <f>179</f>
        <v>179</v>
      </c>
    </row>
    <row r="66" spans="1:29" x14ac:dyDescent="0.25">
      <c r="A66" t="str">
        <f>"    Conduent Inc"</f>
        <v xml:space="preserve">    Conduent Inc</v>
      </c>
      <c r="B66" t="str">
        <f>"CNDT US Equity"</f>
        <v>CNDT US Equity</v>
      </c>
      <c r="C66" t="str">
        <f t="shared" si="9"/>
        <v>BS036</v>
      </c>
      <c r="D66" t="str">
        <f t="shared" si="10"/>
        <v>BS_ACCT_PAYABLE</v>
      </c>
      <c r="E66" t="str">
        <f t="shared" si="11"/>
        <v>Dynamic</v>
      </c>
      <c r="F66">
        <f ca="1">IF(AND(ISNUMBER($F$224),$B$165=1),$F$224,HLOOKUP(INDIRECT(ADDRESS(2,COLUMN())),OFFSET($R$2,0,0,ROW()-1,12),ROW()-1,FALSE))</f>
        <v>168</v>
      </c>
      <c r="G66">
        <f ca="1">IF(AND(ISNUMBER($G$224),$B$165=1),$G$224,HLOOKUP(INDIRECT(ADDRESS(2,COLUMN())),OFFSET($R$2,0,0,ROW()-1,12),ROW()-1,FALSE))</f>
        <v>198</v>
      </c>
      <c r="H66">
        <f ca="1">IF(AND(ISNUMBER($H$224),$B$165=1),$H$224,HLOOKUP(INDIRECT(ADDRESS(2,COLUMN())),OFFSET($R$2,0,0,ROW()-1,12),ROW()-1,FALSE))</f>
        <v>145</v>
      </c>
      <c r="I66">
        <f ca="1">IF(AND(ISNUMBER($I$224),$B$165=1),$I$224,HLOOKUP(INDIRECT(ADDRESS(2,COLUMN())),OFFSET($R$2,0,0,ROW()-1,12),ROW()-1,FALSE))</f>
        <v>161</v>
      </c>
      <c r="J66">
        <f ca="1">IF(AND(ISNUMBER($J$224),$B$165=1),$J$224,HLOOKUP(INDIRECT(ADDRESS(2,COLUMN())),OFFSET($R$2,0,0,ROW()-1,12),ROW()-1,FALSE))</f>
        <v>313</v>
      </c>
      <c r="K66">
        <f ca="1">IF(AND(ISNUMBER($K$224),$B$165=1),$K$224,HLOOKUP(INDIRECT(ADDRESS(2,COLUMN())),OFFSET($R$2,0,0,ROW()-1,12),ROW()-1,FALSE))</f>
        <v>230</v>
      </c>
      <c r="L66">
        <f ca="1">IF(AND(ISNUMBER($L$224),$B$165=1),$L$224,HLOOKUP(INDIRECT(ADDRESS(2,COLUMN())),OFFSET($R$2,0,0,ROW()-1,12),ROW()-1,FALSE))</f>
        <v>216</v>
      </c>
      <c r="M66">
        <f ca="1">IF(AND(ISNUMBER($M$224),$B$165=1),$M$224,HLOOKUP(INDIRECT(ADDRESS(2,COLUMN())),OFFSET($R$2,0,0,ROW()-1,12),ROW()-1,FALSE))</f>
        <v>158</v>
      </c>
      <c r="N66">
        <f ca="1">IF(AND(ISNUMBER($N$224),$B$165=1),$N$224,HLOOKUP(INDIRECT(ADDRESS(2,COLUMN())),OFFSET($R$2,0,0,ROW()-1,12),ROW()-1,FALSE))</f>
        <v>152</v>
      </c>
      <c r="O66">
        <f ca="1">IF(AND(ISNUMBER($O$224),$B$165=1),$O$224,HLOOKUP(INDIRECT(ADDRESS(2,COLUMN())),OFFSET($R$2,0,0,ROW()-1,12),ROW()-1,FALSE))</f>
        <v>138</v>
      </c>
      <c r="P66">
        <f ca="1">IF(AND(ISNUMBER($P$224),$B$165=1),$P$224,HLOOKUP(INDIRECT(ADDRESS(2,COLUMN())),OFFSET($R$2,0,0,ROW()-1,12),ROW()-1,FALSE))</f>
        <v>147</v>
      </c>
      <c r="Q66">
        <f ca="1">IF(AND(ISNUMBER($Q$224),$B$165=1),$Q$224,HLOOKUP(INDIRECT(ADDRESS(2,COLUMN())),OFFSET($R$2,0,0,ROW()-1,12),ROW()-1,FALSE))</f>
        <v>106</v>
      </c>
      <c r="R66">
        <f>168</f>
        <v>168</v>
      </c>
      <c r="S66">
        <f>198</f>
        <v>198</v>
      </c>
      <c r="T66">
        <f>145</f>
        <v>145</v>
      </c>
      <c r="U66">
        <f>161</f>
        <v>161</v>
      </c>
      <c r="V66">
        <f>313</f>
        <v>313</v>
      </c>
      <c r="W66">
        <f>230</f>
        <v>230</v>
      </c>
      <c r="X66">
        <f>216</f>
        <v>216</v>
      </c>
      <c r="Y66">
        <f>158</f>
        <v>158</v>
      </c>
      <c r="Z66">
        <f>152</f>
        <v>152</v>
      </c>
      <c r="AA66">
        <f>138</f>
        <v>138</v>
      </c>
      <c r="AB66">
        <f>147</f>
        <v>147</v>
      </c>
      <c r="AC66">
        <f>106</f>
        <v>106</v>
      </c>
    </row>
    <row r="67" spans="1:29" x14ac:dyDescent="0.25">
      <c r="A67" t="str">
        <f>"    DXC Technology Co"</f>
        <v xml:space="preserve">    DXC Technology Co</v>
      </c>
      <c r="B67" t="str">
        <f>"DXC US Equity"</f>
        <v>DXC US Equity</v>
      </c>
      <c r="C67" t="str">
        <f t="shared" si="9"/>
        <v>BS036</v>
      </c>
      <c r="D67" t="str">
        <f t="shared" si="10"/>
        <v>BS_ACCT_PAYABLE</v>
      </c>
      <c r="E67" t="str">
        <f t="shared" si="11"/>
        <v>Dynamic</v>
      </c>
      <c r="F67">
        <f ca="1">IF(AND(ISNUMBER($F$225),$B$165=1),$F$225,HLOOKUP(INDIRECT(ADDRESS(2,COLUMN())),OFFSET($R$2,0,0,ROW()-1,12),ROW()-1,FALSE))</f>
        <v>1598</v>
      </c>
      <c r="G67">
        <f ca="1">IF(AND(ISNUMBER($G$225),$B$165=1),$G$225,HLOOKUP(INDIRECT(ADDRESS(2,COLUMN())),OFFSET($R$2,0,0,ROW()-1,12),ROW()-1,FALSE))</f>
        <v>1576</v>
      </c>
      <c r="H67">
        <f ca="1">IF(AND(ISNUMBER($H$225),$B$165=1),$H$225,HLOOKUP(INDIRECT(ADDRESS(2,COLUMN())),OFFSET($R$2,0,0,ROW()-1,12),ROW()-1,FALSE))</f>
        <v>1603</v>
      </c>
      <c r="I67">
        <f ca="1">IF(AND(ISNUMBER($I$225),$B$165=1),$I$225,HLOOKUP(INDIRECT(ADDRESS(2,COLUMN())),OFFSET($R$2,0,0,ROW()-1,12),ROW()-1,FALSE))</f>
        <v>1517</v>
      </c>
      <c r="J67">
        <f ca="1">IF(AND(ISNUMBER($J$225),$B$165=1),$J$225,HLOOKUP(INDIRECT(ADDRESS(2,COLUMN())),OFFSET($R$2,0,0,ROW()-1,12),ROW()-1,FALSE))</f>
        <v>1666</v>
      </c>
      <c r="K67">
        <f ca="1">IF(AND(ISNUMBER($K$225),$B$165=1),$K$225,HLOOKUP(INDIRECT(ADDRESS(2,COLUMN())),OFFSET($R$2,0,0,ROW()-1,12),ROW()-1,FALSE))</f>
        <v>1345</v>
      </c>
      <c r="L67">
        <f ca="1">IF(AND(ISNUMBER($L$225),$B$165=1),$L$225,HLOOKUP(INDIRECT(ADDRESS(2,COLUMN())),OFFSET($R$2,0,0,ROW()-1,12),ROW()-1,FALSE))</f>
        <v>1358</v>
      </c>
      <c r="M67">
        <f ca="1">IF(AND(ISNUMBER($M$225),$B$165=1),$M$225,HLOOKUP(INDIRECT(ADDRESS(2,COLUMN())),OFFSET($R$2,0,0,ROW()-1,12),ROW()-1,FALSE))</f>
        <v>1326</v>
      </c>
      <c r="N67">
        <f ca="1">IF(AND(ISNUMBER($N$225),$B$165=1),$N$225,HLOOKUP(INDIRECT(ADDRESS(2,COLUMN())),OFFSET($R$2,0,0,ROW()-1,12),ROW()-1,FALSE))</f>
        <v>1513</v>
      </c>
      <c r="O67">
        <f ca="1">IF(AND(ISNUMBER($O$225),$B$165=1),$O$225,HLOOKUP(INDIRECT(ADDRESS(2,COLUMN())),OFFSET($R$2,0,0,ROW()-1,12),ROW()-1,FALSE))</f>
        <v>1510</v>
      </c>
      <c r="P67">
        <f ca="1">IF(AND(ISNUMBER($P$225),$B$165=1),$P$225,HLOOKUP(INDIRECT(ADDRESS(2,COLUMN())),OFFSET($R$2,0,0,ROW()-1,12),ROW()-1,FALSE))</f>
        <v>1666</v>
      </c>
      <c r="Q67">
        <f ca="1">IF(AND(ISNUMBER($Q$225),$B$165=1),$Q$225,HLOOKUP(INDIRECT(ADDRESS(2,COLUMN())),OFFSET($R$2,0,0,ROW()-1,12),ROW()-1,FALSE))</f>
        <v>1961</v>
      </c>
      <c r="R67">
        <f>1598</f>
        <v>1598</v>
      </c>
      <c r="S67">
        <f>1576</f>
        <v>1576</v>
      </c>
      <c r="T67">
        <f>1603</f>
        <v>1603</v>
      </c>
      <c r="U67">
        <f>1517</f>
        <v>1517</v>
      </c>
      <c r="V67">
        <f>1666</f>
        <v>1666</v>
      </c>
      <c r="W67">
        <f>1345</f>
        <v>1345</v>
      </c>
      <c r="X67">
        <f>1358</f>
        <v>1358</v>
      </c>
      <c r="Y67">
        <f>1326</f>
        <v>1326</v>
      </c>
      <c r="Z67">
        <f>1513</f>
        <v>1513</v>
      </c>
      <c r="AA67">
        <f>1510</f>
        <v>1510</v>
      </c>
      <c r="AB67">
        <f>1666</f>
        <v>1666</v>
      </c>
      <c r="AC67">
        <f>1961</f>
        <v>1961</v>
      </c>
    </row>
    <row r="68" spans="1:29" x14ac:dyDescent="0.25">
      <c r="A68" t="str">
        <f>"    EPAM Systems Inc"</f>
        <v xml:space="preserve">    EPAM Systems Inc</v>
      </c>
      <c r="B68" t="str">
        <f>"EPAM US Equity"</f>
        <v>EPAM US Equity</v>
      </c>
      <c r="C68" t="str">
        <f t="shared" si="9"/>
        <v>BS036</v>
      </c>
      <c r="D68" t="str">
        <f t="shared" si="10"/>
        <v>BS_ACCT_PAYABLE</v>
      </c>
      <c r="E68" t="str">
        <f t="shared" si="11"/>
        <v>Dynamic</v>
      </c>
      <c r="F68">
        <f ca="1">IF(AND(ISNUMBER($F$226),$B$165=1),$F$226,HLOOKUP(INDIRECT(ADDRESS(2,COLUMN())),OFFSET($R$2,0,0,ROW()-1,12),ROW()-1,FALSE))</f>
        <v>5.2320000000000002</v>
      </c>
      <c r="G68">
        <f ca="1">IF(AND(ISNUMBER($G$226),$B$165=1),$G$226,HLOOKUP(INDIRECT(ADDRESS(2,COLUMN())),OFFSET($R$2,0,0,ROW()-1,12),ROW()-1,FALSE))</f>
        <v>7.8310000000000004</v>
      </c>
      <c r="H68">
        <f ca="1">IF(AND(ISNUMBER($H$226),$B$165=1),$H$226,HLOOKUP(INDIRECT(ADDRESS(2,COLUMN())),OFFSET($R$2,0,0,ROW()-1,12),ROW()-1,FALSE))</f>
        <v>6.8959999999999999</v>
      </c>
      <c r="I68">
        <f ca="1">IF(AND(ISNUMBER($I$226),$B$165=1),$I$226,HLOOKUP(INDIRECT(ADDRESS(2,COLUMN())),OFFSET($R$2,0,0,ROW()-1,12),ROW()-1,FALSE))</f>
        <v>6.0430000000000001</v>
      </c>
      <c r="J68">
        <f ca="1">IF(AND(ISNUMBER($J$226),$B$165=1),$J$226,HLOOKUP(INDIRECT(ADDRESS(2,COLUMN())),OFFSET($R$2,0,0,ROW()-1,12),ROW()-1,FALSE))</f>
        <v>4.3970000000000002</v>
      </c>
      <c r="K68">
        <f ca="1">IF(AND(ISNUMBER($K$226),$B$165=1),$K$226,HLOOKUP(INDIRECT(ADDRESS(2,COLUMN())),OFFSET($R$2,0,0,ROW()-1,12),ROW()-1,FALSE))</f>
        <v>7.444</v>
      </c>
      <c r="L68">
        <f ca="1">IF(AND(ISNUMBER($L$226),$B$165=1),$L$226,HLOOKUP(INDIRECT(ADDRESS(2,COLUMN())),OFFSET($R$2,0,0,ROW()-1,12),ROW()-1,FALSE))</f>
        <v>8.4220000000000006</v>
      </c>
      <c r="M68">
        <f ca="1">IF(AND(ISNUMBER($M$226),$B$165=1),$M$226,HLOOKUP(INDIRECT(ADDRESS(2,COLUMN())),OFFSET($R$2,0,0,ROW()-1,12),ROW()-1,FALSE))</f>
        <v>6.7270000000000003</v>
      </c>
      <c r="N68">
        <f ca="1">IF(AND(ISNUMBER($N$226),$B$165=1),$N$226,HLOOKUP(INDIRECT(ADDRESS(2,COLUMN())),OFFSET($R$2,0,0,ROW()-1,12),ROW()-1,FALSE))</f>
        <v>8.4740000000000002</v>
      </c>
      <c r="O68">
        <f ca="1">IF(AND(ISNUMBER($O$226),$B$165=1),$O$226,HLOOKUP(INDIRECT(ADDRESS(2,COLUMN())),OFFSET($R$2,0,0,ROW()-1,12),ROW()-1,FALSE))</f>
        <v>5.5739999999999998</v>
      </c>
      <c r="P68">
        <f ca="1">IF(AND(ISNUMBER($P$226),$B$165=1),$P$226,HLOOKUP(INDIRECT(ADDRESS(2,COLUMN())),OFFSET($R$2,0,0,ROW()-1,12),ROW()-1,FALSE))</f>
        <v>5.5919999999999996</v>
      </c>
      <c r="Q68">
        <f ca="1">IF(AND(ISNUMBER($Q$226),$B$165=1),$Q$226,HLOOKUP(INDIRECT(ADDRESS(2,COLUMN())),OFFSET($R$2,0,0,ROW()-1,12),ROW()-1,FALSE))</f>
        <v>4.2530000000000001</v>
      </c>
      <c r="R68">
        <f>5.232</f>
        <v>5.2320000000000002</v>
      </c>
      <c r="S68">
        <f>7.831</f>
        <v>7.8310000000000004</v>
      </c>
      <c r="T68">
        <f>6.896</f>
        <v>6.8959999999999999</v>
      </c>
      <c r="U68">
        <f>6.043</f>
        <v>6.0430000000000001</v>
      </c>
      <c r="V68">
        <f>4.397</f>
        <v>4.3970000000000002</v>
      </c>
      <c r="W68">
        <f>7.444</f>
        <v>7.444</v>
      </c>
      <c r="X68">
        <f>8.422</f>
        <v>8.4220000000000006</v>
      </c>
      <c r="Y68">
        <f>6.727</f>
        <v>6.7270000000000003</v>
      </c>
      <c r="Z68">
        <f>8.474</f>
        <v>8.4740000000000002</v>
      </c>
      <c r="AA68">
        <f>5.574</f>
        <v>5.5739999999999998</v>
      </c>
      <c r="AB68">
        <f>5.592</f>
        <v>5.5919999999999996</v>
      </c>
      <c r="AC68">
        <f>4.253</f>
        <v>4.2530000000000001</v>
      </c>
    </row>
    <row r="69" spans="1:29" x14ac:dyDescent="0.25">
      <c r="A69" t="str">
        <f>"    Genpact Ltd"</f>
        <v xml:space="preserve">    Genpact Ltd</v>
      </c>
      <c r="B69" t="str">
        <f>"G US Equity"</f>
        <v>G US Equity</v>
      </c>
      <c r="C69" t="str">
        <f t="shared" si="9"/>
        <v>BS036</v>
      </c>
      <c r="D69" t="str">
        <f t="shared" si="10"/>
        <v>BS_ACCT_PAYABLE</v>
      </c>
      <c r="E69" t="str">
        <f t="shared" si="11"/>
        <v>Dynamic</v>
      </c>
      <c r="F69">
        <f ca="1">IF(AND(ISNUMBER($F$227),$B$165=1),$F$227,HLOOKUP(INDIRECT(ADDRESS(2,COLUMN())),OFFSET($R$2,0,0,ROW()-1,12),ROW()-1,FALSE))</f>
        <v>26.07</v>
      </c>
      <c r="G69">
        <f ca="1">IF(AND(ISNUMBER($G$227),$B$165=1),$G$227,HLOOKUP(INDIRECT(ADDRESS(2,COLUMN())),OFFSET($R$2,0,0,ROW()-1,12),ROW()-1,FALSE))</f>
        <v>21.981000000000002</v>
      </c>
      <c r="H69">
        <f ca="1">IF(AND(ISNUMBER($H$227),$B$165=1),$H$227,HLOOKUP(INDIRECT(ADDRESS(2,COLUMN())),OFFSET($R$2,0,0,ROW()-1,12),ROW()-1,FALSE))</f>
        <v>20.954000000000001</v>
      </c>
      <c r="I69">
        <f ca="1">IF(AND(ISNUMBER($I$227),$B$165=1),$I$227,HLOOKUP(INDIRECT(ADDRESS(2,COLUMN())),OFFSET($R$2,0,0,ROW()-1,12),ROW()-1,FALSE))</f>
        <v>24.398</v>
      </c>
      <c r="J69">
        <f ca="1">IF(AND(ISNUMBER($J$227),$B$165=1),$J$227,HLOOKUP(INDIRECT(ADDRESS(2,COLUMN())),OFFSET($R$2,0,0,ROW()-1,12),ROW()-1,FALSE))</f>
        <v>29.494</v>
      </c>
      <c r="K69">
        <f ca="1">IF(AND(ISNUMBER($K$227),$B$165=1),$K$227,HLOOKUP(INDIRECT(ADDRESS(2,COLUMN())),OFFSET($R$2,0,0,ROW()-1,12),ROW()-1,FALSE))</f>
        <v>42.584000000000003</v>
      </c>
      <c r="L69">
        <f ca="1">IF(AND(ISNUMBER($L$227),$B$165=1),$L$227,HLOOKUP(INDIRECT(ADDRESS(2,COLUMN())),OFFSET($R$2,0,0,ROW()-1,12),ROW()-1,FALSE))</f>
        <v>14.436</v>
      </c>
      <c r="M69">
        <f ca="1">IF(AND(ISNUMBER($M$227),$B$165=1),$M$227,HLOOKUP(INDIRECT(ADDRESS(2,COLUMN())),OFFSET($R$2,0,0,ROW()-1,12),ROW()-1,FALSE))</f>
        <v>20.942</v>
      </c>
      <c r="N69">
        <f ca="1">IF(AND(ISNUMBER($N$227),$B$165=1),$N$227,HLOOKUP(INDIRECT(ADDRESS(2,COLUMN())),OFFSET($R$2,0,0,ROW()-1,12),ROW()-1,FALSE))</f>
        <v>13.811</v>
      </c>
      <c r="O69">
        <f ca="1">IF(AND(ISNUMBER($O$227),$B$165=1),$O$227,HLOOKUP(INDIRECT(ADDRESS(2,COLUMN())),OFFSET($R$2,0,0,ROW()-1,12),ROW()-1,FALSE))</f>
        <v>15.05</v>
      </c>
      <c r="P69">
        <f ca="1">IF(AND(ISNUMBER($P$227),$B$165=1),$P$227,HLOOKUP(INDIRECT(ADDRESS(2,COLUMN())),OFFSET($R$2,0,0,ROW()-1,12),ROW()-1,FALSE))</f>
        <v>16.858000000000001</v>
      </c>
      <c r="Q69">
        <f ca="1">IF(AND(ISNUMBER($Q$227),$B$165=1),$Q$227,HLOOKUP(INDIRECT(ADDRESS(2,COLUMN())),OFFSET($R$2,0,0,ROW()-1,12),ROW()-1,FALSE))</f>
        <v>18.317</v>
      </c>
      <c r="R69">
        <f>26.07</f>
        <v>26.07</v>
      </c>
      <c r="S69">
        <f>21.981</f>
        <v>21.981000000000002</v>
      </c>
      <c r="T69">
        <f>20.954</f>
        <v>20.954000000000001</v>
      </c>
      <c r="U69">
        <f>24.398</f>
        <v>24.398</v>
      </c>
      <c r="V69">
        <f>29.494</f>
        <v>29.494</v>
      </c>
      <c r="W69">
        <f>42.584</f>
        <v>42.584000000000003</v>
      </c>
      <c r="X69">
        <f>14.436</f>
        <v>14.436</v>
      </c>
      <c r="Y69">
        <f>20.942</f>
        <v>20.942</v>
      </c>
      <c r="Z69">
        <f>13.811</f>
        <v>13.811</v>
      </c>
      <c r="AA69">
        <f>15.05</f>
        <v>15.05</v>
      </c>
      <c r="AB69">
        <f>16.858</f>
        <v>16.858000000000001</v>
      </c>
      <c r="AC69">
        <f>18.317</f>
        <v>18.317</v>
      </c>
    </row>
    <row r="70" spans="1:29" x14ac:dyDescent="0.25">
      <c r="A70" t="str">
        <f>"    HCL Technologies Ltd"</f>
        <v xml:space="preserve">    HCL Technologies Ltd</v>
      </c>
      <c r="B70" t="str">
        <f>"HCLT IN Equity"</f>
        <v>HCLT IN Equity</v>
      </c>
      <c r="C70" t="str">
        <f t="shared" si="9"/>
        <v>BS036</v>
      </c>
      <c r="D70" t="str">
        <f t="shared" si="10"/>
        <v>BS_ACCT_PAYABLE</v>
      </c>
      <c r="E70" t="str">
        <f t="shared" si="11"/>
        <v>Dynamic</v>
      </c>
      <c r="F70">
        <f ca="1">IF(AND(ISNUMBER($F$228),$B$165=1),$F$228,HLOOKUP(INDIRECT(ADDRESS(2,COLUMN())),OFFSET($R$2,0,0,ROW()-1,12),ROW()-1,FALSE))</f>
        <v>222.34100000000001</v>
      </c>
      <c r="G70" t="str">
        <f ca="1">IF(AND(ISNUMBER($G$228),$B$165=1),$G$228,HLOOKUP(INDIRECT(ADDRESS(2,COLUMN())),OFFSET($R$2,0,0,ROW()-1,12),ROW()-1,FALSE))</f>
        <v/>
      </c>
      <c r="H70" t="str">
        <f ca="1">IF(AND(ISNUMBER($H$228),$B$165=1),$H$228,HLOOKUP(INDIRECT(ADDRESS(2,COLUMN())),OFFSET($R$2,0,0,ROW()-1,12),ROW()-1,FALSE))</f>
        <v/>
      </c>
      <c r="I70" t="str">
        <f ca="1">IF(AND(ISNUMBER($I$228),$B$165=1),$I$228,HLOOKUP(INDIRECT(ADDRESS(2,COLUMN())),OFFSET($R$2,0,0,ROW()-1,12),ROW()-1,FALSE))</f>
        <v/>
      </c>
      <c r="J70">
        <f ca="1">IF(AND(ISNUMBER($J$228),$B$165=1),$J$228,HLOOKUP(INDIRECT(ADDRESS(2,COLUMN())),OFFSET($R$2,0,0,ROW()-1,12),ROW()-1,FALSE))</f>
        <v>257.548</v>
      </c>
      <c r="K70" t="str">
        <f ca="1">IF(AND(ISNUMBER($K$228),$B$165=1),$K$228,HLOOKUP(INDIRECT(ADDRESS(2,COLUMN())),OFFSET($R$2,0,0,ROW()-1,12),ROW()-1,FALSE))</f>
        <v/>
      </c>
      <c r="L70" t="str">
        <f ca="1">IF(AND(ISNUMBER($L$228),$B$165=1),$L$228,HLOOKUP(INDIRECT(ADDRESS(2,COLUMN())),OFFSET($R$2,0,0,ROW()-1,12),ROW()-1,FALSE))</f>
        <v/>
      </c>
      <c r="M70" t="str">
        <f ca="1">IF(AND(ISNUMBER($M$228),$B$165=1),$M$228,HLOOKUP(INDIRECT(ADDRESS(2,COLUMN())),OFFSET($R$2,0,0,ROW()-1,12),ROW()-1,FALSE))</f>
        <v/>
      </c>
      <c r="N70">
        <f ca="1">IF(AND(ISNUMBER($N$228),$B$165=1),$N$228,HLOOKUP(INDIRECT(ADDRESS(2,COLUMN())),OFFSET($R$2,0,0,ROW()-1,12),ROW()-1,FALSE))</f>
        <v>140.92723369999999</v>
      </c>
      <c r="O70" t="str">
        <f ca="1">IF(AND(ISNUMBER($O$228),$B$165=1),$O$228,HLOOKUP(INDIRECT(ADDRESS(2,COLUMN())),OFFSET($R$2,0,0,ROW()-1,12),ROW()-1,FALSE))</f>
        <v/>
      </c>
      <c r="P70" t="str">
        <f ca="1">IF(AND(ISNUMBER($P$228),$B$165=1),$P$228,HLOOKUP(INDIRECT(ADDRESS(2,COLUMN())),OFFSET($R$2,0,0,ROW()-1,12),ROW()-1,FALSE))</f>
        <v/>
      </c>
      <c r="Q70" t="str">
        <f ca="1">IF(AND(ISNUMBER($Q$228),$B$165=1),$Q$228,HLOOKUP(INDIRECT(ADDRESS(2,COLUMN())),OFFSET($R$2,0,0,ROW()-1,12),ROW()-1,FALSE))</f>
        <v/>
      </c>
      <c r="R70">
        <f>222.341</f>
        <v>222.34100000000001</v>
      </c>
      <c r="S70" t="str">
        <f>""</f>
        <v/>
      </c>
      <c r="T70" t="str">
        <f>""</f>
        <v/>
      </c>
      <c r="U70" t="str">
        <f>""</f>
        <v/>
      </c>
      <c r="V70">
        <f>257.548</f>
        <v>257.548</v>
      </c>
      <c r="W70" t="str">
        <f>""</f>
        <v/>
      </c>
      <c r="X70" t="str">
        <f>""</f>
        <v/>
      </c>
      <c r="Y70" t="str">
        <f>""</f>
        <v/>
      </c>
      <c r="Z70">
        <f>140.9272337</f>
        <v>140.92723369999999</v>
      </c>
      <c r="AA70" t="str">
        <f>""</f>
        <v/>
      </c>
      <c r="AB70" t="str">
        <f>""</f>
        <v/>
      </c>
      <c r="AC70" t="str">
        <f>""</f>
        <v/>
      </c>
    </row>
    <row r="71" spans="1:29" x14ac:dyDescent="0.25">
      <c r="A71" t="str">
        <f>"    Indra Sistemas SA"</f>
        <v xml:space="preserve">    Indra Sistemas SA</v>
      </c>
      <c r="B71" t="str">
        <f>"IDR SM Equity"</f>
        <v>IDR SM Equity</v>
      </c>
      <c r="C71" t="str">
        <f t="shared" si="9"/>
        <v>BS036</v>
      </c>
      <c r="D71" t="str">
        <f t="shared" si="10"/>
        <v>BS_ACCT_PAYABLE</v>
      </c>
      <c r="E71" t="str">
        <f t="shared" si="11"/>
        <v>Dynamic</v>
      </c>
      <c r="F71" t="str">
        <f ca="1">IF(AND(ISNUMBER($F$229),$B$165=1),$F$229,HLOOKUP(INDIRECT(ADDRESS(2,COLUMN())),OFFSET($R$2,0,0,ROW()-1,12),ROW()-1,FALSE))</f>
        <v/>
      </c>
      <c r="G71">
        <f ca="1">IF(AND(ISNUMBER($G$229),$B$165=1),$G$229,HLOOKUP(INDIRECT(ADDRESS(2,COLUMN())),OFFSET($R$2,0,0,ROW()-1,12),ROW()-1,FALSE))</f>
        <v>699.31853909999995</v>
      </c>
      <c r="H71" t="str">
        <f ca="1">IF(AND(ISNUMBER($H$229),$B$165=1),$H$229,HLOOKUP(INDIRECT(ADDRESS(2,COLUMN())),OFFSET($R$2,0,0,ROW()-1,12),ROW()-1,FALSE))</f>
        <v/>
      </c>
      <c r="I71">
        <f ca="1">IF(AND(ISNUMBER($I$229),$B$165=1),$I$229,HLOOKUP(INDIRECT(ADDRESS(2,COLUMN())),OFFSET($R$2,0,0,ROW()-1,12),ROW()-1,FALSE))</f>
        <v>1419.1139470000001</v>
      </c>
      <c r="J71" t="str">
        <f ca="1">IF(AND(ISNUMBER($J$229),$B$165=1),$J$229,HLOOKUP(INDIRECT(ADDRESS(2,COLUMN())),OFFSET($R$2,0,0,ROW()-1,12),ROW()-1,FALSE))</f>
        <v/>
      </c>
      <c r="K71">
        <f ca="1">IF(AND(ISNUMBER($K$229),$B$165=1),$K$229,HLOOKUP(INDIRECT(ADDRESS(2,COLUMN())),OFFSET($R$2,0,0,ROW()-1,12),ROW()-1,FALSE))</f>
        <v>751.12866359999998</v>
      </c>
      <c r="L71">
        <f ca="1">IF(AND(ISNUMBER($L$229),$B$165=1),$L$229,HLOOKUP(INDIRECT(ADDRESS(2,COLUMN())),OFFSET($R$2,0,0,ROW()-1,12),ROW()-1,FALSE))</f>
        <v>1479.8558800000001</v>
      </c>
      <c r="M71">
        <f ca="1">IF(AND(ISNUMBER($M$229),$B$165=1),$M$229,HLOOKUP(INDIRECT(ADDRESS(2,COLUMN())),OFFSET($R$2,0,0,ROW()-1,12),ROW()-1,FALSE))</f>
        <v>663.09012199999995</v>
      </c>
      <c r="N71" t="str">
        <f ca="1">IF(AND(ISNUMBER($N$229),$B$165=1),$N$229,HLOOKUP(INDIRECT(ADDRESS(2,COLUMN())),OFFSET($R$2,0,0,ROW()-1,12),ROW()-1,FALSE))</f>
        <v/>
      </c>
      <c r="O71">
        <f ca="1">IF(AND(ISNUMBER($O$229),$B$165=1),$O$229,HLOOKUP(INDIRECT(ADDRESS(2,COLUMN())),OFFSET($R$2,0,0,ROW()-1,12),ROW()-1,FALSE))</f>
        <v>785.18447060000005</v>
      </c>
      <c r="P71">
        <f ca="1">IF(AND(ISNUMBER($P$229),$B$165=1),$P$229,HLOOKUP(INDIRECT(ADDRESS(2,COLUMN())),OFFSET($R$2,0,0,ROW()-1,12),ROW()-1,FALSE))</f>
        <v>1619.8437200000001</v>
      </c>
      <c r="Q71">
        <f ca="1">IF(AND(ISNUMBER($Q$229),$B$165=1),$Q$229,HLOOKUP(INDIRECT(ADDRESS(2,COLUMN())),OFFSET($R$2,0,0,ROW()-1,12),ROW()-1,FALSE))</f>
        <v>610.08077370000001</v>
      </c>
      <c r="R71" t="str">
        <f>""</f>
        <v/>
      </c>
      <c r="S71">
        <f>699.3185391</f>
        <v>699.31853909999995</v>
      </c>
      <c r="T71" t="str">
        <f>""</f>
        <v/>
      </c>
      <c r="U71">
        <f>1419.113947</f>
        <v>1419.1139470000001</v>
      </c>
      <c r="V71" t="str">
        <f>""</f>
        <v/>
      </c>
      <c r="W71">
        <f>751.1286636</f>
        <v>751.12866359999998</v>
      </c>
      <c r="X71">
        <f>1479.85588</f>
        <v>1479.8558800000001</v>
      </c>
      <c r="Y71">
        <f>663.090122</f>
        <v>663.09012199999995</v>
      </c>
      <c r="Z71" t="str">
        <f>""</f>
        <v/>
      </c>
      <c r="AA71">
        <f>785.1844706</f>
        <v>785.18447060000005</v>
      </c>
      <c r="AB71">
        <f>1619.84372</f>
        <v>1619.8437200000001</v>
      </c>
      <c r="AC71">
        <f>610.0807737</f>
        <v>610.08077370000001</v>
      </c>
    </row>
    <row r="72" spans="1:29" x14ac:dyDescent="0.25">
      <c r="A72" t="str">
        <f>"    Infosys Ltd"</f>
        <v xml:space="preserve">    Infosys Ltd</v>
      </c>
      <c r="B72" t="str">
        <f>"INFY US Equity"</f>
        <v>INFY US Equity</v>
      </c>
      <c r="C72" t="str">
        <f t="shared" si="9"/>
        <v>BS036</v>
      </c>
      <c r="D72" t="str">
        <f t="shared" si="10"/>
        <v>BS_ACCT_PAYABLE</v>
      </c>
      <c r="E72" t="str">
        <f t="shared" si="11"/>
        <v>Dynamic</v>
      </c>
      <c r="F72">
        <f ca="1">IF(AND(ISNUMBER($F$230),$B$165=1),$F$230,HLOOKUP(INDIRECT(ADDRESS(2,COLUMN())),OFFSET($R$2,0,0,ROW()-1,12),ROW()-1,FALSE))</f>
        <v>378.38131870000001</v>
      </c>
      <c r="G72">
        <f ca="1">IF(AND(ISNUMBER($G$230),$B$165=1),$G$230,HLOOKUP(INDIRECT(ADDRESS(2,COLUMN())),OFFSET($R$2,0,0,ROW()-1,12),ROW()-1,FALSE))</f>
        <v>263.39251239999999</v>
      </c>
      <c r="H72">
        <f ca="1">IF(AND(ISNUMBER($H$230),$B$165=1),$H$230,HLOOKUP(INDIRECT(ADDRESS(2,COLUMN())),OFFSET($R$2,0,0,ROW()-1,12),ROW()-1,FALSE))</f>
        <v>301.97329789999998</v>
      </c>
      <c r="I72">
        <f ca="1">IF(AND(ISNUMBER($I$230),$B$165=1),$I$230,HLOOKUP(INDIRECT(ADDRESS(2,COLUMN())),OFFSET($R$2,0,0,ROW()-1,12),ROW()-1,FALSE))</f>
        <v>317.00250560000001</v>
      </c>
      <c r="J72">
        <f ca="1">IF(AND(ISNUMBER($J$230),$B$165=1),$J$230,HLOOKUP(INDIRECT(ADDRESS(2,COLUMN())),OFFSET($R$2,0,0,ROW()-1,12),ROW()-1,FALSE))</f>
        <v>238.73647099999999</v>
      </c>
      <c r="K72">
        <f ca="1">IF(AND(ISNUMBER($K$230),$B$165=1),$K$230,HLOOKUP(INDIRECT(ADDRESS(2,COLUMN())),OFFSET($R$2,0,0,ROW()-1,12),ROW()-1,FALSE))</f>
        <v>218.82623039999999</v>
      </c>
      <c r="L72">
        <f ca="1">IF(AND(ISNUMBER($L$230),$B$165=1),$L$230,HLOOKUP(INDIRECT(ADDRESS(2,COLUMN())),OFFSET($R$2,0,0,ROW()-1,12),ROW()-1,FALSE))</f>
        <v>164.43945170000001</v>
      </c>
      <c r="M72">
        <f ca="1">IF(AND(ISNUMBER($M$230),$B$165=1),$M$230,HLOOKUP(INDIRECT(ADDRESS(2,COLUMN())),OFFSET($R$2,0,0,ROW()-1,12),ROW()-1,FALSE))</f>
        <v>116.5388828</v>
      </c>
      <c r="N72">
        <f ca="1">IF(AND(ISNUMBER($N$230),$B$165=1),$N$230,HLOOKUP(INDIRECT(ADDRESS(2,COLUMN())),OFFSET($R$2,0,0,ROW()-1,12),ROW()-1,FALSE))</f>
        <v>106.5397605</v>
      </c>
      <c r="O72">
        <f ca="1">IF(AND(ISNUMBER($O$230),$B$165=1),$O$230,HLOOKUP(INDIRECT(ADDRESS(2,COLUMN())),OFFSET($R$2,0,0,ROW()-1,12),ROW()-1,FALSE))</f>
        <v>78.619922790000004</v>
      </c>
      <c r="P72">
        <f ca="1">IF(AND(ISNUMBER($P$230),$B$165=1),$P$230,HLOOKUP(INDIRECT(ADDRESS(2,COLUMN())),OFFSET($R$2,0,0,ROW()-1,12),ROW()-1,FALSE))</f>
        <v>82.325937260000003</v>
      </c>
      <c r="Q72">
        <f ca="1">IF(AND(ISNUMBER($Q$230),$B$165=1),$Q$230,HLOOKUP(INDIRECT(ADDRESS(2,COLUMN())),OFFSET($R$2,0,0,ROW()-1,12),ROW()-1,FALSE))</f>
        <v>40.235283559999999</v>
      </c>
      <c r="R72">
        <f>378.3813187</f>
        <v>378.38131870000001</v>
      </c>
      <c r="S72">
        <f>263.3925124</f>
        <v>263.39251239999999</v>
      </c>
      <c r="T72">
        <f>301.9732979</f>
        <v>301.97329789999998</v>
      </c>
      <c r="U72">
        <f>317.0025056</f>
        <v>317.00250560000001</v>
      </c>
      <c r="V72">
        <f>238.736471</f>
        <v>238.73647099999999</v>
      </c>
      <c r="W72">
        <f>218.8262304</f>
        <v>218.82623039999999</v>
      </c>
      <c r="X72">
        <f>164.4394517</f>
        <v>164.43945170000001</v>
      </c>
      <c r="Y72">
        <f>116.5388828</f>
        <v>116.5388828</v>
      </c>
      <c r="Z72">
        <f>106.5397605</f>
        <v>106.5397605</v>
      </c>
      <c r="AA72">
        <f>78.61992279</f>
        <v>78.619922790000004</v>
      </c>
      <c r="AB72">
        <f>82.32593726</f>
        <v>82.325937260000003</v>
      </c>
      <c r="AC72">
        <f>40.23528356</f>
        <v>40.235283559999999</v>
      </c>
    </row>
    <row r="73" spans="1:29" x14ac:dyDescent="0.25">
      <c r="A73" t="str">
        <f>"    International Business Machines Corp"</f>
        <v xml:space="preserve">    International Business Machines Corp</v>
      </c>
      <c r="B73" t="str">
        <f>"IBM US Equity"</f>
        <v>IBM US Equity</v>
      </c>
      <c r="C73" t="str">
        <f t="shared" si="9"/>
        <v>BS036</v>
      </c>
      <c r="D73" t="str">
        <f t="shared" si="10"/>
        <v>BS_ACCT_PAYABLE</v>
      </c>
      <c r="E73" t="str">
        <f t="shared" si="11"/>
        <v>Dynamic</v>
      </c>
      <c r="F73">
        <f ca="1">IF(AND(ISNUMBER($F$231),$B$165=1),$F$231,HLOOKUP(INDIRECT(ADDRESS(2,COLUMN())),OFFSET($R$2,0,0,ROW()-1,12),ROW()-1,FALSE))</f>
        <v>4172</v>
      </c>
      <c r="G73">
        <f ca="1">IF(AND(ISNUMBER($G$231),$B$165=1),$G$231,HLOOKUP(INDIRECT(ADDRESS(2,COLUMN())),OFFSET($R$2,0,0,ROW()-1,12),ROW()-1,FALSE))</f>
        <v>4896</v>
      </c>
      <c r="H73">
        <f ca="1">IF(AND(ISNUMBER($H$231),$B$165=1),$H$231,HLOOKUP(INDIRECT(ADDRESS(2,COLUMN())),OFFSET($R$2,0,0,ROW()-1,12),ROW()-1,FALSE))</f>
        <v>4042</v>
      </c>
      <c r="I73">
        <f ca="1">IF(AND(ISNUMBER($I$231),$B$165=1),$I$231,HLOOKUP(INDIRECT(ADDRESS(2,COLUMN())),OFFSET($R$2,0,0,ROW()-1,12),ROW()-1,FALSE))</f>
        <v>4724</v>
      </c>
      <c r="J73">
        <f ca="1">IF(AND(ISNUMBER($J$231),$B$165=1),$J$231,HLOOKUP(INDIRECT(ADDRESS(2,COLUMN())),OFFSET($R$2,0,0,ROW()-1,12),ROW()-1,FALSE))</f>
        <v>5711</v>
      </c>
      <c r="K73">
        <f ca="1">IF(AND(ISNUMBER($K$231),$B$165=1),$K$231,HLOOKUP(INDIRECT(ADDRESS(2,COLUMN())),OFFSET($R$2,0,0,ROW()-1,12),ROW()-1,FALSE))</f>
        <v>6558</v>
      </c>
      <c r="L73">
        <f ca="1">IF(AND(ISNUMBER($L$231),$B$165=1),$L$231,HLOOKUP(INDIRECT(ADDRESS(2,COLUMN())),OFFSET($R$2,0,0,ROW()-1,12),ROW()-1,FALSE))</f>
        <v>5384</v>
      </c>
      <c r="M73">
        <f ca="1">IF(AND(ISNUMBER($M$231),$B$165=1),$M$231,HLOOKUP(INDIRECT(ADDRESS(2,COLUMN())),OFFSET($R$2,0,0,ROW()-1,12),ROW()-1,FALSE))</f>
        <v>5518</v>
      </c>
      <c r="N73">
        <f ca="1">IF(AND(ISNUMBER($N$231),$B$165=1),$N$231,HLOOKUP(INDIRECT(ADDRESS(2,COLUMN())),OFFSET($R$2,0,0,ROW()-1,12),ROW()-1,FALSE))</f>
        <v>5736</v>
      </c>
      <c r="O73">
        <f ca="1">IF(AND(ISNUMBER($O$231),$B$165=1),$O$231,HLOOKUP(INDIRECT(ADDRESS(2,COLUMN())),OFFSET($R$2,0,0,ROW()-1,12),ROW()-1,FALSE))</f>
        <v>6451</v>
      </c>
      <c r="P73">
        <f ca="1">IF(AND(ISNUMBER($P$231),$B$165=1),$P$231,HLOOKUP(INDIRECT(ADDRESS(2,COLUMN())),OFFSET($R$2,0,0,ROW()-1,12),ROW()-1,FALSE))</f>
        <v>5442</v>
      </c>
      <c r="Q73">
        <f ca="1">IF(AND(ISNUMBER($Q$231),$B$165=1),$Q$231,HLOOKUP(INDIRECT(ADDRESS(2,COLUMN())),OFFSET($R$2,0,0,ROW()-1,12),ROW()-1,FALSE))</f>
        <v>5126</v>
      </c>
      <c r="R73">
        <f>4172</f>
        <v>4172</v>
      </c>
      <c r="S73">
        <f>4896</f>
        <v>4896</v>
      </c>
      <c r="T73">
        <f>4042</f>
        <v>4042</v>
      </c>
      <c r="U73">
        <f>4724</f>
        <v>4724</v>
      </c>
      <c r="V73">
        <f>5711</f>
        <v>5711</v>
      </c>
      <c r="W73">
        <f>6558</f>
        <v>6558</v>
      </c>
      <c r="X73">
        <f>5384</f>
        <v>5384</v>
      </c>
      <c r="Y73">
        <f>5518</f>
        <v>5518</v>
      </c>
      <c r="Z73">
        <f>5736</f>
        <v>5736</v>
      </c>
      <c r="AA73">
        <f>6451</f>
        <v>6451</v>
      </c>
      <c r="AB73">
        <f>5442</f>
        <v>5442</v>
      </c>
      <c r="AC73">
        <f>5126</f>
        <v>5126</v>
      </c>
    </row>
    <row r="74" spans="1:29" x14ac:dyDescent="0.25">
      <c r="A74" t="str">
        <f>"    Tata Consultancy Services Ltd"</f>
        <v xml:space="preserve">    Tata Consultancy Services Ltd</v>
      </c>
      <c r="B74" t="str">
        <f>"TCS IN Equity"</f>
        <v>TCS IN Equity</v>
      </c>
      <c r="C74" t="str">
        <f t="shared" si="9"/>
        <v>BS036</v>
      </c>
      <c r="D74" t="str">
        <f t="shared" si="10"/>
        <v>BS_ACCT_PAYABLE</v>
      </c>
      <c r="E74" t="str">
        <f t="shared" si="11"/>
        <v>Dynamic</v>
      </c>
      <c r="F74">
        <f ca="1">IF(AND(ISNUMBER($F$232),$B$165=1),$F$232,HLOOKUP(INDIRECT(ADDRESS(2,COLUMN())),OFFSET($R$2,0,0,ROW()-1,12),ROW()-1,FALSE))</f>
        <v>894.21111080000003</v>
      </c>
      <c r="G74">
        <f ca="1">IF(AND(ISNUMBER($G$232),$B$165=1),$G$232,HLOOKUP(INDIRECT(ADDRESS(2,COLUMN())),OFFSET($R$2,0,0,ROW()-1,12),ROW()-1,FALSE))</f>
        <v>884.24629170000003</v>
      </c>
      <c r="H74">
        <f ca="1">IF(AND(ISNUMBER($H$232),$B$165=1),$H$232,HLOOKUP(INDIRECT(ADDRESS(2,COLUMN())),OFFSET($R$2,0,0,ROW()-1,12),ROW()-1,FALSE))</f>
        <v>952.89980679999996</v>
      </c>
      <c r="I74">
        <f ca="1">IF(AND(ISNUMBER($I$232),$B$165=1),$I$232,HLOOKUP(INDIRECT(ADDRESS(2,COLUMN())),OFFSET($R$2,0,0,ROW()-1,12),ROW()-1,FALSE))</f>
        <v>967.83694030000004</v>
      </c>
      <c r="J74">
        <f ca="1">IF(AND(ISNUMBER($J$232),$B$165=1),$J$232,HLOOKUP(INDIRECT(ADDRESS(2,COLUMN())),OFFSET($R$2,0,0,ROW()-1,12),ROW()-1,FALSE))</f>
        <v>907.6313447</v>
      </c>
      <c r="K74">
        <f ca="1">IF(AND(ISNUMBER($K$232),$B$165=1),$K$232,HLOOKUP(INDIRECT(ADDRESS(2,COLUMN())),OFFSET($R$2,0,0,ROW()-1,12),ROW()-1,FALSE))</f>
        <v>867.98679870000001</v>
      </c>
      <c r="L74">
        <f ca="1">IF(AND(ISNUMBER($L$232),$B$165=1),$L$232,HLOOKUP(INDIRECT(ADDRESS(2,COLUMN())),OFFSET($R$2,0,0,ROW()-1,12),ROW()-1,FALSE))</f>
        <v>861.75645589999999</v>
      </c>
      <c r="M74">
        <f ca="1">IF(AND(ISNUMBER($M$232),$B$165=1),$M$232,HLOOKUP(INDIRECT(ADDRESS(2,COLUMN())),OFFSET($R$2,0,0,ROW()-1,12),ROW()-1,FALSE))</f>
        <v>812.12121209999998</v>
      </c>
      <c r="N74">
        <f ca="1">IF(AND(ISNUMBER($N$232),$B$165=1),$N$232,HLOOKUP(INDIRECT(ADDRESS(2,COLUMN())),OFFSET($R$2,0,0,ROW()-1,12),ROW()-1,FALSE))</f>
        <v>782.00798280000004</v>
      </c>
      <c r="O74">
        <f ca="1">IF(AND(ISNUMBER($O$232),$B$165=1),$O$232,HLOOKUP(INDIRECT(ADDRESS(2,COLUMN())),OFFSET($R$2,0,0,ROW()-1,12),ROW()-1,FALSE))</f>
        <v>835.53244640000003</v>
      </c>
      <c r="P74">
        <f ca="1">IF(AND(ISNUMBER($P$232),$B$165=1),$P$232,HLOOKUP(INDIRECT(ADDRESS(2,COLUMN())),OFFSET($R$2,0,0,ROW()-1,12),ROW()-1,FALSE))</f>
        <v>829.5332823</v>
      </c>
      <c r="Q74" t="str">
        <f ca="1">IF(AND(ISNUMBER($Q$232),$B$165=1),$Q$232,HLOOKUP(INDIRECT(ADDRESS(2,COLUMN())),OFFSET($R$2,0,0,ROW()-1,12),ROW()-1,FALSE))</f>
        <v/>
      </c>
      <c r="R74">
        <f>894.2111108</f>
        <v>894.21111080000003</v>
      </c>
      <c r="S74">
        <f>884.2462917</f>
        <v>884.24629170000003</v>
      </c>
      <c r="T74">
        <f>952.8998068</f>
        <v>952.89980679999996</v>
      </c>
      <c r="U74">
        <f>967.8369403</f>
        <v>967.83694030000004</v>
      </c>
      <c r="V74">
        <f>907.6313447</f>
        <v>907.6313447</v>
      </c>
      <c r="W74">
        <f>867.9867987</f>
        <v>867.98679870000001</v>
      </c>
      <c r="X74">
        <f>861.7564559</f>
        <v>861.75645589999999</v>
      </c>
      <c r="Y74">
        <f>812.1212121</f>
        <v>812.12121209999998</v>
      </c>
      <c r="Z74">
        <f>782.0079828</f>
        <v>782.00798280000004</v>
      </c>
      <c r="AA74">
        <f>835.5324464</f>
        <v>835.53244640000003</v>
      </c>
      <c r="AB74">
        <f>829.5332823</f>
        <v>829.5332823</v>
      </c>
      <c r="AC74" t="str">
        <f>""</f>
        <v/>
      </c>
    </row>
    <row r="75" spans="1:29" x14ac:dyDescent="0.25">
      <c r="A75" t="str">
        <f>"    Tech Mahindra Ltd"</f>
        <v xml:space="preserve">    Tech Mahindra Ltd</v>
      </c>
      <c r="B75" t="str">
        <f>"TECHM IN Equity"</f>
        <v>TECHM IN Equity</v>
      </c>
      <c r="C75" t="str">
        <f t="shared" si="9"/>
        <v>BS036</v>
      </c>
      <c r="D75" t="str">
        <f t="shared" si="10"/>
        <v>BS_ACCT_PAYABLE</v>
      </c>
      <c r="E75" t="str">
        <f t="shared" si="11"/>
        <v>Dynamic</v>
      </c>
      <c r="F75">
        <f ca="1">IF(AND(ISNUMBER($F$233),$B$165=1),$F$233,HLOOKUP(INDIRECT(ADDRESS(2,COLUMN())),OFFSET($R$2,0,0,ROW()-1,12),ROW()-1,FALSE))</f>
        <v>432.06051980000001</v>
      </c>
      <c r="G75">
        <f ca="1">IF(AND(ISNUMBER($G$233),$B$165=1),$G$233,HLOOKUP(INDIRECT(ADDRESS(2,COLUMN())),OFFSET($R$2,0,0,ROW()-1,12),ROW()-1,FALSE))</f>
        <v>411.10853709999998</v>
      </c>
      <c r="H75">
        <f ca="1">IF(AND(ISNUMBER($H$233),$B$165=1),$H$233,HLOOKUP(INDIRECT(ADDRESS(2,COLUMN())),OFFSET($R$2,0,0,ROW()-1,12),ROW()-1,FALSE))</f>
        <v>378.48546379999999</v>
      </c>
      <c r="I75">
        <f ca="1">IF(AND(ISNUMBER($I$233),$B$165=1),$I$233,HLOOKUP(INDIRECT(ADDRESS(2,COLUMN())),OFFSET($R$2,0,0,ROW()-1,12),ROW()-1,FALSE))</f>
        <v>365.61922850000002</v>
      </c>
      <c r="J75">
        <f ca="1">IF(AND(ISNUMBER($J$233),$B$165=1),$J$233,HLOOKUP(INDIRECT(ADDRESS(2,COLUMN())),OFFSET($R$2,0,0,ROW()-1,12),ROW()-1,FALSE))</f>
        <v>359.0856177</v>
      </c>
      <c r="K75">
        <f ca="1">IF(AND(ISNUMBER($K$233),$B$165=1),$K$233,HLOOKUP(INDIRECT(ADDRESS(2,COLUMN())),OFFSET($R$2,0,0,ROW()-1,12),ROW()-1,FALSE))</f>
        <v>333.77816039999999</v>
      </c>
      <c r="L75">
        <f ca="1">IF(AND(ISNUMBER($L$233),$B$165=1),$L$233,HLOOKUP(INDIRECT(ADDRESS(2,COLUMN())),OFFSET($R$2,0,0,ROW()-1,12),ROW()-1,FALSE))</f>
        <v>335.73215529999999</v>
      </c>
      <c r="M75">
        <f ca="1">IF(AND(ISNUMBER($M$233),$B$165=1),$M$233,HLOOKUP(INDIRECT(ADDRESS(2,COLUMN())),OFFSET($R$2,0,0,ROW()-1,12),ROW()-1,FALSE))</f>
        <v>311.63198249999999</v>
      </c>
      <c r="N75">
        <f ca="1">IF(AND(ISNUMBER($N$233),$B$165=1),$N$233,HLOOKUP(INDIRECT(ADDRESS(2,COLUMN())),OFFSET($R$2,0,0,ROW()-1,12),ROW()-1,FALSE))</f>
        <v>312.6803807</v>
      </c>
      <c r="O75">
        <f ca="1">IF(AND(ISNUMBER($O$233),$B$165=1),$O$233,HLOOKUP(INDIRECT(ADDRESS(2,COLUMN())),OFFSET($R$2,0,0,ROW()-1,12),ROW()-1,FALSE))</f>
        <v>364.67428330000001</v>
      </c>
      <c r="P75">
        <f ca="1">IF(AND(ISNUMBER($P$233),$B$165=1),$P$233,HLOOKUP(INDIRECT(ADDRESS(2,COLUMN())),OFFSET($R$2,0,0,ROW()-1,12),ROW()-1,FALSE))</f>
        <v>364.9303749</v>
      </c>
      <c r="Q75">
        <f ca="1">IF(AND(ISNUMBER($Q$233),$B$165=1),$Q$233,HLOOKUP(INDIRECT(ADDRESS(2,COLUMN())),OFFSET($R$2,0,0,ROW()-1,12),ROW()-1,FALSE))</f>
        <v>384.09220690000001</v>
      </c>
      <c r="R75">
        <f>432.0605198</f>
        <v>432.06051980000001</v>
      </c>
      <c r="S75">
        <f>411.1085371</f>
        <v>411.10853709999998</v>
      </c>
      <c r="T75">
        <f>378.4854638</f>
        <v>378.48546379999999</v>
      </c>
      <c r="U75">
        <f>365.6192285</f>
        <v>365.61922850000002</v>
      </c>
      <c r="V75">
        <f>359.0856177</f>
        <v>359.0856177</v>
      </c>
      <c r="W75">
        <f>333.7781604</f>
        <v>333.77816039999999</v>
      </c>
      <c r="X75">
        <f>335.7321553</f>
        <v>335.73215529999999</v>
      </c>
      <c r="Y75">
        <f>311.6319825</f>
        <v>311.63198249999999</v>
      </c>
      <c r="Z75">
        <f>312.6803807</f>
        <v>312.6803807</v>
      </c>
      <c r="AA75">
        <f>364.6742833</f>
        <v>364.67428330000001</v>
      </c>
      <c r="AB75">
        <f>364.9303749</f>
        <v>364.9303749</v>
      </c>
      <c r="AC75">
        <f>384.0922069</f>
        <v>384.09220690000001</v>
      </c>
    </row>
    <row r="76" spans="1:29" x14ac:dyDescent="0.25">
      <c r="A76" t="str">
        <f>"    Wipro Ltd"</f>
        <v xml:space="preserve">    Wipro Ltd</v>
      </c>
      <c r="B76" t="str">
        <f>"WIT US Equity"</f>
        <v>WIT US Equity</v>
      </c>
      <c r="C76" t="str">
        <f t="shared" si="9"/>
        <v>BS036</v>
      </c>
      <c r="D76" t="str">
        <f t="shared" si="10"/>
        <v>BS_ACCT_PAYABLE</v>
      </c>
      <c r="E76" t="str">
        <f t="shared" si="11"/>
        <v>Dynamic</v>
      </c>
      <c r="F76">
        <f ca="1">IF(AND(ISNUMBER($F$234),$B$165=1),$F$234,HLOOKUP(INDIRECT(ADDRESS(2,COLUMN())),OFFSET($R$2,0,0,ROW()-1,12),ROW()-1,FALSE))</f>
        <v>1036.5551909999999</v>
      </c>
      <c r="G76" t="str">
        <f ca="1">IF(AND(ISNUMBER($G$234),$B$165=1),$G$234,HLOOKUP(INDIRECT(ADDRESS(2,COLUMN())),OFFSET($R$2,0,0,ROW()-1,12),ROW()-1,FALSE))</f>
        <v/>
      </c>
      <c r="H76" t="str">
        <f ca="1">IF(AND(ISNUMBER($H$234),$B$165=1),$H$234,HLOOKUP(INDIRECT(ADDRESS(2,COLUMN())),OFFSET($R$2,0,0,ROW()-1,12),ROW()-1,FALSE))</f>
        <v/>
      </c>
      <c r="I76" t="str">
        <f ca="1">IF(AND(ISNUMBER($I$234),$B$165=1),$I$234,HLOOKUP(INDIRECT(ADDRESS(2,COLUMN())),OFFSET($R$2,0,0,ROW()-1,12),ROW()-1,FALSE))</f>
        <v/>
      </c>
      <c r="J76">
        <f ca="1">IF(AND(ISNUMBER($J$234),$B$165=1),$J$234,HLOOKUP(INDIRECT(ADDRESS(2,COLUMN())),OFFSET($R$2,0,0,ROW()-1,12),ROW()-1,FALSE))</f>
        <v>411.50666510000002</v>
      </c>
      <c r="K76" t="str">
        <f ca="1">IF(AND(ISNUMBER($K$234),$B$165=1),$K$234,HLOOKUP(INDIRECT(ADDRESS(2,COLUMN())),OFFSET($R$2,0,0,ROW()-1,12),ROW()-1,FALSE))</f>
        <v/>
      </c>
      <c r="L76" t="str">
        <f ca="1">IF(AND(ISNUMBER($L$234),$B$165=1),$L$234,HLOOKUP(INDIRECT(ADDRESS(2,COLUMN())),OFFSET($R$2,0,0,ROW()-1,12),ROW()-1,FALSE))</f>
        <v/>
      </c>
      <c r="M76" t="str">
        <f ca="1">IF(AND(ISNUMBER($M$234),$B$165=1),$M$234,HLOOKUP(INDIRECT(ADDRESS(2,COLUMN())),OFFSET($R$2,0,0,ROW()-1,12),ROW()-1,FALSE))</f>
        <v/>
      </c>
      <c r="N76">
        <f ca="1">IF(AND(ISNUMBER($N$234),$B$165=1),$N$234,HLOOKUP(INDIRECT(ADDRESS(2,COLUMN())),OFFSET($R$2,0,0,ROW()-1,12),ROW()-1,FALSE))</f>
        <v>374.66994169999998</v>
      </c>
      <c r="O76" t="str">
        <f ca="1">IF(AND(ISNUMBER($O$234),$B$165=1),$O$234,HLOOKUP(INDIRECT(ADDRESS(2,COLUMN())),OFFSET($R$2,0,0,ROW()-1,12),ROW()-1,FALSE))</f>
        <v/>
      </c>
      <c r="P76" t="str">
        <f ca="1">IF(AND(ISNUMBER($P$234),$B$165=1),$P$234,HLOOKUP(INDIRECT(ADDRESS(2,COLUMN())),OFFSET($R$2,0,0,ROW()-1,12),ROW()-1,FALSE))</f>
        <v/>
      </c>
      <c r="Q76" t="str">
        <f ca="1">IF(AND(ISNUMBER($Q$234),$B$165=1),$Q$234,HLOOKUP(INDIRECT(ADDRESS(2,COLUMN())),OFFSET($R$2,0,0,ROW()-1,12),ROW()-1,FALSE))</f>
        <v/>
      </c>
      <c r="R76">
        <f>1036.555191</f>
        <v>1036.5551909999999</v>
      </c>
      <c r="S76" t="str">
        <f>""</f>
        <v/>
      </c>
      <c r="T76" t="str">
        <f>""</f>
        <v/>
      </c>
      <c r="U76" t="str">
        <f>""</f>
        <v/>
      </c>
      <c r="V76">
        <f>411.5066651</f>
        <v>411.50666510000002</v>
      </c>
      <c r="W76" t="str">
        <f>""</f>
        <v/>
      </c>
      <c r="X76" t="str">
        <f>""</f>
        <v/>
      </c>
      <c r="Y76" t="str">
        <f>""</f>
        <v/>
      </c>
      <c r="Z76">
        <f>374.6699417</f>
        <v>374.66994169999998</v>
      </c>
      <c r="AA76" t="str">
        <f>""</f>
        <v/>
      </c>
      <c r="AB76" t="str">
        <f>""</f>
        <v/>
      </c>
      <c r="AC76" t="str">
        <f>""</f>
        <v/>
      </c>
    </row>
    <row r="77" spans="1:29" x14ac:dyDescent="0.25">
      <c r="A77" t="str">
        <f>"ST Borrowings"</f>
        <v>ST Borrowings</v>
      </c>
      <c r="B77" t="str">
        <f>""</f>
        <v/>
      </c>
      <c r="E77" t="str">
        <f>"Sum"</f>
        <v>Sum</v>
      </c>
      <c r="F77">
        <f ca="1">IF(ISERROR(IF(SUM($F$78:$F$94) = 0, "", SUM($F$78:$F$94))), "", (IF(SUM($F$78:$F$94) = 0, "", SUM($F$78:$F$94))))</f>
        <v>18992.357201439998</v>
      </c>
      <c r="G77">
        <f ca="1">IF(ISERROR(IF(SUM($G$78:$G$94) = 0, "", SUM($G$78:$G$94))), "", (IF(SUM($G$78:$G$94) = 0, "", SUM($G$78:$G$94))))</f>
        <v>16714.978393380003</v>
      </c>
      <c r="H77">
        <f ca="1">IF(ISERROR(IF(SUM($H$78:$H$94) = 0, "", SUM($H$78:$H$94))), "", (IF(SUM($H$78:$H$94) = 0, "", SUM($H$78:$H$94))))</f>
        <v>14538.502062990001</v>
      </c>
      <c r="I77">
        <f ca="1">IF(ISERROR(IF(SUM($I$78:$I$94) = 0, "", SUM($I$78:$I$94))), "", (IF(SUM($I$78:$I$94) = 0, "", SUM($I$78:$I$94))))</f>
        <v>20817.985920690004</v>
      </c>
      <c r="J77">
        <f ca="1">IF(ISERROR(IF(SUM($J$78:$J$94) = 0, "", SUM($J$78:$J$94))), "", (IF(SUM($J$78:$J$94) = 0, "", SUM($J$78:$J$94))))</f>
        <v>15955.180011794</v>
      </c>
      <c r="K77">
        <f ca="1">IF(ISERROR(IF(SUM($K$78:$K$94) = 0, "", SUM($K$78:$K$94))), "", (IF(SUM($K$78:$K$94) = 0, "", SUM($K$78:$K$94))))</f>
        <v>13335.381231272</v>
      </c>
      <c r="L77">
        <f ca="1">IF(ISERROR(IF(SUM($L$78:$L$94) = 0, "", SUM($L$78:$L$94))), "", (IF(SUM($L$78:$L$94) = 0, "", SUM($L$78:$L$94))))</f>
        <v>14596.686651426999</v>
      </c>
      <c r="M77">
        <f ca="1">IF(ISERROR(IF(SUM($M$78:$M$94) = 0, "", SUM($M$78:$M$94))), "", (IF(SUM($M$78:$M$94) = 0, "", SUM($M$78:$M$94))))</f>
        <v>12066.140550904</v>
      </c>
      <c r="N77">
        <f ca="1">IF(ISERROR(IF(SUM($N$78:$N$94) = 0, "", SUM($N$78:$N$94))), "", (IF(SUM($N$78:$N$94) = 0, "", SUM($N$78:$N$94))))</f>
        <v>10850.522011093</v>
      </c>
      <c r="O77">
        <f ca="1">IF(ISERROR(IF(SUM($O$78:$O$94) = 0, "", SUM($O$78:$O$94))), "", (IF(SUM($O$78:$O$94) = 0, "", SUM($O$78:$O$94))))</f>
        <v>11984.631602148002</v>
      </c>
      <c r="P77">
        <f ca="1">IF(ISERROR(IF(SUM($P$78:$P$94) = 0, "", SUM($P$78:$P$94))), "", (IF(SUM($P$78:$P$94) = 0, "", SUM($P$78:$P$94))))</f>
        <v>9026.0618589940004</v>
      </c>
      <c r="Q77">
        <f ca="1">IF(ISERROR(IF(SUM($Q$78:$Q$94) = 0, "", SUM($Q$78:$Q$94))), "", (IF(SUM($Q$78:$Q$94) = 0, "", SUM($Q$78:$Q$94))))</f>
        <v>11913.604595553001</v>
      </c>
      <c r="R77">
        <f>18992.3572</f>
        <v>18992.357199999999</v>
      </c>
      <c r="S77">
        <f>16714.97839</f>
        <v>16714.97839</v>
      </c>
      <c r="T77">
        <f>14538.50206</f>
        <v>14538.502060000001</v>
      </c>
      <c r="U77">
        <f>20817.98592</f>
        <v>20817.985919999999</v>
      </c>
      <c r="V77">
        <f>15955.18001</f>
        <v>15955.18001</v>
      </c>
      <c r="W77">
        <f>13335.38123</f>
        <v>13335.381230000001</v>
      </c>
      <c r="X77">
        <f>14596.68665</f>
        <v>14596.68665</v>
      </c>
      <c r="Y77">
        <f>12066.14055</f>
        <v>12066.14055</v>
      </c>
      <c r="Z77">
        <f>10850.52201</f>
        <v>10850.522010000001</v>
      </c>
      <c r="AA77">
        <f>11984.6316</f>
        <v>11984.631600000001</v>
      </c>
      <c r="AB77">
        <f>9026.061859</f>
        <v>9026.0618589999995</v>
      </c>
      <c r="AC77">
        <f>11913.6046</f>
        <v>11913.604600000001</v>
      </c>
    </row>
    <row r="78" spans="1:29" x14ac:dyDescent="0.25">
      <c r="A78" t="str">
        <f>"    Accenture PLC"</f>
        <v xml:space="preserve">    Accenture PLC</v>
      </c>
      <c r="B78" t="str">
        <f>"ACN US Equity"</f>
        <v>ACN US Equity</v>
      </c>
      <c r="C78" t="str">
        <f t="shared" ref="C78:C94" si="12">"BS047"</f>
        <v>BS047</v>
      </c>
      <c r="D78" t="str">
        <f t="shared" ref="D78:D94" si="13">"BS_ST_BORROW"</f>
        <v>BS_ST_BORROW</v>
      </c>
      <c r="E78" t="str">
        <f t="shared" ref="E78:E94" si="14">"Dynamic"</f>
        <v>Dynamic</v>
      </c>
      <c r="F78">
        <f ca="1">IF(AND(ISNUMBER($F$235),$B$165=1),$F$235,HLOOKUP(INDIRECT(ADDRESS(2,COLUMN())),OFFSET($R$2,0,0,ROW()-1,12),ROW()-1,FALSE))</f>
        <v>744.47799999999995</v>
      </c>
      <c r="G78">
        <f ca="1">IF(AND(ISNUMBER($G$235),$B$165=1),$G$235,HLOOKUP(INDIRECT(ADDRESS(2,COLUMN())),OFFSET($R$2,0,0,ROW()-1,12),ROW()-1,FALSE))</f>
        <v>714.48500000000001</v>
      </c>
      <c r="H78">
        <f ca="1">IF(AND(ISNUMBER($H$235),$B$165=1),$H$235,HLOOKUP(INDIRECT(ADDRESS(2,COLUMN())),OFFSET($R$2,0,0,ROW()-1,12),ROW()-1,FALSE))</f>
        <v>6.4109999999999996</v>
      </c>
      <c r="I78">
        <f ca="1">IF(AND(ISNUMBER($I$235),$B$165=1),$I$235,HLOOKUP(INDIRECT(ADDRESS(2,COLUMN())),OFFSET($R$2,0,0,ROW()-1,12),ROW()-1,FALSE))</f>
        <v>4.1369999999999996</v>
      </c>
      <c r="J78">
        <f ca="1">IF(AND(ISNUMBER($J$235),$B$165=1),$J$235,HLOOKUP(INDIRECT(ADDRESS(2,COLUMN())),OFFSET($R$2,0,0,ROW()-1,12),ROW()-1,FALSE))</f>
        <v>4.3650000000000002</v>
      </c>
      <c r="K78">
        <f ca="1">IF(AND(ISNUMBER($K$235),$B$165=1),$K$235,HLOOKUP(INDIRECT(ADDRESS(2,COLUMN())),OFFSET($R$2,0,0,ROW()-1,12),ROW()-1,FALSE))</f>
        <v>4.7270000000000003</v>
      </c>
      <c r="L78">
        <f ca="1">IF(AND(ISNUMBER($L$235),$B$165=1),$L$235,HLOOKUP(INDIRECT(ADDRESS(2,COLUMN())),OFFSET($R$2,0,0,ROW()-1,12),ROW()-1,FALSE))</f>
        <v>5.3369999999999997</v>
      </c>
      <c r="M78">
        <f ca="1">IF(AND(ISNUMBER($M$235),$B$165=1),$M$235,HLOOKUP(INDIRECT(ADDRESS(2,COLUMN())),OFFSET($R$2,0,0,ROW()-1,12),ROW()-1,FALSE))</f>
        <v>2.84</v>
      </c>
      <c r="N78">
        <f ca="1">IF(AND(ISNUMBER($N$235),$B$165=1),$N$235,HLOOKUP(INDIRECT(ADDRESS(2,COLUMN())),OFFSET($R$2,0,0,ROW()-1,12),ROW()-1,FALSE))</f>
        <v>2.9140000000000001</v>
      </c>
      <c r="O78">
        <f ca="1">IF(AND(ISNUMBER($O$235),$B$165=1),$O$235,HLOOKUP(INDIRECT(ADDRESS(2,COLUMN())),OFFSET($R$2,0,0,ROW()-1,12),ROW()-1,FALSE))</f>
        <v>2.9790000000000001</v>
      </c>
      <c r="P78">
        <f ca="1">IF(AND(ISNUMBER($P$235),$B$165=1),$P$235,HLOOKUP(INDIRECT(ADDRESS(2,COLUMN())),OFFSET($R$2,0,0,ROW()-1,12),ROW()-1,FALSE))</f>
        <v>2.907</v>
      </c>
      <c r="Q78">
        <f ca="1">IF(AND(ISNUMBER($Q$235),$B$165=1),$Q$235,HLOOKUP(INDIRECT(ADDRESS(2,COLUMN())),OFFSET($R$2,0,0,ROW()-1,12),ROW()-1,FALSE))</f>
        <v>2.9420000000000002</v>
      </c>
      <c r="R78">
        <f>744.478</f>
        <v>744.47799999999995</v>
      </c>
      <c r="S78">
        <f>714.485</f>
        <v>714.48500000000001</v>
      </c>
      <c r="T78">
        <f>6.411</f>
        <v>6.4109999999999996</v>
      </c>
      <c r="U78">
        <f>4.137</f>
        <v>4.1369999999999996</v>
      </c>
      <c r="V78">
        <f>4.365</f>
        <v>4.3650000000000002</v>
      </c>
      <c r="W78">
        <f>4.727</f>
        <v>4.7270000000000003</v>
      </c>
      <c r="X78">
        <f>5.337</f>
        <v>5.3369999999999997</v>
      </c>
      <c r="Y78">
        <f>2.84</f>
        <v>2.84</v>
      </c>
      <c r="Z78">
        <f>2.914</f>
        <v>2.9140000000000001</v>
      </c>
      <c r="AA78">
        <f>2.979</f>
        <v>2.9790000000000001</v>
      </c>
      <c r="AB78">
        <f>2.907</f>
        <v>2.907</v>
      </c>
      <c r="AC78">
        <f>2.942</f>
        <v>2.9420000000000002</v>
      </c>
    </row>
    <row r="79" spans="1:29" x14ac:dyDescent="0.25">
      <c r="A79" t="str">
        <f>"    Amdocs Ltd"</f>
        <v xml:space="preserve">    Amdocs Ltd</v>
      </c>
      <c r="B79" t="str">
        <f>"DOX US Equity"</f>
        <v>DOX US Equity</v>
      </c>
      <c r="C79" t="str">
        <f t="shared" si="12"/>
        <v>BS047</v>
      </c>
      <c r="D79" t="str">
        <f t="shared" si="13"/>
        <v>BS_ST_BORROW</v>
      </c>
      <c r="E79" t="str">
        <f t="shared" si="14"/>
        <v>Dynamic</v>
      </c>
      <c r="F79">
        <f ca="1">IF(AND(ISNUMBER($F$236),$B$165=1),$F$236,HLOOKUP(INDIRECT(ADDRESS(2,COLUMN())),OFFSET($R$2,0,0,ROW()-1,12),ROW()-1,FALSE))</f>
        <v>409.767</v>
      </c>
      <c r="G79">
        <f ca="1">IF(AND(ISNUMBER($G$236),$B$165=1),$G$236,HLOOKUP(INDIRECT(ADDRESS(2,COLUMN())),OFFSET($R$2,0,0,ROW()-1,12),ROW()-1,FALSE))</f>
        <v>57.752000000000002</v>
      </c>
      <c r="H79">
        <f ca="1">IF(AND(ISNUMBER($H$236),$B$165=1),$H$236,HLOOKUP(INDIRECT(ADDRESS(2,COLUMN())),OFFSET($R$2,0,0,ROW()-1,12),ROW()-1,FALSE))</f>
        <v>0</v>
      </c>
      <c r="I79">
        <f ca="1">IF(AND(ISNUMBER($I$236),$B$165=1),$I$236,HLOOKUP(INDIRECT(ADDRESS(2,COLUMN())),OFFSET($R$2,0,0,ROW()-1,12),ROW()-1,FALSE))</f>
        <v>0</v>
      </c>
      <c r="J79">
        <f ca="1">IF(AND(ISNUMBER($J$236),$B$165=1),$J$236,HLOOKUP(INDIRECT(ADDRESS(2,COLUMN())),OFFSET($R$2,0,0,ROW()-1,12),ROW()-1,FALSE))</f>
        <v>0</v>
      </c>
      <c r="K79">
        <f ca="1">IF(AND(ISNUMBER($K$236),$B$165=1),$K$236,HLOOKUP(INDIRECT(ADDRESS(2,COLUMN())),OFFSET($R$2,0,0,ROW()-1,12),ROW()-1,FALSE))</f>
        <v>0</v>
      </c>
      <c r="L79">
        <f ca="1">IF(AND(ISNUMBER($L$236),$B$165=1),$L$236,HLOOKUP(INDIRECT(ADDRESS(2,COLUMN())),OFFSET($R$2,0,0,ROW()-1,12),ROW()-1,FALSE))</f>
        <v>0</v>
      </c>
      <c r="M79">
        <f ca="1">IF(AND(ISNUMBER($M$236),$B$165=1),$M$236,HLOOKUP(INDIRECT(ADDRESS(2,COLUMN())),OFFSET($R$2,0,0,ROW()-1,12),ROW()-1,FALSE))</f>
        <v>0</v>
      </c>
      <c r="N79">
        <f ca="1">IF(AND(ISNUMBER($N$236),$B$165=1),$N$236,HLOOKUP(INDIRECT(ADDRESS(2,COLUMN())),OFFSET($R$2,0,0,ROW()-1,12),ROW()-1,FALSE))</f>
        <v>120</v>
      </c>
      <c r="O79">
        <f ca="1">IF(AND(ISNUMBER($O$236),$B$165=1),$O$236,HLOOKUP(INDIRECT(ADDRESS(2,COLUMN())),OFFSET($R$2,0,0,ROW()-1,12),ROW()-1,FALSE))</f>
        <v>0</v>
      </c>
      <c r="P79">
        <f ca="1">IF(AND(ISNUMBER($P$236),$B$165=1),$P$236,HLOOKUP(INDIRECT(ADDRESS(2,COLUMN())),OFFSET($R$2,0,0,ROW()-1,12),ROW()-1,FALSE))</f>
        <v>0</v>
      </c>
      <c r="Q79">
        <f ca="1">IF(AND(ISNUMBER($Q$236),$B$165=1),$Q$236,HLOOKUP(INDIRECT(ADDRESS(2,COLUMN())),OFFSET($R$2,0,0,ROW()-1,12),ROW()-1,FALSE))</f>
        <v>0</v>
      </c>
      <c r="R79">
        <f>409.767</f>
        <v>409.767</v>
      </c>
      <c r="S79">
        <f>57.752</f>
        <v>57.752000000000002</v>
      </c>
      <c r="T79">
        <f>0</f>
        <v>0</v>
      </c>
      <c r="U79">
        <f>0</f>
        <v>0</v>
      </c>
      <c r="V79">
        <f>0</f>
        <v>0</v>
      </c>
      <c r="W79">
        <f>0</f>
        <v>0</v>
      </c>
      <c r="X79">
        <f>0</f>
        <v>0</v>
      </c>
      <c r="Y79">
        <f>0</f>
        <v>0</v>
      </c>
      <c r="Z79">
        <f>120</f>
        <v>120</v>
      </c>
      <c r="AA79">
        <f>0</f>
        <v>0</v>
      </c>
      <c r="AB79">
        <f>0</f>
        <v>0</v>
      </c>
      <c r="AC79">
        <f>0</f>
        <v>0</v>
      </c>
    </row>
    <row r="80" spans="1:29" x14ac:dyDescent="0.25">
      <c r="A80" t="str">
        <f>"    Atos SE"</f>
        <v xml:space="preserve">    Atos SE</v>
      </c>
      <c r="B80" t="str">
        <f>"ATO FP Equity"</f>
        <v>ATO FP Equity</v>
      </c>
      <c r="C80" t="str">
        <f t="shared" si="12"/>
        <v>BS047</v>
      </c>
      <c r="D80" t="str">
        <f t="shared" si="13"/>
        <v>BS_ST_BORROW</v>
      </c>
      <c r="E80" t="str">
        <f t="shared" si="14"/>
        <v>Dynamic</v>
      </c>
      <c r="F80" t="str">
        <f ca="1">IF(AND(ISNUMBER($F$237),$B$165=1),$F$237,HLOOKUP(INDIRECT(ADDRESS(2,COLUMN())),OFFSET($R$2,0,0,ROW()-1,12),ROW()-1,FALSE))</f>
        <v/>
      </c>
      <c r="G80" t="str">
        <f ca="1">IF(AND(ISNUMBER($G$237),$B$165=1),$G$237,HLOOKUP(INDIRECT(ADDRESS(2,COLUMN())),OFFSET($R$2,0,0,ROW()-1,12),ROW()-1,FALSE))</f>
        <v/>
      </c>
      <c r="H80" t="str">
        <f ca="1">IF(AND(ISNUMBER($H$237),$B$165=1),$H$237,HLOOKUP(INDIRECT(ADDRESS(2,COLUMN())),OFFSET($R$2,0,0,ROW()-1,12),ROW()-1,FALSE))</f>
        <v/>
      </c>
      <c r="I80" t="str">
        <f ca="1">IF(AND(ISNUMBER($I$237),$B$165=1),$I$237,HLOOKUP(INDIRECT(ADDRESS(2,COLUMN())),OFFSET($R$2,0,0,ROW()-1,12),ROW()-1,FALSE))</f>
        <v/>
      </c>
      <c r="J80" t="str">
        <f ca="1">IF(AND(ISNUMBER($J$237),$B$165=1),$J$237,HLOOKUP(INDIRECT(ADDRESS(2,COLUMN())),OFFSET($R$2,0,0,ROW()-1,12),ROW()-1,FALSE))</f>
        <v/>
      </c>
      <c r="K80" t="str">
        <f ca="1">IF(AND(ISNUMBER($K$237),$B$165=1),$K$237,HLOOKUP(INDIRECT(ADDRESS(2,COLUMN())),OFFSET($R$2,0,0,ROW()-1,12),ROW()-1,FALSE))</f>
        <v/>
      </c>
      <c r="L80" t="str">
        <f ca="1">IF(AND(ISNUMBER($L$237),$B$165=1),$L$237,HLOOKUP(INDIRECT(ADDRESS(2,COLUMN())),OFFSET($R$2,0,0,ROW()-1,12),ROW()-1,FALSE))</f>
        <v/>
      </c>
      <c r="M80" t="str">
        <f ca="1">IF(AND(ISNUMBER($M$237),$B$165=1),$M$237,HLOOKUP(INDIRECT(ADDRESS(2,COLUMN())),OFFSET($R$2,0,0,ROW()-1,12),ROW()-1,FALSE))</f>
        <v/>
      </c>
      <c r="N80" t="str">
        <f ca="1">IF(AND(ISNUMBER($N$237),$B$165=1),$N$237,HLOOKUP(INDIRECT(ADDRESS(2,COLUMN())),OFFSET($R$2,0,0,ROW()-1,12),ROW()-1,FALSE))</f>
        <v/>
      </c>
      <c r="O80" t="str">
        <f ca="1">IF(AND(ISNUMBER($O$237),$B$165=1),$O$237,HLOOKUP(INDIRECT(ADDRESS(2,COLUMN())),OFFSET($R$2,0,0,ROW()-1,12),ROW()-1,FALSE))</f>
        <v/>
      </c>
      <c r="P80" t="str">
        <f ca="1">IF(AND(ISNUMBER($P$237),$B$165=1),$P$237,HLOOKUP(INDIRECT(ADDRESS(2,COLUMN())),OFFSET($R$2,0,0,ROW()-1,12),ROW()-1,FALSE))</f>
        <v/>
      </c>
      <c r="Q80" t="str">
        <f ca="1">IF(AND(ISNUMBER($Q$237),$B$165=1),$Q$237,HLOOKUP(INDIRECT(ADDRESS(2,COLUMN())),OFFSET($R$2,0,0,ROW()-1,12),ROW()-1,FALSE))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</row>
    <row r="81" spans="1:29" x14ac:dyDescent="0.25">
      <c r="A81" t="str">
        <f>"    Capgemini SE"</f>
        <v xml:space="preserve">    Capgemini SE</v>
      </c>
      <c r="B81" t="str">
        <f>"CAP FP Equity"</f>
        <v>CAP FP Equity</v>
      </c>
      <c r="C81" t="str">
        <f t="shared" si="12"/>
        <v>BS047</v>
      </c>
      <c r="D81" t="str">
        <f t="shared" si="13"/>
        <v>BS_ST_BORROW</v>
      </c>
      <c r="E81" t="str">
        <f t="shared" si="14"/>
        <v>Dynamic</v>
      </c>
      <c r="F81" t="str">
        <f ca="1">IF(AND(ISNUMBER($F$238),$B$165=1),$F$238,HLOOKUP(INDIRECT(ADDRESS(2,COLUMN())),OFFSET($R$2,0,0,ROW()-1,12),ROW()-1,FALSE))</f>
        <v/>
      </c>
      <c r="G81">
        <f ca="1">IF(AND(ISNUMBER($G$238),$B$165=1),$G$238,HLOOKUP(INDIRECT(ADDRESS(2,COLUMN())),OFFSET($R$2,0,0,ROW()-1,12),ROW()-1,FALSE))</f>
        <v>1053.2801999999999</v>
      </c>
      <c r="H81" t="str">
        <f ca="1">IF(AND(ISNUMBER($H$238),$B$165=1),$H$238,HLOOKUP(INDIRECT(ADDRESS(2,COLUMN())),OFFSET($R$2,0,0,ROW()-1,12),ROW()-1,FALSE))</f>
        <v/>
      </c>
      <c r="I81" t="str">
        <f ca="1">IF(AND(ISNUMBER($I$238),$B$165=1),$I$238,HLOOKUP(INDIRECT(ADDRESS(2,COLUMN())),OFFSET($R$2,0,0,ROW()-1,12),ROW()-1,FALSE))</f>
        <v/>
      </c>
      <c r="J81" t="str">
        <f ca="1">IF(AND(ISNUMBER($J$238),$B$165=1),$J$238,HLOOKUP(INDIRECT(ADDRESS(2,COLUMN())),OFFSET($R$2,0,0,ROW()-1,12),ROW()-1,FALSE))</f>
        <v/>
      </c>
      <c r="K81" t="str">
        <f ca="1">IF(AND(ISNUMBER($K$238),$B$165=1),$K$238,HLOOKUP(INDIRECT(ADDRESS(2,COLUMN())),OFFSET($R$2,0,0,ROW()-1,12),ROW()-1,FALSE))</f>
        <v/>
      </c>
      <c r="L81" t="str">
        <f ca="1">IF(AND(ISNUMBER($L$238),$B$165=1),$L$238,HLOOKUP(INDIRECT(ADDRESS(2,COLUMN())),OFFSET($R$2,0,0,ROW()-1,12),ROW()-1,FALSE))</f>
        <v/>
      </c>
      <c r="M81" t="str">
        <f ca="1">IF(AND(ISNUMBER($M$238),$B$165=1),$M$238,HLOOKUP(INDIRECT(ADDRESS(2,COLUMN())),OFFSET($R$2,0,0,ROW()-1,12),ROW()-1,FALSE))</f>
        <v/>
      </c>
      <c r="N81" t="str">
        <f ca="1">IF(AND(ISNUMBER($N$238),$B$165=1),$N$238,HLOOKUP(INDIRECT(ADDRESS(2,COLUMN())),OFFSET($R$2,0,0,ROW()-1,12),ROW()-1,FALSE))</f>
        <v/>
      </c>
      <c r="O81" t="str">
        <f ca="1">IF(AND(ISNUMBER($O$238),$B$165=1),$O$238,HLOOKUP(INDIRECT(ADDRESS(2,COLUMN())),OFFSET($R$2,0,0,ROW()-1,12),ROW()-1,FALSE))</f>
        <v/>
      </c>
      <c r="P81" t="str">
        <f ca="1">IF(AND(ISNUMBER($P$238),$B$165=1),$P$238,HLOOKUP(INDIRECT(ADDRESS(2,COLUMN())),OFFSET($R$2,0,0,ROW()-1,12),ROW()-1,FALSE))</f>
        <v/>
      </c>
      <c r="Q81" t="str">
        <f ca="1">IF(AND(ISNUMBER($Q$238),$B$165=1),$Q$238,HLOOKUP(INDIRECT(ADDRESS(2,COLUMN())),OFFSET($R$2,0,0,ROW()-1,12),ROW()-1,FALSE))</f>
        <v/>
      </c>
      <c r="R81" t="str">
        <f>""</f>
        <v/>
      </c>
      <c r="S81">
        <f>1053.2802</f>
        <v>1053.2801999999999</v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</row>
    <row r="82" spans="1:29" x14ac:dyDescent="0.25">
      <c r="A82" t="str">
        <f>"    CGI Inc"</f>
        <v xml:space="preserve">    CGI Inc</v>
      </c>
      <c r="B82" t="str">
        <f>"GIB US Equity"</f>
        <v>GIB US Equity</v>
      </c>
      <c r="C82" t="str">
        <f t="shared" si="12"/>
        <v>BS047</v>
      </c>
      <c r="D82" t="str">
        <f t="shared" si="13"/>
        <v>BS_ST_BORROW</v>
      </c>
      <c r="E82" t="str">
        <f t="shared" si="14"/>
        <v>Dynamic</v>
      </c>
      <c r="F82">
        <f ca="1">IF(AND(ISNUMBER($F$239),$B$165=1),$F$239,HLOOKUP(INDIRECT(ADDRESS(2,COLUMN())),OFFSET($R$2,0,0,ROW()-1,12),ROW()-1,FALSE))</f>
        <v>203.65571689999999</v>
      </c>
      <c r="G82">
        <f ca="1">IF(AND(ISNUMBER($G$239),$B$165=1),$G$239,HLOOKUP(INDIRECT(ADDRESS(2,COLUMN())),OFFSET($R$2,0,0,ROW()-1,12),ROW()-1,FALSE))</f>
        <v>212.80166439999999</v>
      </c>
      <c r="H82">
        <f ca="1">IF(AND(ISNUMBER($H$239),$B$165=1),$H$239,HLOOKUP(INDIRECT(ADDRESS(2,COLUMN())),OFFSET($R$2,0,0,ROW()-1,12),ROW()-1,FALSE))</f>
        <v>85.726908839999993</v>
      </c>
      <c r="I82">
        <f ca="1">IF(AND(ISNUMBER($I$239),$B$165=1),$I$239,HLOOKUP(INDIRECT(ADDRESS(2,COLUMN())),OFFSET($R$2,0,0,ROW()-1,12),ROW()-1,FALSE))</f>
        <v>126.6890705</v>
      </c>
      <c r="J82">
        <f ca="1">IF(AND(ISNUMBER($J$239),$B$165=1),$J$239,HLOOKUP(INDIRECT(ADDRESS(2,COLUMN())),OFFSET($R$2,0,0,ROW()-1,12),ROW()-1,FALSE))</f>
        <v>125.4671953</v>
      </c>
      <c r="K82">
        <f ca="1">IF(AND(ISNUMBER($K$239),$B$165=1),$K$239,HLOOKUP(INDIRECT(ADDRESS(2,COLUMN())),OFFSET($R$2,0,0,ROW()-1,12),ROW()-1,FALSE))</f>
        <v>126.9377569</v>
      </c>
      <c r="L82">
        <f ca="1">IF(AND(ISNUMBER($L$239),$B$165=1),$L$239,HLOOKUP(INDIRECT(ADDRESS(2,COLUMN())),OFFSET($R$2,0,0,ROW()-1,12),ROW()-1,FALSE))</f>
        <v>269.40258130000001</v>
      </c>
      <c r="M82">
        <f ca="1">IF(AND(ISNUMBER($M$239),$B$165=1),$M$239,HLOOKUP(INDIRECT(ADDRESS(2,COLUMN())),OFFSET($R$2,0,0,ROW()-1,12),ROW()-1,FALSE))</f>
        <v>227.35717</v>
      </c>
      <c r="N82">
        <f ca="1">IF(AND(ISNUMBER($N$239),$B$165=1),$N$239,HLOOKUP(INDIRECT(ADDRESS(2,COLUMN())),OFFSET($R$2,0,0,ROW()-1,12),ROW()-1,FALSE))</f>
        <v>232.8171309</v>
      </c>
      <c r="O82">
        <f ca="1">IF(AND(ISNUMBER($O$239),$B$165=1),$O$239,HLOOKUP(INDIRECT(ADDRESS(2,COLUMN())),OFFSET($R$2,0,0,ROW()-1,12),ROW()-1,FALSE))</f>
        <v>242.7293047</v>
      </c>
      <c r="P82">
        <f ca="1">IF(AND(ISNUMBER($P$239),$B$165=1),$P$239,HLOOKUP(INDIRECT(ADDRESS(2,COLUMN())),OFFSET($R$2,0,0,ROW()-1,12),ROW()-1,FALSE))</f>
        <v>98.099166929999996</v>
      </c>
      <c r="Q82">
        <f ca="1">IF(AND(ISNUMBER($Q$239),$B$165=1),$Q$239,HLOOKUP(INDIRECT(ADDRESS(2,COLUMN())),OFFSET($R$2,0,0,ROW()-1,12),ROW()-1,FALSE))</f>
        <v>52.292356249999997</v>
      </c>
      <c r="R82">
        <f>203.6557169</f>
        <v>203.65571689999999</v>
      </c>
      <c r="S82">
        <f>212.8016644</f>
        <v>212.80166439999999</v>
      </c>
      <c r="T82">
        <f>85.72690884</f>
        <v>85.726908839999993</v>
      </c>
      <c r="U82">
        <f>126.6890705</f>
        <v>126.6890705</v>
      </c>
      <c r="V82">
        <f>125.4671953</f>
        <v>125.4671953</v>
      </c>
      <c r="W82">
        <f>126.9377569</f>
        <v>126.9377569</v>
      </c>
      <c r="X82">
        <f>269.4025813</f>
        <v>269.40258130000001</v>
      </c>
      <c r="Y82">
        <f>227.35717</f>
        <v>227.35717</v>
      </c>
      <c r="Z82">
        <f>232.8171309</f>
        <v>232.8171309</v>
      </c>
      <c r="AA82">
        <f>242.7293047</f>
        <v>242.7293047</v>
      </c>
      <c r="AB82">
        <f>98.09916693</f>
        <v>98.099166929999996</v>
      </c>
      <c r="AC82">
        <f>52.29235625</f>
        <v>52.292356249999997</v>
      </c>
    </row>
    <row r="83" spans="1:29" x14ac:dyDescent="0.25">
      <c r="A83" t="str">
        <f>"    Cognizant Technology Solutions Corp"</f>
        <v xml:space="preserve">    Cognizant Technology Solutions Corp</v>
      </c>
      <c r="B83" t="str">
        <f>"CTSH US Equity"</f>
        <v>CTSH US Equity</v>
      </c>
      <c r="C83" t="str">
        <f t="shared" si="12"/>
        <v>BS047</v>
      </c>
      <c r="D83" t="str">
        <f t="shared" si="13"/>
        <v>BS_ST_BORROW</v>
      </c>
      <c r="E83" t="str">
        <f t="shared" si="14"/>
        <v>Dynamic</v>
      </c>
      <c r="F83">
        <f ca="1">IF(AND(ISNUMBER($F$240),$B$165=1),$F$240,HLOOKUP(INDIRECT(ADDRESS(2,COLUMN())),OFFSET($R$2,0,0,ROW()-1,12),ROW()-1,FALSE))</f>
        <v>235</v>
      </c>
      <c r="G83">
        <f ca="1">IF(AND(ISNUMBER($G$240),$B$165=1),$G$240,HLOOKUP(INDIRECT(ADDRESS(2,COLUMN())),OFFSET($R$2,0,0,ROW()-1,12),ROW()-1,FALSE))</f>
        <v>251</v>
      </c>
      <c r="H83">
        <f ca="1">IF(AND(ISNUMBER($H$240),$B$165=1),$H$240,HLOOKUP(INDIRECT(ADDRESS(2,COLUMN())),OFFSET($R$2,0,0,ROW()-1,12),ROW()-1,FALSE))</f>
        <v>243</v>
      </c>
      <c r="I83">
        <f ca="1">IF(AND(ISNUMBER($I$240),$B$165=1),$I$240,HLOOKUP(INDIRECT(ADDRESS(2,COLUMN())),OFFSET($R$2,0,0,ROW()-1,12),ROW()-1,FALSE))</f>
        <v>241</v>
      </c>
      <c r="J83">
        <f ca="1">IF(AND(ISNUMBER($J$240),$B$165=1),$J$240,HLOOKUP(INDIRECT(ADDRESS(2,COLUMN())),OFFSET($R$2,0,0,ROW()-1,12),ROW()-1,FALSE))</f>
        <v>216</v>
      </c>
      <c r="K83">
        <f ca="1">IF(AND(ISNUMBER($K$240),$B$165=1),$K$240,HLOOKUP(INDIRECT(ADDRESS(2,COLUMN())),OFFSET($R$2,0,0,ROW()-1,12),ROW()-1,FALSE))</f>
        <v>9</v>
      </c>
      <c r="L83">
        <f ca="1">IF(AND(ISNUMBER($L$240),$B$165=1),$L$240,HLOOKUP(INDIRECT(ADDRESS(2,COLUMN())),OFFSET($R$2,0,0,ROW()-1,12),ROW()-1,FALSE))</f>
        <v>100</v>
      </c>
      <c r="M83">
        <f ca="1">IF(AND(ISNUMBER($M$240),$B$165=1),$M$240,HLOOKUP(INDIRECT(ADDRESS(2,COLUMN())),OFFSET($R$2,0,0,ROW()-1,12),ROW()-1,FALSE))</f>
        <v>100</v>
      </c>
      <c r="N83">
        <f ca="1">IF(AND(ISNUMBER($N$240),$B$165=1),$N$240,HLOOKUP(INDIRECT(ADDRESS(2,COLUMN())),OFFSET($R$2,0,0,ROW()-1,12),ROW()-1,FALSE))</f>
        <v>100</v>
      </c>
      <c r="O83">
        <f ca="1">IF(AND(ISNUMBER($O$240),$B$165=1),$O$240,HLOOKUP(INDIRECT(ADDRESS(2,COLUMN())),OFFSET($R$2,0,0,ROW()-1,12),ROW()-1,FALSE))</f>
        <v>175</v>
      </c>
      <c r="P83">
        <f ca="1">IF(AND(ISNUMBER($P$240),$B$165=1),$P$240,HLOOKUP(INDIRECT(ADDRESS(2,COLUMN())),OFFSET($R$2,0,0,ROW()-1,12),ROW()-1,FALSE))</f>
        <v>100</v>
      </c>
      <c r="Q83">
        <f ca="1">IF(AND(ISNUMBER($Q$240),$B$165=1),$Q$240,HLOOKUP(INDIRECT(ADDRESS(2,COLUMN())),OFFSET($R$2,0,0,ROW()-1,12),ROW()-1,FALSE))</f>
        <v>244</v>
      </c>
      <c r="R83">
        <f>235</f>
        <v>235</v>
      </c>
      <c r="S83">
        <f>251</f>
        <v>251</v>
      </c>
      <c r="T83">
        <f>243</f>
        <v>243</v>
      </c>
      <c r="U83">
        <f>241</f>
        <v>241</v>
      </c>
      <c r="V83">
        <f>216</f>
        <v>216</v>
      </c>
      <c r="W83">
        <f>9</f>
        <v>9</v>
      </c>
      <c r="X83">
        <f>100</f>
        <v>100</v>
      </c>
      <c r="Y83">
        <f>100</f>
        <v>100</v>
      </c>
      <c r="Z83">
        <f>100</f>
        <v>100</v>
      </c>
      <c r="AA83">
        <f>175</f>
        <v>175</v>
      </c>
      <c r="AB83">
        <f>100</f>
        <v>100</v>
      </c>
      <c r="AC83">
        <f>244</f>
        <v>244</v>
      </c>
    </row>
    <row r="84" spans="1:29" x14ac:dyDescent="0.25">
      <c r="A84" t="str">
        <f>"    Conduent Inc"</f>
        <v xml:space="preserve">    Conduent Inc</v>
      </c>
      <c r="B84" t="str">
        <f>"CNDT US Equity"</f>
        <v>CNDT US Equity</v>
      </c>
      <c r="C84" t="str">
        <f t="shared" si="12"/>
        <v>BS047</v>
      </c>
      <c r="D84" t="str">
        <f t="shared" si="13"/>
        <v>BS_ST_BORROW</v>
      </c>
      <c r="E84" t="str">
        <f t="shared" si="14"/>
        <v>Dynamic</v>
      </c>
      <c r="F84">
        <f ca="1">IF(AND(ISNUMBER($F$241),$B$165=1),$F$241,HLOOKUP(INDIRECT(ADDRESS(2,COLUMN())),OFFSET($R$2,0,0,ROW()-1,12),ROW()-1,FALSE))</f>
        <v>147</v>
      </c>
      <c r="G84">
        <f ca="1">IF(AND(ISNUMBER($G$241),$B$165=1),$G$241,HLOOKUP(INDIRECT(ADDRESS(2,COLUMN())),OFFSET($R$2,0,0,ROW()-1,12),ROW()-1,FALSE))</f>
        <v>148</v>
      </c>
      <c r="H84">
        <f ca="1">IF(AND(ISNUMBER($H$241),$B$165=1),$H$241,HLOOKUP(INDIRECT(ADDRESS(2,COLUMN())),OFFSET($R$2,0,0,ROW()-1,12),ROW()-1,FALSE))</f>
        <v>154</v>
      </c>
      <c r="I84">
        <f ca="1">IF(AND(ISNUMBER($I$241),$B$165=1),$I$241,HLOOKUP(INDIRECT(ADDRESS(2,COLUMN())),OFFSET($R$2,0,0,ROW()-1,12),ROW()-1,FALSE))</f>
        <v>158</v>
      </c>
      <c r="J84">
        <f ca="1">IF(AND(ISNUMBER($J$241),$B$165=1),$J$241,HLOOKUP(INDIRECT(ADDRESS(2,COLUMN())),OFFSET($R$2,0,0,ROW()-1,12),ROW()-1,FALSE))</f>
        <v>165</v>
      </c>
      <c r="K84">
        <f ca="1">IF(AND(ISNUMBER($K$241),$B$165=1),$K$241,HLOOKUP(INDIRECT(ADDRESS(2,COLUMN())),OFFSET($R$2,0,0,ROW()-1,12),ROW()-1,FALSE))</f>
        <v>55</v>
      </c>
      <c r="L84">
        <f ca="1">IF(AND(ISNUMBER($L$241),$B$165=1),$L$241,HLOOKUP(INDIRECT(ADDRESS(2,COLUMN())),OFFSET($R$2,0,0,ROW()-1,12),ROW()-1,FALSE))</f>
        <v>49</v>
      </c>
      <c r="M84">
        <f ca="1">IF(AND(ISNUMBER($M$241),$B$165=1),$M$241,HLOOKUP(INDIRECT(ADDRESS(2,COLUMN())),OFFSET($R$2,0,0,ROW()-1,12),ROW()-1,FALSE))</f>
        <v>43</v>
      </c>
      <c r="N84">
        <f ca="1">IF(AND(ISNUMBER($N$241),$B$165=1),$N$241,HLOOKUP(INDIRECT(ADDRESS(2,COLUMN())),OFFSET($R$2,0,0,ROW()-1,12),ROW()-1,FALSE))</f>
        <v>81</v>
      </c>
      <c r="O84">
        <f ca="1">IF(AND(ISNUMBER($O$241),$B$165=1),$O$241,HLOOKUP(INDIRECT(ADDRESS(2,COLUMN())),OFFSET($R$2,0,0,ROW()-1,12),ROW()-1,FALSE))</f>
        <v>82</v>
      </c>
      <c r="P84">
        <f ca="1">IF(AND(ISNUMBER($P$241),$B$165=1),$P$241,HLOOKUP(INDIRECT(ADDRESS(2,COLUMN())),OFFSET($R$2,0,0,ROW()-1,12),ROW()-1,FALSE))</f>
        <v>71</v>
      </c>
      <c r="Q84">
        <f ca="1">IF(AND(ISNUMBER($Q$241),$B$165=1),$Q$241,HLOOKUP(INDIRECT(ADDRESS(2,COLUMN())),OFFSET($R$2,0,0,ROW()-1,12),ROW()-1,FALSE))</f>
        <v>59</v>
      </c>
      <c r="R84">
        <f>147</f>
        <v>147</v>
      </c>
      <c r="S84">
        <f>148</f>
        <v>148</v>
      </c>
      <c r="T84">
        <f>154</f>
        <v>154</v>
      </c>
      <c r="U84">
        <f>158</f>
        <v>158</v>
      </c>
      <c r="V84">
        <f>165</f>
        <v>165</v>
      </c>
      <c r="W84">
        <f>55</f>
        <v>55</v>
      </c>
      <c r="X84">
        <f>49</f>
        <v>49</v>
      </c>
      <c r="Y84">
        <f>43</f>
        <v>43</v>
      </c>
      <c r="Z84">
        <f>81</f>
        <v>81</v>
      </c>
      <c r="AA84">
        <f>82</f>
        <v>82</v>
      </c>
      <c r="AB84">
        <f>71</f>
        <v>71</v>
      </c>
      <c r="AC84">
        <f>59</f>
        <v>59</v>
      </c>
    </row>
    <row r="85" spans="1:29" x14ac:dyDescent="0.25">
      <c r="A85" t="str">
        <f>"    DXC Technology Co"</f>
        <v xml:space="preserve">    DXC Technology Co</v>
      </c>
      <c r="B85" t="str">
        <f>"DXC US Equity"</f>
        <v>DXC US Equity</v>
      </c>
      <c r="C85" t="str">
        <f t="shared" si="12"/>
        <v>BS047</v>
      </c>
      <c r="D85" t="str">
        <f t="shared" si="13"/>
        <v>BS_ST_BORROW</v>
      </c>
      <c r="E85" t="str">
        <f t="shared" si="14"/>
        <v>Dynamic</v>
      </c>
      <c r="F85">
        <f ca="1">IF(AND(ISNUMBER($F$242),$B$165=1),$F$242,HLOOKUP(INDIRECT(ADDRESS(2,COLUMN())),OFFSET($R$2,0,0,ROW()-1,12),ROW()-1,FALSE))</f>
        <v>1758</v>
      </c>
      <c r="G85">
        <f ca="1">IF(AND(ISNUMBER($G$242),$B$165=1),$G$242,HLOOKUP(INDIRECT(ADDRESS(2,COLUMN())),OFFSET($R$2,0,0,ROW()-1,12),ROW()-1,FALSE))</f>
        <v>2079</v>
      </c>
      <c r="H85">
        <f ca="1">IF(AND(ISNUMBER($H$242),$B$165=1),$H$242,HLOOKUP(INDIRECT(ADDRESS(2,COLUMN())),OFFSET($R$2,0,0,ROW()-1,12),ROW()-1,FALSE))</f>
        <v>1960</v>
      </c>
      <c r="I85">
        <f ca="1">IF(AND(ISNUMBER($I$242),$B$165=1),$I$242,HLOOKUP(INDIRECT(ADDRESS(2,COLUMN())),OFFSET($R$2,0,0,ROW()-1,12),ROW()-1,FALSE))</f>
        <v>2097</v>
      </c>
      <c r="J85">
        <f ca="1">IF(AND(ISNUMBER($J$242),$B$165=1),$J$242,HLOOKUP(INDIRECT(ADDRESS(2,COLUMN())),OFFSET($R$2,0,0,ROW()-1,12),ROW()-1,FALSE))</f>
        <v>1942</v>
      </c>
      <c r="K85">
        <f ca="1">IF(AND(ISNUMBER($K$242),$B$165=1),$K$242,HLOOKUP(INDIRECT(ADDRESS(2,COLUMN())),OFFSET($R$2,0,0,ROW()-1,12),ROW()-1,FALSE))</f>
        <v>1580</v>
      </c>
      <c r="L85">
        <f ca="1">IF(AND(ISNUMBER($L$242),$B$165=1),$L$242,HLOOKUP(INDIRECT(ADDRESS(2,COLUMN())),OFFSET($R$2,0,0,ROW()-1,12),ROW()-1,FALSE))</f>
        <v>1618</v>
      </c>
      <c r="M85">
        <f ca="1">IF(AND(ISNUMBER($M$242),$B$165=1),$M$242,HLOOKUP(INDIRECT(ADDRESS(2,COLUMN())),OFFSET($R$2,0,0,ROW()-1,12),ROW()-1,FALSE))</f>
        <v>2307</v>
      </c>
      <c r="N85">
        <f ca="1">IF(AND(ISNUMBER($N$242),$B$165=1),$N$242,HLOOKUP(INDIRECT(ADDRESS(2,COLUMN())),OFFSET($R$2,0,0,ROW()-1,12),ROW()-1,FALSE))</f>
        <v>1918</v>
      </c>
      <c r="O85">
        <f ca="1">IF(AND(ISNUMBER($O$242),$B$165=1),$O$242,HLOOKUP(INDIRECT(ADDRESS(2,COLUMN())),OFFSET($R$2,0,0,ROW()-1,12),ROW()-1,FALSE))</f>
        <v>2173</v>
      </c>
      <c r="P85">
        <f ca="1">IF(AND(ISNUMBER($P$242),$B$165=1),$P$242,HLOOKUP(INDIRECT(ADDRESS(2,COLUMN())),OFFSET($R$2,0,0,ROW()-1,12),ROW()-1,FALSE))</f>
        <v>2200</v>
      </c>
      <c r="Q85">
        <f ca="1">IF(AND(ISNUMBER($Q$242),$B$165=1),$Q$242,HLOOKUP(INDIRECT(ADDRESS(2,COLUMN())),OFFSET($R$2,0,0,ROW()-1,12),ROW()-1,FALSE))</f>
        <v>1203</v>
      </c>
      <c r="R85">
        <f>1758</f>
        <v>1758</v>
      </c>
      <c r="S85">
        <f>2079</f>
        <v>2079</v>
      </c>
      <c r="T85">
        <f>1960</f>
        <v>1960</v>
      </c>
      <c r="U85">
        <f>2097</f>
        <v>2097</v>
      </c>
      <c r="V85">
        <f>1942</f>
        <v>1942</v>
      </c>
      <c r="W85">
        <f>1580</f>
        <v>1580</v>
      </c>
      <c r="X85">
        <f>1618</f>
        <v>1618</v>
      </c>
      <c r="Y85">
        <f>2307</f>
        <v>2307</v>
      </c>
      <c r="Z85">
        <f>1918</f>
        <v>1918</v>
      </c>
      <c r="AA85">
        <f>2173</f>
        <v>2173</v>
      </c>
      <c r="AB85">
        <f>2200</f>
        <v>2200</v>
      </c>
      <c r="AC85">
        <f>1203</f>
        <v>1203</v>
      </c>
    </row>
    <row r="86" spans="1:29" x14ac:dyDescent="0.25">
      <c r="A86" t="str">
        <f>"    EPAM Systems Inc"</f>
        <v xml:space="preserve">    EPAM Systems Inc</v>
      </c>
      <c r="B86" t="str">
        <f>"EPAM US Equity"</f>
        <v>EPAM US Equity</v>
      </c>
      <c r="C86" t="str">
        <f t="shared" si="12"/>
        <v>BS047</v>
      </c>
      <c r="D86" t="str">
        <f t="shared" si="13"/>
        <v>BS_ST_BORROW</v>
      </c>
      <c r="E86" t="str">
        <f t="shared" si="14"/>
        <v>Dynamic</v>
      </c>
      <c r="F86">
        <f ca="1">IF(AND(ISNUMBER($F$243),$B$165=1),$F$243,HLOOKUP(INDIRECT(ADDRESS(2,COLUMN())),OFFSET($R$2,0,0,ROW()-1,12),ROW()-1,FALSE))</f>
        <v>60.107999999999997</v>
      </c>
      <c r="G86">
        <f ca="1">IF(AND(ISNUMBER($G$243),$B$165=1),$G$243,HLOOKUP(INDIRECT(ADDRESS(2,COLUMN())),OFFSET($R$2,0,0,ROW()-1,12),ROW()-1,FALSE))</f>
        <v>57.542000000000002</v>
      </c>
      <c r="H86">
        <f ca="1">IF(AND(ISNUMBER($H$243),$B$165=1),$H$243,HLOOKUP(INDIRECT(ADDRESS(2,COLUMN())),OFFSET($R$2,0,0,ROW()-1,12),ROW()-1,FALSE))</f>
        <v>51.423999999999999</v>
      </c>
      <c r="I86">
        <f ca="1">IF(AND(ISNUMBER($I$243),$B$165=1),$I$243,HLOOKUP(INDIRECT(ADDRESS(2,COLUMN())),OFFSET($R$2,0,0,ROW()-1,12),ROW()-1,FALSE))</f>
        <v>48.429000000000002</v>
      </c>
      <c r="J86">
        <f ca="1">IF(AND(ISNUMBER($J$243),$B$165=1),$J$243,HLOOKUP(INDIRECT(ADDRESS(2,COLUMN())),OFFSET($R$2,0,0,ROW()-1,12),ROW()-1,FALSE))</f>
        <v>39.856000000000002</v>
      </c>
      <c r="K86">
        <f ca="1">IF(AND(ISNUMBER($K$243),$B$165=1),$K$243,HLOOKUP(INDIRECT(ADDRESS(2,COLUMN())),OFFSET($R$2,0,0,ROW()-1,12),ROW()-1,FALSE))</f>
        <v>0</v>
      </c>
      <c r="L86">
        <f ca="1">IF(AND(ISNUMBER($L$243),$B$165=1),$L$243,HLOOKUP(INDIRECT(ADDRESS(2,COLUMN())),OFFSET($R$2,0,0,ROW()-1,12),ROW()-1,FALSE))</f>
        <v>0</v>
      </c>
      <c r="M86">
        <f ca="1">IF(AND(ISNUMBER($M$243),$B$165=1),$M$243,HLOOKUP(INDIRECT(ADDRESS(2,COLUMN())),OFFSET($R$2,0,0,ROW()-1,12),ROW()-1,FALSE))</f>
        <v>0</v>
      </c>
      <c r="N86">
        <f ca="1">IF(AND(ISNUMBER($N$243),$B$165=1),$N$243,HLOOKUP(INDIRECT(ADDRESS(2,COLUMN())),OFFSET($R$2,0,0,ROW()-1,12),ROW()-1,FALSE))</f>
        <v>0</v>
      </c>
      <c r="O86">
        <f ca="1">IF(AND(ISNUMBER($O$243),$B$165=1),$O$243,HLOOKUP(INDIRECT(ADDRESS(2,COLUMN())),OFFSET($R$2,0,0,ROW()-1,12),ROW()-1,FALSE))</f>
        <v>0</v>
      </c>
      <c r="P86">
        <f ca="1">IF(AND(ISNUMBER($P$243),$B$165=1),$P$243,HLOOKUP(INDIRECT(ADDRESS(2,COLUMN())),OFFSET($R$2,0,0,ROW()-1,12),ROW()-1,FALSE))</f>
        <v>0</v>
      </c>
      <c r="Q86">
        <f ca="1">IF(AND(ISNUMBER($Q$243),$B$165=1),$Q$243,HLOOKUP(INDIRECT(ADDRESS(2,COLUMN())),OFFSET($R$2,0,0,ROW()-1,12),ROW()-1,FALSE))</f>
        <v>0</v>
      </c>
      <c r="R86">
        <f>60.108</f>
        <v>60.107999999999997</v>
      </c>
      <c r="S86">
        <f>57.542</f>
        <v>57.542000000000002</v>
      </c>
      <c r="T86">
        <f>51.424</f>
        <v>51.423999999999999</v>
      </c>
      <c r="U86">
        <f>48.429</f>
        <v>48.429000000000002</v>
      </c>
      <c r="V86">
        <f>39.856</f>
        <v>39.856000000000002</v>
      </c>
      <c r="W86">
        <f>0</f>
        <v>0</v>
      </c>
      <c r="X86">
        <f>0</f>
        <v>0</v>
      </c>
      <c r="Y86">
        <f>0</f>
        <v>0</v>
      </c>
      <c r="Z86">
        <f>0</f>
        <v>0</v>
      </c>
      <c r="AA86">
        <f>0</f>
        <v>0</v>
      </c>
      <c r="AB86">
        <f>0</f>
        <v>0</v>
      </c>
      <c r="AC86">
        <f>0</f>
        <v>0</v>
      </c>
    </row>
    <row r="87" spans="1:29" x14ac:dyDescent="0.25">
      <c r="A87" t="str">
        <f>"    Genpact Ltd"</f>
        <v xml:space="preserve">    Genpact Ltd</v>
      </c>
      <c r="B87" t="str">
        <f>"G US Equity"</f>
        <v>G US Equity</v>
      </c>
      <c r="C87" t="str">
        <f t="shared" si="12"/>
        <v>BS047</v>
      </c>
      <c r="D87" t="str">
        <f t="shared" si="13"/>
        <v>BS_ST_BORROW</v>
      </c>
      <c r="E87" t="str">
        <f t="shared" si="14"/>
        <v>Dynamic</v>
      </c>
      <c r="F87">
        <f ca="1">IF(AND(ISNUMBER($F$244),$B$165=1),$F$244,HLOOKUP(INDIRECT(ADDRESS(2,COLUMN())),OFFSET($R$2,0,0,ROW()-1,12),ROW()-1,FALSE))</f>
        <v>271.25099999999998</v>
      </c>
      <c r="G87">
        <f ca="1">IF(AND(ISNUMBER($G$244),$B$165=1),$G$244,HLOOKUP(INDIRECT(ADDRESS(2,COLUMN())),OFFSET($R$2,0,0,ROW()-1,12),ROW()-1,FALSE))</f>
        <v>170.91300000000001</v>
      </c>
      <c r="H87">
        <f ca="1">IF(AND(ISNUMBER($H$244),$B$165=1),$H$244,HLOOKUP(INDIRECT(ADDRESS(2,COLUMN())),OFFSET($R$2,0,0,ROW()-1,12),ROW()-1,FALSE))</f>
        <v>337.875</v>
      </c>
      <c r="I87">
        <f ca="1">IF(AND(ISNUMBER($I$244),$B$165=1),$I$244,HLOOKUP(INDIRECT(ADDRESS(2,COLUMN())),OFFSET($R$2,0,0,ROW()-1,12),ROW()-1,FALSE))</f>
        <v>379.37900000000002</v>
      </c>
      <c r="J87">
        <f ca="1">IF(AND(ISNUMBER($J$244),$B$165=1),$J$244,HLOOKUP(INDIRECT(ADDRESS(2,COLUMN())),OFFSET($R$2,0,0,ROW()-1,12),ROW()-1,FALSE))</f>
        <v>403.05099999999999</v>
      </c>
      <c r="K87">
        <f ca="1">IF(AND(ISNUMBER($K$244),$B$165=1),$K$244,HLOOKUP(INDIRECT(ADDRESS(2,COLUMN())),OFFSET($R$2,0,0,ROW()-1,12),ROW()-1,FALSE))</f>
        <v>328.483</v>
      </c>
      <c r="L87">
        <f ca="1">IF(AND(ISNUMBER($L$244),$B$165=1),$L$244,HLOOKUP(INDIRECT(ADDRESS(2,COLUMN())),OFFSET($R$2,0,0,ROW()-1,12),ROW()-1,FALSE))</f>
        <v>363.476</v>
      </c>
      <c r="M87">
        <f ca="1">IF(AND(ISNUMBER($M$244),$B$165=1),$M$244,HLOOKUP(INDIRECT(ADDRESS(2,COLUMN())),OFFSET($R$2,0,0,ROW()-1,12),ROW()-1,FALSE))</f>
        <v>254.249</v>
      </c>
      <c r="N87">
        <f ca="1">IF(AND(ISNUMBER($N$244),$B$165=1),$N$244,HLOOKUP(INDIRECT(ADDRESS(2,COLUMN())),OFFSET($R$2,0,0,ROW()-1,12),ROW()-1,FALSE))</f>
        <v>314.23700000000002</v>
      </c>
      <c r="O87">
        <f ca="1">IF(AND(ISNUMBER($O$244),$B$165=1),$O$244,HLOOKUP(INDIRECT(ADDRESS(2,COLUMN())),OFFSET($R$2,0,0,ROW()-1,12),ROW()-1,FALSE))</f>
        <v>209.226</v>
      </c>
      <c r="P87">
        <f ca="1">IF(AND(ISNUMBER($P$244),$B$165=1),$P$244,HLOOKUP(INDIRECT(ADDRESS(2,COLUMN())),OFFSET($R$2,0,0,ROW()-1,12),ROW()-1,FALSE))</f>
        <v>199.22399999999999</v>
      </c>
      <c r="Q87">
        <f ca="1">IF(AND(ISNUMBER($Q$244),$B$165=1),$Q$244,HLOOKUP(INDIRECT(ADDRESS(2,COLUMN())),OFFSET($R$2,0,0,ROW()-1,12),ROW()-1,FALSE))</f>
        <v>244.21299999999999</v>
      </c>
      <c r="R87">
        <f>271.251</f>
        <v>271.25099999999998</v>
      </c>
      <c r="S87">
        <f>170.913</f>
        <v>170.91300000000001</v>
      </c>
      <c r="T87">
        <f>337.875</f>
        <v>337.875</v>
      </c>
      <c r="U87">
        <f>379.379</f>
        <v>379.37900000000002</v>
      </c>
      <c r="V87">
        <f>403.051</f>
        <v>403.05099999999999</v>
      </c>
      <c r="W87">
        <f>328.483</f>
        <v>328.483</v>
      </c>
      <c r="X87">
        <f>363.476</f>
        <v>363.476</v>
      </c>
      <c r="Y87">
        <f>254.249</f>
        <v>254.249</v>
      </c>
      <c r="Z87">
        <f>314.237</f>
        <v>314.23700000000002</v>
      </c>
      <c r="AA87">
        <f>209.226</f>
        <v>209.226</v>
      </c>
      <c r="AB87">
        <f>199.224</f>
        <v>199.22399999999999</v>
      </c>
      <c r="AC87">
        <f>244.213</f>
        <v>244.21299999999999</v>
      </c>
    </row>
    <row r="88" spans="1:29" x14ac:dyDescent="0.25">
      <c r="A88" t="str">
        <f>"    HCL Technologies Ltd"</f>
        <v xml:space="preserve">    HCL Technologies Ltd</v>
      </c>
      <c r="B88" t="str">
        <f>"HCLT IN Equity"</f>
        <v>HCLT IN Equity</v>
      </c>
      <c r="C88" t="str">
        <f t="shared" si="12"/>
        <v>BS047</v>
      </c>
      <c r="D88" t="str">
        <f t="shared" si="13"/>
        <v>BS_ST_BORROW</v>
      </c>
      <c r="E88" t="str">
        <f t="shared" si="14"/>
        <v>Dynamic</v>
      </c>
      <c r="F88">
        <f ca="1">IF(AND(ISNUMBER($F$245),$B$165=1),$F$245,HLOOKUP(INDIRECT(ADDRESS(2,COLUMN())),OFFSET($R$2,0,0,ROW()-1,12),ROW()-1,FALSE))</f>
        <v>391.13600000000002</v>
      </c>
      <c r="G88" t="str">
        <f ca="1">IF(AND(ISNUMBER($G$245),$B$165=1),$G$245,HLOOKUP(INDIRECT(ADDRESS(2,COLUMN())),OFFSET($R$2,0,0,ROW()-1,12),ROW()-1,FALSE))</f>
        <v/>
      </c>
      <c r="H88" t="str">
        <f ca="1">IF(AND(ISNUMBER($H$245),$B$165=1),$H$245,HLOOKUP(INDIRECT(ADDRESS(2,COLUMN())),OFFSET($R$2,0,0,ROW()-1,12),ROW()-1,FALSE))</f>
        <v/>
      </c>
      <c r="I88" t="str">
        <f ca="1">IF(AND(ISNUMBER($I$245),$B$165=1),$I$245,HLOOKUP(INDIRECT(ADDRESS(2,COLUMN())),OFFSET($R$2,0,0,ROW()-1,12),ROW()-1,FALSE))</f>
        <v/>
      </c>
      <c r="J88">
        <f ca="1">IF(AND(ISNUMBER($J$245),$B$165=1),$J$245,HLOOKUP(INDIRECT(ADDRESS(2,COLUMN())),OFFSET($R$2,0,0,ROW()-1,12),ROW()-1,FALSE))</f>
        <v>176.13</v>
      </c>
      <c r="K88" t="str">
        <f ca="1">IF(AND(ISNUMBER($K$245),$B$165=1),$K$245,HLOOKUP(INDIRECT(ADDRESS(2,COLUMN())),OFFSET($R$2,0,0,ROW()-1,12),ROW()-1,FALSE))</f>
        <v/>
      </c>
      <c r="L88" t="str">
        <f ca="1">IF(AND(ISNUMBER($L$245),$B$165=1),$L$245,HLOOKUP(INDIRECT(ADDRESS(2,COLUMN())),OFFSET($R$2,0,0,ROW()-1,12),ROW()-1,FALSE))</f>
        <v/>
      </c>
      <c r="M88">
        <f ca="1">IF(AND(ISNUMBER($M$245),$B$165=1),$M$245,HLOOKUP(INDIRECT(ADDRESS(2,COLUMN())),OFFSET($R$2,0,0,ROW()-1,12),ROW()-1,FALSE))</f>
        <v>0</v>
      </c>
      <c r="N88">
        <f ca="1">IF(AND(ISNUMBER($N$245),$B$165=1),$N$245,HLOOKUP(INDIRECT(ADDRESS(2,COLUMN())),OFFSET($R$2,0,0,ROW()-1,12),ROW()-1,FALSE))</f>
        <v>6.4476512130000003</v>
      </c>
      <c r="O88">
        <f ca="1">IF(AND(ISNUMBER($O$245),$B$165=1),$O$245,HLOOKUP(INDIRECT(ADDRESS(2,COLUMN())),OFFSET($R$2,0,0,ROW()-1,12),ROW()-1,FALSE))</f>
        <v>0</v>
      </c>
      <c r="P88">
        <f ca="1">IF(AND(ISNUMBER($P$245),$B$165=1),$P$245,HLOOKUP(INDIRECT(ADDRESS(2,COLUMN())),OFFSET($R$2,0,0,ROW()-1,12),ROW()-1,FALSE))</f>
        <v>0</v>
      </c>
      <c r="Q88">
        <f ca="1">IF(AND(ISNUMBER($Q$245),$B$165=1),$Q$245,HLOOKUP(INDIRECT(ADDRESS(2,COLUMN())),OFFSET($R$2,0,0,ROW()-1,12),ROW()-1,FALSE))</f>
        <v>0</v>
      </c>
      <c r="R88">
        <f>391.136</f>
        <v>391.13600000000002</v>
      </c>
      <c r="S88" t="str">
        <f>""</f>
        <v/>
      </c>
      <c r="T88" t="str">
        <f>""</f>
        <v/>
      </c>
      <c r="U88" t="str">
        <f>""</f>
        <v/>
      </c>
      <c r="V88">
        <f>176.13</f>
        <v>176.13</v>
      </c>
      <c r="W88" t="str">
        <f>""</f>
        <v/>
      </c>
      <c r="X88" t="str">
        <f>""</f>
        <v/>
      </c>
      <c r="Y88">
        <f>0</f>
        <v>0</v>
      </c>
      <c r="Z88">
        <f>6.447651213</f>
        <v>6.4476512130000003</v>
      </c>
      <c r="AA88">
        <f>0</f>
        <v>0</v>
      </c>
      <c r="AB88">
        <f>0</f>
        <v>0</v>
      </c>
      <c r="AC88">
        <f>0</f>
        <v>0</v>
      </c>
    </row>
    <row r="89" spans="1:29" x14ac:dyDescent="0.25">
      <c r="A89" t="str">
        <f>"    Indra Sistemas SA"</f>
        <v xml:space="preserve">    Indra Sistemas SA</v>
      </c>
      <c r="B89" t="str">
        <f>"IDR SM Equity"</f>
        <v>IDR SM Equity</v>
      </c>
      <c r="C89" t="str">
        <f t="shared" si="12"/>
        <v>BS047</v>
      </c>
      <c r="D89" t="str">
        <f t="shared" si="13"/>
        <v>BS_ST_BORROW</v>
      </c>
      <c r="E89" t="str">
        <f t="shared" si="14"/>
        <v>Dynamic</v>
      </c>
      <c r="F89">
        <f ca="1">IF(AND(ISNUMBER($F$246),$B$165=1),$F$246,HLOOKUP(INDIRECT(ADDRESS(2,COLUMN())),OFFSET($R$2,0,0,ROW()-1,12),ROW()-1,FALSE))</f>
        <v>195.94206</v>
      </c>
      <c r="G89">
        <f ca="1">IF(AND(ISNUMBER($G$246),$B$165=1),$G$246,HLOOKUP(INDIRECT(ADDRESS(2,COLUMN())),OFFSET($R$2,0,0,ROW()-1,12),ROW()-1,FALSE))</f>
        <v>125.7165153</v>
      </c>
      <c r="H89">
        <f ca="1">IF(AND(ISNUMBER($H$246),$B$165=1),$H$246,HLOOKUP(INDIRECT(ADDRESS(2,COLUMN())),OFFSET($R$2,0,0,ROW()-1,12),ROW()-1,FALSE))</f>
        <v>122.98584</v>
      </c>
      <c r="I89">
        <f ca="1">IF(AND(ISNUMBER($I$246),$B$165=1),$I$246,HLOOKUP(INDIRECT(ADDRESS(2,COLUMN())),OFFSET($R$2,0,0,ROW()-1,12),ROW()-1,FALSE))</f>
        <v>118.110882</v>
      </c>
      <c r="J89">
        <f ca="1">IF(AND(ISNUMBER($J$246),$B$165=1),$J$246,HLOOKUP(INDIRECT(ADDRESS(2,COLUMN())),OFFSET($R$2,0,0,ROW()-1,12),ROW()-1,FALSE))</f>
        <v>34.336260000000003</v>
      </c>
      <c r="K89">
        <f ca="1">IF(AND(ISNUMBER($K$246),$B$165=1),$K$246,HLOOKUP(INDIRECT(ADDRESS(2,COLUMN())),OFFSET($R$2,0,0,ROW()-1,12),ROW()-1,FALSE))</f>
        <v>48.498074799999998</v>
      </c>
      <c r="L89">
        <f ca="1">IF(AND(ISNUMBER($L$246),$B$165=1),$L$246,HLOOKUP(INDIRECT(ADDRESS(2,COLUMN())),OFFSET($R$2,0,0,ROW()-1,12),ROW()-1,FALSE))</f>
        <v>238.55155999999999</v>
      </c>
      <c r="M89">
        <f ca="1">IF(AND(ISNUMBER($M$246),$B$165=1),$M$246,HLOOKUP(INDIRECT(ADDRESS(2,COLUMN())),OFFSET($R$2,0,0,ROW()-1,12),ROW()-1,FALSE))</f>
        <v>303.1606094</v>
      </c>
      <c r="N89">
        <f ca="1">IF(AND(ISNUMBER($N$246),$B$165=1),$N$246,HLOOKUP(INDIRECT(ADDRESS(2,COLUMN())),OFFSET($R$2,0,0,ROW()-1,12),ROW()-1,FALSE))</f>
        <v>391.38225</v>
      </c>
      <c r="O89">
        <f ca="1">IF(AND(ISNUMBER($O$246),$B$165=1),$O$246,HLOOKUP(INDIRECT(ADDRESS(2,COLUMN())),OFFSET($R$2,0,0,ROW()-1,12),ROW()-1,FALSE))</f>
        <v>325.73849439999998</v>
      </c>
      <c r="P89">
        <f ca="1">IF(AND(ISNUMBER($P$246),$B$165=1),$P$246,HLOOKUP(INDIRECT(ADDRESS(2,COLUMN())),OFFSET($R$2,0,0,ROW()-1,12),ROW()-1,FALSE))</f>
        <v>149.54400999999999</v>
      </c>
      <c r="Q89">
        <f ca="1">IF(AND(ISNUMBER($Q$246),$B$165=1),$Q$246,HLOOKUP(INDIRECT(ADDRESS(2,COLUMN())),OFFSET($R$2,0,0,ROW()-1,12),ROW()-1,FALSE))</f>
        <v>129.5900498</v>
      </c>
      <c r="R89">
        <f>195.94206</f>
        <v>195.94206</v>
      </c>
      <c r="S89">
        <f>125.7165153</f>
        <v>125.7165153</v>
      </c>
      <c r="T89">
        <f>122.98584</f>
        <v>122.98584</v>
      </c>
      <c r="U89">
        <f>118.110882</f>
        <v>118.110882</v>
      </c>
      <c r="V89">
        <f>34.33626</f>
        <v>34.336260000000003</v>
      </c>
      <c r="W89">
        <f>48.4980748</f>
        <v>48.498074799999998</v>
      </c>
      <c r="X89">
        <f>238.55156</f>
        <v>238.55155999999999</v>
      </c>
      <c r="Y89">
        <f>303.1606094</f>
        <v>303.1606094</v>
      </c>
      <c r="Z89">
        <f>391.38225</f>
        <v>391.38225</v>
      </c>
      <c r="AA89">
        <f>325.7384944</f>
        <v>325.73849439999998</v>
      </c>
      <c r="AB89">
        <f>149.54401</f>
        <v>149.54400999999999</v>
      </c>
      <c r="AC89">
        <f>129.5900498</f>
        <v>129.5900498</v>
      </c>
    </row>
    <row r="90" spans="1:29" x14ac:dyDescent="0.25">
      <c r="A90" t="str">
        <f>"    Infosys Ltd"</f>
        <v xml:space="preserve">    Infosys Ltd</v>
      </c>
      <c r="B90" t="str">
        <f>"INFY US Equity"</f>
        <v>INFY US Equity</v>
      </c>
      <c r="C90" t="str">
        <f t="shared" si="12"/>
        <v>BS047</v>
      </c>
      <c r="D90" t="str">
        <f t="shared" si="13"/>
        <v>BS_ST_BORROW</v>
      </c>
      <c r="E90" t="str">
        <f t="shared" si="14"/>
        <v>Dynamic</v>
      </c>
      <c r="F90">
        <f ca="1">IF(AND(ISNUMBER($F$247),$B$165=1),$F$247,HLOOKUP(INDIRECT(ADDRESS(2,COLUMN())),OFFSET($R$2,0,0,ROW()-1,12),ROW()-1,FALSE))</f>
        <v>82.124136140000005</v>
      </c>
      <c r="G90">
        <f ca="1">IF(AND(ISNUMBER($G$247),$B$165=1),$G$247,HLOOKUP(INDIRECT(ADDRESS(2,COLUMN())),OFFSET($R$2,0,0,ROW()-1,12),ROW()-1,FALSE))</f>
        <v>79.747839580000004</v>
      </c>
      <c r="H90">
        <f ca="1">IF(AND(ISNUMBER($H$247),$B$165=1),$H$247,HLOOKUP(INDIRECT(ADDRESS(2,COLUMN())),OFFSET($R$2,0,0,ROW()-1,12),ROW()-1,FALSE))</f>
        <v>72.875467850000007</v>
      </c>
      <c r="I90">
        <f ca="1">IF(AND(ISNUMBER($I$247),$B$165=1),$I$247,HLOOKUP(INDIRECT(ADDRESS(2,COLUMN())),OFFSET($R$2,0,0,ROW()-1,12),ROW()-1,FALSE))</f>
        <v>71.670131690000005</v>
      </c>
      <c r="J90">
        <f ca="1">IF(AND(ISNUMBER($J$247),$B$165=1),$J$247,HLOOKUP(INDIRECT(ADDRESS(2,COLUMN())),OFFSET($R$2,0,0,ROW()-1,12),ROW()-1,FALSE))</f>
        <v>0</v>
      </c>
      <c r="K90">
        <f ca="1">IF(AND(ISNUMBER($K$247),$B$165=1),$K$247,HLOOKUP(INDIRECT(ADDRESS(2,COLUMN())),OFFSET($R$2,0,0,ROW()-1,12),ROW()-1,FALSE))</f>
        <v>0</v>
      </c>
      <c r="L90">
        <f ca="1">IF(AND(ISNUMBER($L$247),$B$165=1),$L$247,HLOOKUP(INDIRECT(ADDRESS(2,COLUMN())),OFFSET($R$2,0,0,ROW()-1,12),ROW()-1,FALSE))</f>
        <v>0</v>
      </c>
      <c r="M90">
        <f ca="1">IF(AND(ISNUMBER($M$247),$B$165=1),$M$247,HLOOKUP(INDIRECT(ADDRESS(2,COLUMN())),OFFSET($R$2,0,0,ROW()-1,12),ROW()-1,FALSE))</f>
        <v>0</v>
      </c>
      <c r="N90">
        <f ca="1">IF(AND(ISNUMBER($N$247),$B$165=1),$N$247,HLOOKUP(INDIRECT(ADDRESS(2,COLUMN())),OFFSET($R$2,0,0,ROW()-1,12),ROW()-1,FALSE))</f>
        <v>0</v>
      </c>
      <c r="O90">
        <f ca="1">IF(AND(ISNUMBER($O$247),$B$165=1),$O$247,HLOOKUP(INDIRECT(ADDRESS(2,COLUMN())),OFFSET($R$2,0,0,ROW()-1,12),ROW()-1,FALSE))</f>
        <v>0</v>
      </c>
      <c r="P90">
        <f ca="1">IF(AND(ISNUMBER($P$247),$B$165=1),$P$247,HLOOKUP(INDIRECT(ADDRESS(2,COLUMN())),OFFSET($R$2,0,0,ROW()-1,12),ROW()-1,FALSE))</f>
        <v>0</v>
      </c>
      <c r="Q90">
        <f ca="1">IF(AND(ISNUMBER($Q$247),$B$165=1),$Q$247,HLOOKUP(INDIRECT(ADDRESS(2,COLUMN())),OFFSET($R$2,0,0,ROW()-1,12),ROW()-1,FALSE))</f>
        <v>0</v>
      </c>
      <c r="R90">
        <f>82.12413614</f>
        <v>82.124136140000005</v>
      </c>
      <c r="S90">
        <f>79.74783958</f>
        <v>79.747839580000004</v>
      </c>
      <c r="T90">
        <f>72.87546785</f>
        <v>72.875467850000007</v>
      </c>
      <c r="U90">
        <f>71.67013169</f>
        <v>71.670131690000005</v>
      </c>
      <c r="V90">
        <f>0</f>
        <v>0</v>
      </c>
      <c r="W90">
        <f>0</f>
        <v>0</v>
      </c>
      <c r="X90">
        <f>0</f>
        <v>0</v>
      </c>
      <c r="Y90">
        <f>0</f>
        <v>0</v>
      </c>
      <c r="Z90">
        <f>0</f>
        <v>0</v>
      </c>
      <c r="AA90">
        <f>0</f>
        <v>0</v>
      </c>
      <c r="AB90">
        <f>0</f>
        <v>0</v>
      </c>
      <c r="AC90">
        <f>0</f>
        <v>0</v>
      </c>
    </row>
    <row r="91" spans="1:29" x14ac:dyDescent="0.25">
      <c r="A91" t="str">
        <f>"    International Business Machines Corp"</f>
        <v xml:space="preserve">    International Business Machines Corp</v>
      </c>
      <c r="B91" t="str">
        <f>"IBM US Equity"</f>
        <v>IBM US Equity</v>
      </c>
      <c r="C91" t="str">
        <f t="shared" si="12"/>
        <v>BS047</v>
      </c>
      <c r="D91" t="str">
        <f t="shared" si="13"/>
        <v>BS_ST_BORROW</v>
      </c>
      <c r="E91" t="str">
        <f t="shared" si="14"/>
        <v>Dynamic</v>
      </c>
      <c r="F91">
        <f ca="1">IF(AND(ISNUMBER($F$248),$B$165=1),$F$248,HLOOKUP(INDIRECT(ADDRESS(2,COLUMN())),OFFSET($R$2,0,0,ROW()-1,12),ROW()-1,FALSE))</f>
        <v>12969</v>
      </c>
      <c r="G91">
        <f ca="1">IF(AND(ISNUMBER($G$248),$B$165=1),$G$248,HLOOKUP(INDIRECT(ADDRESS(2,COLUMN())),OFFSET($R$2,0,0,ROW()-1,12),ROW()-1,FALSE))</f>
        <v>10177</v>
      </c>
      <c r="H91">
        <f ca="1">IF(AND(ISNUMBER($H$248),$B$165=1),$H$248,HLOOKUP(INDIRECT(ADDRESS(2,COLUMN())),OFFSET($R$2,0,0,ROW()-1,12),ROW()-1,FALSE))</f>
        <v>9907</v>
      </c>
      <c r="I91">
        <f ca="1">IF(AND(ISNUMBER($I$248),$B$165=1),$I$248,HLOOKUP(INDIRECT(ADDRESS(2,COLUMN())),OFFSET($R$2,0,0,ROW()-1,12),ROW()-1,FALSE))</f>
        <v>15913</v>
      </c>
      <c r="J91">
        <f ca="1">IF(AND(ISNUMBER($J$248),$B$165=1),$J$248,HLOOKUP(INDIRECT(ADDRESS(2,COLUMN())),OFFSET($R$2,0,0,ROW()-1,12),ROW()-1,FALSE))</f>
        <v>11563</v>
      </c>
      <c r="K91">
        <f ca="1">IF(AND(ISNUMBER($K$248),$B$165=1),$K$248,HLOOKUP(INDIRECT(ADDRESS(2,COLUMN())),OFFSET($R$2,0,0,ROW()-1,12),ROW()-1,FALSE))</f>
        <v>10207</v>
      </c>
      <c r="L91">
        <f ca="1">IF(AND(ISNUMBER($L$248),$B$165=1),$L$248,HLOOKUP(INDIRECT(ADDRESS(2,COLUMN())),OFFSET($R$2,0,0,ROW()-1,12),ROW()-1,FALSE))</f>
        <v>10932</v>
      </c>
      <c r="M91">
        <f ca="1">IF(AND(ISNUMBER($M$248),$B$165=1),$M$248,HLOOKUP(INDIRECT(ADDRESS(2,COLUMN())),OFFSET($R$2,0,0,ROW()-1,12),ROW()-1,FALSE))</f>
        <v>7646</v>
      </c>
      <c r="N91">
        <f ca="1">IF(AND(ISNUMBER($N$248),$B$165=1),$N$248,HLOOKUP(INDIRECT(ADDRESS(2,COLUMN())),OFFSET($R$2,0,0,ROW()-1,12),ROW()-1,FALSE))</f>
        <v>5977</v>
      </c>
      <c r="O91">
        <f ca="1">IF(AND(ISNUMBER($O$248),$B$165=1),$O$248,HLOOKUP(INDIRECT(ADDRESS(2,COLUMN())),OFFSET($R$2,0,0,ROW()-1,12),ROW()-1,FALSE))</f>
        <v>6987</v>
      </c>
      <c r="P91">
        <f ca="1">IF(AND(ISNUMBER($P$248),$B$165=1),$P$248,HLOOKUP(INDIRECT(ADDRESS(2,COLUMN())),OFFSET($R$2,0,0,ROW()-1,12),ROW()-1,FALSE))</f>
        <v>4299</v>
      </c>
      <c r="Q91">
        <f ca="1">IF(AND(ISNUMBER($Q$248),$B$165=1),$Q$248,HLOOKUP(INDIRECT(ADDRESS(2,COLUMN())),OFFSET($R$2,0,0,ROW()-1,12),ROW()-1,FALSE))</f>
        <v>8061</v>
      </c>
      <c r="R91">
        <f>12969</f>
        <v>12969</v>
      </c>
      <c r="S91">
        <f>10177</f>
        <v>10177</v>
      </c>
      <c r="T91">
        <f>9907</f>
        <v>9907</v>
      </c>
      <c r="U91">
        <f>15913</f>
        <v>15913</v>
      </c>
      <c r="V91">
        <f>11563</f>
        <v>11563</v>
      </c>
      <c r="W91">
        <f>10207</f>
        <v>10207</v>
      </c>
      <c r="X91">
        <f>10932</f>
        <v>10932</v>
      </c>
      <c r="Y91">
        <f>7646</f>
        <v>7646</v>
      </c>
      <c r="Z91">
        <f>5977</f>
        <v>5977</v>
      </c>
      <c r="AA91">
        <f>6987</f>
        <v>6987</v>
      </c>
      <c r="AB91">
        <f>4299</f>
        <v>4299</v>
      </c>
      <c r="AC91">
        <f>8061</f>
        <v>8061</v>
      </c>
    </row>
    <row r="92" spans="1:29" x14ac:dyDescent="0.25">
      <c r="A92" t="str">
        <f>"    Tata Consultancy Services Ltd"</f>
        <v xml:space="preserve">    Tata Consultancy Services Ltd</v>
      </c>
      <c r="B92" t="str">
        <f>"TCS IN Equity"</f>
        <v>TCS IN Equity</v>
      </c>
      <c r="C92" t="str">
        <f t="shared" si="12"/>
        <v>BS047</v>
      </c>
      <c r="D92" t="str">
        <f t="shared" si="13"/>
        <v>BS_ST_BORROW</v>
      </c>
      <c r="E92" t="str">
        <f t="shared" si="14"/>
        <v>Dynamic</v>
      </c>
      <c r="F92">
        <f ca="1">IF(AND(ISNUMBER($F$249),$B$165=1),$F$249,HLOOKUP(INDIRECT(ADDRESS(2,COLUMN())),OFFSET($R$2,0,0,ROW()-1,12),ROW()-1,FALSE))</f>
        <v>168.22844040000001</v>
      </c>
      <c r="G92">
        <f ca="1">IF(AND(ISNUMBER($G$249),$B$165=1),$G$249,HLOOKUP(INDIRECT(ADDRESS(2,COLUMN())),OFFSET($R$2,0,0,ROW()-1,12),ROW()-1,FALSE))</f>
        <v>167.3581422</v>
      </c>
      <c r="H92">
        <f ca="1">IF(AND(ISNUMBER($H$249),$B$165=1),$H$249,HLOOKUP(INDIRECT(ADDRESS(2,COLUMN())),OFFSET($R$2,0,0,ROW()-1,12),ROW()-1,FALSE))</f>
        <v>160.467535</v>
      </c>
      <c r="I92">
        <f ca="1">IF(AND(ISNUMBER($I$249),$B$165=1),$I$249,HLOOKUP(INDIRECT(ADDRESS(2,COLUMN())),OFFSET($R$2,0,0,ROW()-1,12),ROW()-1,FALSE))</f>
        <v>156.3975748</v>
      </c>
      <c r="J92">
        <f ca="1">IF(AND(ISNUMBER($J$249),$B$165=1),$J$249,HLOOKUP(INDIRECT(ADDRESS(2,COLUMN())),OFFSET($R$2,0,0,ROW()-1,12),ROW()-1,FALSE))</f>
        <v>2.5965295940000002</v>
      </c>
      <c r="K92">
        <f ca="1">IF(AND(ISNUMBER($K$249),$B$165=1),$K$249,HLOOKUP(INDIRECT(ADDRESS(2,COLUMN())),OFFSET($R$2,0,0,ROW()-1,12),ROW()-1,FALSE))</f>
        <v>2.4393743720000001</v>
      </c>
      <c r="L92">
        <f ca="1">IF(AND(ISNUMBER($L$249),$B$165=1),$L$249,HLOOKUP(INDIRECT(ADDRESS(2,COLUMN())),OFFSET($R$2,0,0,ROW()-1,12),ROW()-1,FALSE))</f>
        <v>2.3432277269999999</v>
      </c>
      <c r="M92">
        <f ca="1">IF(AND(ISNUMBER($M$249),$B$165=1),$M$249,HLOOKUP(INDIRECT(ADDRESS(2,COLUMN())),OFFSET($R$2,0,0,ROW()-1,12),ROW()-1,FALSE))</f>
        <v>2.3366192039999998</v>
      </c>
      <c r="N92">
        <f ca="1">IF(AND(ISNUMBER($N$249),$B$165=1),$N$249,HLOOKUP(INDIRECT(ADDRESS(2,COLUMN())),OFFSET($R$2,0,0,ROW()-1,12),ROW()-1,FALSE))</f>
        <v>29.628492479999998</v>
      </c>
      <c r="O92">
        <f ca="1">IF(AND(ISNUMBER($O$249),$B$165=1),$O$249,HLOOKUP(INDIRECT(ADDRESS(2,COLUMN())),OFFSET($R$2,0,0,ROW()-1,12),ROW()-1,FALSE))</f>
        <v>2.9756544479999998</v>
      </c>
      <c r="P92">
        <f ca="1">IF(AND(ISNUMBER($P$249),$B$165=1),$P$249,HLOOKUP(INDIRECT(ADDRESS(2,COLUMN())),OFFSET($R$2,0,0,ROW()-1,12),ROW()-1,FALSE))</f>
        <v>3.060443764</v>
      </c>
      <c r="Q92">
        <f ca="1">IF(AND(ISNUMBER($Q$249),$B$165=1),$Q$249,HLOOKUP(INDIRECT(ADDRESS(2,COLUMN())),OFFSET($R$2,0,0,ROW()-1,12),ROW()-1,FALSE))</f>
        <v>3.2497729030000002</v>
      </c>
      <c r="R92">
        <f>168.2284404</f>
        <v>168.22844040000001</v>
      </c>
      <c r="S92">
        <f>167.3581422</f>
        <v>167.3581422</v>
      </c>
      <c r="T92">
        <f>160.467535</f>
        <v>160.467535</v>
      </c>
      <c r="U92">
        <f>156.3975748</f>
        <v>156.3975748</v>
      </c>
      <c r="V92">
        <f>2.596529594</f>
        <v>2.5965295940000002</v>
      </c>
      <c r="W92">
        <f>2.439374372</f>
        <v>2.4393743720000001</v>
      </c>
      <c r="X92">
        <f>2.343227727</f>
        <v>2.3432277269999999</v>
      </c>
      <c r="Y92">
        <f>2.336619204</f>
        <v>2.3366192039999998</v>
      </c>
      <c r="Z92">
        <f>29.62849248</f>
        <v>29.628492479999998</v>
      </c>
      <c r="AA92">
        <f>2.975654448</f>
        <v>2.9756544479999998</v>
      </c>
      <c r="AB92">
        <f>3.060443764</f>
        <v>3.060443764</v>
      </c>
      <c r="AC92">
        <f>3.249772903</f>
        <v>3.2497729030000002</v>
      </c>
    </row>
    <row r="93" spans="1:29" x14ac:dyDescent="0.25">
      <c r="A93" t="str">
        <f>"    Tech Mahindra Ltd"</f>
        <v xml:space="preserve">    Tech Mahindra Ltd</v>
      </c>
      <c r="B93" t="str">
        <f>"TECHM IN Equity"</f>
        <v>TECHM IN Equity</v>
      </c>
      <c r="C93" t="str">
        <f t="shared" si="12"/>
        <v>BS047</v>
      </c>
      <c r="D93" t="str">
        <f t="shared" si="13"/>
        <v>BS_ST_BORROW</v>
      </c>
      <c r="E93" t="str">
        <f t="shared" si="14"/>
        <v>Dynamic</v>
      </c>
      <c r="F93">
        <f ca="1">IF(AND(ISNUMBER($F$250),$B$165=1),$F$250,HLOOKUP(INDIRECT(ADDRESS(2,COLUMN())),OFFSET($R$2,0,0,ROW()-1,12),ROW()-1,FALSE))</f>
        <v>298.44627500000001</v>
      </c>
      <c r="G93">
        <f ca="1">IF(AND(ISNUMBER($G$250),$B$165=1),$G$250,HLOOKUP(INDIRECT(ADDRESS(2,COLUMN())),OFFSET($R$2,0,0,ROW()-1,12),ROW()-1,FALSE))</f>
        <v>314.4564019</v>
      </c>
      <c r="H93">
        <f ca="1">IF(AND(ISNUMBER($H$250),$B$165=1),$H$250,HLOOKUP(INDIRECT(ADDRESS(2,COLUMN())),OFFSET($R$2,0,0,ROW()-1,12),ROW()-1,FALSE))</f>
        <v>327.47263629999998</v>
      </c>
      <c r="I93">
        <f ca="1">IF(AND(ISNUMBER($I$250),$B$165=1),$I$250,HLOOKUP(INDIRECT(ADDRESS(2,COLUMN())),OFFSET($R$2,0,0,ROW()-1,12),ROW()-1,FALSE))</f>
        <v>233.01497670000001</v>
      </c>
      <c r="J93">
        <f ca="1">IF(AND(ISNUMBER($J$250),$B$165=1),$J$250,HLOOKUP(INDIRECT(ADDRESS(2,COLUMN())),OFFSET($R$2,0,0,ROW()-1,12),ROW()-1,FALSE))</f>
        <v>257.76326289999997</v>
      </c>
      <c r="K93">
        <f ca="1">IF(AND(ISNUMBER($K$250),$B$165=1),$K$250,HLOOKUP(INDIRECT(ADDRESS(2,COLUMN())),OFFSET($R$2,0,0,ROW()-1,12),ROW()-1,FALSE))</f>
        <v>200.40177929999999</v>
      </c>
      <c r="L93">
        <f ca="1">IF(AND(ISNUMBER($L$250),$B$165=1),$L$250,HLOOKUP(INDIRECT(ADDRESS(2,COLUMN())),OFFSET($R$2,0,0,ROW()-1,12),ROW()-1,FALSE))</f>
        <v>153.98038579999999</v>
      </c>
      <c r="M93">
        <f ca="1">IF(AND(ISNUMBER($M$250),$B$165=1),$M$250,HLOOKUP(INDIRECT(ADDRESS(2,COLUMN())),OFFSET($R$2,0,0,ROW()-1,12),ROW()-1,FALSE))</f>
        <v>148.1708653</v>
      </c>
      <c r="N93">
        <f ca="1">IF(AND(ISNUMBER($N$250),$B$165=1),$N$250,HLOOKUP(INDIRECT(ADDRESS(2,COLUMN())),OFFSET($R$2,0,0,ROW()-1,12),ROW()-1,FALSE))</f>
        <v>249.53945350000001</v>
      </c>
      <c r="O93">
        <f ca="1">IF(AND(ISNUMBER($O$250),$B$165=1),$O$250,HLOOKUP(INDIRECT(ADDRESS(2,COLUMN())),OFFSET($R$2,0,0,ROW()-1,12),ROW()-1,FALSE))</f>
        <v>183.97375160000001</v>
      </c>
      <c r="P93">
        <f ca="1">IF(AND(ISNUMBER($P$250),$B$165=1),$P$250,HLOOKUP(INDIRECT(ADDRESS(2,COLUMN())),OFFSET($R$2,0,0,ROW()-1,12),ROW()-1,FALSE))</f>
        <v>155.5608263</v>
      </c>
      <c r="Q93">
        <f ca="1">IF(AND(ISNUMBER($Q$250),$B$165=1),$Q$250,HLOOKUP(INDIRECT(ADDRESS(2,COLUMN())),OFFSET($R$2,0,0,ROW()-1,12),ROW()-1,FALSE))</f>
        <v>154.6118146</v>
      </c>
      <c r="R93">
        <f>298.446275</f>
        <v>298.44627500000001</v>
      </c>
      <c r="S93">
        <f>314.4564019</f>
        <v>314.4564019</v>
      </c>
      <c r="T93">
        <f>327.4726363</f>
        <v>327.47263629999998</v>
      </c>
      <c r="U93">
        <f>233.0149767</f>
        <v>233.01497670000001</v>
      </c>
      <c r="V93">
        <f>257.7632629</f>
        <v>257.76326289999997</v>
      </c>
      <c r="W93">
        <f>200.4017793</f>
        <v>200.40177929999999</v>
      </c>
      <c r="X93">
        <f>153.9803858</f>
        <v>153.98038579999999</v>
      </c>
      <c r="Y93">
        <f>148.1708653</f>
        <v>148.1708653</v>
      </c>
      <c r="Z93">
        <f>249.5394535</f>
        <v>249.53945350000001</v>
      </c>
      <c r="AA93">
        <f>183.9737516</f>
        <v>183.97375160000001</v>
      </c>
      <c r="AB93">
        <f>155.5608263</f>
        <v>155.5608263</v>
      </c>
      <c r="AC93">
        <f>154.6118146</f>
        <v>154.6118146</v>
      </c>
    </row>
    <row r="94" spans="1:29" x14ac:dyDescent="0.25">
      <c r="A94" t="str">
        <f>"    Wipro Ltd"</f>
        <v xml:space="preserve">    Wipro Ltd</v>
      </c>
      <c r="B94" t="str">
        <f>"WIT US Equity"</f>
        <v>WIT US Equity</v>
      </c>
      <c r="C94" t="str">
        <f t="shared" si="12"/>
        <v>BS047</v>
      </c>
      <c r="D94" t="str">
        <f t="shared" si="13"/>
        <v>BS_ST_BORROW</v>
      </c>
      <c r="E94" t="str">
        <f t="shared" si="14"/>
        <v>Dynamic</v>
      </c>
      <c r="F94">
        <f ca="1">IF(AND(ISNUMBER($F$251),$B$165=1),$F$251,HLOOKUP(INDIRECT(ADDRESS(2,COLUMN())),OFFSET($R$2,0,0,ROW()-1,12),ROW()-1,FALSE))</f>
        <v>1058.2205730000001</v>
      </c>
      <c r="G94">
        <f ca="1">IF(AND(ISNUMBER($G$251),$B$165=1),$G$251,HLOOKUP(INDIRECT(ADDRESS(2,COLUMN())),OFFSET($R$2,0,0,ROW()-1,12),ROW()-1,FALSE))</f>
        <v>1105.92563</v>
      </c>
      <c r="H94">
        <f ca="1">IF(AND(ISNUMBER($H$251),$B$165=1),$H$251,HLOOKUP(INDIRECT(ADDRESS(2,COLUMN())),OFFSET($R$2,0,0,ROW()-1,12),ROW()-1,FALSE))</f>
        <v>1109.2636749999999</v>
      </c>
      <c r="I94">
        <f ca="1">IF(AND(ISNUMBER($I$251),$B$165=1),$I$251,HLOOKUP(INDIRECT(ADDRESS(2,COLUMN())),OFFSET($R$2,0,0,ROW()-1,12),ROW()-1,FALSE))</f>
        <v>1271.158285</v>
      </c>
      <c r="J94">
        <f ca="1">IF(AND(ISNUMBER($J$251),$B$165=1),$J$251,HLOOKUP(INDIRECT(ADDRESS(2,COLUMN())),OFFSET($R$2,0,0,ROW()-1,12),ROW()-1,FALSE))</f>
        <v>1025.6147639999999</v>
      </c>
      <c r="K94">
        <f ca="1">IF(AND(ISNUMBER($K$251),$B$165=1),$K$251,HLOOKUP(INDIRECT(ADDRESS(2,COLUMN())),OFFSET($R$2,0,0,ROW()-1,12),ROW()-1,FALSE))</f>
        <v>772.89424589999999</v>
      </c>
      <c r="L94">
        <f ca="1">IF(AND(ISNUMBER($L$251),$B$165=1),$L$251,HLOOKUP(INDIRECT(ADDRESS(2,COLUMN())),OFFSET($R$2,0,0,ROW()-1,12),ROW()-1,FALSE))</f>
        <v>864.59589659999995</v>
      </c>
      <c r="M94">
        <f ca="1">IF(AND(ISNUMBER($M$251),$B$165=1),$M$251,HLOOKUP(INDIRECT(ADDRESS(2,COLUMN())),OFFSET($R$2,0,0,ROW()-1,12),ROW()-1,FALSE))</f>
        <v>1032.0262869999999</v>
      </c>
      <c r="N94">
        <f ca="1">IF(AND(ISNUMBER($N$251),$B$165=1),$N$251,HLOOKUP(INDIRECT(ADDRESS(2,COLUMN())),OFFSET($R$2,0,0,ROW()-1,12),ROW()-1,FALSE))</f>
        <v>1427.5560330000001</v>
      </c>
      <c r="O94">
        <f ca="1">IF(AND(ISNUMBER($O$251),$B$165=1),$O$251,HLOOKUP(INDIRECT(ADDRESS(2,COLUMN())),OFFSET($R$2,0,0,ROW()-1,12),ROW()-1,FALSE))</f>
        <v>1600.009397</v>
      </c>
      <c r="P94">
        <f ca="1">IF(AND(ISNUMBER($P$251),$B$165=1),$P$251,HLOOKUP(INDIRECT(ADDRESS(2,COLUMN())),OFFSET($R$2,0,0,ROW()-1,12),ROW()-1,FALSE))</f>
        <v>1747.666412</v>
      </c>
      <c r="Q94">
        <f ca="1">IF(AND(ISNUMBER($Q$251),$B$165=1),$Q$251,HLOOKUP(INDIRECT(ADDRESS(2,COLUMN())),OFFSET($R$2,0,0,ROW()-1,12),ROW()-1,FALSE))</f>
        <v>1759.705602</v>
      </c>
      <c r="R94">
        <f>1058.220573</f>
        <v>1058.2205730000001</v>
      </c>
      <c r="S94">
        <f>1105.92563</f>
        <v>1105.92563</v>
      </c>
      <c r="T94">
        <f>1109.263675</f>
        <v>1109.2636749999999</v>
      </c>
      <c r="U94">
        <f>1271.158285</f>
        <v>1271.158285</v>
      </c>
      <c r="V94">
        <f>1025.614764</f>
        <v>1025.6147639999999</v>
      </c>
      <c r="W94">
        <f>772.8942459</f>
        <v>772.89424589999999</v>
      </c>
      <c r="X94">
        <f>864.5958966</f>
        <v>864.59589659999995</v>
      </c>
      <c r="Y94">
        <f>1032.026287</f>
        <v>1032.0262869999999</v>
      </c>
      <c r="Z94">
        <f>1427.556033</f>
        <v>1427.5560330000001</v>
      </c>
      <c r="AA94">
        <f>1600.009397</f>
        <v>1600.009397</v>
      </c>
      <c r="AB94">
        <f>1747.666412</f>
        <v>1747.666412</v>
      </c>
      <c r="AC94">
        <f>1759.705602</f>
        <v>1759.705602</v>
      </c>
    </row>
    <row r="95" spans="1:29" x14ac:dyDescent="0.25">
      <c r="A95" t="str">
        <f>"LT Borrowings"</f>
        <v>LT Borrowings</v>
      </c>
      <c r="B95" t="str">
        <f>""</f>
        <v/>
      </c>
      <c r="E95" t="str">
        <f>"Sum"</f>
        <v>Sum</v>
      </c>
      <c r="F95">
        <f ca="1">IF(ISERROR(IF(SUM($F$96:$F$112) = 0, "", SUM($F$96:$F$112))), "", (IF(SUM($F$96:$F$112) = 0, "", SUM($F$96:$F$112))))</f>
        <v>82553.166194540012</v>
      </c>
      <c r="G95">
        <f ca="1">IF(ISERROR(IF(SUM($G$96:$G$112) = 0, "", SUM($G$96:$G$112))), "", (IF(SUM($G$96:$G$112) = 0, "", SUM($G$96:$G$112))))</f>
        <v>84436.290125899992</v>
      </c>
      <c r="H95">
        <f ca="1">IF(ISERROR(IF(SUM($H$96:$H$112) = 0, "", SUM($H$96:$H$112))), "", (IF(SUM($H$96:$H$112) = 0, "", SUM($H$96:$H$112))))</f>
        <v>75023.941399000003</v>
      </c>
      <c r="I95">
        <f ca="1">IF(ISERROR(IF(SUM($I$96:$I$112) = 0, "", SUM($I$96:$I$112))), "", (IF(SUM($I$96:$I$112) = 0, "", SUM($I$96:$I$112))))</f>
        <v>75839.519542099995</v>
      </c>
      <c r="J95">
        <f ca="1">IF(ISERROR(IF(SUM($J$96:$J$112) = 0, "", SUM($J$96:$J$112))), "", (IF(SUM($J$96:$J$112) = 0, "", SUM($J$96:$J$112))))</f>
        <v>51123.934221301002</v>
      </c>
      <c r="K95">
        <f ca="1">IF(ISERROR(IF(SUM($K$96:$K$112) = 0, "", SUM($K$96:$K$112))), "", (IF(SUM($K$96:$K$112) = 0, "", SUM($K$96:$K$112))))</f>
        <v>49198.042363515997</v>
      </c>
      <c r="L95">
        <f ca="1">IF(ISERROR(IF(SUM($L$96:$L$112) = 0, "", SUM($L$96:$L$112))), "", (IF(SUM($L$96:$L$112) = 0, "", SUM($L$96:$L$112))))</f>
        <v>42162.677113755999</v>
      </c>
      <c r="M95">
        <f ca="1">IF(ISERROR(IF(SUM($M$96:$M$112) = 0, "", SUM($M$96:$M$112))), "", (IF(SUM($M$96:$M$112) = 0, "", SUM($M$96:$M$112))))</f>
        <v>43535.257879613011</v>
      </c>
      <c r="N95">
        <f ca="1">IF(ISERROR(IF(SUM($N$96:$N$112) = 0, "", SUM($N$96:$N$112))), "", (IF(SUM($N$96:$N$112) = 0, "", SUM($N$96:$N$112))))</f>
        <v>46823.139061383998</v>
      </c>
      <c r="O95">
        <f ca="1">IF(ISERROR(IF(SUM($O$96:$O$112) = 0, "", SUM($O$96:$O$112))), "", (IF(SUM($O$96:$O$112) = 0, "", SUM($O$96:$O$112))))</f>
        <v>46511.554988175005</v>
      </c>
      <c r="P95">
        <f ca="1">IF(ISERROR(IF(SUM($P$96:$P$112) = 0, "", SUM($P$96:$P$112))), "", (IF(SUM($P$96:$P$112) = 0, "", SUM($P$96:$P$112))))</f>
        <v>43422.299252904995</v>
      </c>
      <c r="Q95">
        <f ca="1">IF(ISERROR(IF(SUM($Q$96:$Q$112) = 0, "", SUM($Q$96:$Q$112))), "", (IF(SUM($Q$96:$Q$112) = 0, "", SUM($Q$96:$Q$112))))</f>
        <v>40447.917068827992</v>
      </c>
      <c r="R95">
        <f>82553.16619</f>
        <v>82553.166190000004</v>
      </c>
      <c r="S95">
        <f>84436.29013</f>
        <v>84436.290129999994</v>
      </c>
      <c r="T95">
        <f>75023.9414</f>
        <v>75023.941399999996</v>
      </c>
      <c r="U95">
        <f>75839.51954</f>
        <v>75839.519539999994</v>
      </c>
      <c r="V95">
        <f>51123.93422</f>
        <v>51123.934220000003</v>
      </c>
      <c r="W95">
        <f>49198.04236</f>
        <v>49198.042359999999</v>
      </c>
      <c r="X95">
        <f>42162.67711</f>
        <v>42162.677109999997</v>
      </c>
      <c r="Y95">
        <f>43535.25788</f>
        <v>43535.257879999997</v>
      </c>
      <c r="Z95">
        <f>46823.13906</f>
        <v>46823.139060000001</v>
      </c>
      <c r="AA95">
        <f>46511.55499</f>
        <v>46511.554989999997</v>
      </c>
      <c r="AB95">
        <f>43422.29925</f>
        <v>43422.299249999996</v>
      </c>
      <c r="AC95">
        <f>40447.91707</f>
        <v>40447.917070000003</v>
      </c>
    </row>
    <row r="96" spans="1:29" x14ac:dyDescent="0.25">
      <c r="A96" t="str">
        <f>"    Accenture PLC"</f>
        <v xml:space="preserve">    Accenture PLC</v>
      </c>
      <c r="B96" t="str">
        <f>"ACN US Equity"</f>
        <v>ACN US Equity</v>
      </c>
      <c r="C96" t="str">
        <f t="shared" ref="C96:C112" si="15">"BS051"</f>
        <v>BS051</v>
      </c>
      <c r="D96" t="str">
        <f t="shared" ref="D96:D112" si="16">"BS_LT_BORROW"</f>
        <v>BS_LT_BORROW</v>
      </c>
      <c r="E96" t="str">
        <f t="shared" ref="E96:E112" si="17">"Dynamic"</f>
        <v>Dynamic</v>
      </c>
      <c r="F96">
        <f ca="1">IF(AND(ISNUMBER($F$252),$B$165=1),$F$252,HLOOKUP(INDIRECT(ADDRESS(2,COLUMN())),OFFSET($R$2,0,0,ROW()-1,12),ROW()-1,FALSE))</f>
        <v>2665.7310000000002</v>
      </c>
      <c r="G96">
        <f ca="1">IF(AND(ISNUMBER($G$252),$B$165=1),$G$252,HLOOKUP(INDIRECT(ADDRESS(2,COLUMN())),OFFSET($R$2,0,0,ROW()-1,12),ROW()-1,FALSE))</f>
        <v>2667.5859999999998</v>
      </c>
      <c r="H96">
        <f ca="1">IF(AND(ISNUMBER($H$252),$B$165=1),$H$252,HLOOKUP(INDIRECT(ADDRESS(2,COLUMN())),OFFSET($R$2,0,0,ROW()-1,12),ROW()-1,FALSE))</f>
        <v>16.247</v>
      </c>
      <c r="I96">
        <f ca="1">IF(AND(ISNUMBER($I$252),$B$165=1),$I$252,HLOOKUP(INDIRECT(ADDRESS(2,COLUMN())),OFFSET($R$2,0,0,ROW()-1,12),ROW()-1,FALSE))</f>
        <v>19.855</v>
      </c>
      <c r="J96">
        <f ca="1">IF(AND(ISNUMBER($J$252),$B$165=1),$J$252,HLOOKUP(INDIRECT(ADDRESS(2,COLUMN())),OFFSET($R$2,0,0,ROW()-1,12),ROW()-1,FALSE))</f>
        <v>19.753</v>
      </c>
      <c r="K96">
        <f ca="1">IF(AND(ISNUMBER($K$252),$B$165=1),$K$252,HLOOKUP(INDIRECT(ADDRESS(2,COLUMN())),OFFSET($R$2,0,0,ROW()-1,12),ROW()-1,FALSE))</f>
        <v>19.896000000000001</v>
      </c>
      <c r="L96">
        <f ca="1">IF(AND(ISNUMBER($L$252),$B$165=1),$L$252,HLOOKUP(INDIRECT(ADDRESS(2,COLUMN())),OFFSET($R$2,0,0,ROW()-1,12),ROW()-1,FALSE))</f>
        <v>19.675999999999998</v>
      </c>
      <c r="M96">
        <f ca="1">IF(AND(ISNUMBER($M$252),$B$165=1),$M$252,HLOOKUP(INDIRECT(ADDRESS(2,COLUMN())),OFFSET($R$2,0,0,ROW()-1,12),ROW()-1,FALSE))</f>
        <v>25.957999999999998</v>
      </c>
      <c r="N96">
        <f ca="1">IF(AND(ISNUMBER($N$252),$B$165=1),$N$252,HLOOKUP(INDIRECT(ADDRESS(2,COLUMN())),OFFSET($R$2,0,0,ROW()-1,12),ROW()-1,FALSE))</f>
        <v>25.922999999999998</v>
      </c>
      <c r="O96">
        <f ca="1">IF(AND(ISNUMBER($O$252),$B$165=1),$O$252,HLOOKUP(INDIRECT(ADDRESS(2,COLUMN())),OFFSET($R$2,0,0,ROW()-1,12),ROW()-1,FALSE))</f>
        <v>22.225999999999999</v>
      </c>
      <c r="P96">
        <f ca="1">IF(AND(ISNUMBER($P$252),$B$165=1),$P$252,HLOOKUP(INDIRECT(ADDRESS(2,COLUMN())),OFFSET($R$2,0,0,ROW()-1,12),ROW()-1,FALSE))</f>
        <v>22.163</v>
      </c>
      <c r="Q96">
        <f ca="1">IF(AND(ISNUMBER($Q$252),$B$165=1),$Q$252,HLOOKUP(INDIRECT(ADDRESS(2,COLUMN())),OFFSET($R$2,0,0,ROW()-1,12),ROW()-1,FALSE))</f>
        <v>24.731999999999999</v>
      </c>
      <c r="R96">
        <f>2665.731</f>
        <v>2665.7310000000002</v>
      </c>
      <c r="S96">
        <f>2667.586</f>
        <v>2667.5859999999998</v>
      </c>
      <c r="T96">
        <f>16.247</f>
        <v>16.247</v>
      </c>
      <c r="U96">
        <f>19.855</f>
        <v>19.855</v>
      </c>
      <c r="V96">
        <f>19.753</f>
        <v>19.753</v>
      </c>
      <c r="W96">
        <f>19.896</f>
        <v>19.896000000000001</v>
      </c>
      <c r="X96">
        <f>19.676</f>
        <v>19.675999999999998</v>
      </c>
      <c r="Y96">
        <f>25.958</f>
        <v>25.957999999999998</v>
      </c>
      <c r="Z96">
        <f>25.923</f>
        <v>25.922999999999998</v>
      </c>
      <c r="AA96">
        <f>22.226</f>
        <v>22.225999999999999</v>
      </c>
      <c r="AB96">
        <f>22.163</f>
        <v>22.163</v>
      </c>
      <c r="AC96">
        <f>24.732</f>
        <v>24.731999999999999</v>
      </c>
    </row>
    <row r="97" spans="1:29" x14ac:dyDescent="0.25">
      <c r="A97" t="str">
        <f>"    Amdocs Ltd"</f>
        <v xml:space="preserve">    Amdocs Ltd</v>
      </c>
      <c r="B97" t="str">
        <f>"DOX US Equity"</f>
        <v>DOX US Equity</v>
      </c>
      <c r="C97" t="str">
        <f t="shared" si="15"/>
        <v>BS051</v>
      </c>
      <c r="D97" t="str">
        <f t="shared" si="16"/>
        <v>BS_LT_BORROW</v>
      </c>
      <c r="E97" t="str">
        <f t="shared" si="17"/>
        <v>Dynamic</v>
      </c>
      <c r="F97">
        <f ca="1">IF(AND(ISNUMBER($F$253),$B$165=1),$F$253,HLOOKUP(INDIRECT(ADDRESS(2,COLUMN())),OFFSET($R$2,0,0,ROW()-1,12),ROW()-1,FALSE))</f>
        <v>218.39099999999999</v>
      </c>
      <c r="G97">
        <f ca="1">IF(AND(ISNUMBER($G$253),$B$165=1),$G$253,HLOOKUP(INDIRECT(ADDRESS(2,COLUMN())),OFFSET($R$2,0,0,ROW()-1,12),ROW()-1,FALSE))</f>
        <v>223.66399999999999</v>
      </c>
      <c r="H97">
        <f ca="1">IF(AND(ISNUMBER($H$253),$B$165=1),$H$253,HLOOKUP(INDIRECT(ADDRESS(2,COLUMN())),OFFSET($R$2,0,0,ROW()-1,12),ROW()-1,FALSE))</f>
        <v>0</v>
      </c>
      <c r="I97">
        <f ca="1">IF(AND(ISNUMBER($I$253),$B$165=1),$I$253,HLOOKUP(INDIRECT(ADDRESS(2,COLUMN())),OFFSET($R$2,0,0,ROW()-1,12),ROW()-1,FALSE))</f>
        <v>0</v>
      </c>
      <c r="J97">
        <f ca="1">IF(AND(ISNUMBER($J$253),$B$165=1),$J$253,HLOOKUP(INDIRECT(ADDRESS(2,COLUMN())),OFFSET($R$2,0,0,ROW()-1,12),ROW()-1,FALSE))</f>
        <v>0</v>
      </c>
      <c r="K97">
        <f ca="1">IF(AND(ISNUMBER($K$253),$B$165=1),$K$253,HLOOKUP(INDIRECT(ADDRESS(2,COLUMN())),OFFSET($R$2,0,0,ROW()-1,12),ROW()-1,FALSE))</f>
        <v>0</v>
      </c>
      <c r="L97">
        <f ca="1">IF(AND(ISNUMBER($L$253),$B$165=1),$L$253,HLOOKUP(INDIRECT(ADDRESS(2,COLUMN())),OFFSET($R$2,0,0,ROW()-1,12),ROW()-1,FALSE))</f>
        <v>0</v>
      </c>
      <c r="M97">
        <f ca="1">IF(AND(ISNUMBER($M$253),$B$165=1),$M$253,HLOOKUP(INDIRECT(ADDRESS(2,COLUMN())),OFFSET($R$2,0,0,ROW()-1,12),ROW()-1,FALSE))</f>
        <v>0</v>
      </c>
      <c r="N97">
        <f ca="1">IF(AND(ISNUMBER($N$253),$B$165=1),$N$253,HLOOKUP(INDIRECT(ADDRESS(2,COLUMN())),OFFSET($R$2,0,0,ROW()-1,12),ROW()-1,FALSE))</f>
        <v>0</v>
      </c>
      <c r="O97">
        <f ca="1">IF(AND(ISNUMBER($O$253),$B$165=1),$O$253,HLOOKUP(INDIRECT(ADDRESS(2,COLUMN())),OFFSET($R$2,0,0,ROW()-1,12),ROW()-1,FALSE))</f>
        <v>0</v>
      </c>
      <c r="P97">
        <f ca="1">IF(AND(ISNUMBER($P$253),$B$165=1),$P$253,HLOOKUP(INDIRECT(ADDRESS(2,COLUMN())),OFFSET($R$2,0,0,ROW()-1,12),ROW()-1,FALSE))</f>
        <v>0</v>
      </c>
      <c r="Q97">
        <f ca="1">IF(AND(ISNUMBER($Q$253),$B$165=1),$Q$253,HLOOKUP(INDIRECT(ADDRESS(2,COLUMN())),OFFSET($R$2,0,0,ROW()-1,12),ROW()-1,FALSE))</f>
        <v>0</v>
      </c>
      <c r="R97">
        <f>218.391</f>
        <v>218.39099999999999</v>
      </c>
      <c r="S97">
        <f>223.664</f>
        <v>223.66399999999999</v>
      </c>
      <c r="T97">
        <f>0</f>
        <v>0</v>
      </c>
      <c r="U97">
        <f>0</f>
        <v>0</v>
      </c>
      <c r="V97">
        <f>0</f>
        <v>0</v>
      </c>
      <c r="W97">
        <f>0</f>
        <v>0</v>
      </c>
      <c r="X97">
        <f>0</f>
        <v>0</v>
      </c>
      <c r="Y97">
        <f>0</f>
        <v>0</v>
      </c>
      <c r="Z97">
        <f>0</f>
        <v>0</v>
      </c>
      <c r="AA97">
        <f>0</f>
        <v>0</v>
      </c>
      <c r="AB97">
        <f>0</f>
        <v>0</v>
      </c>
      <c r="AC97">
        <f>0</f>
        <v>0</v>
      </c>
    </row>
    <row r="98" spans="1:29" x14ac:dyDescent="0.25">
      <c r="A98" t="str">
        <f>"    Atos SE"</f>
        <v xml:space="preserve">    Atos SE</v>
      </c>
      <c r="B98" t="str">
        <f>"ATO FP Equity"</f>
        <v>ATO FP Equity</v>
      </c>
      <c r="C98" t="str">
        <f t="shared" si="15"/>
        <v>BS051</v>
      </c>
      <c r="D98" t="str">
        <f t="shared" si="16"/>
        <v>BS_LT_BORROW</v>
      </c>
      <c r="E98" t="str">
        <f t="shared" si="17"/>
        <v>Dynamic</v>
      </c>
      <c r="F98" t="str">
        <f ca="1">IF(AND(ISNUMBER($F$254),$B$165=1),$F$254,HLOOKUP(INDIRECT(ADDRESS(2,COLUMN())),OFFSET($R$2,0,0,ROW()-1,12),ROW()-1,FALSE))</f>
        <v/>
      </c>
      <c r="G98" t="str">
        <f ca="1">IF(AND(ISNUMBER($G$254),$B$165=1),$G$254,HLOOKUP(INDIRECT(ADDRESS(2,COLUMN())),OFFSET($R$2,0,0,ROW()-1,12),ROW()-1,FALSE))</f>
        <v/>
      </c>
      <c r="H98" t="str">
        <f ca="1">IF(AND(ISNUMBER($H$254),$B$165=1),$H$254,HLOOKUP(INDIRECT(ADDRESS(2,COLUMN())),OFFSET($R$2,0,0,ROW()-1,12),ROW()-1,FALSE))</f>
        <v/>
      </c>
      <c r="I98" t="str">
        <f ca="1">IF(AND(ISNUMBER($I$254),$B$165=1),$I$254,HLOOKUP(INDIRECT(ADDRESS(2,COLUMN())),OFFSET($R$2,0,0,ROW()-1,12),ROW()-1,FALSE))</f>
        <v/>
      </c>
      <c r="J98" t="str">
        <f ca="1">IF(AND(ISNUMBER($J$254),$B$165=1),$J$254,HLOOKUP(INDIRECT(ADDRESS(2,COLUMN())),OFFSET($R$2,0,0,ROW()-1,12),ROW()-1,FALSE))</f>
        <v/>
      </c>
      <c r="K98" t="str">
        <f ca="1">IF(AND(ISNUMBER($K$254),$B$165=1),$K$254,HLOOKUP(INDIRECT(ADDRESS(2,COLUMN())),OFFSET($R$2,0,0,ROW()-1,12),ROW()-1,FALSE))</f>
        <v/>
      </c>
      <c r="L98" t="str">
        <f ca="1">IF(AND(ISNUMBER($L$254),$B$165=1),$L$254,HLOOKUP(INDIRECT(ADDRESS(2,COLUMN())),OFFSET($R$2,0,0,ROW()-1,12),ROW()-1,FALSE))</f>
        <v/>
      </c>
      <c r="M98" t="str">
        <f ca="1">IF(AND(ISNUMBER($M$254),$B$165=1),$M$254,HLOOKUP(INDIRECT(ADDRESS(2,COLUMN())),OFFSET($R$2,0,0,ROW()-1,12),ROW()-1,FALSE))</f>
        <v/>
      </c>
      <c r="N98" t="str">
        <f ca="1">IF(AND(ISNUMBER($N$254),$B$165=1),$N$254,HLOOKUP(INDIRECT(ADDRESS(2,COLUMN())),OFFSET($R$2,0,0,ROW()-1,12),ROW()-1,FALSE))</f>
        <v/>
      </c>
      <c r="O98" t="str">
        <f ca="1">IF(AND(ISNUMBER($O$254),$B$165=1),$O$254,HLOOKUP(INDIRECT(ADDRESS(2,COLUMN())),OFFSET($R$2,0,0,ROW()-1,12),ROW()-1,FALSE))</f>
        <v/>
      </c>
      <c r="P98" t="str">
        <f ca="1">IF(AND(ISNUMBER($P$254),$B$165=1),$P$254,HLOOKUP(INDIRECT(ADDRESS(2,COLUMN())),OFFSET($R$2,0,0,ROW()-1,12),ROW()-1,FALSE))</f>
        <v/>
      </c>
      <c r="Q98" t="str">
        <f ca="1">IF(AND(ISNUMBER($Q$254),$B$165=1),$Q$254,HLOOKUP(INDIRECT(ADDRESS(2,COLUMN())),OFFSET($R$2,0,0,ROW()-1,12),ROW()-1,FALSE))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</row>
    <row r="99" spans="1:29" x14ac:dyDescent="0.25">
      <c r="A99" t="str">
        <f>"    Capgemini SE"</f>
        <v xml:space="preserve">    Capgemini SE</v>
      </c>
      <c r="B99" t="str">
        <f>"CAP FP Equity"</f>
        <v>CAP FP Equity</v>
      </c>
      <c r="C99" t="str">
        <f t="shared" si="15"/>
        <v>BS051</v>
      </c>
      <c r="D99" t="str">
        <f t="shared" si="16"/>
        <v>BS_LT_BORROW</v>
      </c>
      <c r="E99" t="str">
        <f t="shared" si="17"/>
        <v>Dynamic</v>
      </c>
      <c r="F99" t="str">
        <f ca="1">IF(AND(ISNUMBER($F$255),$B$165=1),$F$255,HLOOKUP(INDIRECT(ADDRESS(2,COLUMN())),OFFSET($R$2,0,0,ROW()-1,12),ROW()-1,FALSE))</f>
        <v/>
      </c>
      <c r="G99">
        <f ca="1">IF(AND(ISNUMBER($G$255),$B$165=1),$G$255,HLOOKUP(INDIRECT(ADDRESS(2,COLUMN())),OFFSET($R$2,0,0,ROW()-1,12),ROW()-1,FALSE))</f>
        <v>3543.8724000000002</v>
      </c>
      <c r="H99" t="str">
        <f ca="1">IF(AND(ISNUMBER($H$255),$B$165=1),$H$255,HLOOKUP(INDIRECT(ADDRESS(2,COLUMN())),OFFSET($R$2,0,0,ROW()-1,12),ROW()-1,FALSE))</f>
        <v/>
      </c>
      <c r="I99" t="str">
        <f ca="1">IF(AND(ISNUMBER($I$255),$B$165=1),$I$255,HLOOKUP(INDIRECT(ADDRESS(2,COLUMN())),OFFSET($R$2,0,0,ROW()-1,12),ROW()-1,FALSE))</f>
        <v/>
      </c>
      <c r="J99" t="str">
        <f ca="1">IF(AND(ISNUMBER($J$255),$B$165=1),$J$255,HLOOKUP(INDIRECT(ADDRESS(2,COLUMN())),OFFSET($R$2,0,0,ROW()-1,12),ROW()-1,FALSE))</f>
        <v/>
      </c>
      <c r="K99" t="str">
        <f ca="1">IF(AND(ISNUMBER($K$255),$B$165=1),$K$255,HLOOKUP(INDIRECT(ADDRESS(2,COLUMN())),OFFSET($R$2,0,0,ROW()-1,12),ROW()-1,FALSE))</f>
        <v/>
      </c>
      <c r="L99" t="str">
        <f ca="1">IF(AND(ISNUMBER($L$255),$B$165=1),$L$255,HLOOKUP(INDIRECT(ADDRESS(2,COLUMN())),OFFSET($R$2,0,0,ROW()-1,12),ROW()-1,FALSE))</f>
        <v/>
      </c>
      <c r="M99" t="str">
        <f ca="1">IF(AND(ISNUMBER($M$255),$B$165=1),$M$255,HLOOKUP(INDIRECT(ADDRESS(2,COLUMN())),OFFSET($R$2,0,0,ROW()-1,12),ROW()-1,FALSE))</f>
        <v/>
      </c>
      <c r="N99" t="str">
        <f ca="1">IF(AND(ISNUMBER($N$255),$B$165=1),$N$255,HLOOKUP(INDIRECT(ADDRESS(2,COLUMN())),OFFSET($R$2,0,0,ROW()-1,12),ROW()-1,FALSE))</f>
        <v/>
      </c>
      <c r="O99" t="str">
        <f ca="1">IF(AND(ISNUMBER($O$255),$B$165=1),$O$255,HLOOKUP(INDIRECT(ADDRESS(2,COLUMN())),OFFSET($R$2,0,0,ROW()-1,12),ROW()-1,FALSE))</f>
        <v/>
      </c>
      <c r="P99" t="str">
        <f ca="1">IF(AND(ISNUMBER($P$255),$B$165=1),$P$255,HLOOKUP(INDIRECT(ADDRESS(2,COLUMN())),OFFSET($R$2,0,0,ROW()-1,12),ROW()-1,FALSE))</f>
        <v/>
      </c>
      <c r="Q99" t="str">
        <f ca="1">IF(AND(ISNUMBER($Q$255),$B$165=1),$Q$255,HLOOKUP(INDIRECT(ADDRESS(2,COLUMN())),OFFSET($R$2,0,0,ROW()-1,12),ROW()-1,FALSE))</f>
        <v/>
      </c>
      <c r="R99" t="str">
        <f>""</f>
        <v/>
      </c>
      <c r="S99">
        <f>3543.8724</f>
        <v>3543.8724000000002</v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</row>
    <row r="100" spans="1:29" x14ac:dyDescent="0.25">
      <c r="A100" t="str">
        <f>"    CGI Inc"</f>
        <v xml:space="preserve">    CGI Inc</v>
      </c>
      <c r="B100" t="str">
        <f>"GIB US Equity"</f>
        <v>GIB US Equity</v>
      </c>
      <c r="C100" t="str">
        <f t="shared" si="15"/>
        <v>BS051</v>
      </c>
      <c r="D100" t="str">
        <f t="shared" si="16"/>
        <v>BS_LT_BORROW</v>
      </c>
      <c r="E100" t="str">
        <f t="shared" si="17"/>
        <v>Dynamic</v>
      </c>
      <c r="F100">
        <f ca="1">IF(AND(ISNUMBER($F$256),$B$165=1),$F$256,HLOOKUP(INDIRECT(ADDRESS(2,COLUMN())),OFFSET($R$2,0,0,ROW()-1,12),ROW()-1,FALSE))</f>
        <v>2733.171437</v>
      </c>
      <c r="G100">
        <f ca="1">IF(AND(ISNUMBER($G$256),$B$165=1),$G$256,HLOOKUP(INDIRECT(ADDRESS(2,COLUMN())),OFFSET($R$2,0,0,ROW()-1,12),ROW()-1,FALSE))</f>
        <v>2102.9734939999998</v>
      </c>
      <c r="H100">
        <f ca="1">IF(AND(ISNUMBER($H$256),$B$165=1),$H$256,HLOOKUP(INDIRECT(ADDRESS(2,COLUMN())),OFFSET($R$2,0,0,ROW()-1,12),ROW()-1,FALSE))</f>
        <v>1674.870478</v>
      </c>
      <c r="I100">
        <f ca="1">IF(AND(ISNUMBER($I$256),$B$165=1),$I$256,HLOOKUP(INDIRECT(ADDRESS(2,COLUMN())),OFFSET($R$2,0,0,ROW()-1,12),ROW()-1,FALSE))</f>
        <v>1807.4131219999999</v>
      </c>
      <c r="J100">
        <f ca="1">IF(AND(ISNUMBER($J$256),$B$165=1),$J$256,HLOOKUP(INDIRECT(ADDRESS(2,COLUMN())),OFFSET($R$2,0,0,ROW()-1,12),ROW()-1,FALSE))</f>
        <v>1473.9754620000001</v>
      </c>
      <c r="K100">
        <f ca="1">IF(AND(ISNUMBER($K$256),$B$165=1),$K$256,HLOOKUP(INDIRECT(ADDRESS(2,COLUMN())),OFFSET($R$2,0,0,ROW()-1,12),ROW()-1,FALSE))</f>
        <v>1477.807546</v>
      </c>
      <c r="L100">
        <f ca="1">IF(AND(ISNUMBER($L$256),$B$165=1),$L$256,HLOOKUP(INDIRECT(ADDRESS(2,COLUMN())),OFFSET($R$2,0,0,ROW()-1,12),ROW()-1,FALSE))</f>
        <v>1122.430636</v>
      </c>
      <c r="M100">
        <f ca="1">IF(AND(ISNUMBER($M$256),$B$165=1),$M$256,HLOOKUP(INDIRECT(ADDRESS(2,COLUMN())),OFFSET($R$2,0,0,ROW()-1,12),ROW()-1,FALSE))</f>
        <v>1174.4123239999999</v>
      </c>
      <c r="N100">
        <f ca="1">IF(AND(ISNUMBER($N$256),$B$165=1),$N$256,HLOOKUP(INDIRECT(ADDRESS(2,COLUMN())),OFFSET($R$2,0,0,ROW()-1,12),ROW()-1,FALSE))</f>
        <v>1149.446815</v>
      </c>
      <c r="O100">
        <f ca="1">IF(AND(ISNUMBER($O$256),$B$165=1),$O$256,HLOOKUP(INDIRECT(ADDRESS(2,COLUMN())),OFFSET($R$2,0,0,ROW()-1,12),ROW()-1,FALSE))</f>
        <v>1212.4411270000001</v>
      </c>
      <c r="P100">
        <f ca="1">IF(AND(ISNUMBER($P$256),$B$165=1),$P$256,HLOOKUP(INDIRECT(ADDRESS(2,COLUMN())),OFFSET($R$2,0,0,ROW()-1,12),ROW()-1,FALSE))</f>
        <v>1393.412368</v>
      </c>
      <c r="Q100">
        <f ca="1">IF(AND(ISNUMBER($Q$256),$B$165=1),$Q$256,HLOOKUP(INDIRECT(ADDRESS(2,COLUMN())),OFFSET($R$2,0,0,ROW()-1,12),ROW()-1,FALSE))</f>
        <v>1278.902317</v>
      </c>
      <c r="R100">
        <f>2733.171437</f>
        <v>2733.171437</v>
      </c>
      <c r="S100">
        <f>2102.973494</f>
        <v>2102.9734939999998</v>
      </c>
      <c r="T100">
        <f>1674.870478</f>
        <v>1674.870478</v>
      </c>
      <c r="U100">
        <f>1807.413122</f>
        <v>1807.4131219999999</v>
      </c>
      <c r="V100">
        <f>1473.975462</f>
        <v>1473.9754620000001</v>
      </c>
      <c r="W100">
        <f>1477.807546</f>
        <v>1477.807546</v>
      </c>
      <c r="X100">
        <f>1122.430636</f>
        <v>1122.430636</v>
      </c>
      <c r="Y100">
        <f>1174.412324</f>
        <v>1174.4123239999999</v>
      </c>
      <c r="Z100">
        <f>1149.446815</f>
        <v>1149.446815</v>
      </c>
      <c r="AA100">
        <f>1212.441127</f>
        <v>1212.4411270000001</v>
      </c>
      <c r="AB100">
        <f>1393.412368</f>
        <v>1393.412368</v>
      </c>
      <c r="AC100">
        <f>1278.902317</f>
        <v>1278.902317</v>
      </c>
    </row>
    <row r="101" spans="1:29" x14ac:dyDescent="0.25">
      <c r="A101" t="str">
        <f>"    Cognizant Technology Solutions Corp"</f>
        <v xml:space="preserve">    Cognizant Technology Solutions Corp</v>
      </c>
      <c r="B101" t="str">
        <f>"CTSH US Equity"</f>
        <v>CTSH US Equity</v>
      </c>
      <c r="C101" t="str">
        <f t="shared" si="15"/>
        <v>BS051</v>
      </c>
      <c r="D101" t="str">
        <f t="shared" si="16"/>
        <v>BS_LT_BORROW</v>
      </c>
      <c r="E101" t="str">
        <f t="shared" si="17"/>
        <v>Dynamic</v>
      </c>
      <c r="F101">
        <f ca="1">IF(AND(ISNUMBER($F$257),$B$165=1),$F$257,HLOOKUP(INDIRECT(ADDRESS(2,COLUMN())),OFFSET($R$2,0,0,ROW()-1,12),ROW()-1,FALSE))</f>
        <v>3164</v>
      </c>
      <c r="G101">
        <f ca="1">IF(AND(ISNUMBER($G$257),$B$165=1),$G$257,HLOOKUP(INDIRECT(ADDRESS(2,COLUMN())),OFFSET($R$2,0,0,ROW()-1,12),ROW()-1,FALSE))</f>
        <v>1460</v>
      </c>
      <c r="H101">
        <f ca="1">IF(AND(ISNUMBER($H$257),$B$165=1),$H$257,HLOOKUP(INDIRECT(ADDRESS(2,COLUMN())),OFFSET($R$2,0,0,ROW()-1,12),ROW()-1,FALSE))</f>
        <v>1457</v>
      </c>
      <c r="I101">
        <f ca="1">IF(AND(ISNUMBER($I$257),$B$165=1),$I$257,HLOOKUP(INDIRECT(ADDRESS(2,COLUMN())),OFFSET($R$2,0,0,ROW()-1,12),ROW()-1,FALSE))</f>
        <v>1413</v>
      </c>
      <c r="J101">
        <f ca="1">IF(AND(ISNUMBER($J$257),$B$165=1),$J$257,HLOOKUP(INDIRECT(ADDRESS(2,COLUMN())),OFFSET($R$2,0,0,ROW()-1,12),ROW()-1,FALSE))</f>
        <v>1395</v>
      </c>
      <c r="K101">
        <f ca="1">IF(AND(ISNUMBER($K$257),$B$165=1),$K$257,HLOOKUP(INDIRECT(ADDRESS(2,COLUMN())),OFFSET($R$2,0,0,ROW()-1,12),ROW()-1,FALSE))</f>
        <v>736</v>
      </c>
      <c r="L101">
        <f ca="1">IF(AND(ISNUMBER($L$257),$B$165=1),$L$257,HLOOKUP(INDIRECT(ADDRESS(2,COLUMN())),OFFSET($R$2,0,0,ROW()-1,12),ROW()-1,FALSE))</f>
        <v>624</v>
      </c>
      <c r="M101">
        <f ca="1">IF(AND(ISNUMBER($M$257),$B$165=1),$M$257,HLOOKUP(INDIRECT(ADDRESS(2,COLUMN())),OFFSET($R$2,0,0,ROW()-1,12),ROW()-1,FALSE))</f>
        <v>649</v>
      </c>
      <c r="N101">
        <f ca="1">IF(AND(ISNUMBER($N$257),$B$165=1),$N$257,HLOOKUP(INDIRECT(ADDRESS(2,COLUMN())),OFFSET($R$2,0,0,ROW()-1,12),ROW()-1,FALSE))</f>
        <v>673</v>
      </c>
      <c r="O101">
        <f ca="1">IF(AND(ISNUMBER($O$257),$B$165=1),$O$257,HLOOKUP(INDIRECT(ADDRESS(2,COLUMN())),OFFSET($R$2,0,0,ROW()-1,12),ROW()-1,FALSE))</f>
        <v>698</v>
      </c>
      <c r="P101">
        <f ca="1">IF(AND(ISNUMBER($P$257),$B$165=1),$P$257,HLOOKUP(INDIRECT(ADDRESS(2,COLUMN())),OFFSET($R$2,0,0,ROW()-1,12),ROW()-1,FALSE))</f>
        <v>723</v>
      </c>
      <c r="Q101">
        <f ca="1">IF(AND(ISNUMBER($Q$257),$B$165=1),$Q$257,HLOOKUP(INDIRECT(ADDRESS(2,COLUMN())),OFFSET($R$2,0,0,ROW()-1,12),ROW()-1,FALSE))</f>
        <v>747</v>
      </c>
      <c r="R101">
        <f>3164</f>
        <v>3164</v>
      </c>
      <c r="S101">
        <f>1460</f>
        <v>1460</v>
      </c>
      <c r="T101">
        <f>1457</f>
        <v>1457</v>
      </c>
      <c r="U101">
        <f>1413</f>
        <v>1413</v>
      </c>
      <c r="V101">
        <f>1395</f>
        <v>1395</v>
      </c>
      <c r="W101">
        <f>736</f>
        <v>736</v>
      </c>
      <c r="X101">
        <f>624</f>
        <v>624</v>
      </c>
      <c r="Y101">
        <f>649</f>
        <v>649</v>
      </c>
      <c r="Z101">
        <f>673</f>
        <v>673</v>
      </c>
      <c r="AA101">
        <f>698</f>
        <v>698</v>
      </c>
      <c r="AB101">
        <f>723</f>
        <v>723</v>
      </c>
      <c r="AC101">
        <f>747</f>
        <v>747</v>
      </c>
    </row>
    <row r="102" spans="1:29" x14ac:dyDescent="0.25">
      <c r="A102" t="str">
        <f>"    Conduent Inc"</f>
        <v xml:space="preserve">    Conduent Inc</v>
      </c>
      <c r="B102" t="str">
        <f>"CNDT US Equity"</f>
        <v>CNDT US Equity</v>
      </c>
      <c r="C102" t="str">
        <f t="shared" si="15"/>
        <v>BS051</v>
      </c>
      <c r="D102" t="str">
        <f t="shared" si="16"/>
        <v>BS_LT_BORROW</v>
      </c>
      <c r="E102" t="str">
        <f t="shared" si="17"/>
        <v>Dynamic</v>
      </c>
      <c r="F102">
        <f ca="1">IF(AND(ISNUMBER($F$258),$B$165=1),$F$258,HLOOKUP(INDIRECT(ADDRESS(2,COLUMN())),OFFSET($R$2,0,0,ROW()-1,12),ROW()-1,FALSE))</f>
        <v>1820</v>
      </c>
      <c r="G102">
        <f ca="1">IF(AND(ISNUMBER($G$258),$B$165=1),$G$258,HLOOKUP(INDIRECT(ADDRESS(2,COLUMN())),OFFSET($R$2,0,0,ROW()-1,12),ROW()-1,FALSE))</f>
        <v>1693</v>
      </c>
      <c r="H102">
        <f ca="1">IF(AND(ISNUMBER($H$258),$B$165=1),$H$258,HLOOKUP(INDIRECT(ADDRESS(2,COLUMN())),OFFSET($R$2,0,0,ROW()-1,12),ROW()-1,FALSE))</f>
        <v>1713</v>
      </c>
      <c r="I102">
        <f ca="1">IF(AND(ISNUMBER($I$258),$B$165=1),$I$258,HLOOKUP(INDIRECT(ADDRESS(2,COLUMN())),OFFSET($R$2,0,0,ROW()-1,12),ROW()-1,FALSE))</f>
        <v>1752</v>
      </c>
      <c r="J102">
        <f ca="1">IF(AND(ISNUMBER($J$258),$B$165=1),$J$258,HLOOKUP(INDIRECT(ADDRESS(2,COLUMN())),OFFSET($R$2,0,0,ROW()-1,12),ROW()-1,FALSE))</f>
        <v>1778</v>
      </c>
      <c r="K102">
        <f ca="1">IF(AND(ISNUMBER($K$258),$B$165=1),$K$258,HLOOKUP(INDIRECT(ADDRESS(2,COLUMN())),OFFSET($R$2,0,0,ROW()-1,12),ROW()-1,FALSE))</f>
        <v>1512</v>
      </c>
      <c r="L102">
        <f ca="1">IF(AND(ISNUMBER($L$258),$B$165=1),$L$258,HLOOKUP(INDIRECT(ADDRESS(2,COLUMN())),OFFSET($R$2,0,0,ROW()-1,12),ROW()-1,FALSE))</f>
        <v>1528</v>
      </c>
      <c r="M102">
        <f ca="1">IF(AND(ISNUMBER($M$258),$B$165=1),$M$258,HLOOKUP(INDIRECT(ADDRESS(2,COLUMN())),OFFSET($R$2,0,0,ROW()-1,12),ROW()-1,FALSE))</f>
        <v>2001</v>
      </c>
      <c r="N102">
        <f ca="1">IF(AND(ISNUMBER($N$258),$B$165=1),$N$258,HLOOKUP(INDIRECT(ADDRESS(2,COLUMN())),OFFSET($R$2,0,0,ROW()-1,12),ROW()-1,FALSE))</f>
        <v>1972</v>
      </c>
      <c r="O102">
        <f ca="1">IF(AND(ISNUMBER($O$258),$B$165=1),$O$258,HLOOKUP(INDIRECT(ADDRESS(2,COLUMN())),OFFSET($R$2,0,0,ROW()-1,12),ROW()-1,FALSE))</f>
        <v>1979</v>
      </c>
      <c r="P102">
        <f ca="1">IF(AND(ISNUMBER($P$258),$B$165=1),$P$258,HLOOKUP(INDIRECT(ADDRESS(2,COLUMN())),OFFSET($R$2,0,0,ROW()-1,12),ROW()-1,FALSE))</f>
        <v>1991</v>
      </c>
      <c r="Q102">
        <f ca="1">IF(AND(ISNUMBER($Q$258),$B$165=1),$Q$258,HLOOKUP(INDIRECT(ADDRESS(2,COLUMN())),OFFSET($R$2,0,0,ROW()-1,12),ROW()-1,FALSE))</f>
        <v>2071</v>
      </c>
      <c r="R102">
        <f>1820</f>
        <v>1820</v>
      </c>
      <c r="S102">
        <f>1693</f>
        <v>1693</v>
      </c>
      <c r="T102">
        <f>1713</f>
        <v>1713</v>
      </c>
      <c r="U102">
        <f>1752</f>
        <v>1752</v>
      </c>
      <c r="V102">
        <f>1778</f>
        <v>1778</v>
      </c>
      <c r="W102">
        <f>1512</f>
        <v>1512</v>
      </c>
      <c r="X102">
        <f>1528</f>
        <v>1528</v>
      </c>
      <c r="Y102">
        <f>2001</f>
        <v>2001</v>
      </c>
      <c r="Z102">
        <f>1972</f>
        <v>1972</v>
      </c>
      <c r="AA102">
        <f>1979</f>
        <v>1979</v>
      </c>
      <c r="AB102">
        <f>1991</f>
        <v>1991</v>
      </c>
      <c r="AC102">
        <f>2071</f>
        <v>2071</v>
      </c>
    </row>
    <row r="103" spans="1:29" x14ac:dyDescent="0.25">
      <c r="A103" t="str">
        <f>"    DXC Technology Co"</f>
        <v xml:space="preserve">    DXC Technology Co</v>
      </c>
      <c r="B103" t="str">
        <f>"DXC US Equity"</f>
        <v>DXC US Equity</v>
      </c>
      <c r="C103" t="str">
        <f t="shared" si="15"/>
        <v>BS051</v>
      </c>
      <c r="D103" t="str">
        <f t="shared" si="16"/>
        <v>BS_LT_BORROW</v>
      </c>
      <c r="E103" t="str">
        <f t="shared" si="17"/>
        <v>Dynamic</v>
      </c>
      <c r="F103">
        <f ca="1">IF(AND(ISNUMBER($F$259),$B$165=1),$F$259,HLOOKUP(INDIRECT(ADDRESS(2,COLUMN())),OFFSET($R$2,0,0,ROW()-1,12),ROW()-1,FALSE))</f>
        <v>9735</v>
      </c>
      <c r="G103">
        <f ca="1">IF(AND(ISNUMBER($G$259),$B$165=1),$G$259,HLOOKUP(INDIRECT(ADDRESS(2,COLUMN())),OFFSET($R$2,0,0,ROW()-1,12),ROW()-1,FALSE))</f>
        <v>8412</v>
      </c>
      <c r="H103">
        <f ca="1">IF(AND(ISNUMBER($H$259),$B$165=1),$H$259,HLOOKUP(INDIRECT(ADDRESS(2,COLUMN())),OFFSET($R$2,0,0,ROW()-1,12),ROW()-1,FALSE))</f>
        <v>8837</v>
      </c>
      <c r="I103">
        <f ca="1">IF(AND(ISNUMBER($I$259),$B$165=1),$I$259,HLOOKUP(INDIRECT(ADDRESS(2,COLUMN())),OFFSET($R$2,0,0,ROW()-1,12),ROW()-1,FALSE))</f>
        <v>9022</v>
      </c>
      <c r="J103">
        <f ca="1">IF(AND(ISNUMBER($J$259),$B$165=1),$J$259,HLOOKUP(INDIRECT(ADDRESS(2,COLUMN())),OFFSET($R$2,0,0,ROW()-1,12),ROW()-1,FALSE))</f>
        <v>5470</v>
      </c>
      <c r="K103">
        <f ca="1">IF(AND(ISNUMBER($K$259),$B$165=1),$K$259,HLOOKUP(INDIRECT(ADDRESS(2,COLUMN())),OFFSET($R$2,0,0,ROW()-1,12),ROW()-1,FALSE))</f>
        <v>5980</v>
      </c>
      <c r="L103">
        <f ca="1">IF(AND(ISNUMBER($L$259),$B$165=1),$L$259,HLOOKUP(INDIRECT(ADDRESS(2,COLUMN())),OFFSET($R$2,0,0,ROW()-1,12),ROW()-1,FALSE))</f>
        <v>5409</v>
      </c>
      <c r="M103">
        <f ca="1">IF(AND(ISNUMBER($M$259),$B$165=1),$M$259,HLOOKUP(INDIRECT(ADDRESS(2,COLUMN())),OFFSET($R$2,0,0,ROW()-1,12),ROW()-1,FALSE))</f>
        <v>4747</v>
      </c>
      <c r="N103">
        <f ca="1">IF(AND(ISNUMBER($N$259),$B$165=1),$N$259,HLOOKUP(INDIRECT(ADDRESS(2,COLUMN())),OFFSET($R$2,0,0,ROW()-1,12),ROW()-1,FALSE))</f>
        <v>6092</v>
      </c>
      <c r="O103">
        <f ca="1">IF(AND(ISNUMBER($O$259),$B$165=1),$O$259,HLOOKUP(INDIRECT(ADDRESS(2,COLUMN())),OFFSET($R$2,0,0,ROW()-1,12),ROW()-1,FALSE))</f>
        <v>6367</v>
      </c>
      <c r="P103">
        <f ca="1">IF(AND(ISNUMBER($P$259),$B$165=1),$P$259,HLOOKUP(INDIRECT(ADDRESS(2,COLUMN())),OFFSET($R$2,0,0,ROW()-1,12),ROW()-1,FALSE))</f>
        <v>6325</v>
      </c>
      <c r="Q103">
        <f ca="1">IF(AND(ISNUMBER($Q$259),$B$165=1),$Q$259,HLOOKUP(INDIRECT(ADDRESS(2,COLUMN())),OFFSET($R$2,0,0,ROW()-1,12),ROW()-1,FALSE))</f>
        <v>6249</v>
      </c>
      <c r="R103">
        <f>9735</f>
        <v>9735</v>
      </c>
      <c r="S103">
        <f>8412</f>
        <v>8412</v>
      </c>
      <c r="T103">
        <f>8837</f>
        <v>8837</v>
      </c>
      <c r="U103">
        <f>9022</f>
        <v>9022</v>
      </c>
      <c r="V103">
        <f>5470</f>
        <v>5470</v>
      </c>
      <c r="W103">
        <f>5980</f>
        <v>5980</v>
      </c>
      <c r="X103">
        <f>5409</f>
        <v>5409</v>
      </c>
      <c r="Y103">
        <f>4747</f>
        <v>4747</v>
      </c>
      <c r="Z103">
        <f>6092</f>
        <v>6092</v>
      </c>
      <c r="AA103">
        <f>6367</f>
        <v>6367</v>
      </c>
      <c r="AB103">
        <f>6325</f>
        <v>6325</v>
      </c>
      <c r="AC103">
        <f>6249</f>
        <v>6249</v>
      </c>
    </row>
    <row r="104" spans="1:29" x14ac:dyDescent="0.25">
      <c r="A104" t="str">
        <f>"    EPAM Systems Inc"</f>
        <v xml:space="preserve">    EPAM Systems Inc</v>
      </c>
      <c r="B104" t="str">
        <f>"EPAM US Equity"</f>
        <v>EPAM US Equity</v>
      </c>
      <c r="C104" t="str">
        <f t="shared" si="15"/>
        <v>BS051</v>
      </c>
      <c r="D104" t="str">
        <f t="shared" si="16"/>
        <v>BS_LT_BORROW</v>
      </c>
      <c r="E104" t="str">
        <f t="shared" si="17"/>
        <v>Dynamic</v>
      </c>
      <c r="F104">
        <f ca="1">IF(AND(ISNUMBER($F$260),$B$165=1),$F$260,HLOOKUP(INDIRECT(ADDRESS(2,COLUMN())),OFFSET($R$2,0,0,ROW()-1,12),ROW()-1,FALSE))</f>
        <v>214.358</v>
      </c>
      <c r="G104">
        <f ca="1">IF(AND(ISNUMBER($G$260),$B$165=1),$G$260,HLOOKUP(INDIRECT(ADDRESS(2,COLUMN())),OFFSET($R$2,0,0,ROW()-1,12),ROW()-1,FALSE))</f>
        <v>205.922</v>
      </c>
      <c r="H104">
        <f ca="1">IF(AND(ISNUMBER($H$260),$B$165=1),$H$260,HLOOKUP(INDIRECT(ADDRESS(2,COLUMN())),OFFSET($R$2,0,0,ROW()-1,12),ROW()-1,FALSE))</f>
        <v>178.98</v>
      </c>
      <c r="I104">
        <f ca="1">IF(AND(ISNUMBER($I$260),$B$165=1),$I$260,HLOOKUP(INDIRECT(ADDRESS(2,COLUMN())),OFFSET($R$2,0,0,ROW()-1,12),ROW()-1,FALSE))</f>
        <v>183.137</v>
      </c>
      <c r="J104">
        <f ca="1">IF(AND(ISNUMBER($J$260),$B$165=1),$J$260,HLOOKUP(INDIRECT(ADDRESS(2,COLUMN())),OFFSET($R$2,0,0,ROW()-1,12),ROW()-1,FALSE))</f>
        <v>152.935</v>
      </c>
      <c r="K104">
        <f ca="1">IF(AND(ISNUMBER($K$260),$B$165=1),$K$260,HLOOKUP(INDIRECT(ADDRESS(2,COLUMN())),OFFSET($R$2,0,0,ROW()-1,12),ROW()-1,FALSE))</f>
        <v>25.030999999999999</v>
      </c>
      <c r="L104">
        <f ca="1">IF(AND(ISNUMBER($L$260),$B$165=1),$L$260,HLOOKUP(INDIRECT(ADDRESS(2,COLUMN())),OFFSET($R$2,0,0,ROW()-1,12),ROW()-1,FALSE))</f>
        <v>25.027999999999999</v>
      </c>
      <c r="M104">
        <f ca="1">IF(AND(ISNUMBER($M$260),$B$165=1),$M$260,HLOOKUP(INDIRECT(ADDRESS(2,COLUMN())),OFFSET($R$2,0,0,ROW()-1,12),ROW()-1,FALSE))</f>
        <v>25.02</v>
      </c>
      <c r="N104">
        <f ca="1">IF(AND(ISNUMBER($N$260),$B$165=1),$N$260,HLOOKUP(INDIRECT(ADDRESS(2,COLUMN())),OFFSET($R$2,0,0,ROW()-1,12),ROW()-1,FALSE))</f>
        <v>25.024999999999999</v>
      </c>
      <c r="O104">
        <f ca="1">IF(AND(ISNUMBER($O$260),$B$165=1),$O$260,HLOOKUP(INDIRECT(ADDRESS(2,COLUMN())),OFFSET($R$2,0,0,ROW()-1,12),ROW()-1,FALSE))</f>
        <v>25.033000000000001</v>
      </c>
      <c r="P104">
        <f ca="1">IF(AND(ISNUMBER($P$260),$B$165=1),$P$260,HLOOKUP(INDIRECT(ADDRESS(2,COLUMN())),OFFSET($R$2,0,0,ROW()-1,12),ROW()-1,FALSE))</f>
        <v>25.041</v>
      </c>
      <c r="Q104">
        <f ca="1">IF(AND(ISNUMBER($Q$260),$B$165=1),$Q$260,HLOOKUP(INDIRECT(ADDRESS(2,COLUMN())),OFFSET($R$2,0,0,ROW()-1,12),ROW()-1,FALSE))</f>
        <v>25.033000000000001</v>
      </c>
      <c r="R104">
        <f>214.358</f>
        <v>214.358</v>
      </c>
      <c r="S104">
        <f>205.922</f>
        <v>205.922</v>
      </c>
      <c r="T104">
        <f>178.98</f>
        <v>178.98</v>
      </c>
      <c r="U104">
        <f>183.137</f>
        <v>183.137</v>
      </c>
      <c r="V104">
        <f>152.935</f>
        <v>152.935</v>
      </c>
      <c r="W104">
        <f>25.031</f>
        <v>25.030999999999999</v>
      </c>
      <c r="X104">
        <f>25.028</f>
        <v>25.027999999999999</v>
      </c>
      <c r="Y104">
        <f>25.02</f>
        <v>25.02</v>
      </c>
      <c r="Z104">
        <f>25.025</f>
        <v>25.024999999999999</v>
      </c>
      <c r="AA104">
        <f>25.033</f>
        <v>25.033000000000001</v>
      </c>
      <c r="AB104">
        <f>25.041</f>
        <v>25.041</v>
      </c>
      <c r="AC104">
        <f>25.033</f>
        <v>25.033000000000001</v>
      </c>
    </row>
    <row r="105" spans="1:29" x14ac:dyDescent="0.25">
      <c r="A105" t="str">
        <f>"    Genpact Ltd"</f>
        <v xml:space="preserve">    Genpact Ltd</v>
      </c>
      <c r="B105" t="str">
        <f>"G US Equity"</f>
        <v>G US Equity</v>
      </c>
      <c r="C105" t="str">
        <f t="shared" si="15"/>
        <v>BS051</v>
      </c>
      <c r="D105" t="str">
        <f t="shared" si="16"/>
        <v>BS_LT_BORROW</v>
      </c>
      <c r="E105" t="str">
        <f t="shared" si="17"/>
        <v>Dynamic</v>
      </c>
      <c r="F105">
        <f ca="1">IF(AND(ISNUMBER($F$261),$B$165=1),$F$261,HLOOKUP(INDIRECT(ADDRESS(2,COLUMN())),OFFSET($R$2,0,0,ROW()-1,12),ROW()-1,FALSE))</f>
        <v>1668.386</v>
      </c>
      <c r="G105">
        <f ca="1">IF(AND(ISNUMBER($G$261),$B$165=1),$G$261,HLOOKUP(INDIRECT(ADDRESS(2,COLUMN())),OFFSET($R$2,0,0,ROW()-1,12),ROW()-1,FALSE))</f>
        <v>1662.6210000000001</v>
      </c>
      <c r="H105">
        <f ca="1">IF(AND(ISNUMBER($H$261),$B$165=1),$H$261,HLOOKUP(INDIRECT(ADDRESS(2,COLUMN())),OFFSET($R$2,0,0,ROW()-1,12),ROW()-1,FALSE))</f>
        <v>1250.319</v>
      </c>
      <c r="I105">
        <f ca="1">IF(AND(ISNUMBER($I$261),$B$165=1),$I$261,HLOOKUP(INDIRECT(ADDRESS(2,COLUMN())),OFFSET($R$2,0,0,ROW()-1,12),ROW()-1,FALSE))</f>
        <v>1265.2629999999999</v>
      </c>
      <c r="J105">
        <f ca="1">IF(AND(ISNUMBER($J$261),$B$165=1),$J$261,HLOOKUP(INDIRECT(ADDRESS(2,COLUMN())),OFFSET($R$2,0,0,ROW()-1,12),ROW()-1,FALSE))</f>
        <v>1243.5419999999999</v>
      </c>
      <c r="K105">
        <f ca="1">IF(AND(ISNUMBER($K$261),$B$165=1),$K$261,HLOOKUP(INDIRECT(ADDRESS(2,COLUMN())),OFFSET($R$2,0,0,ROW()-1,12),ROW()-1,FALSE))</f>
        <v>975.64499999999998</v>
      </c>
      <c r="L105">
        <f ca="1">IF(AND(ISNUMBER($L$261),$B$165=1),$L$261,HLOOKUP(INDIRECT(ADDRESS(2,COLUMN())),OFFSET($R$2,0,0,ROW()-1,12),ROW()-1,FALSE))</f>
        <v>983.88400000000001</v>
      </c>
      <c r="M105">
        <f ca="1">IF(AND(ISNUMBER($M$261),$B$165=1),$M$261,HLOOKUP(INDIRECT(ADDRESS(2,COLUMN())),OFFSET($R$2,0,0,ROW()-1,12),ROW()-1,FALSE))</f>
        <v>987.31399999999996</v>
      </c>
      <c r="N105">
        <f ca="1">IF(AND(ISNUMBER($N$261),$B$165=1),$N$261,HLOOKUP(INDIRECT(ADDRESS(2,COLUMN())),OFFSET($R$2,0,0,ROW()-1,12),ROW()-1,FALSE))</f>
        <v>996.99900000000002</v>
      </c>
      <c r="O105">
        <f ca="1">IF(AND(ISNUMBER($O$261),$B$165=1),$O$261,HLOOKUP(INDIRECT(ADDRESS(2,COLUMN())),OFFSET($R$2,0,0,ROW()-1,12),ROW()-1,FALSE))</f>
        <v>1006.687</v>
      </c>
      <c r="P105">
        <f ca="1">IF(AND(ISNUMBER($P$261),$B$165=1),$P$261,HLOOKUP(INDIRECT(ADDRESS(2,COLUMN())),OFFSET($R$2,0,0,ROW()-1,12),ROW()-1,FALSE))</f>
        <v>1016.371</v>
      </c>
      <c r="Q105">
        <f ca="1">IF(AND(ISNUMBER($Q$261),$B$165=1),$Q$261,HLOOKUP(INDIRECT(ADDRESS(2,COLUMN())),OFFSET($R$2,0,0,ROW()-1,12),ROW()-1,FALSE))</f>
        <v>1026.047</v>
      </c>
      <c r="R105">
        <f>1668.386</f>
        <v>1668.386</v>
      </c>
      <c r="S105">
        <f>1662.621</f>
        <v>1662.6210000000001</v>
      </c>
      <c r="T105">
        <f>1250.319</f>
        <v>1250.319</v>
      </c>
      <c r="U105">
        <f>1265.263</f>
        <v>1265.2629999999999</v>
      </c>
      <c r="V105">
        <f>1243.542</f>
        <v>1243.5419999999999</v>
      </c>
      <c r="W105">
        <f>975.645</f>
        <v>975.64499999999998</v>
      </c>
      <c r="X105">
        <f>983.884</f>
        <v>983.88400000000001</v>
      </c>
      <c r="Y105">
        <f>987.314</f>
        <v>987.31399999999996</v>
      </c>
      <c r="Z105">
        <f>996.999</f>
        <v>996.99900000000002</v>
      </c>
      <c r="AA105">
        <f>1006.687</f>
        <v>1006.687</v>
      </c>
      <c r="AB105">
        <f>1016.371</f>
        <v>1016.371</v>
      </c>
      <c r="AC105">
        <f>1026.047</f>
        <v>1026.047</v>
      </c>
    </row>
    <row r="106" spans="1:29" x14ac:dyDescent="0.25">
      <c r="A106" t="str">
        <f>"    HCL Technologies Ltd"</f>
        <v xml:space="preserve">    HCL Technologies Ltd</v>
      </c>
      <c r="B106" t="str">
        <f>"HCLT IN Equity"</f>
        <v>HCLT IN Equity</v>
      </c>
      <c r="C106" t="str">
        <f t="shared" si="15"/>
        <v>BS051</v>
      </c>
      <c r="D106" t="str">
        <f t="shared" si="16"/>
        <v>BS_LT_BORROW</v>
      </c>
      <c r="E106" t="str">
        <f t="shared" si="17"/>
        <v>Dynamic</v>
      </c>
      <c r="F106">
        <f ca="1">IF(AND(ISNUMBER($F$262),$B$165=1),$F$262,HLOOKUP(INDIRECT(ADDRESS(2,COLUMN())),OFFSET($R$2,0,0,ROW()-1,12),ROW()-1,FALSE))</f>
        <v>664.45</v>
      </c>
      <c r="G106">
        <f ca="1">IF(AND(ISNUMBER($G$262),$B$165=1),$G$262,HLOOKUP(INDIRECT(ADDRESS(2,COLUMN())),OFFSET($R$2,0,0,ROW()-1,12),ROW()-1,FALSE))</f>
        <v>894.8</v>
      </c>
      <c r="H106">
        <f ca="1">IF(AND(ISNUMBER($H$262),$B$165=1),$H$262,HLOOKUP(INDIRECT(ADDRESS(2,COLUMN())),OFFSET($R$2,0,0,ROW()-1,12),ROW()-1,FALSE))</f>
        <v>915.6</v>
      </c>
      <c r="I106">
        <f ca="1">IF(AND(ISNUMBER($I$262),$B$165=1),$I$262,HLOOKUP(INDIRECT(ADDRESS(2,COLUMN())),OFFSET($R$2,0,0,ROW()-1,12),ROW()-1,FALSE))</f>
        <v>576.70000000000005</v>
      </c>
      <c r="J106">
        <f ca="1">IF(AND(ISNUMBER($J$262),$B$165=1),$J$262,HLOOKUP(INDIRECT(ADDRESS(2,COLUMN())),OFFSET($R$2,0,0,ROW()-1,12),ROW()-1,FALSE))</f>
        <v>430.67899999999997</v>
      </c>
      <c r="K106">
        <f ca="1">IF(AND(ISNUMBER($K$262),$B$165=1),$K$262,HLOOKUP(INDIRECT(ADDRESS(2,COLUMN())),OFFSET($R$2,0,0,ROW()-1,12),ROW()-1,FALSE))</f>
        <v>557</v>
      </c>
      <c r="L106">
        <f ca="1">IF(AND(ISNUMBER($L$262),$B$165=1),$L$262,HLOOKUP(INDIRECT(ADDRESS(2,COLUMN())),OFFSET($R$2,0,0,ROW()-1,12),ROW()-1,FALSE))</f>
        <v>424.1</v>
      </c>
      <c r="M106">
        <f ca="1">IF(AND(ISNUMBER($M$262),$B$165=1),$M$262,HLOOKUP(INDIRECT(ADDRESS(2,COLUMN())),OFFSET($R$2,0,0,ROW()-1,12),ROW()-1,FALSE))</f>
        <v>52.3</v>
      </c>
      <c r="N106">
        <f ca="1">IF(AND(ISNUMBER($N$262),$B$165=1),$N$262,HLOOKUP(INDIRECT(ADDRESS(2,COLUMN())),OFFSET($R$2,0,0,ROW()-1,12),ROW()-1,FALSE))</f>
        <v>69.849554810000001</v>
      </c>
      <c r="O106">
        <f ca="1">IF(AND(ISNUMBER($O$262),$B$165=1),$O$262,HLOOKUP(INDIRECT(ADDRESS(2,COLUMN())),OFFSET($R$2,0,0,ROW()-1,12),ROW()-1,FALSE))</f>
        <v>79.900000000000006</v>
      </c>
      <c r="P106">
        <f ca="1">IF(AND(ISNUMBER($P$262),$B$165=1),$P$262,HLOOKUP(INDIRECT(ADDRESS(2,COLUMN())),OFFSET($R$2,0,0,ROW()-1,12),ROW()-1,FALSE))</f>
        <v>111.4</v>
      </c>
      <c r="Q106">
        <f ca="1">IF(AND(ISNUMBER($Q$262),$B$165=1),$Q$262,HLOOKUP(INDIRECT(ADDRESS(2,COLUMN())),OFFSET($R$2,0,0,ROW()-1,12),ROW()-1,FALSE))</f>
        <v>88.2</v>
      </c>
      <c r="R106">
        <f>664.45</f>
        <v>664.45</v>
      </c>
      <c r="S106">
        <f>894.8</f>
        <v>894.8</v>
      </c>
      <c r="T106">
        <f>915.6</f>
        <v>915.6</v>
      </c>
      <c r="U106">
        <f>576.7</f>
        <v>576.70000000000005</v>
      </c>
      <c r="V106">
        <f>430.679</f>
        <v>430.67899999999997</v>
      </c>
      <c r="W106">
        <f>557</f>
        <v>557</v>
      </c>
      <c r="X106">
        <f>424.1</f>
        <v>424.1</v>
      </c>
      <c r="Y106">
        <f>52.3</f>
        <v>52.3</v>
      </c>
      <c r="Z106">
        <f>69.84955481</f>
        <v>69.849554810000001</v>
      </c>
      <c r="AA106">
        <f>79.9</f>
        <v>79.900000000000006</v>
      </c>
      <c r="AB106">
        <f>111.4</f>
        <v>111.4</v>
      </c>
      <c r="AC106">
        <f>88.2</f>
        <v>88.2</v>
      </c>
    </row>
    <row r="107" spans="1:29" x14ac:dyDescent="0.25">
      <c r="A107" t="str">
        <f>"    Indra Sistemas SA"</f>
        <v xml:space="preserve">    Indra Sistemas SA</v>
      </c>
      <c r="B107" t="str">
        <f>"IDR SM Equity"</f>
        <v>IDR SM Equity</v>
      </c>
      <c r="C107" t="str">
        <f t="shared" si="15"/>
        <v>BS051</v>
      </c>
      <c r="D107" t="str">
        <f t="shared" si="16"/>
        <v>BS_LT_BORROW</v>
      </c>
      <c r="E107" t="str">
        <f t="shared" si="17"/>
        <v>Dynamic</v>
      </c>
      <c r="F107">
        <f ca="1">IF(AND(ISNUMBER($F$263),$B$165=1),$F$263,HLOOKUP(INDIRECT(ADDRESS(2,COLUMN())),OFFSET($R$2,0,0,ROW()-1,12),ROW()-1,FALSE))</f>
        <v>1481.3044199999999</v>
      </c>
      <c r="G107">
        <f ca="1">IF(AND(ISNUMBER($G$263),$B$165=1),$G$263,HLOOKUP(INDIRECT(ADDRESS(2,COLUMN())),OFFSET($R$2,0,0,ROW()-1,12),ROW()-1,FALSE))</f>
        <v>1664.555519</v>
      </c>
      <c r="H107">
        <f ca="1">IF(AND(ISNUMBER($H$263),$B$165=1),$H$263,HLOOKUP(INDIRECT(ADDRESS(2,COLUMN())),OFFSET($R$2,0,0,ROW()-1,12),ROW()-1,FALSE))</f>
        <v>1566.87013</v>
      </c>
      <c r="I107">
        <f ca="1">IF(AND(ISNUMBER($I$263),$B$165=1),$I$263,HLOOKUP(INDIRECT(ADDRESS(2,COLUMN())),OFFSET($R$2,0,0,ROW()-1,12),ROW()-1,FALSE))</f>
        <v>1752.477879</v>
      </c>
      <c r="J107">
        <f ca="1">IF(AND(ISNUMBER($J$263),$B$165=1),$J$263,HLOOKUP(INDIRECT(ADDRESS(2,COLUMN())),OFFSET($R$2,0,0,ROW()-1,12),ROW()-1,FALSE))</f>
        <v>1572.3987299999999</v>
      </c>
      <c r="K107">
        <f ca="1">IF(AND(ISNUMBER($K$263),$B$165=1),$K$263,HLOOKUP(INDIRECT(ADDRESS(2,COLUMN())),OFFSET($R$2,0,0,ROW()-1,12),ROW()-1,FALSE))</f>
        <v>1555.924835</v>
      </c>
      <c r="L107">
        <f ca="1">IF(AND(ISNUMBER($L$263),$B$165=1),$L$263,HLOOKUP(INDIRECT(ADDRESS(2,COLUMN())),OFFSET($R$2,0,0,ROW()-1,12),ROW()-1,FALSE))</f>
        <v>1553.8370600000001</v>
      </c>
      <c r="M107">
        <f ca="1">IF(AND(ISNUMBER($M$263),$B$165=1),$M$263,HLOOKUP(INDIRECT(ADDRESS(2,COLUMN())),OFFSET($R$2,0,0,ROW()-1,12),ROW()-1,FALSE))</f>
        <v>1567.455089</v>
      </c>
      <c r="N107">
        <f ca="1">IF(AND(ISNUMBER($N$263),$B$165=1),$N$263,HLOOKUP(INDIRECT(ADDRESS(2,COLUMN())),OFFSET($R$2,0,0,ROW()-1,12),ROW()-1,FALSE))</f>
        <v>1279.2960599999999</v>
      </c>
      <c r="O107">
        <f ca="1">IF(AND(ISNUMBER($O$263),$B$165=1),$O$263,HLOOKUP(INDIRECT(ADDRESS(2,COLUMN())),OFFSET($R$2,0,0,ROW()-1,12),ROW()-1,FALSE))</f>
        <v>1221.8896319999999</v>
      </c>
      <c r="P107">
        <f ca="1">IF(AND(ISNUMBER($P$263),$B$165=1),$P$263,HLOOKUP(INDIRECT(ADDRESS(2,COLUMN())),OFFSET($R$2,0,0,ROW()-1,12),ROW()-1,FALSE))</f>
        <v>1407.1536599999999</v>
      </c>
      <c r="Q107">
        <f ca="1">IF(AND(ISNUMBER($Q$263),$B$165=1),$Q$263,HLOOKUP(INDIRECT(ADDRESS(2,COLUMN())),OFFSET($R$2,0,0,ROW()-1,12),ROW()-1,FALSE))</f>
        <v>1432.090686</v>
      </c>
      <c r="R107">
        <f>1481.30442</f>
        <v>1481.3044199999999</v>
      </c>
      <c r="S107">
        <f>1664.555519</f>
        <v>1664.555519</v>
      </c>
      <c r="T107">
        <f>1566.87013</f>
        <v>1566.87013</v>
      </c>
      <c r="U107">
        <f>1752.477879</f>
        <v>1752.477879</v>
      </c>
      <c r="V107">
        <f>1572.39873</f>
        <v>1572.3987299999999</v>
      </c>
      <c r="W107">
        <f>1555.924835</f>
        <v>1555.924835</v>
      </c>
      <c r="X107">
        <f>1553.83706</f>
        <v>1553.8370600000001</v>
      </c>
      <c r="Y107">
        <f>1567.455089</f>
        <v>1567.455089</v>
      </c>
      <c r="Z107">
        <f>1279.29606</f>
        <v>1279.2960599999999</v>
      </c>
      <c r="AA107">
        <f>1221.889632</f>
        <v>1221.8896319999999</v>
      </c>
      <c r="AB107">
        <f>1407.15366</f>
        <v>1407.1536599999999</v>
      </c>
      <c r="AC107">
        <f>1432.090686</f>
        <v>1432.090686</v>
      </c>
    </row>
    <row r="108" spans="1:29" x14ac:dyDescent="0.25">
      <c r="A108" t="str">
        <f>"    Infosys Ltd"</f>
        <v xml:space="preserve">    Infosys Ltd</v>
      </c>
      <c r="B108" t="str">
        <f>"INFY US Equity"</f>
        <v>INFY US Equity</v>
      </c>
      <c r="C108" t="str">
        <f t="shared" si="15"/>
        <v>BS051</v>
      </c>
      <c r="D108" t="str">
        <f t="shared" si="16"/>
        <v>BS_LT_BORROW</v>
      </c>
      <c r="E108" t="str">
        <f t="shared" si="17"/>
        <v>Dynamic</v>
      </c>
      <c r="F108">
        <f ca="1">IF(AND(ISNUMBER($F$264),$B$165=1),$F$264,HLOOKUP(INDIRECT(ADDRESS(2,COLUMN())),OFFSET($R$2,0,0,ROW()-1,12),ROW()-1,FALSE))</f>
        <v>532.54649830000005</v>
      </c>
      <c r="G108">
        <f ca="1">IF(AND(ISNUMBER($G$264),$B$165=1),$G$264,HLOOKUP(INDIRECT(ADDRESS(2,COLUMN())),OFFSET($R$2,0,0,ROW()-1,12),ROW()-1,FALSE))</f>
        <v>501.93402550000002</v>
      </c>
      <c r="H108">
        <f ca="1">IF(AND(ISNUMBER($H$264),$B$165=1),$H$264,HLOOKUP(INDIRECT(ADDRESS(2,COLUMN())),OFFSET($R$2,0,0,ROW()-1,12),ROW()-1,FALSE))</f>
        <v>504.04352720000003</v>
      </c>
      <c r="I108">
        <f ca="1">IF(AND(ISNUMBER($I$264),$B$165=1),$I$264,HLOOKUP(INDIRECT(ADDRESS(2,COLUMN())),OFFSET($R$2,0,0,ROW()-1,12),ROW()-1,FALSE))</f>
        <v>484.28117320000001</v>
      </c>
      <c r="J108">
        <f ca="1">IF(AND(ISNUMBER($J$264),$B$165=1),$J$264,HLOOKUP(INDIRECT(ADDRESS(2,COLUMN())),OFFSET($R$2,0,0,ROW()-1,12),ROW()-1,FALSE))</f>
        <v>0</v>
      </c>
      <c r="K108">
        <f ca="1">IF(AND(ISNUMBER($K$264),$B$165=1),$K$264,HLOOKUP(INDIRECT(ADDRESS(2,COLUMN())),OFFSET($R$2,0,0,ROW()-1,12),ROW()-1,FALSE))</f>
        <v>0</v>
      </c>
      <c r="L108">
        <f ca="1">IF(AND(ISNUMBER($L$264),$B$165=1),$L$264,HLOOKUP(INDIRECT(ADDRESS(2,COLUMN())),OFFSET($R$2,0,0,ROW()-1,12),ROW()-1,FALSE))</f>
        <v>0</v>
      </c>
      <c r="M108">
        <f ca="1">IF(AND(ISNUMBER($M$264),$B$165=1),$M$264,HLOOKUP(INDIRECT(ADDRESS(2,COLUMN())),OFFSET($R$2,0,0,ROW()-1,12),ROW()-1,FALSE))</f>
        <v>0</v>
      </c>
      <c r="N108">
        <f ca="1">IF(AND(ISNUMBER($N$264),$B$165=1),$N$264,HLOOKUP(INDIRECT(ADDRESS(2,COLUMN())),OFFSET($R$2,0,0,ROW()-1,12),ROW()-1,FALSE))</f>
        <v>0</v>
      </c>
      <c r="O108">
        <f ca="1">IF(AND(ISNUMBER($O$264),$B$165=1),$O$264,HLOOKUP(INDIRECT(ADDRESS(2,COLUMN())),OFFSET($R$2,0,0,ROW()-1,12),ROW()-1,FALSE))</f>
        <v>0</v>
      </c>
      <c r="P108">
        <f ca="1">IF(AND(ISNUMBER($P$264),$B$165=1),$P$264,HLOOKUP(INDIRECT(ADDRESS(2,COLUMN())),OFFSET($R$2,0,0,ROW()-1,12),ROW()-1,FALSE))</f>
        <v>0</v>
      </c>
      <c r="Q108">
        <f ca="1">IF(AND(ISNUMBER($Q$264),$B$165=1),$Q$264,HLOOKUP(INDIRECT(ADDRESS(2,COLUMN())),OFFSET($R$2,0,0,ROW()-1,12),ROW()-1,FALSE))</f>
        <v>0</v>
      </c>
      <c r="R108">
        <f>532.5464983</f>
        <v>532.54649830000005</v>
      </c>
      <c r="S108">
        <f>501.9340255</f>
        <v>501.93402550000002</v>
      </c>
      <c r="T108">
        <f>504.0435272</f>
        <v>504.04352720000003</v>
      </c>
      <c r="U108">
        <f>484.2811732</f>
        <v>484.28117320000001</v>
      </c>
      <c r="V108">
        <f>0</f>
        <v>0</v>
      </c>
      <c r="W108">
        <f>0</f>
        <v>0</v>
      </c>
      <c r="X108">
        <f>0</f>
        <v>0</v>
      </c>
      <c r="Y108">
        <f>0</f>
        <v>0</v>
      </c>
      <c r="Z108">
        <f>0</f>
        <v>0</v>
      </c>
      <c r="AA108">
        <f>0</f>
        <v>0</v>
      </c>
      <c r="AB108">
        <f>0</f>
        <v>0</v>
      </c>
      <c r="AC108">
        <f>0</f>
        <v>0</v>
      </c>
    </row>
    <row r="109" spans="1:29" x14ac:dyDescent="0.25">
      <c r="A109" t="str">
        <f>"    International Business Machines Corp"</f>
        <v xml:space="preserve">    International Business Machines Corp</v>
      </c>
      <c r="B109" t="str">
        <f>"IBM US Equity"</f>
        <v>IBM US Equity</v>
      </c>
      <c r="C109" t="str">
        <f t="shared" si="15"/>
        <v>BS051</v>
      </c>
      <c r="D109" t="str">
        <f t="shared" si="16"/>
        <v>BS_LT_BORROW</v>
      </c>
      <c r="E109" t="str">
        <f t="shared" si="17"/>
        <v>Dynamic</v>
      </c>
      <c r="F109">
        <f ca="1">IF(AND(ISNUMBER($F$265),$B$165=1),$F$265,HLOOKUP(INDIRECT(ADDRESS(2,COLUMN())),OFFSET($R$2,0,0,ROW()-1,12),ROW()-1,FALSE))</f>
        <v>56484</v>
      </c>
      <c r="G109">
        <f ca="1">IF(AND(ISNUMBER($G$265),$B$165=1),$G$265,HLOOKUP(INDIRECT(ADDRESS(2,COLUMN())),OFFSET($R$2,0,0,ROW()-1,12),ROW()-1,FALSE))</f>
        <v>57981</v>
      </c>
      <c r="H109">
        <f ca="1">IF(AND(ISNUMBER($H$265),$B$165=1),$H$265,HLOOKUP(INDIRECT(ADDRESS(2,COLUMN())),OFFSET($R$2,0,0,ROW()-1,12),ROW()-1,FALSE))</f>
        <v>55526</v>
      </c>
      <c r="I109">
        <f ca="1">IF(AND(ISNUMBER($I$265),$B$165=1),$I$265,HLOOKUP(INDIRECT(ADDRESS(2,COLUMN())),OFFSET($R$2,0,0,ROW()-1,12),ROW()-1,FALSE))</f>
        <v>56126</v>
      </c>
      <c r="J109">
        <f ca="1">IF(AND(ISNUMBER($J$265),$B$165=1),$J$265,HLOOKUP(INDIRECT(ADDRESS(2,COLUMN())),OFFSET($R$2,0,0,ROW()-1,12),ROW()-1,FALSE))</f>
        <v>37142</v>
      </c>
      <c r="K109">
        <f ca="1">IF(AND(ISNUMBER($K$265),$B$165=1),$K$265,HLOOKUP(INDIRECT(ADDRESS(2,COLUMN())),OFFSET($R$2,0,0,ROW()-1,12),ROW()-1,FALSE))</f>
        <v>35605</v>
      </c>
      <c r="L109">
        <f ca="1">IF(AND(ISNUMBER($L$265),$B$165=1),$L$265,HLOOKUP(INDIRECT(ADDRESS(2,COLUMN())),OFFSET($R$2,0,0,ROW()-1,12),ROW()-1,FALSE))</f>
        <v>29695</v>
      </c>
      <c r="M109">
        <f ca="1">IF(AND(ISNUMBER($M$265),$B$165=1),$M$265,HLOOKUP(INDIRECT(ADDRESS(2,COLUMN())),OFFSET($R$2,0,0,ROW()-1,12),ROW()-1,FALSE))</f>
        <v>31498</v>
      </c>
      <c r="N109">
        <f ca="1">IF(AND(ISNUMBER($N$265),$B$165=1),$N$265,HLOOKUP(INDIRECT(ADDRESS(2,COLUMN())),OFFSET($R$2,0,0,ROW()-1,12),ROW()-1,FALSE))</f>
        <v>33718</v>
      </c>
      <c r="O109">
        <f ca="1">IF(AND(ISNUMBER($O$265),$B$165=1),$O$265,HLOOKUP(INDIRECT(ADDRESS(2,COLUMN())),OFFSET($R$2,0,0,ROW()-1,12),ROW()-1,FALSE))</f>
        <v>33366</v>
      </c>
      <c r="P109">
        <f ca="1">IF(AND(ISNUMBER($P$265),$B$165=1),$P$265,HLOOKUP(INDIRECT(ADDRESS(2,COLUMN())),OFFSET($R$2,0,0,ROW()-1,12),ROW()-1,FALSE))</f>
        <v>29858</v>
      </c>
      <c r="Q109">
        <f ca="1">IF(AND(ISNUMBER($Q$265),$B$165=1),$Q$265,HLOOKUP(INDIRECT(ADDRESS(2,COLUMN())),OFFSET($R$2,0,0,ROW()-1,12),ROW()-1,FALSE))</f>
        <v>26929</v>
      </c>
      <c r="R109">
        <f>56484</f>
        <v>56484</v>
      </c>
      <c r="S109">
        <f>57981</f>
        <v>57981</v>
      </c>
      <c r="T109">
        <f>55526</f>
        <v>55526</v>
      </c>
      <c r="U109">
        <f>56126</f>
        <v>56126</v>
      </c>
      <c r="V109">
        <f>37142</f>
        <v>37142</v>
      </c>
      <c r="W109">
        <f>35605</f>
        <v>35605</v>
      </c>
      <c r="X109">
        <f>29695</f>
        <v>29695</v>
      </c>
      <c r="Y109">
        <f>31498</f>
        <v>31498</v>
      </c>
      <c r="Z109">
        <f>33718</f>
        <v>33718</v>
      </c>
      <c r="AA109">
        <f>33366</f>
        <v>33366</v>
      </c>
      <c r="AB109">
        <f>29858</f>
        <v>29858</v>
      </c>
      <c r="AC109">
        <f>26929</f>
        <v>26929</v>
      </c>
    </row>
    <row r="110" spans="1:29" x14ac:dyDescent="0.25">
      <c r="A110" t="str">
        <f>"    Tata Consultancy Services Ltd"</f>
        <v xml:space="preserve">    Tata Consultancy Services Ltd</v>
      </c>
      <c r="B110" t="str">
        <f>"TCS IN Equity"</f>
        <v>TCS IN Equity</v>
      </c>
      <c r="C110" t="str">
        <f t="shared" si="15"/>
        <v>BS051</v>
      </c>
      <c r="D110" t="str">
        <f t="shared" si="16"/>
        <v>BS_LT_BORROW</v>
      </c>
      <c r="E110" t="str">
        <f t="shared" si="17"/>
        <v>Dynamic</v>
      </c>
      <c r="F110">
        <f ca="1">IF(AND(ISNUMBER($F$266),$B$165=1),$F$266,HLOOKUP(INDIRECT(ADDRESS(2,COLUMN())),OFFSET($R$2,0,0,ROW()-1,12),ROW()-1,FALSE))</f>
        <v>916.23470789999999</v>
      </c>
      <c r="G110">
        <f ca="1">IF(AND(ISNUMBER($G$266),$B$165=1),$G$266,HLOOKUP(INDIRECT(ADDRESS(2,COLUMN())),OFFSET($R$2,0,0,ROW()-1,12),ROW()-1,FALSE))</f>
        <v>824.85661540000001</v>
      </c>
      <c r="H110">
        <f ca="1">IF(AND(ISNUMBER($H$266),$B$165=1),$H$266,HLOOKUP(INDIRECT(ADDRESS(2,COLUMN())),OFFSET($R$2,0,0,ROW()-1,12),ROW()-1,FALSE))</f>
        <v>799.50755990000005</v>
      </c>
      <c r="I110">
        <f ca="1">IF(AND(ISNUMBER($I$266),$B$165=1),$I$266,HLOOKUP(INDIRECT(ADDRESS(2,COLUMN())),OFFSET($R$2,0,0,ROW()-1,12),ROW()-1,FALSE))</f>
        <v>836.82858220000003</v>
      </c>
      <c r="J110">
        <f ca="1">IF(AND(ISNUMBER($J$266),$B$165=1),$J$266,HLOOKUP(INDIRECT(ADDRESS(2,COLUMN())),OFFSET($R$2,0,0,ROW()-1,12),ROW()-1,FALSE))</f>
        <v>6.3470723409999996</v>
      </c>
      <c r="K110">
        <f ca="1">IF(AND(ISNUMBER($K$266),$B$165=1),$K$266,HLOOKUP(INDIRECT(ADDRESS(2,COLUMN())),OFFSET($R$2,0,0,ROW()-1,12),ROW()-1,FALSE))</f>
        <v>6.6006600659999997</v>
      </c>
      <c r="L110">
        <f ca="1">IF(AND(ISNUMBER($L$266),$B$165=1),$L$266,HLOOKUP(INDIRECT(ADDRESS(2,COLUMN())),OFFSET($R$2,0,0,ROW()-1,12),ROW()-1,FALSE))</f>
        <v>6.340498556</v>
      </c>
      <c r="M110">
        <f ca="1">IF(AND(ISNUMBER($M$266),$B$165=1),$M$266,HLOOKUP(INDIRECT(ADDRESS(2,COLUMN())),OFFSET($R$2,0,0,ROW()-1,12),ROW()-1,FALSE))</f>
        <v>7.1558963130000004</v>
      </c>
      <c r="N110">
        <f ca="1">IF(AND(ISNUMBER($N$266),$B$165=1),$N$266,HLOOKUP(INDIRECT(ADDRESS(2,COLUMN())),OFFSET($R$2,0,0,ROW()-1,12),ROW()-1,FALSE))</f>
        <v>8.2898372739999999</v>
      </c>
      <c r="O110">
        <f ca="1">IF(AND(ISNUMBER($O$266),$B$165=1),$O$266,HLOOKUP(INDIRECT(ADDRESS(2,COLUMN())),OFFSET($R$2,0,0,ROW()-1,12),ROW()-1,FALSE))</f>
        <v>8.9269633450000008</v>
      </c>
      <c r="P110">
        <f ca="1">IF(AND(ISNUMBER($P$266),$B$165=1),$P$266,HLOOKUP(INDIRECT(ADDRESS(2,COLUMN())),OFFSET($R$2,0,0,ROW()-1,12),ROW()-1,FALSE))</f>
        <v>9.0283091049999999</v>
      </c>
      <c r="Q110">
        <f ca="1">IF(AND(ISNUMBER($Q$266),$B$165=1),$Q$266,HLOOKUP(INDIRECT(ADDRESS(2,COLUMN())),OFFSET($R$2,0,0,ROW()-1,12),ROW()-1,FALSE))</f>
        <v>9.5945676179999992</v>
      </c>
      <c r="R110">
        <f>916.2347079</f>
        <v>916.23470789999999</v>
      </c>
      <c r="S110">
        <f>824.8566154</f>
        <v>824.85661540000001</v>
      </c>
      <c r="T110">
        <f>799.5075599</f>
        <v>799.50755990000005</v>
      </c>
      <c r="U110">
        <f>836.8285822</f>
        <v>836.82858220000003</v>
      </c>
      <c r="V110">
        <f>6.347072341</f>
        <v>6.3470723409999996</v>
      </c>
      <c r="W110">
        <f>6.600660066</f>
        <v>6.6006600659999997</v>
      </c>
      <c r="X110">
        <f>6.340498556</f>
        <v>6.340498556</v>
      </c>
      <c r="Y110">
        <f>7.155896313</f>
        <v>7.1558963130000004</v>
      </c>
      <c r="Z110">
        <f>8.289837274</f>
        <v>8.2898372739999999</v>
      </c>
      <c r="AA110">
        <f>8.926963345</f>
        <v>8.9269633450000008</v>
      </c>
      <c r="AB110">
        <f>9.028309105</f>
        <v>9.0283091049999999</v>
      </c>
      <c r="AC110">
        <f>9.594567618</f>
        <v>9.5945676179999992</v>
      </c>
    </row>
    <row r="111" spans="1:29" x14ac:dyDescent="0.25">
      <c r="A111" t="str">
        <f>"    Tech Mahindra Ltd"</f>
        <v xml:space="preserve">    Tech Mahindra Ltd</v>
      </c>
      <c r="B111" t="str">
        <f>"TECHM IN Equity"</f>
        <v>TECHM IN Equity</v>
      </c>
      <c r="C111" t="str">
        <f t="shared" si="15"/>
        <v>BS051</v>
      </c>
      <c r="D111" t="str">
        <f t="shared" si="16"/>
        <v>BS_LT_BORROW</v>
      </c>
      <c r="E111" t="str">
        <f t="shared" si="17"/>
        <v>Dynamic</v>
      </c>
      <c r="F111">
        <f ca="1">IF(AND(ISNUMBER($F$267),$B$165=1),$F$267,HLOOKUP(INDIRECT(ADDRESS(2,COLUMN())),OFFSET($R$2,0,0,ROW()-1,12),ROW()-1,FALSE))</f>
        <v>23.70853494</v>
      </c>
      <c r="G111">
        <f ca="1">IF(AND(ISNUMBER($G$267),$B$165=1),$G$267,HLOOKUP(INDIRECT(ADDRESS(2,COLUMN())),OFFSET($R$2,0,0,ROW()-1,12),ROW()-1,FALSE))</f>
        <v>135.15012390000001</v>
      </c>
      <c r="H111">
        <f ca="1">IF(AND(ISNUMBER($H$267),$B$165=1),$H$267,HLOOKUP(INDIRECT(ADDRESS(2,COLUMN())),OFFSET($R$2,0,0,ROW()-1,12),ROW()-1,FALSE))</f>
        <v>119.48746610000001</v>
      </c>
      <c r="I111">
        <f ca="1">IF(AND(ISNUMBER($I$267),$B$165=1),$I$267,HLOOKUP(INDIRECT(ADDRESS(2,COLUMN())),OFFSET($R$2,0,0,ROW()-1,12),ROW()-1,FALSE))</f>
        <v>118.56038789999999</v>
      </c>
      <c r="J111">
        <f ca="1">IF(AND(ISNUMBER($J$267),$B$165=1),$J$267,HLOOKUP(INDIRECT(ADDRESS(2,COLUMN())),OFFSET($R$2,0,0,ROW()-1,12),ROW()-1,FALSE))</f>
        <v>30.090892960000001</v>
      </c>
      <c r="K111">
        <f ca="1">IF(AND(ISNUMBER($K$267),$B$165=1),$K$267,HLOOKUP(INDIRECT(ADDRESS(2,COLUMN())),OFFSET($R$2,0,0,ROW()-1,12),ROW()-1,FALSE))</f>
        <v>29.903859950000001</v>
      </c>
      <c r="L111">
        <f ca="1">IF(AND(ISNUMBER($L$267),$B$165=1),$L$267,HLOOKUP(INDIRECT(ADDRESS(2,COLUMN())),OFFSET($R$2,0,0,ROW()-1,12),ROW()-1,FALSE))</f>
        <v>50.094073700000003</v>
      </c>
      <c r="M111">
        <f ca="1">IF(AND(ISNUMBER($M$267),$B$165=1),$M$267,HLOOKUP(INDIRECT(ADDRESS(2,COLUMN())),OFFSET($R$2,0,0,ROW()-1,12),ROW()-1,FALSE))</f>
        <v>113.3844469</v>
      </c>
      <c r="N111">
        <f ca="1">IF(AND(ISNUMBER($N$267),$B$165=1),$N$267,HLOOKUP(INDIRECT(ADDRESS(2,COLUMN())),OFFSET($R$2,0,0,ROW()-1,12),ROW()-1,FALSE))</f>
        <v>118.375806</v>
      </c>
      <c r="O111">
        <f ca="1">IF(AND(ISNUMBER($O$267),$B$165=1),$O$267,HLOOKUP(INDIRECT(ADDRESS(2,COLUMN())),OFFSET($R$2,0,0,ROW()-1,12),ROW()-1,FALSE))</f>
        <v>58.260181830000001</v>
      </c>
      <c r="P111">
        <f ca="1">IF(AND(ISNUMBER($P$267),$B$165=1),$P$267,HLOOKUP(INDIRECT(ADDRESS(2,COLUMN())),OFFSET($R$2,0,0,ROW()-1,12),ROW()-1,FALSE))</f>
        <v>64.035195099999996</v>
      </c>
      <c r="Q111">
        <f ca="1">IF(AND(ISNUMBER($Q$267),$B$165=1),$Q$267,HLOOKUP(INDIRECT(ADDRESS(2,COLUMN())),OFFSET($R$2,0,0,ROW()-1,12),ROW()-1,FALSE))</f>
        <v>64.577630110000001</v>
      </c>
      <c r="R111">
        <f>23.70853494</f>
        <v>23.70853494</v>
      </c>
      <c r="S111">
        <f>135.1501239</f>
        <v>135.15012390000001</v>
      </c>
      <c r="T111">
        <f>119.4874661</f>
        <v>119.48746610000001</v>
      </c>
      <c r="U111">
        <f>118.5603879</f>
        <v>118.56038789999999</v>
      </c>
      <c r="V111">
        <f>30.09089296</f>
        <v>30.090892960000001</v>
      </c>
      <c r="W111">
        <f>29.90385995</f>
        <v>29.903859950000001</v>
      </c>
      <c r="X111">
        <f>50.0940737</f>
        <v>50.094073700000003</v>
      </c>
      <c r="Y111">
        <f>113.3844469</f>
        <v>113.3844469</v>
      </c>
      <c r="Z111">
        <f>118.375806</f>
        <v>118.375806</v>
      </c>
      <c r="AA111">
        <f>58.26018183</f>
        <v>58.260181830000001</v>
      </c>
      <c r="AB111">
        <f>64.0351951</f>
        <v>64.035195099999996</v>
      </c>
      <c r="AC111">
        <f>64.57763011</f>
        <v>64.577630110000001</v>
      </c>
    </row>
    <row r="112" spans="1:29" x14ac:dyDescent="0.25">
      <c r="A112" t="str">
        <f>"    Wipro Ltd"</f>
        <v xml:space="preserve">    Wipro Ltd</v>
      </c>
      <c r="B112" t="str">
        <f>"WIT US Equity"</f>
        <v>WIT US Equity</v>
      </c>
      <c r="C112" t="str">
        <f t="shared" si="15"/>
        <v>BS051</v>
      </c>
      <c r="D112" t="str">
        <f t="shared" si="16"/>
        <v>BS_LT_BORROW</v>
      </c>
      <c r="E112" t="str">
        <f t="shared" si="17"/>
        <v>Dynamic</v>
      </c>
      <c r="F112">
        <f ca="1">IF(AND(ISNUMBER($F$268),$B$165=1),$F$268,HLOOKUP(INDIRECT(ADDRESS(2,COLUMN())),OFFSET($R$2,0,0,ROW()-1,12),ROW()-1,FALSE))</f>
        <v>231.88459639999999</v>
      </c>
      <c r="G112">
        <f ca="1">IF(AND(ISNUMBER($G$268),$B$165=1),$G$268,HLOOKUP(INDIRECT(ADDRESS(2,COLUMN())),OFFSET($R$2,0,0,ROW()-1,12),ROW()-1,FALSE))</f>
        <v>462.3549481</v>
      </c>
      <c r="H112">
        <f ca="1">IF(AND(ISNUMBER($H$268),$B$165=1),$H$268,HLOOKUP(INDIRECT(ADDRESS(2,COLUMN())),OFFSET($R$2,0,0,ROW()-1,12),ROW()-1,FALSE))</f>
        <v>465.0162378</v>
      </c>
      <c r="I112">
        <f ca="1">IF(AND(ISNUMBER($I$268),$B$165=1),$I$268,HLOOKUP(INDIRECT(ADDRESS(2,COLUMN())),OFFSET($R$2,0,0,ROW()-1,12),ROW()-1,FALSE))</f>
        <v>482.00339780000002</v>
      </c>
      <c r="J112">
        <f ca="1">IF(AND(ISNUMBER($J$268),$B$165=1),$J$268,HLOOKUP(INDIRECT(ADDRESS(2,COLUMN())),OFFSET($R$2,0,0,ROW()-1,12),ROW()-1,FALSE))</f>
        <v>409.21306399999997</v>
      </c>
      <c r="K112">
        <f ca="1">IF(AND(ISNUMBER($K$268),$B$165=1),$K$268,HLOOKUP(INDIRECT(ADDRESS(2,COLUMN())),OFFSET($R$2,0,0,ROW()-1,12),ROW()-1,FALSE))</f>
        <v>717.23346249999997</v>
      </c>
      <c r="L112">
        <f ca="1">IF(AND(ISNUMBER($L$268),$B$165=1),$L$268,HLOOKUP(INDIRECT(ADDRESS(2,COLUMN())),OFFSET($R$2,0,0,ROW()-1,12),ROW()-1,FALSE))</f>
        <v>721.28684550000003</v>
      </c>
      <c r="M112">
        <f ca="1">IF(AND(ISNUMBER($M$268),$B$165=1),$M$268,HLOOKUP(INDIRECT(ADDRESS(2,COLUMN())),OFFSET($R$2,0,0,ROW()-1,12),ROW()-1,FALSE))</f>
        <v>687.25812340000004</v>
      </c>
      <c r="N112">
        <f ca="1">IF(AND(ISNUMBER($N$268),$B$165=1),$N$268,HLOOKUP(INDIRECT(ADDRESS(2,COLUMN())),OFFSET($R$2,0,0,ROW()-1,12),ROW()-1,FALSE))</f>
        <v>694.93398830000001</v>
      </c>
      <c r="O112">
        <f ca="1">IF(AND(ISNUMBER($O$268),$B$165=1),$O$268,HLOOKUP(INDIRECT(ADDRESS(2,COLUMN())),OFFSET($R$2,0,0,ROW()-1,12),ROW()-1,FALSE))</f>
        <v>466.19108399999999</v>
      </c>
      <c r="P112">
        <f ca="1">IF(AND(ISNUMBER($P$268),$B$165=1),$P$268,HLOOKUP(INDIRECT(ADDRESS(2,COLUMN())),OFFSET($R$2,0,0,ROW()-1,12),ROW()-1,FALSE))</f>
        <v>476.6947207</v>
      </c>
      <c r="Q112">
        <f ca="1">IF(AND(ISNUMBER($Q$268),$B$165=1),$Q$268,HLOOKUP(INDIRECT(ADDRESS(2,COLUMN())),OFFSET($R$2,0,0,ROW()-1,12),ROW()-1,FALSE))</f>
        <v>502.73986810000002</v>
      </c>
      <c r="R112">
        <f>231.8845964</f>
        <v>231.88459639999999</v>
      </c>
      <c r="S112">
        <f>462.3549481</f>
        <v>462.3549481</v>
      </c>
      <c r="T112">
        <f>465.0162378</f>
        <v>465.0162378</v>
      </c>
      <c r="U112">
        <f>482.0033978</f>
        <v>482.00339780000002</v>
      </c>
      <c r="V112">
        <f>409.213064</f>
        <v>409.21306399999997</v>
      </c>
      <c r="W112">
        <f>717.2334625</f>
        <v>717.23346249999997</v>
      </c>
      <c r="X112">
        <f>721.2868455</f>
        <v>721.28684550000003</v>
      </c>
      <c r="Y112">
        <f>687.2581234</f>
        <v>687.25812340000004</v>
      </c>
      <c r="Z112">
        <f>694.9339883</f>
        <v>694.93398830000001</v>
      </c>
      <c r="AA112">
        <f>466.191084</f>
        <v>466.19108399999999</v>
      </c>
      <c r="AB112">
        <f>476.6947207</f>
        <v>476.6947207</v>
      </c>
      <c r="AC112">
        <f>502.7398681</f>
        <v>502.73986810000002</v>
      </c>
    </row>
    <row r="113" spans="1:29" x14ac:dyDescent="0.25">
      <c r="A113" t="str">
        <f>"Total Liabilities"</f>
        <v>Total Liabilities</v>
      </c>
      <c r="B113" t="str">
        <f>""</f>
        <v/>
      </c>
      <c r="E113" t="str">
        <f>"Sum"</f>
        <v>Sum</v>
      </c>
      <c r="F113">
        <f ca="1">IF(ISERROR(IF(SUM($F$114:$F$130) = 0, "", SUM($F$114:$F$130))), "", (IF(SUM($F$114:$F$130) = 0, "", SUM($F$114:$F$130))))</f>
        <v>214623.579509</v>
      </c>
      <c r="G113">
        <f ca="1">IF(ISERROR(IF(SUM($G$114:$G$130) = 0, "", SUM($G$114:$G$130))), "", (IF(SUM($G$114:$G$130) = 0, "", SUM($G$114:$G$130))))</f>
        <v>220887.27628500003</v>
      </c>
      <c r="H113">
        <f ca="1">IF(ISERROR(IF(SUM($H$114:$H$130) = 0, "", SUM($H$114:$H$130))), "", (IF(SUM($H$114:$H$130) = 0, "", SUM($H$114:$H$130))))</f>
        <v>205817.41844099999</v>
      </c>
      <c r="I113">
        <f ca="1">IF(ISERROR(IF(SUM($I$114:$I$130) = 0, "", SUM($I$114:$I$130))), "", (IF(SUM($I$114:$I$130) = 0, "", SUM($I$114:$I$130))))</f>
        <v>210838.00778400002</v>
      </c>
      <c r="J113">
        <f ca="1">IF(ISERROR(IF(SUM($J$114:$J$130) = 0, "", SUM($J$114:$J$130))), "", (IF(SUM($J$114:$J$130) = 0, "", SUM($J$114:$J$130))))</f>
        <v>181669.88309700001</v>
      </c>
      <c r="K113">
        <f ca="1">IF(ISERROR(IF(SUM($K$114:$K$130) = 0, "", SUM($K$114:$K$130))), "", (IF(SUM($K$114:$K$130) = 0, "", SUM($K$114:$K$130))))</f>
        <v>171449.13146199999</v>
      </c>
      <c r="L113">
        <f ca="1">IF(ISERROR(IF(SUM($L$114:$L$130) = 0, "", SUM($L$114:$L$130))), "", (IF(SUM($L$114:$L$130) = 0, "", SUM($L$114:$L$130))))</f>
        <v>166243.036544</v>
      </c>
      <c r="M113">
        <f ca="1">IF(ISERROR(IF(SUM($M$114:$M$130) = 0, "", SUM($M$114:$M$130))), "", (IF(SUM($M$114:$M$130) = 0, "", SUM($M$114:$M$130))))</f>
        <v>166929.27709399996</v>
      </c>
      <c r="N113">
        <f ca="1">IF(ISERROR(IF(SUM($N$114:$N$130) = 0, "", SUM($N$114:$N$130))), "", (IF(SUM($N$114:$N$130) = 0, "", SUM($N$114:$N$130))))</f>
        <v>173399.69730100001</v>
      </c>
      <c r="O113">
        <f ca="1">IF(ISERROR(IF(SUM($O$114:$O$130) = 0, "", SUM($O$114:$O$130))), "", (IF(SUM($O$114:$O$130) = 0, "", SUM($O$114:$O$130))))</f>
        <v>174688.96728899999</v>
      </c>
      <c r="P113">
        <f ca="1">IF(ISERROR(IF(SUM($P$114:$P$130) = 0, "", SUM($P$114:$P$130))), "", (IF(SUM($P$114:$P$130) = 0, "", SUM($P$114:$P$130))))</f>
        <v>168055.22492500002</v>
      </c>
      <c r="Q113">
        <f ca="1">IF(ISERROR(IF(SUM($Q$114:$Q$130) = 0, "", SUM($Q$114:$Q$130))), "", (IF(SUM($Q$114:$Q$130) = 0, "", SUM($Q$114:$Q$130))))</f>
        <v>165447.020253</v>
      </c>
      <c r="R113">
        <f>214623.5795</f>
        <v>214623.57949999999</v>
      </c>
      <c r="S113">
        <f>220887.2763</f>
        <v>220887.2763</v>
      </c>
      <c r="T113">
        <f>205817.4184</f>
        <v>205817.4184</v>
      </c>
      <c r="U113">
        <f>210838.0078</f>
        <v>210838.00779999999</v>
      </c>
      <c r="V113">
        <f>181669.8831</f>
        <v>181669.88310000001</v>
      </c>
      <c r="W113">
        <f>171449.1315</f>
        <v>171449.13149999999</v>
      </c>
      <c r="X113">
        <f>166243.0365</f>
        <v>166243.03649999999</v>
      </c>
      <c r="Y113">
        <f>166929.2771</f>
        <v>166929.27710000001</v>
      </c>
      <c r="Z113">
        <f>173399.6973</f>
        <v>173399.6973</v>
      </c>
      <c r="AA113">
        <f>174688.9673</f>
        <v>174688.96729999999</v>
      </c>
      <c r="AB113">
        <f>168055.2249</f>
        <v>168055.2249</v>
      </c>
      <c r="AC113">
        <f>165447.0203</f>
        <v>165447.0203</v>
      </c>
    </row>
    <row r="114" spans="1:29" x14ac:dyDescent="0.25">
      <c r="A114" t="str">
        <f>"    Accenture PLC"</f>
        <v xml:space="preserve">    Accenture PLC</v>
      </c>
      <c r="B114" t="str">
        <f>"ACN US Equity"</f>
        <v>ACN US Equity</v>
      </c>
      <c r="C114" t="str">
        <f t="shared" ref="C114:C130" si="18">"RR005"</f>
        <v>RR005</v>
      </c>
      <c r="D114" t="str">
        <f t="shared" ref="D114:D130" si="19">"BS_TOT_LIAB2"</f>
        <v>BS_TOT_LIAB2</v>
      </c>
      <c r="E114" t="str">
        <f t="shared" ref="E114:E130" si="20">"Dynamic"</f>
        <v>Dynamic</v>
      </c>
      <c r="F114">
        <f ca="1">IF(AND(ISNUMBER($F$269),$B$165=1),$F$269,HLOOKUP(INDIRECT(ADDRESS(2,COLUMN())),OFFSET($R$2,0,0,ROW()-1,12),ROW()-1,FALSE))</f>
        <v>17582.624</v>
      </c>
      <c r="G114">
        <f ca="1">IF(AND(ISNUMBER($G$269),$B$165=1),$G$269,HLOOKUP(INDIRECT(ADDRESS(2,COLUMN())),OFFSET($R$2,0,0,ROW()-1,12),ROW()-1,FALSE))</f>
        <v>17569.504000000001</v>
      </c>
      <c r="H114">
        <f ca="1">IF(AND(ISNUMBER($H$269),$B$165=1),$H$269,HLOOKUP(INDIRECT(ADDRESS(2,COLUMN())),OFFSET($R$2,0,0,ROW()-1,12),ROW()-1,FALSE))</f>
        <v>14962.189</v>
      </c>
      <c r="I114">
        <f ca="1">IF(AND(ISNUMBER($I$269),$B$165=1),$I$269,HLOOKUP(INDIRECT(ADDRESS(2,COLUMN())),OFFSET($R$2,0,0,ROW()-1,12),ROW()-1,FALSE))</f>
        <v>14013.402</v>
      </c>
      <c r="J114">
        <f ca="1">IF(AND(ISNUMBER($J$269),$B$165=1),$J$269,HLOOKUP(INDIRECT(ADDRESS(2,COLUMN())),OFFSET($R$2,0,0,ROW()-1,12),ROW()-1,FALSE))</f>
        <v>13661.663</v>
      </c>
      <c r="K114">
        <f ca="1">IF(AND(ISNUMBER($K$269),$B$165=1),$K$269,HLOOKUP(INDIRECT(ADDRESS(2,COLUMN())),OFFSET($R$2,0,0,ROW()-1,12),ROW()-1,FALSE))</f>
        <v>13650.843999999999</v>
      </c>
      <c r="L114">
        <f ca="1">IF(AND(ISNUMBER($L$269),$B$165=1),$L$269,HLOOKUP(INDIRECT(ADDRESS(2,COLUMN())),OFFSET($R$2,0,0,ROW()-1,12),ROW()-1,FALSE))</f>
        <v>13724.495000000001</v>
      </c>
      <c r="M114">
        <f ca="1">IF(AND(ISNUMBER($M$269),$B$165=1),$M$269,HLOOKUP(INDIRECT(ADDRESS(2,COLUMN())),OFFSET($R$2,0,0,ROW()-1,12),ROW()-1,FALSE))</f>
        <v>13098.057000000001</v>
      </c>
      <c r="N114">
        <f ca="1">IF(AND(ISNUMBER($N$269),$B$165=1),$N$269,HLOOKUP(INDIRECT(ADDRESS(2,COLUMN())),OFFSET($R$2,0,0,ROW()-1,12),ROW()-1,FALSE))</f>
        <v>12694.553</v>
      </c>
      <c r="O114">
        <f ca="1">IF(AND(ISNUMBER($O$269),$B$165=1),$O$269,HLOOKUP(INDIRECT(ADDRESS(2,COLUMN())),OFFSET($R$2,0,0,ROW()-1,12),ROW()-1,FALSE))</f>
        <v>13080.716</v>
      </c>
      <c r="P114">
        <f ca="1">IF(AND(ISNUMBER($P$269),$B$165=1),$P$269,HLOOKUP(INDIRECT(ADDRESS(2,COLUMN())),OFFSET($R$2,0,0,ROW()-1,12),ROW()-1,FALSE))</f>
        <v>12979.69</v>
      </c>
      <c r="Q114">
        <f ca="1">IF(AND(ISNUMBER($Q$269),$B$165=1),$Q$269,HLOOKUP(INDIRECT(ADDRESS(2,COLUMN())),OFFSET($R$2,0,0,ROW()-1,12),ROW()-1,FALSE))</f>
        <v>12258.932000000001</v>
      </c>
      <c r="R114">
        <f>17582.624</f>
        <v>17582.624</v>
      </c>
      <c r="S114">
        <f>17569.504</f>
        <v>17569.504000000001</v>
      </c>
      <c r="T114">
        <f>14962.189</f>
        <v>14962.189</v>
      </c>
      <c r="U114">
        <f>14013.402</f>
        <v>14013.402</v>
      </c>
      <c r="V114">
        <f>13661.663</f>
        <v>13661.663</v>
      </c>
      <c r="W114">
        <f>13650.844</f>
        <v>13650.843999999999</v>
      </c>
      <c r="X114">
        <f>13724.495</f>
        <v>13724.495000000001</v>
      </c>
      <c r="Y114">
        <f>13098.057</f>
        <v>13098.057000000001</v>
      </c>
      <c r="Z114">
        <f>12694.553</f>
        <v>12694.553</v>
      </c>
      <c r="AA114">
        <f>13080.716</f>
        <v>13080.716</v>
      </c>
      <c r="AB114">
        <f>12979.69</f>
        <v>12979.69</v>
      </c>
      <c r="AC114">
        <f>12258.932</f>
        <v>12258.932000000001</v>
      </c>
    </row>
    <row r="115" spans="1:29" x14ac:dyDescent="0.25">
      <c r="A115" t="str">
        <f>"    Amdocs Ltd"</f>
        <v xml:space="preserve">    Amdocs Ltd</v>
      </c>
      <c r="B115" t="str">
        <f>"DOX US Equity"</f>
        <v>DOX US Equity</v>
      </c>
      <c r="C115" t="str">
        <f t="shared" si="18"/>
        <v>RR005</v>
      </c>
      <c r="D115" t="str">
        <f t="shared" si="19"/>
        <v>BS_TOT_LIAB2</v>
      </c>
      <c r="E115" t="str">
        <f t="shared" si="20"/>
        <v>Dynamic</v>
      </c>
      <c r="F115">
        <f ca="1">IF(AND(ISNUMBER($F$270),$B$165=1),$F$270,HLOOKUP(INDIRECT(ADDRESS(2,COLUMN())),OFFSET($R$2,0,0,ROW()-1,12),ROW()-1,FALSE))</f>
        <v>2326.7660000000001</v>
      </c>
      <c r="G115">
        <f ca="1">IF(AND(ISNUMBER($G$270),$B$165=1),$G$270,HLOOKUP(INDIRECT(ADDRESS(2,COLUMN())),OFFSET($R$2,0,0,ROW()-1,12),ROW()-1,FALSE))</f>
        <v>2050.471</v>
      </c>
      <c r="H115">
        <f ca="1">IF(AND(ISNUMBER($H$270),$B$165=1),$H$270,HLOOKUP(INDIRECT(ADDRESS(2,COLUMN())),OFFSET($R$2,0,0,ROW()-1,12),ROW()-1,FALSE))</f>
        <v>1750.36</v>
      </c>
      <c r="I115">
        <f ca="1">IF(AND(ISNUMBER($I$270),$B$165=1),$I$270,HLOOKUP(INDIRECT(ADDRESS(2,COLUMN())),OFFSET($R$2,0,0,ROW()-1,12),ROW()-1,FALSE))</f>
        <v>1706.934</v>
      </c>
      <c r="J115">
        <f ca="1">IF(AND(ISNUMBER($J$270),$B$165=1),$J$270,HLOOKUP(INDIRECT(ADDRESS(2,COLUMN())),OFFSET($R$2,0,0,ROW()-1,12),ROW()-1,FALSE))</f>
        <v>1740.9269999999999</v>
      </c>
      <c r="K115">
        <f ca="1">IF(AND(ISNUMBER($K$270),$B$165=1),$K$270,HLOOKUP(INDIRECT(ADDRESS(2,COLUMN())),OFFSET($R$2,0,0,ROW()-1,12),ROW()-1,FALSE))</f>
        <v>1796.8689999999999</v>
      </c>
      <c r="L115">
        <f ca="1">IF(AND(ISNUMBER($L$270),$B$165=1),$L$270,HLOOKUP(INDIRECT(ADDRESS(2,COLUMN())),OFFSET($R$2,0,0,ROW()-1,12),ROW()-1,FALSE))</f>
        <v>1855.7729999999999</v>
      </c>
      <c r="M115">
        <f ca="1">IF(AND(ISNUMBER($M$270),$B$165=1),$M$270,HLOOKUP(INDIRECT(ADDRESS(2,COLUMN())),OFFSET($R$2,0,0,ROW()-1,12),ROW()-1,FALSE))</f>
        <v>1880.5989999999999</v>
      </c>
      <c r="N115">
        <f ca="1">IF(AND(ISNUMBER($N$270),$B$165=1),$N$270,HLOOKUP(INDIRECT(ADDRESS(2,COLUMN())),OFFSET($R$2,0,0,ROW()-1,12),ROW()-1,FALSE))</f>
        <v>1972.7739999999999</v>
      </c>
      <c r="O115">
        <f ca="1">IF(AND(ISNUMBER($O$270),$B$165=1),$O$270,HLOOKUP(INDIRECT(ADDRESS(2,COLUMN())),OFFSET($R$2,0,0,ROW()-1,12),ROW()-1,FALSE))</f>
        <v>1773.9770000000001</v>
      </c>
      <c r="P115">
        <f ca="1">IF(AND(ISNUMBER($P$270),$B$165=1),$P$270,HLOOKUP(INDIRECT(ADDRESS(2,COLUMN())),OFFSET($R$2,0,0,ROW()-1,12),ROW()-1,FALSE))</f>
        <v>1705.31</v>
      </c>
      <c r="Q115">
        <f ca="1">IF(AND(ISNUMBER($Q$270),$B$165=1),$Q$270,HLOOKUP(INDIRECT(ADDRESS(2,COLUMN())),OFFSET($R$2,0,0,ROW()-1,12),ROW()-1,FALSE))</f>
        <v>1711.9280000000001</v>
      </c>
      <c r="R115">
        <f>2326.766</f>
        <v>2326.7660000000001</v>
      </c>
      <c r="S115">
        <f>2050.471</f>
        <v>2050.471</v>
      </c>
      <c r="T115">
        <f>1750.36</f>
        <v>1750.36</v>
      </c>
      <c r="U115">
        <f>1706.934</f>
        <v>1706.934</v>
      </c>
      <c r="V115">
        <f>1740.927</f>
        <v>1740.9269999999999</v>
      </c>
      <c r="W115">
        <f>1796.869</f>
        <v>1796.8689999999999</v>
      </c>
      <c r="X115">
        <f>1855.773</f>
        <v>1855.7729999999999</v>
      </c>
      <c r="Y115">
        <f>1880.599</f>
        <v>1880.5989999999999</v>
      </c>
      <c r="Z115">
        <f>1972.774</f>
        <v>1972.7739999999999</v>
      </c>
      <c r="AA115">
        <f>1773.977</f>
        <v>1773.9770000000001</v>
      </c>
      <c r="AB115">
        <f>1705.31</f>
        <v>1705.31</v>
      </c>
      <c r="AC115">
        <f>1711.928</f>
        <v>1711.9280000000001</v>
      </c>
    </row>
    <row r="116" spans="1:29" x14ac:dyDescent="0.25">
      <c r="A116" t="str">
        <f>"    Atos SE"</f>
        <v xml:space="preserve">    Atos SE</v>
      </c>
      <c r="B116" t="str">
        <f>"ATO FP Equity"</f>
        <v>ATO FP Equity</v>
      </c>
      <c r="C116" t="str">
        <f t="shared" si="18"/>
        <v>RR005</v>
      </c>
      <c r="D116" t="str">
        <f t="shared" si="19"/>
        <v>BS_TOT_LIAB2</v>
      </c>
      <c r="E116" t="str">
        <f t="shared" si="20"/>
        <v>Dynamic</v>
      </c>
      <c r="F116" t="str">
        <f ca="1">IF(AND(ISNUMBER($F$271),$B$165=1),$F$271,HLOOKUP(INDIRECT(ADDRESS(2,COLUMN())),OFFSET($R$2,0,0,ROW()-1,12),ROW()-1,FALSE))</f>
        <v/>
      </c>
      <c r="G116" t="str">
        <f ca="1">IF(AND(ISNUMBER($G$271),$B$165=1),$G$271,HLOOKUP(INDIRECT(ADDRESS(2,COLUMN())),OFFSET($R$2,0,0,ROW()-1,12),ROW()-1,FALSE))</f>
        <v/>
      </c>
      <c r="H116" t="str">
        <f ca="1">IF(AND(ISNUMBER($H$271),$B$165=1),$H$271,HLOOKUP(INDIRECT(ADDRESS(2,COLUMN())),OFFSET($R$2,0,0,ROW()-1,12),ROW()-1,FALSE))</f>
        <v/>
      </c>
      <c r="I116" t="str">
        <f ca="1">IF(AND(ISNUMBER($I$271),$B$165=1),$I$271,HLOOKUP(INDIRECT(ADDRESS(2,COLUMN())),OFFSET($R$2,0,0,ROW()-1,12),ROW()-1,FALSE))</f>
        <v/>
      </c>
      <c r="J116" t="str">
        <f ca="1">IF(AND(ISNUMBER($J$271),$B$165=1),$J$271,HLOOKUP(INDIRECT(ADDRESS(2,COLUMN())),OFFSET($R$2,0,0,ROW()-1,12),ROW()-1,FALSE))</f>
        <v/>
      </c>
      <c r="K116" t="str">
        <f ca="1">IF(AND(ISNUMBER($K$271),$B$165=1),$K$271,HLOOKUP(INDIRECT(ADDRESS(2,COLUMN())),OFFSET($R$2,0,0,ROW()-1,12),ROW()-1,FALSE))</f>
        <v/>
      </c>
      <c r="L116" t="str">
        <f ca="1">IF(AND(ISNUMBER($L$271),$B$165=1),$L$271,HLOOKUP(INDIRECT(ADDRESS(2,COLUMN())),OFFSET($R$2,0,0,ROW()-1,12),ROW()-1,FALSE))</f>
        <v/>
      </c>
      <c r="M116" t="str">
        <f ca="1">IF(AND(ISNUMBER($M$271),$B$165=1),$M$271,HLOOKUP(INDIRECT(ADDRESS(2,COLUMN())),OFFSET($R$2,0,0,ROW()-1,12),ROW()-1,FALSE))</f>
        <v/>
      </c>
      <c r="N116" t="str">
        <f ca="1">IF(AND(ISNUMBER($N$271),$B$165=1),$N$271,HLOOKUP(INDIRECT(ADDRESS(2,COLUMN())),OFFSET($R$2,0,0,ROW()-1,12),ROW()-1,FALSE))</f>
        <v/>
      </c>
      <c r="O116" t="str">
        <f ca="1">IF(AND(ISNUMBER($O$271),$B$165=1),$O$271,HLOOKUP(INDIRECT(ADDRESS(2,COLUMN())),OFFSET($R$2,0,0,ROW()-1,12),ROW()-1,FALSE))</f>
        <v/>
      </c>
      <c r="P116" t="str">
        <f ca="1">IF(AND(ISNUMBER($P$271),$B$165=1),$P$271,HLOOKUP(INDIRECT(ADDRESS(2,COLUMN())),OFFSET($R$2,0,0,ROW()-1,12),ROW()-1,FALSE))</f>
        <v/>
      </c>
      <c r="Q116" t="str">
        <f ca="1">IF(AND(ISNUMBER($Q$271),$B$165=1),$Q$271,HLOOKUP(INDIRECT(ADDRESS(2,COLUMN())),OFFSET($R$2,0,0,ROW()-1,12),ROW()-1,FALSE))</f>
        <v/>
      </c>
      <c r="R116" t="str">
        <f>""</f>
        <v/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</row>
    <row r="117" spans="1:29" x14ac:dyDescent="0.25">
      <c r="A117" t="str">
        <f>"    Capgemini SE"</f>
        <v xml:space="preserve">    Capgemini SE</v>
      </c>
      <c r="B117" t="str">
        <f>"CAP FP Equity"</f>
        <v>CAP FP Equity</v>
      </c>
      <c r="C117" t="str">
        <f t="shared" si="18"/>
        <v>RR005</v>
      </c>
      <c r="D117" t="str">
        <f t="shared" si="19"/>
        <v>BS_TOT_LIAB2</v>
      </c>
      <c r="E117" t="str">
        <f t="shared" si="20"/>
        <v>Dynamic</v>
      </c>
      <c r="F117" t="str">
        <f ca="1">IF(AND(ISNUMBER($F$272),$B$165=1),$F$272,HLOOKUP(INDIRECT(ADDRESS(2,COLUMN())),OFFSET($R$2,0,0,ROW()-1,12),ROW()-1,FALSE))</f>
        <v/>
      </c>
      <c r="G117">
        <f ca="1">IF(AND(ISNUMBER($G$272),$B$165=1),$G$272,HLOOKUP(INDIRECT(ADDRESS(2,COLUMN())),OFFSET($R$2,0,0,ROW()-1,12),ROW()-1,FALSE))</f>
        <v>10910.0964</v>
      </c>
      <c r="H117" t="str">
        <f ca="1">IF(AND(ISNUMBER($H$272),$B$165=1),$H$272,HLOOKUP(INDIRECT(ADDRESS(2,COLUMN())),OFFSET($R$2,0,0,ROW()-1,12),ROW()-1,FALSE))</f>
        <v/>
      </c>
      <c r="I117" t="str">
        <f ca="1">IF(AND(ISNUMBER($I$272),$B$165=1),$I$272,HLOOKUP(INDIRECT(ADDRESS(2,COLUMN())),OFFSET($R$2,0,0,ROW()-1,12),ROW()-1,FALSE))</f>
        <v/>
      </c>
      <c r="J117" t="str">
        <f ca="1">IF(AND(ISNUMBER($J$272),$B$165=1),$J$272,HLOOKUP(INDIRECT(ADDRESS(2,COLUMN())),OFFSET($R$2,0,0,ROW()-1,12),ROW()-1,FALSE))</f>
        <v/>
      </c>
      <c r="K117" t="str">
        <f ca="1">IF(AND(ISNUMBER($K$272),$B$165=1),$K$272,HLOOKUP(INDIRECT(ADDRESS(2,COLUMN())),OFFSET($R$2,0,0,ROW()-1,12),ROW()-1,FALSE))</f>
        <v/>
      </c>
      <c r="L117" t="str">
        <f ca="1">IF(AND(ISNUMBER($L$272),$B$165=1),$L$272,HLOOKUP(INDIRECT(ADDRESS(2,COLUMN())),OFFSET($R$2,0,0,ROW()-1,12),ROW()-1,FALSE))</f>
        <v/>
      </c>
      <c r="M117" t="str">
        <f ca="1">IF(AND(ISNUMBER($M$272),$B$165=1),$M$272,HLOOKUP(INDIRECT(ADDRESS(2,COLUMN())),OFFSET($R$2,0,0,ROW()-1,12),ROW()-1,FALSE))</f>
        <v/>
      </c>
      <c r="N117" t="str">
        <f ca="1">IF(AND(ISNUMBER($N$272),$B$165=1),$N$272,HLOOKUP(INDIRECT(ADDRESS(2,COLUMN())),OFFSET($R$2,0,0,ROW()-1,12),ROW()-1,FALSE))</f>
        <v/>
      </c>
      <c r="O117" t="str">
        <f ca="1">IF(AND(ISNUMBER($O$272),$B$165=1),$O$272,HLOOKUP(INDIRECT(ADDRESS(2,COLUMN())),OFFSET($R$2,0,0,ROW()-1,12),ROW()-1,FALSE))</f>
        <v/>
      </c>
      <c r="P117" t="str">
        <f ca="1">IF(AND(ISNUMBER($P$272),$B$165=1),$P$272,HLOOKUP(INDIRECT(ADDRESS(2,COLUMN())),OFFSET($R$2,0,0,ROW()-1,12),ROW()-1,FALSE))</f>
        <v/>
      </c>
      <c r="Q117" t="str">
        <f ca="1">IF(AND(ISNUMBER($Q$272),$B$165=1),$Q$272,HLOOKUP(INDIRECT(ADDRESS(2,COLUMN())),OFFSET($R$2,0,0,ROW()-1,12),ROW()-1,FALSE))</f>
        <v/>
      </c>
      <c r="R117" t="str">
        <f>""</f>
        <v/>
      </c>
      <c r="S117">
        <f>10910.0964</f>
        <v>10910.0964</v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</row>
    <row r="118" spans="1:29" x14ac:dyDescent="0.25">
      <c r="A118" t="str">
        <f>"    CGI Inc"</f>
        <v xml:space="preserve">    CGI Inc</v>
      </c>
      <c r="B118" t="str">
        <f>"GIB US Equity"</f>
        <v>GIB US Equity</v>
      </c>
      <c r="C118" t="str">
        <f t="shared" si="18"/>
        <v>RR005</v>
      </c>
      <c r="D118" t="str">
        <f t="shared" si="19"/>
        <v>BS_TOT_LIAB2</v>
      </c>
      <c r="E118" t="str">
        <f t="shared" si="20"/>
        <v>Dynamic</v>
      </c>
      <c r="F118">
        <f ca="1">IF(AND(ISNUMBER($F$273),$B$165=1),$F$273,HLOOKUP(INDIRECT(ADDRESS(2,COLUMN())),OFFSET($R$2,0,0,ROW()-1,12),ROW()-1,FALSE))</f>
        <v>5524.9386720000002</v>
      </c>
      <c r="G118">
        <f ca="1">IF(AND(ISNUMBER($G$273),$B$165=1),$G$273,HLOOKUP(INDIRECT(ADDRESS(2,COLUMN())),OFFSET($R$2,0,0,ROW()-1,12),ROW()-1,FALSE))</f>
        <v>5223.3179229999996</v>
      </c>
      <c r="H118">
        <f ca="1">IF(AND(ISNUMBER($H$273),$B$165=1),$H$273,HLOOKUP(INDIRECT(ADDRESS(2,COLUMN())),OFFSET($R$2,0,0,ROW()-1,12),ROW()-1,FALSE))</f>
        <v>4333.2399370000003</v>
      </c>
      <c r="I118">
        <f ca="1">IF(AND(ISNUMBER($I$273),$B$165=1),$I$273,HLOOKUP(INDIRECT(ADDRESS(2,COLUMN())),OFFSET($R$2,0,0,ROW()-1,12),ROW()-1,FALSE))</f>
        <v>4691.9193459999997</v>
      </c>
      <c r="J118">
        <f ca="1">IF(AND(ISNUMBER($J$273),$B$165=1),$J$273,HLOOKUP(INDIRECT(ADDRESS(2,COLUMN())),OFFSET($R$2,0,0,ROW()-1,12),ROW()-1,FALSE))</f>
        <v>4284.5776910000004</v>
      </c>
      <c r="K118">
        <f ca="1">IF(AND(ISNUMBER($K$273),$B$165=1),$K$273,HLOOKUP(INDIRECT(ADDRESS(2,COLUMN())),OFFSET($R$2,0,0,ROW()-1,12),ROW()-1,FALSE))</f>
        <v>4360.29727</v>
      </c>
      <c r="L118">
        <f ca="1">IF(AND(ISNUMBER($L$273),$B$165=1),$L$273,HLOOKUP(INDIRECT(ADDRESS(2,COLUMN())),OFFSET($R$2,0,0,ROW()-1,12),ROW()-1,FALSE))</f>
        <v>4045.3350340000002</v>
      </c>
      <c r="M118">
        <f ca="1">IF(AND(ISNUMBER($M$273),$B$165=1),$M$273,HLOOKUP(INDIRECT(ADDRESS(2,COLUMN())),OFFSET($R$2,0,0,ROW()-1,12),ROW()-1,FALSE))</f>
        <v>4127.4537849999997</v>
      </c>
      <c r="N118">
        <f ca="1">IF(AND(ISNUMBER($N$273),$B$165=1),$N$273,HLOOKUP(INDIRECT(ADDRESS(2,COLUMN())),OFFSET($R$2,0,0,ROW()-1,12),ROW()-1,FALSE))</f>
        <v>4270.0170690000004</v>
      </c>
      <c r="O118">
        <f ca="1">IF(AND(ISNUMBER($O$273),$B$165=1),$O$273,HLOOKUP(INDIRECT(ADDRESS(2,COLUMN())),OFFSET($R$2,0,0,ROW()-1,12),ROW()-1,FALSE))</f>
        <v>4314.2204840000004</v>
      </c>
      <c r="P118">
        <f ca="1">IF(AND(ISNUMBER($P$273),$B$165=1),$P$273,HLOOKUP(INDIRECT(ADDRESS(2,COLUMN())),OFFSET($R$2,0,0,ROW()-1,12),ROW()-1,FALSE))</f>
        <v>4160.1938479999999</v>
      </c>
      <c r="Q118">
        <f ca="1">IF(AND(ISNUMBER($Q$273),$B$165=1),$Q$273,HLOOKUP(INDIRECT(ADDRESS(2,COLUMN())),OFFSET($R$2,0,0,ROW()-1,12),ROW()-1,FALSE))</f>
        <v>3995.6123470000002</v>
      </c>
      <c r="R118">
        <f>5524.938672</f>
        <v>5524.9386720000002</v>
      </c>
      <c r="S118">
        <f>5223.317923</f>
        <v>5223.3179229999996</v>
      </c>
      <c r="T118">
        <f>4333.239937</f>
        <v>4333.2399370000003</v>
      </c>
      <c r="U118">
        <f>4691.919346</f>
        <v>4691.9193459999997</v>
      </c>
      <c r="V118">
        <f>4284.577691</f>
        <v>4284.5776910000004</v>
      </c>
      <c r="W118">
        <f>4360.29727</f>
        <v>4360.29727</v>
      </c>
      <c r="X118">
        <f>4045.335034</f>
        <v>4045.3350340000002</v>
      </c>
      <c r="Y118">
        <f>4127.453785</f>
        <v>4127.4537849999997</v>
      </c>
      <c r="Z118">
        <f>4270.017069</f>
        <v>4270.0170690000004</v>
      </c>
      <c r="AA118">
        <f>4314.220484</f>
        <v>4314.2204840000004</v>
      </c>
      <c r="AB118">
        <f>4160.193848</f>
        <v>4160.1938479999999</v>
      </c>
      <c r="AC118">
        <f>3995.612347</f>
        <v>3995.6123470000002</v>
      </c>
    </row>
    <row r="119" spans="1:29" x14ac:dyDescent="0.25">
      <c r="A119" t="str">
        <f>"    Cognizant Technology Solutions Corp"</f>
        <v xml:space="preserve">    Cognizant Technology Solutions Corp</v>
      </c>
      <c r="B119" t="str">
        <f>"CTSH US Equity"</f>
        <v>CTSH US Equity</v>
      </c>
      <c r="C119" t="str">
        <f t="shared" si="18"/>
        <v>RR005</v>
      </c>
      <c r="D119" t="str">
        <f t="shared" si="19"/>
        <v>BS_TOT_LIAB2</v>
      </c>
      <c r="E119" t="str">
        <f t="shared" si="20"/>
        <v>Dynamic</v>
      </c>
      <c r="F119">
        <f ca="1">IF(AND(ISNUMBER($F$274),$B$165=1),$F$274,HLOOKUP(INDIRECT(ADDRESS(2,COLUMN())),OFFSET($R$2,0,0,ROW()-1,12),ROW()-1,FALSE))</f>
        <v>6816</v>
      </c>
      <c r="G119">
        <f ca="1">IF(AND(ISNUMBER($G$274),$B$165=1),$G$274,HLOOKUP(INDIRECT(ADDRESS(2,COLUMN())),OFFSET($R$2,0,0,ROW()-1,12),ROW()-1,FALSE))</f>
        <v>5182</v>
      </c>
      <c r="H119">
        <f ca="1">IF(AND(ISNUMBER($H$274),$B$165=1),$H$274,HLOOKUP(INDIRECT(ADDRESS(2,COLUMN())),OFFSET($R$2,0,0,ROW()-1,12),ROW()-1,FALSE))</f>
        <v>5142</v>
      </c>
      <c r="I119">
        <f ca="1">IF(AND(ISNUMBER($I$274),$B$165=1),$I$274,HLOOKUP(INDIRECT(ADDRESS(2,COLUMN())),OFFSET($R$2,0,0,ROW()-1,12),ROW()-1,FALSE))</f>
        <v>4960</v>
      </c>
      <c r="J119">
        <f ca="1">IF(AND(ISNUMBER($J$274),$B$165=1),$J$274,HLOOKUP(INDIRECT(ADDRESS(2,COLUMN())),OFFSET($R$2,0,0,ROW()-1,12),ROW()-1,FALSE))</f>
        <v>4960</v>
      </c>
      <c r="K119">
        <f ca="1">IF(AND(ISNUMBER($K$274),$B$165=1),$K$274,HLOOKUP(INDIRECT(ADDRESS(2,COLUMN())),OFFSET($R$2,0,0,ROW()-1,12),ROW()-1,FALSE))</f>
        <v>4422</v>
      </c>
      <c r="L119">
        <f ca="1">IF(AND(ISNUMBER($L$274),$B$165=1),$L$274,HLOOKUP(INDIRECT(ADDRESS(2,COLUMN())),OFFSET($R$2,0,0,ROW()-1,12),ROW()-1,FALSE))</f>
        <v>4296</v>
      </c>
      <c r="M119">
        <f ca="1">IF(AND(ISNUMBER($M$274),$B$165=1),$M$274,HLOOKUP(INDIRECT(ADDRESS(2,COLUMN())),OFFSET($R$2,0,0,ROW()-1,12),ROW()-1,FALSE))</f>
        <v>4158</v>
      </c>
      <c r="N119">
        <f ca="1">IF(AND(ISNUMBER($N$274),$B$165=1),$N$274,HLOOKUP(INDIRECT(ADDRESS(2,COLUMN())),OFFSET($R$2,0,0,ROW()-1,12),ROW()-1,FALSE))</f>
        <v>4057</v>
      </c>
      <c r="O119">
        <f ca="1">IF(AND(ISNUMBER($O$274),$B$165=1),$O$274,HLOOKUP(INDIRECT(ADDRESS(2,COLUMN())),OFFSET($R$2,0,0,ROW()-1,12),ROW()-1,FALSE))</f>
        <v>4552</v>
      </c>
      <c r="P119">
        <f ca="1">IF(AND(ISNUMBER($P$274),$B$165=1),$P$274,HLOOKUP(INDIRECT(ADDRESS(2,COLUMN())),OFFSET($R$2,0,0,ROW()-1,12),ROW()-1,FALSE))</f>
        <v>3601</v>
      </c>
      <c r="Q119">
        <f ca="1">IF(AND(ISNUMBER($Q$274),$B$165=1),$Q$274,HLOOKUP(INDIRECT(ADDRESS(2,COLUMN())),OFFSET($R$2,0,0,ROW()-1,12),ROW()-1,FALSE))</f>
        <v>3455</v>
      </c>
      <c r="R119">
        <f>6816</f>
        <v>6816</v>
      </c>
      <c r="S119">
        <f>5182</f>
        <v>5182</v>
      </c>
      <c r="T119">
        <f>5142</f>
        <v>5142</v>
      </c>
      <c r="U119">
        <f>4960</f>
        <v>4960</v>
      </c>
      <c r="V119">
        <f>4960</f>
        <v>4960</v>
      </c>
      <c r="W119">
        <f>4422</f>
        <v>4422</v>
      </c>
      <c r="X119">
        <f>4296</f>
        <v>4296</v>
      </c>
      <c r="Y119">
        <f>4158</f>
        <v>4158</v>
      </c>
      <c r="Z119">
        <f>4057</f>
        <v>4057</v>
      </c>
      <c r="AA119">
        <f>4552</f>
        <v>4552</v>
      </c>
      <c r="AB119">
        <f>3601</f>
        <v>3601</v>
      </c>
      <c r="AC119">
        <f>3455</f>
        <v>3455</v>
      </c>
    </row>
    <row r="120" spans="1:29" x14ac:dyDescent="0.25">
      <c r="A120" t="str">
        <f>"    Conduent Inc"</f>
        <v xml:space="preserve">    Conduent Inc</v>
      </c>
      <c r="B120" t="str">
        <f>"CNDT US Equity"</f>
        <v>CNDT US Equity</v>
      </c>
      <c r="C120" t="str">
        <f t="shared" si="18"/>
        <v>RR005</v>
      </c>
      <c r="D120" t="str">
        <f t="shared" si="19"/>
        <v>BS_TOT_LIAB2</v>
      </c>
      <c r="E120" t="str">
        <f t="shared" si="20"/>
        <v>Dynamic</v>
      </c>
      <c r="F120">
        <f ca="1">IF(AND(ISNUMBER($F$275),$B$165=1),$F$275,HLOOKUP(INDIRECT(ADDRESS(2,COLUMN())),OFFSET($R$2,0,0,ROW()-1,12),ROW()-1,FALSE))</f>
        <v>3032</v>
      </c>
      <c r="G120">
        <f ca="1">IF(AND(ISNUMBER($G$275),$B$165=1),$G$275,HLOOKUP(INDIRECT(ADDRESS(2,COLUMN())),OFFSET($R$2,0,0,ROW()-1,12),ROW()-1,FALSE))</f>
        <v>3072</v>
      </c>
      <c r="H120">
        <f ca="1">IF(AND(ISNUMBER($H$275),$B$165=1),$H$275,HLOOKUP(INDIRECT(ADDRESS(2,COLUMN())),OFFSET($R$2,0,0,ROW()-1,12),ROW()-1,FALSE))</f>
        <v>3104</v>
      </c>
      <c r="I120">
        <f ca="1">IF(AND(ISNUMBER($I$275),$B$165=1),$I$275,HLOOKUP(INDIRECT(ADDRESS(2,COLUMN())),OFFSET($R$2,0,0,ROW()-1,12),ROW()-1,FALSE))</f>
        <v>3260</v>
      </c>
      <c r="J120">
        <f ca="1">IF(AND(ISNUMBER($J$275),$B$165=1),$J$275,HLOOKUP(INDIRECT(ADDRESS(2,COLUMN())),OFFSET($R$2,0,0,ROW()-1,12),ROW()-1,FALSE))</f>
        <v>3594</v>
      </c>
      <c r="K120">
        <f ca="1">IF(AND(ISNUMBER($K$275),$B$165=1),$K$275,HLOOKUP(INDIRECT(ADDRESS(2,COLUMN())),OFFSET($R$2,0,0,ROW()-1,12),ROW()-1,FALSE))</f>
        <v>3316</v>
      </c>
      <c r="L120">
        <f ca="1">IF(AND(ISNUMBER($L$275),$B$165=1),$L$275,HLOOKUP(INDIRECT(ADDRESS(2,COLUMN())),OFFSET($R$2,0,0,ROW()-1,12),ROW()-1,FALSE))</f>
        <v>3229</v>
      </c>
      <c r="M120">
        <f ca="1">IF(AND(ISNUMBER($M$275),$B$165=1),$M$275,HLOOKUP(INDIRECT(ADDRESS(2,COLUMN())),OFFSET($R$2,0,0,ROW()-1,12),ROW()-1,FALSE))</f>
        <v>3795</v>
      </c>
      <c r="N120">
        <f ca="1">IF(AND(ISNUMBER($N$275),$B$165=1),$N$275,HLOOKUP(INDIRECT(ADDRESS(2,COLUMN())),OFFSET($R$2,0,0,ROW()-1,12),ROW()-1,FALSE))</f>
        <v>3859</v>
      </c>
      <c r="O120">
        <f ca="1">IF(AND(ISNUMBER($O$275),$B$165=1),$O$275,HLOOKUP(INDIRECT(ADDRESS(2,COLUMN())),OFFSET($R$2,0,0,ROW()-1,12),ROW()-1,FALSE))</f>
        <v>3877</v>
      </c>
      <c r="P120">
        <f ca="1">IF(AND(ISNUMBER($P$275),$B$165=1),$P$275,HLOOKUP(INDIRECT(ADDRESS(2,COLUMN())),OFFSET($R$2,0,0,ROW()-1,12),ROW()-1,FALSE))</f>
        <v>4093</v>
      </c>
      <c r="Q120">
        <f ca="1">IF(AND(ISNUMBER($Q$275),$B$165=1),$Q$275,HLOOKUP(INDIRECT(ADDRESS(2,COLUMN())),OFFSET($R$2,0,0,ROW()-1,12),ROW()-1,FALSE))</f>
        <v>4189</v>
      </c>
      <c r="R120">
        <f>3032</f>
        <v>3032</v>
      </c>
      <c r="S120">
        <f>3072</f>
        <v>3072</v>
      </c>
      <c r="T120">
        <f>3104</f>
        <v>3104</v>
      </c>
      <c r="U120">
        <f>3260</f>
        <v>3260</v>
      </c>
      <c r="V120">
        <f>3594</f>
        <v>3594</v>
      </c>
      <c r="W120">
        <f>3316</f>
        <v>3316</v>
      </c>
      <c r="X120">
        <f>3229</f>
        <v>3229</v>
      </c>
      <c r="Y120">
        <f>3795</f>
        <v>3795</v>
      </c>
      <c r="Z120">
        <f>3859</f>
        <v>3859</v>
      </c>
      <c r="AA120">
        <f>3877</f>
        <v>3877</v>
      </c>
      <c r="AB120">
        <f>4093</f>
        <v>4093</v>
      </c>
      <c r="AC120">
        <f>4189</f>
        <v>4189</v>
      </c>
    </row>
    <row r="121" spans="1:29" x14ac:dyDescent="0.25">
      <c r="A121" t="str">
        <f>"    DXC Technology Co"</f>
        <v xml:space="preserve">    DXC Technology Co</v>
      </c>
      <c r="B121" t="str">
        <f>"DXC US Equity"</f>
        <v>DXC US Equity</v>
      </c>
      <c r="C121" t="str">
        <f t="shared" si="18"/>
        <v>RR005</v>
      </c>
      <c r="D121" t="str">
        <f t="shared" si="19"/>
        <v>BS_TOT_LIAB2</v>
      </c>
      <c r="E121" t="str">
        <f t="shared" si="20"/>
        <v>Dynamic</v>
      </c>
      <c r="F121">
        <f ca="1">IF(AND(ISNUMBER($F$276),$B$165=1),$F$276,HLOOKUP(INDIRECT(ADDRESS(2,COLUMN())),OFFSET($R$2,0,0,ROW()-1,12),ROW()-1,FALSE))</f>
        <v>20877</v>
      </c>
      <c r="G121">
        <f ca="1">IF(AND(ISNUMBER($G$276),$B$165=1),$G$276,HLOOKUP(INDIRECT(ADDRESS(2,COLUMN())),OFFSET($R$2,0,0,ROW()-1,12),ROW()-1,FALSE))</f>
        <v>20498</v>
      </c>
      <c r="H121">
        <f ca="1">IF(AND(ISNUMBER($H$276),$B$165=1),$H$276,HLOOKUP(INDIRECT(ADDRESS(2,COLUMN())),OFFSET($R$2,0,0,ROW()-1,12),ROW()-1,FALSE))</f>
        <v>20646</v>
      </c>
      <c r="I121">
        <f ca="1">IF(AND(ISNUMBER($I$276),$B$165=1),$I$276,HLOOKUP(INDIRECT(ADDRESS(2,COLUMN())),OFFSET($R$2,0,0,ROW()-1,12),ROW()-1,FALSE))</f>
        <v>21360</v>
      </c>
      <c r="J121">
        <f ca="1">IF(AND(ISNUMBER($J$276),$B$165=1),$J$276,HLOOKUP(INDIRECT(ADDRESS(2,COLUMN())),OFFSET($R$2,0,0,ROW()-1,12),ROW()-1,FALSE))</f>
        <v>17849</v>
      </c>
      <c r="K121">
        <f ca="1">IF(AND(ISNUMBER($K$276),$B$165=1),$K$276,HLOOKUP(INDIRECT(ADDRESS(2,COLUMN())),OFFSET($R$2,0,0,ROW()-1,12),ROW()-1,FALSE))</f>
        <v>17515</v>
      </c>
      <c r="L121">
        <f ca="1">IF(AND(ISNUMBER($L$276),$B$165=1),$L$276,HLOOKUP(INDIRECT(ADDRESS(2,COLUMN())),OFFSET($R$2,0,0,ROW()-1,12),ROW()-1,FALSE))</f>
        <v>17045</v>
      </c>
      <c r="M121">
        <f ca="1">IF(AND(ISNUMBER($M$276),$B$165=1),$M$276,HLOOKUP(INDIRECT(ADDRESS(2,COLUMN())),OFFSET($R$2,0,0,ROW()-1,12),ROW()-1,FALSE))</f>
        <v>17312</v>
      </c>
      <c r="N121">
        <f ca="1">IF(AND(ISNUMBER($N$276),$B$165=1),$N$276,HLOOKUP(INDIRECT(ADDRESS(2,COLUMN())),OFFSET($R$2,0,0,ROW()-1,12),ROW()-1,FALSE))</f>
        <v>20084</v>
      </c>
      <c r="O121">
        <f ca="1">IF(AND(ISNUMBER($O$276),$B$165=1),$O$276,HLOOKUP(INDIRECT(ADDRESS(2,COLUMN())),OFFSET($R$2,0,0,ROW()-1,12),ROW()-1,FALSE))</f>
        <v>20380</v>
      </c>
      <c r="P121">
        <f ca="1">IF(AND(ISNUMBER($P$276),$B$165=1),$P$276,HLOOKUP(INDIRECT(ADDRESS(2,COLUMN())),OFFSET($R$2,0,0,ROW()-1,12),ROW()-1,FALSE))</f>
        <v>20669</v>
      </c>
      <c r="Q121">
        <f ca="1">IF(AND(ISNUMBER($Q$276),$B$165=1),$Q$276,HLOOKUP(INDIRECT(ADDRESS(2,COLUMN())),OFFSET($R$2,0,0,ROW()-1,12),ROW()-1,FALSE))</f>
        <v>18871</v>
      </c>
      <c r="R121">
        <f>20877</f>
        <v>20877</v>
      </c>
      <c r="S121">
        <f>20498</f>
        <v>20498</v>
      </c>
      <c r="T121">
        <f>20646</f>
        <v>20646</v>
      </c>
      <c r="U121">
        <f>21360</f>
        <v>21360</v>
      </c>
      <c r="V121">
        <f>17849</f>
        <v>17849</v>
      </c>
      <c r="W121">
        <f>17515</f>
        <v>17515</v>
      </c>
      <c r="X121">
        <f>17045</f>
        <v>17045</v>
      </c>
      <c r="Y121">
        <f>17312</f>
        <v>17312</v>
      </c>
      <c r="Z121">
        <f>20084</f>
        <v>20084</v>
      </c>
      <c r="AA121">
        <f>20380</f>
        <v>20380</v>
      </c>
      <c r="AB121">
        <f>20669</f>
        <v>20669</v>
      </c>
      <c r="AC121">
        <f>18871</f>
        <v>18871</v>
      </c>
    </row>
    <row r="122" spans="1:29" x14ac:dyDescent="0.25">
      <c r="A122" t="str">
        <f>"    EPAM Systems Inc"</f>
        <v xml:space="preserve">    EPAM Systems Inc</v>
      </c>
      <c r="B122" t="str">
        <f>"EPAM US Equity"</f>
        <v>EPAM US Equity</v>
      </c>
      <c r="C122" t="str">
        <f t="shared" si="18"/>
        <v>RR005</v>
      </c>
      <c r="D122" t="str">
        <f t="shared" si="19"/>
        <v>BS_TOT_LIAB2</v>
      </c>
      <c r="E122" t="str">
        <f t="shared" si="20"/>
        <v>Dynamic</v>
      </c>
      <c r="F122">
        <f ca="1">IF(AND(ISNUMBER($F$277),$B$165=1),$F$277,HLOOKUP(INDIRECT(ADDRESS(2,COLUMN())),OFFSET($R$2,0,0,ROW()-1,12),ROW()-1,FALSE))</f>
        <v>664.399</v>
      </c>
      <c r="G122">
        <f ca="1">IF(AND(ISNUMBER($G$277),$B$165=1),$G$277,HLOOKUP(INDIRECT(ADDRESS(2,COLUMN())),OFFSET($R$2,0,0,ROW()-1,12),ROW()-1,FALSE))</f>
        <v>648.06299999999999</v>
      </c>
      <c r="H122">
        <f ca="1">IF(AND(ISNUMBER($H$277),$B$165=1),$H$277,HLOOKUP(INDIRECT(ADDRESS(2,COLUMN())),OFFSET($R$2,0,0,ROW()-1,12),ROW()-1,FALSE))</f>
        <v>548.04600000000005</v>
      </c>
      <c r="I122">
        <f ca="1">IF(AND(ISNUMBER($I$277),$B$165=1),$I$277,HLOOKUP(INDIRECT(ADDRESS(2,COLUMN())),OFFSET($R$2,0,0,ROW()-1,12),ROW()-1,FALSE))</f>
        <v>509.20400000000001</v>
      </c>
      <c r="J122">
        <f ca="1">IF(AND(ISNUMBER($J$277),$B$165=1),$J$277,HLOOKUP(INDIRECT(ADDRESS(2,COLUMN())),OFFSET($R$2,0,0,ROW()-1,12),ROW()-1,FALSE))</f>
        <v>493.21</v>
      </c>
      <c r="K122">
        <f ca="1">IF(AND(ISNUMBER($K$277),$B$165=1),$K$277,HLOOKUP(INDIRECT(ADDRESS(2,COLUMN())),OFFSET($R$2,0,0,ROW()-1,12),ROW()-1,FALSE))</f>
        <v>349.20600000000002</v>
      </c>
      <c r="L122">
        <f ca="1">IF(AND(ISNUMBER($L$277),$B$165=1),$L$277,HLOOKUP(INDIRECT(ADDRESS(2,COLUMN())),OFFSET($R$2,0,0,ROW()-1,12),ROW()-1,FALSE))</f>
        <v>308.04700000000003</v>
      </c>
      <c r="M122">
        <f ca="1">IF(AND(ISNUMBER($M$277),$B$165=1),$M$277,HLOOKUP(INDIRECT(ADDRESS(2,COLUMN())),OFFSET($R$2,0,0,ROW()-1,12),ROW()-1,FALSE))</f>
        <v>279.392</v>
      </c>
      <c r="N122">
        <f ca="1">IF(AND(ISNUMBER($N$277),$B$165=1),$N$277,HLOOKUP(INDIRECT(ADDRESS(2,COLUMN())),OFFSET($R$2,0,0,ROW()-1,12),ROW()-1,FALSE))</f>
        <v>288.05399999999997</v>
      </c>
      <c r="O122">
        <f ca="1">IF(AND(ISNUMBER($O$277),$B$165=1),$O$277,HLOOKUP(INDIRECT(ADDRESS(2,COLUMN())),OFFSET($R$2,0,0,ROW()-1,12),ROW()-1,FALSE))</f>
        <v>275.30900000000003</v>
      </c>
      <c r="P122">
        <f ca="1">IF(AND(ISNUMBER($P$277),$B$165=1),$P$277,HLOOKUP(INDIRECT(ADDRESS(2,COLUMN())),OFFSET($R$2,0,0,ROW()-1,12),ROW()-1,FALSE))</f>
        <v>187.86099999999999</v>
      </c>
      <c r="Q122">
        <f ca="1">IF(AND(ISNUMBER($Q$277),$B$165=1),$Q$277,HLOOKUP(INDIRECT(ADDRESS(2,COLUMN())),OFFSET($R$2,0,0,ROW()-1,12),ROW()-1,FALSE))</f>
        <v>159.67699999999999</v>
      </c>
      <c r="R122">
        <f>664.399</f>
        <v>664.399</v>
      </c>
      <c r="S122">
        <f>648.063</f>
        <v>648.06299999999999</v>
      </c>
      <c r="T122">
        <f>548.046</f>
        <v>548.04600000000005</v>
      </c>
      <c r="U122">
        <f>509.204</f>
        <v>509.20400000000001</v>
      </c>
      <c r="V122">
        <f>493.21</f>
        <v>493.21</v>
      </c>
      <c r="W122">
        <f>349.206</f>
        <v>349.20600000000002</v>
      </c>
      <c r="X122">
        <f>308.047</f>
        <v>308.04700000000003</v>
      </c>
      <c r="Y122">
        <f>279.392</f>
        <v>279.392</v>
      </c>
      <c r="Z122">
        <f>288.054</f>
        <v>288.05399999999997</v>
      </c>
      <c r="AA122">
        <f>275.309</f>
        <v>275.30900000000003</v>
      </c>
      <c r="AB122">
        <f>187.861</f>
        <v>187.86099999999999</v>
      </c>
      <c r="AC122">
        <f>159.677</f>
        <v>159.67699999999999</v>
      </c>
    </row>
    <row r="123" spans="1:29" x14ac:dyDescent="0.25">
      <c r="A123" t="str">
        <f>"    Genpact Ltd"</f>
        <v xml:space="preserve">    Genpact Ltd</v>
      </c>
      <c r="B123" t="str">
        <f>"G US Equity"</f>
        <v>G US Equity</v>
      </c>
      <c r="C123" t="str">
        <f t="shared" si="18"/>
        <v>RR005</v>
      </c>
      <c r="D123" t="str">
        <f t="shared" si="19"/>
        <v>BS_TOT_LIAB2</v>
      </c>
      <c r="E123" t="str">
        <f t="shared" si="20"/>
        <v>Dynamic</v>
      </c>
      <c r="F123">
        <f ca="1">IF(AND(ISNUMBER($F$278),$B$165=1),$F$278,HLOOKUP(INDIRECT(ADDRESS(2,COLUMN())),OFFSET($R$2,0,0,ROW()-1,12),ROW()-1,FALSE))</f>
        <v>2829.701</v>
      </c>
      <c r="G123">
        <f ca="1">IF(AND(ISNUMBER($G$278),$B$165=1),$G$278,HLOOKUP(INDIRECT(ADDRESS(2,COLUMN())),OFFSET($R$2,0,0,ROW()-1,12),ROW()-1,FALSE))</f>
        <v>2765.0129999999999</v>
      </c>
      <c r="H123">
        <f ca="1">IF(AND(ISNUMBER($H$278),$B$165=1),$H$278,HLOOKUP(INDIRECT(ADDRESS(2,COLUMN())),OFFSET($R$2,0,0,ROW()-1,12),ROW()-1,FALSE))</f>
        <v>2492.0770000000002</v>
      </c>
      <c r="I123">
        <f ca="1">IF(AND(ISNUMBER($I$278),$B$165=1),$I$278,HLOOKUP(INDIRECT(ADDRESS(2,COLUMN())),OFFSET($R$2,0,0,ROW()-1,12),ROW()-1,FALSE))</f>
        <v>2429.3870000000002</v>
      </c>
      <c r="J123">
        <f ca="1">IF(AND(ISNUMBER($J$278),$B$165=1),$J$278,HLOOKUP(INDIRECT(ADDRESS(2,COLUMN())),OFFSET($R$2,0,0,ROW()-1,12),ROW()-1,FALSE))</f>
        <v>2409.645</v>
      </c>
      <c r="K123">
        <f ca="1">IF(AND(ISNUMBER($K$278),$B$165=1),$K$278,HLOOKUP(INDIRECT(ADDRESS(2,COLUMN())),OFFSET($R$2,0,0,ROW()-1,12),ROW()-1,FALSE))</f>
        <v>2125.2629999999999</v>
      </c>
      <c r="L123">
        <f ca="1">IF(AND(ISNUMBER($L$278),$B$165=1),$L$278,HLOOKUP(INDIRECT(ADDRESS(2,COLUMN())),OFFSET($R$2,0,0,ROW()-1,12),ROW()-1,FALSE))</f>
        <v>2171.6109999999999</v>
      </c>
      <c r="M123">
        <f ca="1">IF(AND(ISNUMBER($M$278),$B$165=1),$M$278,HLOOKUP(INDIRECT(ADDRESS(2,COLUMN())),OFFSET($R$2,0,0,ROW()-1,12),ROW()-1,FALSE))</f>
        <v>1969.653</v>
      </c>
      <c r="N123">
        <f ca="1">IF(AND(ISNUMBER($N$278),$B$165=1),$N$278,HLOOKUP(INDIRECT(ADDRESS(2,COLUMN())),OFFSET($R$2,0,0,ROW()-1,12),ROW()-1,FALSE))</f>
        <v>2031.13</v>
      </c>
      <c r="O123">
        <f ca="1">IF(AND(ISNUMBER($O$278),$B$165=1),$O$278,HLOOKUP(INDIRECT(ADDRESS(2,COLUMN())),OFFSET($R$2,0,0,ROW()-1,12),ROW()-1,FALSE))</f>
        <v>2020.827</v>
      </c>
      <c r="P123">
        <f ca="1">IF(AND(ISNUMBER($P$278),$B$165=1),$P$278,HLOOKUP(INDIRECT(ADDRESS(2,COLUMN())),OFFSET($R$2,0,0,ROW()-1,12),ROW()-1,FALSE))</f>
        <v>2031.6990000000001</v>
      </c>
      <c r="Q123">
        <f ca="1">IF(AND(ISNUMBER($Q$278),$B$165=1),$Q$278,HLOOKUP(INDIRECT(ADDRESS(2,COLUMN())),OFFSET($R$2,0,0,ROW()-1,12),ROW()-1,FALSE))</f>
        <v>1976.3340000000001</v>
      </c>
      <c r="R123">
        <f>2829.701</f>
        <v>2829.701</v>
      </c>
      <c r="S123">
        <f>2765.013</f>
        <v>2765.0129999999999</v>
      </c>
      <c r="T123">
        <f>2492.077</f>
        <v>2492.0770000000002</v>
      </c>
      <c r="U123">
        <f>2429.387</f>
        <v>2429.3870000000002</v>
      </c>
      <c r="V123">
        <f>2409.645</f>
        <v>2409.645</v>
      </c>
      <c r="W123">
        <f>2125.263</f>
        <v>2125.2629999999999</v>
      </c>
      <c r="X123">
        <f>2171.611</f>
        <v>2171.6109999999999</v>
      </c>
      <c r="Y123">
        <f>1969.653</f>
        <v>1969.653</v>
      </c>
      <c r="Z123">
        <f>2031.13</f>
        <v>2031.13</v>
      </c>
      <c r="AA123">
        <f>2020.827</f>
        <v>2020.827</v>
      </c>
      <c r="AB123">
        <f>2031.699</f>
        <v>2031.6990000000001</v>
      </c>
      <c r="AC123">
        <f>1976.334</f>
        <v>1976.3340000000001</v>
      </c>
    </row>
    <row r="124" spans="1:29" x14ac:dyDescent="0.25">
      <c r="A124" t="str">
        <f>"    HCL Technologies Ltd"</f>
        <v xml:space="preserve">    HCL Technologies Ltd</v>
      </c>
      <c r="B124" t="str">
        <f>"HCLT IN Equity"</f>
        <v>HCLT IN Equity</v>
      </c>
      <c r="C124" t="str">
        <f t="shared" si="18"/>
        <v>RR005</v>
      </c>
      <c r="D124" t="str">
        <f t="shared" si="19"/>
        <v>BS_TOT_LIAB2</v>
      </c>
      <c r="E124" t="str">
        <f t="shared" si="20"/>
        <v>Dynamic</v>
      </c>
      <c r="F124">
        <f ca="1">IF(AND(ISNUMBER($F$279),$B$165=1),$F$279,HLOOKUP(INDIRECT(ADDRESS(2,COLUMN())),OFFSET($R$2,0,0,ROW()-1,12),ROW()-1,FALSE))</f>
        <v>4097.4520000000002</v>
      </c>
      <c r="G124">
        <f ca="1">IF(AND(ISNUMBER($G$279),$B$165=1),$G$279,HLOOKUP(INDIRECT(ADDRESS(2,COLUMN())),OFFSET($R$2,0,0,ROW()-1,12),ROW()-1,FALSE))</f>
        <v>3970.8</v>
      </c>
      <c r="H124">
        <f ca="1">IF(AND(ISNUMBER($H$279),$B$165=1),$H$279,HLOOKUP(INDIRECT(ADDRESS(2,COLUMN())),OFFSET($R$2,0,0,ROW()-1,12),ROW()-1,FALSE))</f>
        <v>4091.1</v>
      </c>
      <c r="I124">
        <f ca="1">IF(AND(ISNUMBER($I$279),$B$165=1),$I$279,HLOOKUP(INDIRECT(ADDRESS(2,COLUMN())),OFFSET($R$2,0,0,ROW()-1,12),ROW()-1,FALSE))</f>
        <v>2412.1</v>
      </c>
      <c r="J124">
        <f ca="1">IF(AND(ISNUMBER($J$279),$B$165=1),$J$279,HLOOKUP(INDIRECT(ADDRESS(2,COLUMN())),OFFSET($R$2,0,0,ROW()-1,12),ROW()-1,FALSE))</f>
        <v>2412.0509999999999</v>
      </c>
      <c r="K124">
        <f ca="1">IF(AND(ISNUMBER($K$279),$B$165=1),$K$279,HLOOKUP(INDIRECT(ADDRESS(2,COLUMN())),OFFSET($R$2,0,0,ROW()-1,12),ROW()-1,FALSE))</f>
        <v>2273.6</v>
      </c>
      <c r="L124">
        <f ca="1">IF(AND(ISNUMBER($L$279),$B$165=1),$L$279,HLOOKUP(INDIRECT(ADDRESS(2,COLUMN())),OFFSET($R$2,0,0,ROW()-1,12),ROW()-1,FALSE))</f>
        <v>2230.5</v>
      </c>
      <c r="M124">
        <f ca="1">IF(AND(ISNUMBER($M$279),$B$165=1),$M$279,HLOOKUP(INDIRECT(ADDRESS(2,COLUMN())),OFFSET($R$2,0,0,ROW()-1,12),ROW()-1,FALSE))</f>
        <v>1852.2</v>
      </c>
      <c r="N124">
        <f ca="1">IF(AND(ISNUMBER($N$279),$B$165=1),$N$279,HLOOKUP(INDIRECT(ADDRESS(2,COLUMN())),OFFSET($R$2,0,0,ROW()-1,12),ROW()-1,FALSE))</f>
        <v>1786.459932</v>
      </c>
      <c r="O124">
        <f ca="1">IF(AND(ISNUMBER($O$279),$B$165=1),$O$279,HLOOKUP(INDIRECT(ADDRESS(2,COLUMN())),OFFSET($R$2,0,0,ROW()-1,12),ROW()-1,FALSE))</f>
        <v>1807.4</v>
      </c>
      <c r="P124">
        <f ca="1">IF(AND(ISNUMBER($P$279),$B$165=1),$P$279,HLOOKUP(INDIRECT(ADDRESS(2,COLUMN())),OFFSET($R$2,0,0,ROW()-1,12),ROW()-1,FALSE))</f>
        <v>1924.9</v>
      </c>
      <c r="Q124">
        <f ca="1">IF(AND(ISNUMBER($Q$279),$B$165=1),$Q$279,HLOOKUP(INDIRECT(ADDRESS(2,COLUMN())),OFFSET($R$2,0,0,ROW()-1,12),ROW()-1,FALSE))</f>
        <v>2020.7</v>
      </c>
      <c r="R124">
        <f>4097.452</f>
        <v>4097.4520000000002</v>
      </c>
      <c r="S124">
        <f>3970.8</f>
        <v>3970.8</v>
      </c>
      <c r="T124">
        <f>4091.1</f>
        <v>4091.1</v>
      </c>
      <c r="U124">
        <f>2412.1</f>
        <v>2412.1</v>
      </c>
      <c r="V124">
        <f>2412.051</f>
        <v>2412.0509999999999</v>
      </c>
      <c r="W124">
        <f>2273.6</f>
        <v>2273.6</v>
      </c>
      <c r="X124">
        <f>2230.5</f>
        <v>2230.5</v>
      </c>
      <c r="Y124">
        <f>1852.2</f>
        <v>1852.2</v>
      </c>
      <c r="Z124">
        <f>1786.459932</f>
        <v>1786.459932</v>
      </c>
      <c r="AA124">
        <f>1807.4</f>
        <v>1807.4</v>
      </c>
      <c r="AB124">
        <f>1924.9</f>
        <v>1924.9</v>
      </c>
      <c r="AC124">
        <f>2020.7</f>
        <v>2020.7</v>
      </c>
    </row>
    <row r="125" spans="1:29" x14ac:dyDescent="0.25">
      <c r="A125" t="str">
        <f>"    Indra Sistemas SA"</f>
        <v xml:space="preserve">    Indra Sistemas SA</v>
      </c>
      <c r="B125" t="str">
        <f>"IDR SM Equity"</f>
        <v>IDR SM Equity</v>
      </c>
      <c r="C125" t="str">
        <f t="shared" si="18"/>
        <v>RR005</v>
      </c>
      <c r="D125" t="str">
        <f t="shared" si="19"/>
        <v>BS_TOT_LIAB2</v>
      </c>
      <c r="E125" t="str">
        <f t="shared" si="20"/>
        <v>Dynamic</v>
      </c>
      <c r="F125">
        <f ca="1">IF(AND(ISNUMBER($F$280),$B$165=1),$F$280,HLOOKUP(INDIRECT(ADDRESS(2,COLUMN())),OFFSET($R$2,0,0,ROW()-1,12),ROW()-1,FALSE))</f>
        <v>3800.5738200000001</v>
      </c>
      <c r="G125">
        <f ca="1">IF(AND(ISNUMBER($G$280),$B$165=1),$G$280,HLOOKUP(INDIRECT(ADDRESS(2,COLUMN())),OFFSET($R$2,0,0,ROW()-1,12),ROW()-1,FALSE))</f>
        <v>3947.7986190000001</v>
      </c>
      <c r="H125">
        <f ca="1">IF(AND(ISNUMBER($H$280),$B$165=1),$H$280,HLOOKUP(INDIRECT(ADDRESS(2,COLUMN())),OFFSET($R$2,0,0,ROW()-1,12),ROW()-1,FALSE))</f>
        <v>3762.2982099999999</v>
      </c>
      <c r="I125">
        <f ca="1">IF(AND(ISNUMBER($I$280),$B$165=1),$I$280,HLOOKUP(INDIRECT(ADDRESS(2,COLUMN())),OFFSET($R$2,0,0,ROW()-1,12),ROW()-1,FALSE))</f>
        <v>3940.8153550000002</v>
      </c>
      <c r="J125">
        <f ca="1">IF(AND(ISNUMBER($J$280),$B$165=1),$J$280,HLOOKUP(INDIRECT(ADDRESS(2,COLUMN())),OFFSET($R$2,0,0,ROW()-1,12),ROW()-1,FALSE))</f>
        <v>3870.5717399999999</v>
      </c>
      <c r="K125">
        <f ca="1">IF(AND(ISNUMBER($K$280),$B$165=1),$K$280,HLOOKUP(INDIRECT(ADDRESS(2,COLUMN())),OFFSET($R$2,0,0,ROW()-1,12),ROW()-1,FALSE))</f>
        <v>3851.9638</v>
      </c>
      <c r="L125">
        <f ca="1">IF(AND(ISNUMBER($L$280),$B$165=1),$L$280,HLOOKUP(INDIRECT(ADDRESS(2,COLUMN())),OFFSET($R$2,0,0,ROW()-1,12),ROW()-1,FALSE))</f>
        <v>3921.8155200000001</v>
      </c>
      <c r="M125">
        <f ca="1">IF(AND(ISNUMBER($M$280),$B$165=1),$M$280,HLOOKUP(INDIRECT(ADDRESS(2,COLUMN())),OFFSET($R$2,0,0,ROW()-1,12),ROW()-1,FALSE))</f>
        <v>4037.6065010000002</v>
      </c>
      <c r="N125">
        <f ca="1">IF(AND(ISNUMBER($N$280),$B$165=1),$N$280,HLOOKUP(INDIRECT(ADDRESS(2,COLUMN())),OFFSET($R$2,0,0,ROW()-1,12),ROW()-1,FALSE))</f>
        <v>3948.3380999999999</v>
      </c>
      <c r="O125">
        <f ca="1">IF(AND(ISNUMBER($O$280),$B$165=1),$O$280,HLOOKUP(INDIRECT(ADDRESS(2,COLUMN())),OFFSET($R$2,0,0,ROW()-1,12),ROW()-1,FALSE))</f>
        <v>3868.2744590000002</v>
      </c>
      <c r="P125">
        <f ca="1">IF(AND(ISNUMBER($P$280),$B$165=1),$P$280,HLOOKUP(INDIRECT(ADDRESS(2,COLUMN())),OFFSET($R$2,0,0,ROW()-1,12),ROW()-1,FALSE))</f>
        <v>3722.0760500000001</v>
      </c>
      <c r="Q125">
        <f ca="1">IF(AND(ISNUMBER($Q$280),$B$165=1),$Q$280,HLOOKUP(INDIRECT(ADDRESS(2,COLUMN())),OFFSET($R$2,0,0,ROW()-1,12),ROW()-1,FALSE))</f>
        <v>3575.6312699999999</v>
      </c>
      <c r="R125">
        <f>3800.57382</f>
        <v>3800.5738200000001</v>
      </c>
      <c r="S125">
        <f>3947.798619</f>
        <v>3947.7986190000001</v>
      </c>
      <c r="T125">
        <f>3762.29821</f>
        <v>3762.2982099999999</v>
      </c>
      <c r="U125">
        <f>3940.815355</f>
        <v>3940.8153550000002</v>
      </c>
      <c r="V125">
        <f>3870.57174</f>
        <v>3870.5717399999999</v>
      </c>
      <c r="W125">
        <f>3851.9638</f>
        <v>3851.9638</v>
      </c>
      <c r="X125">
        <f>3921.81552</f>
        <v>3921.8155200000001</v>
      </c>
      <c r="Y125">
        <f>4037.606501</f>
        <v>4037.6065010000002</v>
      </c>
      <c r="Z125">
        <f>3948.3381</f>
        <v>3948.3380999999999</v>
      </c>
      <c r="AA125">
        <f>3868.274459</f>
        <v>3868.2744590000002</v>
      </c>
      <c r="AB125">
        <f>3722.07605</f>
        <v>3722.0760500000001</v>
      </c>
      <c r="AC125">
        <f>3575.63127</f>
        <v>3575.6312699999999</v>
      </c>
    </row>
    <row r="126" spans="1:29" x14ac:dyDescent="0.25">
      <c r="A126" t="str">
        <f>"    Infosys Ltd"</f>
        <v xml:space="preserve">    Infosys Ltd</v>
      </c>
      <c r="B126" t="str">
        <f>"INFY US Equity"</f>
        <v>INFY US Equity</v>
      </c>
      <c r="C126" t="str">
        <f t="shared" si="18"/>
        <v>RR005</v>
      </c>
      <c r="D126" t="str">
        <f t="shared" si="19"/>
        <v>BS_TOT_LIAB2</v>
      </c>
      <c r="E126" t="str">
        <f t="shared" si="20"/>
        <v>Dynamic</v>
      </c>
      <c r="F126">
        <f ca="1">IF(AND(ISNUMBER($F$281),$B$165=1),$F$281,HLOOKUP(INDIRECT(ADDRESS(2,COLUMN())),OFFSET($R$2,0,0,ROW()-1,12),ROW()-1,FALSE))</f>
        <v>3572.0682409999999</v>
      </c>
      <c r="G126">
        <f ca="1">IF(AND(ISNUMBER($G$281),$B$165=1),$G$281,HLOOKUP(INDIRECT(ADDRESS(2,COLUMN())),OFFSET($R$2,0,0,ROW()-1,12),ROW()-1,FALSE))</f>
        <v>3540.6355960000001</v>
      </c>
      <c r="H126">
        <f ca="1">IF(AND(ISNUMBER($H$281),$B$165=1),$H$281,HLOOKUP(INDIRECT(ADDRESS(2,COLUMN())),OFFSET($R$2,0,0,ROW()-1,12),ROW()-1,FALSE))</f>
        <v>3442.8352089999998</v>
      </c>
      <c r="I126">
        <f ca="1">IF(AND(ISNUMBER($I$281),$B$165=1),$I$281,HLOOKUP(INDIRECT(ADDRESS(2,COLUMN())),OFFSET($R$2,0,0,ROW()-1,12),ROW()-1,FALSE))</f>
        <v>4185.0133980000001</v>
      </c>
      <c r="J126">
        <f ca="1">IF(AND(ISNUMBER($J$281),$B$165=1),$J$281,HLOOKUP(INDIRECT(ADDRESS(2,COLUMN())),OFFSET($R$2,0,0,ROW()-1,12),ROW()-1,FALSE))</f>
        <v>2846.3734420000001</v>
      </c>
      <c r="K126">
        <f ca="1">IF(AND(ISNUMBER($K$281),$B$165=1),$K$281,HLOOKUP(INDIRECT(ADDRESS(2,COLUMN())),OFFSET($R$2,0,0,ROW()-1,12),ROW()-1,FALSE))</f>
        <v>2555.8903719999998</v>
      </c>
      <c r="L126">
        <f ca="1">IF(AND(ISNUMBER($L$281),$B$165=1),$L$281,HLOOKUP(INDIRECT(ADDRESS(2,COLUMN())),OFFSET($R$2,0,0,ROW()-1,12),ROW()-1,FALSE))</f>
        <v>2298.5685640000002</v>
      </c>
      <c r="M126">
        <f ca="1">IF(AND(ISNUMBER($M$281),$B$165=1),$M$281,HLOOKUP(INDIRECT(ADDRESS(2,COLUMN())),OFFSET($R$2,0,0,ROW()-1,12),ROW()-1,FALSE))</f>
        <v>2543.5560420000002</v>
      </c>
      <c r="N126">
        <f ca="1">IF(AND(ISNUMBER($N$281),$B$165=1),$N$281,HLOOKUP(INDIRECT(ADDRESS(2,COLUMN())),OFFSET($R$2,0,0,ROW()-1,12),ROW()-1,FALSE))</f>
        <v>2297.5130490000001</v>
      </c>
      <c r="O126">
        <f ca="1">IF(AND(ISNUMBER($O$281),$B$165=1),$O$281,HLOOKUP(INDIRECT(ADDRESS(2,COLUMN())),OFFSET($R$2,0,0,ROW()-1,12),ROW()-1,FALSE))</f>
        <v>2346.225226</v>
      </c>
      <c r="P126">
        <f ca="1">IF(AND(ISNUMBER($P$281),$B$165=1),$P$281,HLOOKUP(INDIRECT(ADDRESS(2,COLUMN())),OFFSET($R$2,0,0,ROW()-1,12),ROW()-1,FALSE))</f>
        <v>2464.8814080000002</v>
      </c>
      <c r="Q126">
        <f ca="1">IF(AND(ISNUMBER($Q$281),$B$165=1),$Q$281,HLOOKUP(INDIRECT(ADDRESS(2,COLUMN())),OFFSET($R$2,0,0,ROW()-1,12),ROW()-1,FALSE))</f>
        <v>2570.5703659999999</v>
      </c>
      <c r="R126">
        <f>3572.068241</f>
        <v>3572.0682409999999</v>
      </c>
      <c r="S126">
        <f>3540.635596</f>
        <v>3540.6355960000001</v>
      </c>
      <c r="T126">
        <f>3442.835209</f>
        <v>3442.8352089999998</v>
      </c>
      <c r="U126">
        <f>4185.013398</f>
        <v>4185.0133980000001</v>
      </c>
      <c r="V126">
        <f>2846.373442</f>
        <v>2846.3734420000001</v>
      </c>
      <c r="W126">
        <f>2555.890372</f>
        <v>2555.8903719999998</v>
      </c>
      <c r="X126">
        <f>2298.568564</f>
        <v>2298.5685640000002</v>
      </c>
      <c r="Y126">
        <f>2543.556042</f>
        <v>2543.5560420000002</v>
      </c>
      <c r="Z126">
        <f>2297.513049</f>
        <v>2297.5130490000001</v>
      </c>
      <c r="AA126">
        <f>2346.225226</f>
        <v>2346.225226</v>
      </c>
      <c r="AB126">
        <f>2464.881408</f>
        <v>2464.8814080000002</v>
      </c>
      <c r="AC126">
        <f>2570.570366</f>
        <v>2570.5703659999999</v>
      </c>
    </row>
    <row r="127" spans="1:29" x14ac:dyDescent="0.25">
      <c r="A127" t="str">
        <f>"    International Business Machines Corp"</f>
        <v xml:space="preserve">    International Business Machines Corp</v>
      </c>
      <c r="B127" t="str">
        <f>"IBM US Equity"</f>
        <v>IBM US Equity</v>
      </c>
      <c r="C127" t="str">
        <f t="shared" si="18"/>
        <v>RR005</v>
      </c>
      <c r="D127" t="str">
        <f t="shared" si="19"/>
        <v>BS_TOT_LIAB2</v>
      </c>
      <c r="E127" t="str">
        <f t="shared" si="20"/>
        <v>Dynamic</v>
      </c>
      <c r="F127">
        <f ca="1">IF(AND(ISNUMBER($F$282),$B$165=1),$F$282,HLOOKUP(INDIRECT(ADDRESS(2,COLUMN())),OFFSET($R$2,0,0,ROW()-1,12),ROW()-1,FALSE))</f>
        <v>133275</v>
      </c>
      <c r="G127">
        <f ca="1">IF(AND(ISNUMBER($G$282),$B$165=1),$G$282,HLOOKUP(INDIRECT(ADDRESS(2,COLUMN())),OFFSET($R$2,0,0,ROW()-1,12),ROW()-1,FALSE))</f>
        <v>131202</v>
      </c>
      <c r="H127">
        <f ca="1">IF(AND(ISNUMBER($H$282),$B$165=1),$H$282,HLOOKUP(INDIRECT(ADDRESS(2,COLUMN())),OFFSET($R$2,0,0,ROW()-1,12),ROW()-1,FALSE))</f>
        <v>131524</v>
      </c>
      <c r="I127">
        <f ca="1">IF(AND(ISNUMBER($I$282),$B$165=1),$I$282,HLOOKUP(INDIRECT(ADDRESS(2,COLUMN())),OFFSET($R$2,0,0,ROW()-1,12),ROW()-1,FALSE))</f>
        <v>136876</v>
      </c>
      <c r="J127">
        <f ca="1">IF(AND(ISNUMBER($J$282),$B$165=1),$J$282,HLOOKUP(INDIRECT(ADDRESS(2,COLUMN())),OFFSET($R$2,0,0,ROW()-1,12),ROW()-1,FALSE))</f>
        <v>114320</v>
      </c>
      <c r="K127">
        <f ca="1">IF(AND(ISNUMBER($K$282),$B$165=1),$K$282,HLOOKUP(INDIRECT(ADDRESS(2,COLUMN())),OFFSET($R$2,0,0,ROW()-1,12),ROW()-1,FALSE))</f>
        <v>106452</v>
      </c>
      <c r="L127">
        <f ca="1">IF(AND(ISNUMBER($L$282),$B$165=1),$L$282,HLOOKUP(INDIRECT(ADDRESS(2,COLUMN())),OFFSET($R$2,0,0,ROW()-1,12),ROW()-1,FALSE))</f>
        <v>102071</v>
      </c>
      <c r="M127">
        <f ca="1">IF(AND(ISNUMBER($M$282),$B$165=1),$M$282,HLOOKUP(INDIRECT(ADDRESS(2,COLUMN())),OFFSET($R$2,0,0,ROW()-1,12),ROW()-1,FALSE))</f>
        <v>102974</v>
      </c>
      <c r="N127">
        <f ca="1">IF(AND(ISNUMBER($N$282),$B$165=1),$N$282,HLOOKUP(INDIRECT(ADDRESS(2,COLUMN())),OFFSET($R$2,0,0,ROW()-1,12),ROW()-1,FALSE))</f>
        <v>106995</v>
      </c>
      <c r="O127">
        <f ca="1">IF(AND(ISNUMBER($O$282),$B$165=1),$O$282,HLOOKUP(INDIRECT(ADDRESS(2,COLUMN())),OFFSET($R$2,0,0,ROW()-1,12),ROW()-1,FALSE))</f>
        <v>107631</v>
      </c>
      <c r="P127">
        <f ca="1">IF(AND(ISNUMBER($P$282),$B$165=1),$P$282,HLOOKUP(INDIRECT(ADDRESS(2,COLUMN())),OFFSET($R$2,0,0,ROW()-1,12),ROW()-1,FALSE))</f>
        <v>101879</v>
      </c>
      <c r="Q127">
        <f ca="1">IF(AND(ISNUMBER($Q$282),$B$165=1),$Q$282,HLOOKUP(INDIRECT(ADDRESS(2,COLUMN())),OFFSET($R$2,0,0,ROW()-1,12),ROW()-1,FALSE))</f>
        <v>101951</v>
      </c>
      <c r="R127">
        <f>133275</f>
        <v>133275</v>
      </c>
      <c r="S127">
        <f>131202</f>
        <v>131202</v>
      </c>
      <c r="T127">
        <f>131524</f>
        <v>131524</v>
      </c>
      <c r="U127">
        <f>136876</f>
        <v>136876</v>
      </c>
      <c r="V127">
        <f>114320</f>
        <v>114320</v>
      </c>
      <c r="W127">
        <f>106452</f>
        <v>106452</v>
      </c>
      <c r="X127">
        <f>102071</f>
        <v>102071</v>
      </c>
      <c r="Y127">
        <f>102974</f>
        <v>102974</v>
      </c>
      <c r="Z127">
        <f>106995</f>
        <v>106995</v>
      </c>
      <c r="AA127">
        <f>107631</f>
        <v>107631</v>
      </c>
      <c r="AB127">
        <f>101879</f>
        <v>101879</v>
      </c>
      <c r="AC127">
        <f>101951</f>
        <v>101951</v>
      </c>
    </row>
    <row r="128" spans="1:29" x14ac:dyDescent="0.25">
      <c r="A128" t="str">
        <f>"    Tata Consultancy Services Ltd"</f>
        <v xml:space="preserve">    Tata Consultancy Services Ltd</v>
      </c>
      <c r="B128" t="str">
        <f>"TCS IN Equity"</f>
        <v>TCS IN Equity</v>
      </c>
      <c r="C128" t="str">
        <f t="shared" si="18"/>
        <v>RR005</v>
      </c>
      <c r="D128" t="str">
        <f t="shared" si="19"/>
        <v>BS_TOT_LIAB2</v>
      </c>
      <c r="E128" t="str">
        <f t="shared" si="20"/>
        <v>Dynamic</v>
      </c>
      <c r="F128">
        <f ca="1">IF(AND(ISNUMBER($F$283),$B$165=1),$F$283,HLOOKUP(INDIRECT(ADDRESS(2,COLUMN())),OFFSET($R$2,0,0,ROW()-1,12),ROW()-1,FALSE))</f>
        <v>4796.1026190000002</v>
      </c>
      <c r="G128">
        <f ca="1">IF(AND(ISNUMBER($G$283),$B$165=1),$G$283,HLOOKUP(INDIRECT(ADDRESS(2,COLUMN())),OFFSET($R$2,0,0,ROW()-1,12),ROW()-1,FALSE))</f>
        <v>4671.9878689999996</v>
      </c>
      <c r="H128">
        <f ca="1">IF(AND(ISNUMBER($H$283),$B$165=1),$H$283,HLOOKUP(INDIRECT(ADDRESS(2,COLUMN())),OFFSET($R$2,0,0,ROW()-1,12),ROW()-1,FALSE))</f>
        <v>4496.4871190000003</v>
      </c>
      <c r="I128">
        <f ca="1">IF(AND(ISNUMBER($I$283),$B$165=1),$I$283,HLOOKUP(INDIRECT(ADDRESS(2,COLUMN())),OFFSET($R$2,0,0,ROW()-1,12),ROW()-1,FALSE))</f>
        <v>4684.3830200000002</v>
      </c>
      <c r="J128">
        <f ca="1">IF(AND(ISNUMBER($J$283),$B$165=1),$J$283,HLOOKUP(INDIRECT(ADDRESS(2,COLUMN())),OFFSET($R$2,0,0,ROW()-1,12),ROW()-1,FALSE))</f>
        <v>3612.638175</v>
      </c>
      <c r="K128">
        <f ca="1">IF(AND(ISNUMBER($K$283),$B$165=1),$K$283,HLOOKUP(INDIRECT(ADDRESS(2,COLUMN())),OFFSET($R$2,0,0,ROW()-1,12),ROW()-1,FALSE))</f>
        <v>3440.5223129999999</v>
      </c>
      <c r="L128">
        <f ca="1">IF(AND(ISNUMBER($L$283),$B$165=1),$L$283,HLOOKUP(INDIRECT(ADDRESS(2,COLUMN())),OFFSET($R$2,0,0,ROW()-1,12),ROW()-1,FALSE))</f>
        <v>3499.8173660000002</v>
      </c>
      <c r="M128">
        <f ca="1">IF(AND(ISNUMBER($M$283),$B$165=1),$M$283,HLOOKUP(INDIRECT(ADDRESS(2,COLUMN())),OFFSET($R$2,0,0,ROW()-1,12),ROW()-1,FALSE))</f>
        <v>3427.0901789999998</v>
      </c>
      <c r="N128">
        <f ca="1">IF(AND(ISNUMBER($N$283),$B$165=1),$N$283,HLOOKUP(INDIRECT(ADDRESS(2,COLUMN())),OFFSET($R$2,0,0,ROW()-1,12),ROW()-1,FALSE))</f>
        <v>3187.9029780000001</v>
      </c>
      <c r="O128">
        <f ca="1">IF(AND(ISNUMBER($O$283),$B$165=1),$O$283,HLOOKUP(INDIRECT(ADDRESS(2,COLUMN())),OFFSET($R$2,0,0,ROW()-1,12),ROW()-1,FALSE))</f>
        <v>2884.8186810000002</v>
      </c>
      <c r="P128">
        <f ca="1">IF(AND(ISNUMBER($P$283),$B$165=1),$P$283,HLOOKUP(INDIRECT(ADDRESS(2,COLUMN())),OFFSET($R$2,0,0,ROW()-1,12),ROW()-1,FALSE))</f>
        <v>2838.4085690000002</v>
      </c>
      <c r="Q128">
        <f ca="1">IF(AND(ISNUMBER($Q$283),$B$165=1),$Q$283,HLOOKUP(INDIRECT(ADDRESS(2,COLUMN())),OFFSET($R$2,0,0,ROW()-1,12),ROW()-1,FALSE))</f>
        <v>2671.468077</v>
      </c>
      <c r="R128">
        <f>4796.102619</f>
        <v>4796.1026190000002</v>
      </c>
      <c r="S128">
        <f>4671.987869</f>
        <v>4671.9878689999996</v>
      </c>
      <c r="T128">
        <f>4496.487119</f>
        <v>4496.4871190000003</v>
      </c>
      <c r="U128">
        <f>4684.38302</f>
        <v>4684.3830200000002</v>
      </c>
      <c r="V128">
        <f>3612.638175</f>
        <v>3612.638175</v>
      </c>
      <c r="W128">
        <f>3440.522313</f>
        <v>3440.5223129999999</v>
      </c>
      <c r="X128">
        <f>3499.817366</f>
        <v>3499.8173660000002</v>
      </c>
      <c r="Y128">
        <f>3427.090179</f>
        <v>3427.0901789999998</v>
      </c>
      <c r="Z128">
        <f>3187.902978</f>
        <v>3187.9029780000001</v>
      </c>
      <c r="AA128">
        <f>2884.818681</f>
        <v>2884.8186810000002</v>
      </c>
      <c r="AB128">
        <f>2838.408569</f>
        <v>2838.4085690000002</v>
      </c>
      <c r="AC128">
        <f>2671.468077</f>
        <v>2671.468077</v>
      </c>
    </row>
    <row r="129" spans="1:29" x14ac:dyDescent="0.25">
      <c r="A129" t="str">
        <f>"    Tech Mahindra Ltd"</f>
        <v xml:space="preserve">    Tech Mahindra Ltd</v>
      </c>
      <c r="B129" t="str">
        <f>"TECHM IN Equity"</f>
        <v>TECHM IN Equity</v>
      </c>
      <c r="C129" t="str">
        <f t="shared" si="18"/>
        <v>RR005</v>
      </c>
      <c r="D129" t="str">
        <f t="shared" si="19"/>
        <v>BS_TOT_LIAB2</v>
      </c>
      <c r="E129" t="str">
        <f t="shared" si="20"/>
        <v>Dynamic</v>
      </c>
      <c r="F129">
        <f ca="1">IF(AND(ISNUMBER($F$284),$B$165=1),$F$284,HLOOKUP(INDIRECT(ADDRESS(2,COLUMN())),OFFSET($R$2,0,0,ROW()-1,12),ROW()-1,FALSE))</f>
        <v>2009.6049680000001</v>
      </c>
      <c r="G129">
        <f ca="1">IF(AND(ISNUMBER($G$284),$B$165=1),$G$284,HLOOKUP(INDIRECT(ADDRESS(2,COLUMN())),OFFSET($R$2,0,0,ROW()-1,12),ROW()-1,FALSE))</f>
        <v>1844.618074</v>
      </c>
      <c r="H129">
        <f ca="1">IF(AND(ISNUMBER($H$284),$B$165=1),$H$284,HLOOKUP(INDIRECT(ADDRESS(2,COLUMN())),OFFSET($R$2,0,0,ROW()-1,12),ROW()-1,FALSE))</f>
        <v>1755.647849</v>
      </c>
      <c r="I129">
        <f ca="1">IF(AND(ISNUMBER($I$284),$B$165=1),$I$284,HLOOKUP(INDIRECT(ADDRESS(2,COLUMN())),OFFSET($R$2,0,0,ROW()-1,12),ROW()-1,FALSE))</f>
        <v>1739.582079</v>
      </c>
      <c r="J129">
        <f ca="1">IF(AND(ISNUMBER($J$284),$B$165=1),$J$284,HLOOKUP(INDIRECT(ADDRESS(2,COLUMN())),OFFSET($R$2,0,0,ROW()-1,12),ROW()-1,FALSE))</f>
        <v>1829.803255</v>
      </c>
      <c r="K129">
        <f ca="1">IF(AND(ISNUMBER($K$284),$B$165=1),$K$284,HLOOKUP(INDIRECT(ADDRESS(2,COLUMN())),OFFSET($R$2,0,0,ROW()-1,12),ROW()-1,FALSE))</f>
        <v>1623.1740569999999</v>
      </c>
      <c r="L129">
        <f ca="1">IF(AND(ISNUMBER($L$284),$B$165=1),$L$284,HLOOKUP(INDIRECT(ADDRESS(2,COLUMN())),OFFSET($R$2,0,0,ROW()-1,12),ROW()-1,FALSE))</f>
        <v>1705.937326</v>
      </c>
      <c r="M129">
        <f ca="1">IF(AND(ISNUMBER($M$284),$B$165=1),$M$284,HLOOKUP(INDIRECT(ADDRESS(2,COLUMN())),OFFSET($R$2,0,0,ROW()-1,12),ROW()-1,FALSE))</f>
        <v>1657.0719240000001</v>
      </c>
      <c r="N129">
        <f ca="1">IF(AND(ISNUMBER($N$284),$B$165=1),$N$284,HLOOKUP(INDIRECT(ADDRESS(2,COLUMN())),OFFSET($R$2,0,0,ROW()-1,12),ROW()-1,FALSE))</f>
        <v>1701.7654279999999</v>
      </c>
      <c r="O129">
        <f ca="1">IF(AND(ISNUMBER($O$284),$B$165=1),$O$284,HLOOKUP(INDIRECT(ADDRESS(2,COLUMN())),OFFSET($R$2,0,0,ROW()-1,12),ROW()-1,FALSE))</f>
        <v>1669.8276470000001</v>
      </c>
      <c r="P129">
        <f ca="1">IF(AND(ISNUMBER($P$284),$B$165=1),$P$284,HLOOKUP(INDIRECT(ADDRESS(2,COLUMN())),OFFSET($R$2,0,0,ROW()-1,12),ROW()-1,FALSE))</f>
        <v>1539.061974</v>
      </c>
      <c r="Q129">
        <f ca="1">IF(AND(ISNUMBER($Q$284),$B$165=1),$Q$284,HLOOKUP(INDIRECT(ADDRESS(2,COLUMN())),OFFSET($R$2,0,0,ROW()-1,12),ROW()-1,FALSE))</f>
        <v>1592.001845</v>
      </c>
      <c r="R129">
        <f>2009.604968</f>
        <v>2009.6049680000001</v>
      </c>
      <c r="S129">
        <f>1844.618074</f>
        <v>1844.618074</v>
      </c>
      <c r="T129">
        <f>1755.647849</f>
        <v>1755.647849</v>
      </c>
      <c r="U129">
        <f>1739.582079</f>
        <v>1739.582079</v>
      </c>
      <c r="V129">
        <f>1829.803255</f>
        <v>1829.803255</v>
      </c>
      <c r="W129">
        <f>1623.174057</f>
        <v>1623.1740569999999</v>
      </c>
      <c r="X129">
        <f>1705.937326</f>
        <v>1705.937326</v>
      </c>
      <c r="Y129">
        <f>1657.071924</f>
        <v>1657.0719240000001</v>
      </c>
      <c r="Z129">
        <f>1701.765428</f>
        <v>1701.7654279999999</v>
      </c>
      <c r="AA129">
        <f>1669.827647</f>
        <v>1669.8276470000001</v>
      </c>
      <c r="AB129">
        <f>1539.061974</f>
        <v>1539.061974</v>
      </c>
      <c r="AC129">
        <f>1592.001845</f>
        <v>1592.001845</v>
      </c>
    </row>
    <row r="130" spans="1:29" x14ac:dyDescent="0.25">
      <c r="A130" t="str">
        <f>"    Wipro Ltd"</f>
        <v xml:space="preserve">    Wipro Ltd</v>
      </c>
      <c r="B130" t="str">
        <f>"WIT US Equity"</f>
        <v>WIT US Equity</v>
      </c>
      <c r="C130" t="str">
        <f t="shared" si="18"/>
        <v>RR005</v>
      </c>
      <c r="D130" t="str">
        <f t="shared" si="19"/>
        <v>BS_TOT_LIAB2</v>
      </c>
      <c r="E130" t="str">
        <f t="shared" si="20"/>
        <v>Dynamic</v>
      </c>
      <c r="F130">
        <f ca="1">IF(AND(ISNUMBER($F$285),$B$165=1),$F$285,HLOOKUP(INDIRECT(ADDRESS(2,COLUMN())),OFFSET($R$2,0,0,ROW()-1,12),ROW()-1,FALSE))</f>
        <v>3419.349189</v>
      </c>
      <c r="G130">
        <f ca="1">IF(AND(ISNUMBER($G$285),$B$165=1),$G$285,HLOOKUP(INDIRECT(ADDRESS(2,COLUMN())),OFFSET($R$2,0,0,ROW()-1,12),ROW()-1,FALSE))</f>
        <v>3790.970804</v>
      </c>
      <c r="H130">
        <f ca="1">IF(AND(ISNUMBER($H$285),$B$165=1),$H$285,HLOOKUP(INDIRECT(ADDRESS(2,COLUMN())),OFFSET($R$2,0,0,ROW()-1,12),ROW()-1,FALSE))</f>
        <v>3767.138117</v>
      </c>
      <c r="I130">
        <f ca="1">IF(AND(ISNUMBER($I$285),$B$165=1),$I$285,HLOOKUP(INDIRECT(ADDRESS(2,COLUMN())),OFFSET($R$2,0,0,ROW()-1,12),ROW()-1,FALSE))</f>
        <v>4069.2675859999999</v>
      </c>
      <c r="J130">
        <f ca="1">IF(AND(ISNUMBER($J$285),$B$165=1),$J$285,HLOOKUP(INDIRECT(ADDRESS(2,COLUMN())),OFFSET($R$2,0,0,ROW()-1,12),ROW()-1,FALSE))</f>
        <v>3785.4227940000001</v>
      </c>
      <c r="K130">
        <f ca="1">IF(AND(ISNUMBER($K$285),$B$165=1),$K$285,HLOOKUP(INDIRECT(ADDRESS(2,COLUMN())),OFFSET($R$2,0,0,ROW()-1,12),ROW()-1,FALSE))</f>
        <v>3716.5016500000002</v>
      </c>
      <c r="L130">
        <f ca="1">IF(AND(ISNUMBER($L$285),$B$165=1),$L$285,HLOOKUP(INDIRECT(ADDRESS(2,COLUMN())),OFFSET($R$2,0,0,ROW()-1,12),ROW()-1,FALSE))</f>
        <v>3840.1367340000002</v>
      </c>
      <c r="M130">
        <f ca="1">IF(AND(ISNUMBER($M$285),$B$165=1),$M$285,HLOOKUP(INDIRECT(ADDRESS(2,COLUMN())),OFFSET($R$2,0,0,ROW()-1,12),ROW()-1,FALSE))</f>
        <v>3817.597663</v>
      </c>
      <c r="N130">
        <f ca="1">IF(AND(ISNUMBER($N$285),$B$165=1),$N$285,HLOOKUP(INDIRECT(ADDRESS(2,COLUMN())),OFFSET($R$2,0,0,ROW()-1,12),ROW()-1,FALSE))</f>
        <v>4226.1897449999997</v>
      </c>
      <c r="O130">
        <f ca="1">IF(AND(ISNUMBER($O$285),$B$165=1),$O$285,HLOOKUP(INDIRECT(ADDRESS(2,COLUMN())),OFFSET($R$2,0,0,ROW()-1,12),ROW()-1,FALSE))</f>
        <v>4207.3717919999999</v>
      </c>
      <c r="P130">
        <f ca="1">IF(AND(ISNUMBER($P$285),$B$165=1),$P$285,HLOOKUP(INDIRECT(ADDRESS(2,COLUMN())),OFFSET($R$2,0,0,ROW()-1,12),ROW()-1,FALSE))</f>
        <v>4259.1430760000003</v>
      </c>
      <c r="Q130">
        <f ca="1">IF(AND(ISNUMBER($Q$285),$B$165=1),$Q$285,HLOOKUP(INDIRECT(ADDRESS(2,COLUMN())),OFFSET($R$2,0,0,ROW()-1,12),ROW()-1,FALSE))</f>
        <v>4448.1653480000004</v>
      </c>
      <c r="R130">
        <f>3419.349189</f>
        <v>3419.349189</v>
      </c>
      <c r="S130">
        <f>3790.970804</f>
        <v>3790.970804</v>
      </c>
      <c r="T130">
        <f>3767.138117</f>
        <v>3767.138117</v>
      </c>
      <c r="U130">
        <f>4069.267586</f>
        <v>4069.2675859999999</v>
      </c>
      <c r="V130">
        <f>3785.422794</f>
        <v>3785.4227940000001</v>
      </c>
      <c r="W130">
        <f>3716.50165</f>
        <v>3716.5016500000002</v>
      </c>
      <c r="X130">
        <f>3840.136734</f>
        <v>3840.1367340000002</v>
      </c>
      <c r="Y130">
        <f>3817.597663</f>
        <v>3817.597663</v>
      </c>
      <c r="Z130">
        <f>4226.189745</f>
        <v>4226.1897449999997</v>
      </c>
      <c r="AA130">
        <f>4207.371792</f>
        <v>4207.3717919999999</v>
      </c>
      <c r="AB130">
        <f>4259.143076</f>
        <v>4259.1430760000003</v>
      </c>
      <c r="AC130">
        <f>4448.165348</f>
        <v>4448.1653480000004</v>
      </c>
    </row>
    <row r="131" spans="1:29" x14ac:dyDescent="0.25">
      <c r="A131" t="str">
        <f>"Total Shareholders Equity"</f>
        <v>Total Shareholders Equity</v>
      </c>
      <c r="B131" t="str">
        <f>""</f>
        <v/>
      </c>
      <c r="E131" t="str">
        <f>"Sum"</f>
        <v>Sum</v>
      </c>
      <c r="F131">
        <f ca="1">IF(ISERROR(IF(SUM($F$132:$F$148) = 0, "", SUM($F$132:$F$148))), "", (IF(SUM($F$132:$F$148) = 0, "", SUM($F$132:$F$148))))</f>
        <v>103093.18711900001</v>
      </c>
      <c r="G131">
        <f ca="1">IF(ISERROR(IF(SUM($G$132:$G$148) = 0, "", SUM($G$132:$G$148))), "", (IF(SUM($G$132:$G$148) = 0, "", SUM($G$132:$G$148))))</f>
        <v>119168.74426470003</v>
      </c>
      <c r="H131">
        <f ca="1">IF(ISERROR(IF(SUM($H$132:$H$148) = 0, "", SUM($H$132:$H$148))), "", (IF(SUM($H$132:$H$148) = 0, "", SUM($H$132:$H$148))))</f>
        <v>106484.60860499999</v>
      </c>
      <c r="I131">
        <f ca="1">IF(ISERROR(IF(SUM($I$132:$I$148) = 0, "", SUM($I$132:$I$148))), "", (IF(SUM($I$132:$I$148) = 0, "", SUM($I$132:$I$148))))</f>
        <v>107662.5753392</v>
      </c>
      <c r="J131">
        <f ca="1">IF(ISERROR(IF(SUM($J$132:$J$148) = 0, "", SUM($J$132:$J$148))), "", (IF(SUM($J$132:$J$148) = 0, "", SUM($J$132:$J$148))))</f>
        <v>108589.89112999999</v>
      </c>
      <c r="K131">
        <f ca="1">IF(ISERROR(IF(SUM($K$132:$K$148) = 0, "", SUM($K$132:$K$148))), "", (IF(SUM($K$132:$K$148) = 0, "", SUM($K$132:$K$148))))</f>
        <v>106461.90871340001</v>
      </c>
      <c r="L131">
        <f ca="1">IF(ISERROR(IF(SUM($L$132:$L$148) = 0, "", SUM($L$132:$L$148))), "", (IF(SUM($L$132:$L$148) = 0, "", SUM($L$132:$L$148))))</f>
        <v>104361.77810799998</v>
      </c>
      <c r="M131">
        <f ca="1">IF(ISERROR(IF(SUM($M$132:$M$148) = 0, "", SUM($M$132:$M$148))), "", (IF(SUM($M$132:$M$148) = 0, "", SUM($M$132:$M$148))))</f>
        <v>104473.9694403</v>
      </c>
      <c r="N131">
        <f ca="1">IF(ISERROR(IF(SUM($N$132:$N$148) = 0, "", SUM($N$132:$N$148))), "", (IF(SUM($N$132:$N$148) = 0, "", SUM($N$132:$N$148))))</f>
        <v>108711.15026600001</v>
      </c>
      <c r="O131">
        <f ca="1">IF(ISERROR(IF(SUM($O$132:$O$148) = 0, "", SUM($O$132:$O$148))), "", (IF(SUM($O$132:$O$148) = 0, "", SUM($O$132:$O$148))))</f>
        <v>105275.002379</v>
      </c>
      <c r="P131">
        <f ca="1">IF(ISERROR(IF(SUM($P$132:$P$148) = 0, "", SUM($P$132:$P$148))), "", (IF(SUM($P$132:$P$148) = 0, "", SUM($P$132:$P$148))))</f>
        <v>107295.88554599999</v>
      </c>
      <c r="Q131">
        <f ca="1">IF(ISERROR(IF(SUM($Q$132:$Q$148) = 0, "", SUM($Q$132:$Q$148))), "", (IF(SUM($Q$132:$Q$148) = 0, "", SUM($Q$132:$Q$148))))</f>
        <v>103605.56764539999</v>
      </c>
      <c r="R131">
        <f>103093.1871</f>
        <v>103093.1871</v>
      </c>
      <c r="S131">
        <f>119168.7443</f>
        <v>119168.74430000001</v>
      </c>
      <c r="T131">
        <f>106484.6086</f>
        <v>106484.60860000001</v>
      </c>
      <c r="U131">
        <f>107662.5753</f>
        <v>107662.5753</v>
      </c>
      <c r="V131">
        <f>108589.8911</f>
        <v>108589.89109999999</v>
      </c>
      <c r="W131">
        <f>106461.9087</f>
        <v>106461.9087</v>
      </c>
      <c r="X131">
        <f>104361.7781</f>
        <v>104361.7781</v>
      </c>
      <c r="Y131">
        <f>104473.9694</f>
        <v>104473.9694</v>
      </c>
      <c r="Z131">
        <f>108711.1503</f>
        <v>108711.15029999999</v>
      </c>
      <c r="AA131">
        <f>105275.0024</f>
        <v>105275.0024</v>
      </c>
      <c r="AB131">
        <f>107295.8855</f>
        <v>107295.8855</v>
      </c>
      <c r="AC131">
        <f>103605.5676</f>
        <v>103605.56759999999</v>
      </c>
    </row>
    <row r="132" spans="1:29" x14ac:dyDescent="0.25">
      <c r="A132" t="str">
        <f>"    Accenture PLC"</f>
        <v xml:space="preserve">    Accenture PLC</v>
      </c>
      <c r="B132" t="str">
        <f>"ACN US Equity"</f>
        <v>ACN US Equity</v>
      </c>
      <c r="C132" t="str">
        <f t="shared" ref="C132:C148" si="21">"RR007"</f>
        <v>RR007</v>
      </c>
      <c r="D132" t="str">
        <f t="shared" ref="D132:D148" si="22">"TOTAL_EQUITY"</f>
        <v>TOTAL_EQUITY</v>
      </c>
      <c r="E132" t="str">
        <f t="shared" ref="E132:E148" si="23">"Dynamic"</f>
        <v>Dynamic</v>
      </c>
      <c r="F132">
        <f ca="1">IF(AND(ISNUMBER($F$286),$B$165=1),$F$286,HLOOKUP(INDIRECT(ADDRESS(2,COLUMN())),OFFSET($R$2,0,0,ROW()-1,12),ROW()-1,FALSE))</f>
        <v>15920.806</v>
      </c>
      <c r="G132">
        <f ca="1">IF(AND(ISNUMBER($G$286),$B$165=1),$G$286,HLOOKUP(INDIRECT(ADDRESS(2,COLUMN())),OFFSET($R$2,0,0,ROW()-1,12),ROW()-1,FALSE))</f>
        <v>15601.208000000001</v>
      </c>
      <c r="H132">
        <f ca="1">IF(AND(ISNUMBER($H$286),$B$165=1),$H$286,HLOOKUP(INDIRECT(ADDRESS(2,COLUMN())),OFFSET($R$2,0,0,ROW()-1,12),ROW()-1,FALSE))</f>
        <v>14827.691000000001</v>
      </c>
      <c r="I132">
        <f ca="1">IF(AND(ISNUMBER($I$286),$B$165=1),$I$286,HLOOKUP(INDIRECT(ADDRESS(2,COLUMN())),OFFSET($R$2,0,0,ROW()-1,12),ROW()-1,FALSE))</f>
        <v>14142.958000000001</v>
      </c>
      <c r="J132">
        <f ca="1">IF(AND(ISNUMBER($J$286),$B$165=1),$J$286,HLOOKUP(INDIRECT(ADDRESS(2,COLUMN())),OFFSET($R$2,0,0,ROW()-1,12),ROW()-1,FALSE))</f>
        <v>13728.545</v>
      </c>
      <c r="K132">
        <f ca="1">IF(AND(ISNUMBER($K$286),$B$165=1),$K$286,HLOOKUP(INDIRECT(ADDRESS(2,COLUMN())),OFFSET($R$2,0,0,ROW()-1,12),ROW()-1,FALSE))</f>
        <v>13055.567999999999</v>
      </c>
      <c r="L132">
        <f ca="1">IF(AND(ISNUMBER($L$286),$B$165=1),$L$286,HLOOKUP(INDIRECT(ADDRESS(2,COLUMN())),OFFSET($R$2,0,0,ROW()-1,12),ROW()-1,FALSE))</f>
        <v>10724.588</v>
      </c>
      <c r="M132">
        <f ca="1">IF(AND(ISNUMBER($M$286),$B$165=1),$M$286,HLOOKUP(INDIRECT(ADDRESS(2,COLUMN())),OFFSET($R$2,0,0,ROW()-1,12),ROW()-1,FALSE))</f>
        <v>10152.736000000001</v>
      </c>
      <c r="N132">
        <f ca="1">IF(AND(ISNUMBER($N$286),$B$165=1),$N$286,HLOOKUP(INDIRECT(ADDRESS(2,COLUMN())),OFFSET($R$2,0,0,ROW()-1,12),ROW()-1,FALSE))</f>
        <v>10438.425999999999</v>
      </c>
      <c r="O132">
        <f ca="1">IF(AND(ISNUMBER($O$286),$B$165=1),$O$286,HLOOKUP(INDIRECT(ADDRESS(2,COLUMN())),OFFSET($R$2,0,0,ROW()-1,12),ROW()-1,FALSE))</f>
        <v>9893.4369999999999</v>
      </c>
      <c r="P132">
        <f ca="1">IF(AND(ISNUMBER($P$286),$B$165=1),$P$286,HLOOKUP(INDIRECT(ADDRESS(2,COLUMN())),OFFSET($R$2,0,0,ROW()-1,12),ROW()-1,FALSE))</f>
        <v>9710.2000000000007</v>
      </c>
      <c r="Q132">
        <f ca="1">IF(AND(ISNUMBER($Q$286),$B$165=1),$Q$286,HLOOKUP(INDIRECT(ADDRESS(2,COLUMN())),OFFSET($R$2,0,0,ROW()-1,12),ROW()-1,FALSE))</f>
        <v>8876.66</v>
      </c>
      <c r="R132">
        <f>15920.806</f>
        <v>15920.806</v>
      </c>
      <c r="S132">
        <f>15601.208</f>
        <v>15601.208000000001</v>
      </c>
      <c r="T132">
        <f>14827.691</f>
        <v>14827.691000000001</v>
      </c>
      <c r="U132">
        <f>14142.958</f>
        <v>14142.958000000001</v>
      </c>
      <c r="V132">
        <f>13728.545</f>
        <v>13728.545</v>
      </c>
      <c r="W132">
        <f>13055.568</f>
        <v>13055.567999999999</v>
      </c>
      <c r="X132">
        <f>10724.588</f>
        <v>10724.588</v>
      </c>
      <c r="Y132">
        <f>10152.736</f>
        <v>10152.736000000001</v>
      </c>
      <c r="Z132">
        <f>10438.426</f>
        <v>10438.425999999999</v>
      </c>
      <c r="AA132">
        <f>9893.437</f>
        <v>9893.4369999999999</v>
      </c>
      <c r="AB132">
        <f>9710.2</f>
        <v>9710.2000000000007</v>
      </c>
      <c r="AC132">
        <f>8876.66</f>
        <v>8876.66</v>
      </c>
    </row>
    <row r="133" spans="1:29" x14ac:dyDescent="0.25">
      <c r="A133" t="str">
        <f>"    Amdocs Ltd"</f>
        <v xml:space="preserve">    Amdocs Ltd</v>
      </c>
      <c r="B133" t="str">
        <f>"DOX US Equity"</f>
        <v>DOX US Equity</v>
      </c>
      <c r="C133" t="str">
        <f t="shared" si="21"/>
        <v>RR007</v>
      </c>
      <c r="D133" t="str">
        <f t="shared" si="22"/>
        <v>TOTAL_EQUITY</v>
      </c>
      <c r="E133" t="str">
        <f t="shared" si="23"/>
        <v>Dynamic</v>
      </c>
      <c r="F133">
        <f ca="1">IF(AND(ISNUMBER($F$287),$B$165=1),$F$287,HLOOKUP(INDIRECT(ADDRESS(2,COLUMN())),OFFSET($R$2,0,0,ROW()-1,12),ROW()-1,FALSE))</f>
        <v>3578.8119999999999</v>
      </c>
      <c r="G133">
        <f ca="1">IF(AND(ISNUMBER($G$287),$B$165=1),$G$287,HLOOKUP(INDIRECT(ADDRESS(2,COLUMN())),OFFSET($R$2,0,0,ROW()-1,12),ROW()-1,FALSE))</f>
        <v>3581.8040000000001</v>
      </c>
      <c r="H133">
        <f ca="1">IF(AND(ISNUMBER($H$287),$B$165=1),$H$287,HLOOKUP(INDIRECT(ADDRESS(2,COLUMN())),OFFSET($R$2,0,0,ROW()-1,12),ROW()-1,FALSE))</f>
        <v>3542.4659999999999</v>
      </c>
      <c r="I133">
        <f ca="1">IF(AND(ISNUMBER($I$287),$B$165=1),$I$287,HLOOKUP(INDIRECT(ADDRESS(2,COLUMN())),OFFSET($R$2,0,0,ROW()-1,12),ROW()-1,FALSE))</f>
        <v>3527.6849999999999</v>
      </c>
      <c r="J133">
        <f ca="1">IF(AND(ISNUMBER($J$287),$B$165=1),$J$287,HLOOKUP(INDIRECT(ADDRESS(2,COLUMN())),OFFSET($R$2,0,0,ROW()-1,12),ROW()-1,FALSE))</f>
        <v>3492.7869999999998</v>
      </c>
      <c r="K133">
        <f ca="1">IF(AND(ISNUMBER($K$287),$B$165=1),$K$287,HLOOKUP(INDIRECT(ADDRESS(2,COLUMN())),OFFSET($R$2,0,0,ROW()-1,12),ROW()-1,FALSE))</f>
        <v>3499.16</v>
      </c>
      <c r="L133">
        <f ca="1">IF(AND(ISNUMBER($L$287),$B$165=1),$L$287,HLOOKUP(INDIRECT(ADDRESS(2,COLUMN())),OFFSET($R$2,0,0,ROW()-1,12),ROW()-1,FALSE))</f>
        <v>3492.0419999999999</v>
      </c>
      <c r="M133">
        <f ca="1">IF(AND(ISNUMBER($M$287),$B$165=1),$M$287,HLOOKUP(INDIRECT(ADDRESS(2,COLUMN())),OFFSET($R$2,0,0,ROW()-1,12),ROW()-1,FALSE))</f>
        <v>3562.8690000000001</v>
      </c>
      <c r="N133">
        <f ca="1">IF(AND(ISNUMBER($N$287),$B$165=1),$N$287,HLOOKUP(INDIRECT(ADDRESS(2,COLUMN())),OFFSET($R$2,0,0,ROW()-1,12),ROW()-1,FALSE))</f>
        <v>3606.2170000000001</v>
      </c>
      <c r="O133">
        <f ca="1">IF(AND(ISNUMBER($O$287),$B$165=1),$O$287,HLOOKUP(INDIRECT(ADDRESS(2,COLUMN())),OFFSET($R$2,0,0,ROW()-1,12),ROW()-1,FALSE))</f>
        <v>3627.8919999999998</v>
      </c>
      <c r="P133">
        <f ca="1">IF(AND(ISNUMBER($P$287),$B$165=1),$P$287,HLOOKUP(INDIRECT(ADDRESS(2,COLUMN())),OFFSET($R$2,0,0,ROW()-1,12),ROW()-1,FALSE))</f>
        <v>3574.07</v>
      </c>
      <c r="Q133">
        <f ca="1">IF(AND(ISNUMBER($Q$287),$B$165=1),$Q$287,HLOOKUP(INDIRECT(ADDRESS(2,COLUMN())),OFFSET($R$2,0,0,ROW()-1,12),ROW()-1,FALSE))</f>
        <v>3581.6889999999999</v>
      </c>
      <c r="R133">
        <f>3578.812</f>
        <v>3578.8119999999999</v>
      </c>
      <c r="S133">
        <f>3581.804</f>
        <v>3581.8040000000001</v>
      </c>
      <c r="T133">
        <f>3542.466</f>
        <v>3542.4659999999999</v>
      </c>
      <c r="U133">
        <f>3527.685</f>
        <v>3527.6849999999999</v>
      </c>
      <c r="V133">
        <f>3492.787</f>
        <v>3492.7869999999998</v>
      </c>
      <c r="W133">
        <f>3499.16</f>
        <v>3499.16</v>
      </c>
      <c r="X133">
        <f>3492.042</f>
        <v>3492.0419999999999</v>
      </c>
      <c r="Y133">
        <f>3562.869</f>
        <v>3562.8690000000001</v>
      </c>
      <c r="Z133">
        <f>3606.217</f>
        <v>3606.2170000000001</v>
      </c>
      <c r="AA133">
        <f>3627.892</f>
        <v>3627.8919999999998</v>
      </c>
      <c r="AB133">
        <f>3574.07</f>
        <v>3574.07</v>
      </c>
      <c r="AC133">
        <f>3581.689</f>
        <v>3581.6889999999999</v>
      </c>
    </row>
    <row r="134" spans="1:29" x14ac:dyDescent="0.25">
      <c r="A134" t="str">
        <f>"    Atos SE"</f>
        <v xml:space="preserve">    Atos SE</v>
      </c>
      <c r="B134" t="str">
        <f>"ATO FP Equity"</f>
        <v>ATO FP Equity</v>
      </c>
      <c r="C134" t="str">
        <f t="shared" si="21"/>
        <v>RR007</v>
      </c>
      <c r="D134" t="str">
        <f t="shared" si="22"/>
        <v>TOTAL_EQUITY</v>
      </c>
      <c r="E134" t="str">
        <f t="shared" si="23"/>
        <v>Dynamic</v>
      </c>
      <c r="F134" t="str">
        <f ca="1">IF(AND(ISNUMBER($F$288),$B$165=1),$F$288,HLOOKUP(INDIRECT(ADDRESS(2,COLUMN())),OFFSET($R$2,0,0,ROW()-1,12),ROW()-1,FALSE))</f>
        <v/>
      </c>
      <c r="G134" t="str">
        <f ca="1">IF(AND(ISNUMBER($G$288),$B$165=1),$G$288,HLOOKUP(INDIRECT(ADDRESS(2,COLUMN())),OFFSET($R$2,0,0,ROW()-1,12),ROW()-1,FALSE))</f>
        <v/>
      </c>
      <c r="H134" t="str">
        <f ca="1">IF(AND(ISNUMBER($H$288),$B$165=1),$H$288,HLOOKUP(INDIRECT(ADDRESS(2,COLUMN())),OFFSET($R$2,0,0,ROW()-1,12),ROW()-1,FALSE))</f>
        <v/>
      </c>
      <c r="I134" t="str">
        <f ca="1">IF(AND(ISNUMBER($I$288),$B$165=1),$I$288,HLOOKUP(INDIRECT(ADDRESS(2,COLUMN())),OFFSET($R$2,0,0,ROW()-1,12),ROW()-1,FALSE))</f>
        <v/>
      </c>
      <c r="J134" t="str">
        <f ca="1">IF(AND(ISNUMBER($J$288),$B$165=1),$J$288,HLOOKUP(INDIRECT(ADDRESS(2,COLUMN())),OFFSET($R$2,0,0,ROW()-1,12),ROW()-1,FALSE))</f>
        <v/>
      </c>
      <c r="K134" t="str">
        <f ca="1">IF(AND(ISNUMBER($K$288),$B$165=1),$K$288,HLOOKUP(INDIRECT(ADDRESS(2,COLUMN())),OFFSET($R$2,0,0,ROW()-1,12),ROW()-1,FALSE))</f>
        <v/>
      </c>
      <c r="L134" t="str">
        <f ca="1">IF(AND(ISNUMBER($L$288),$B$165=1),$L$288,HLOOKUP(INDIRECT(ADDRESS(2,COLUMN())),OFFSET($R$2,0,0,ROW()-1,12),ROW()-1,FALSE))</f>
        <v/>
      </c>
      <c r="M134" t="str">
        <f ca="1">IF(AND(ISNUMBER($M$288),$B$165=1),$M$288,HLOOKUP(INDIRECT(ADDRESS(2,COLUMN())),OFFSET($R$2,0,0,ROW()-1,12),ROW()-1,FALSE))</f>
        <v/>
      </c>
      <c r="N134" t="str">
        <f ca="1">IF(AND(ISNUMBER($N$288),$B$165=1),$N$288,HLOOKUP(INDIRECT(ADDRESS(2,COLUMN())),OFFSET($R$2,0,0,ROW()-1,12),ROW()-1,FALSE))</f>
        <v/>
      </c>
      <c r="O134" t="str">
        <f ca="1">IF(AND(ISNUMBER($O$288),$B$165=1),$O$288,HLOOKUP(INDIRECT(ADDRESS(2,COLUMN())),OFFSET($R$2,0,0,ROW()-1,12),ROW()-1,FALSE))</f>
        <v/>
      </c>
      <c r="P134" t="str">
        <f ca="1">IF(AND(ISNUMBER($P$288),$B$165=1),$P$288,HLOOKUP(INDIRECT(ADDRESS(2,COLUMN())),OFFSET($R$2,0,0,ROW()-1,12),ROW()-1,FALSE))</f>
        <v/>
      </c>
      <c r="Q134" t="str">
        <f ca="1">IF(AND(ISNUMBER($Q$288),$B$165=1),$Q$288,HLOOKUP(INDIRECT(ADDRESS(2,COLUMN())),OFFSET($R$2,0,0,ROW()-1,12),ROW()-1,FALSE))</f>
        <v/>
      </c>
      <c r="R134" t="str">
        <f>""</f>
        <v/>
      </c>
      <c r="S134" t="str">
        <f>""</f>
        <v/>
      </c>
      <c r="T134" t="str">
        <f>""</f>
        <v/>
      </c>
      <c r="U134" t="str">
        <f>""</f>
        <v/>
      </c>
      <c r="V134" t="str">
        <f>""</f>
        <v/>
      </c>
      <c r="W134" t="str">
        <f>""</f>
        <v/>
      </c>
      <c r="X134" t="str">
        <f>""</f>
        <v/>
      </c>
      <c r="Y134" t="str">
        <f>""</f>
        <v/>
      </c>
      <c r="Z134" t="str">
        <f>""</f>
        <v/>
      </c>
      <c r="AA134" t="str">
        <f>""</f>
        <v/>
      </c>
      <c r="AB134" t="str">
        <f>""</f>
        <v/>
      </c>
      <c r="AC134" t="str">
        <f>""</f>
        <v/>
      </c>
    </row>
    <row r="135" spans="1:29" x14ac:dyDescent="0.25">
      <c r="A135" t="str">
        <f>"    Capgemini SE"</f>
        <v xml:space="preserve">    Capgemini SE</v>
      </c>
      <c r="B135" t="str">
        <f>"CAP FP Equity"</f>
        <v>CAP FP Equity</v>
      </c>
      <c r="C135" t="str">
        <f t="shared" si="21"/>
        <v>RR007</v>
      </c>
      <c r="D135" t="str">
        <f t="shared" si="22"/>
        <v>TOTAL_EQUITY</v>
      </c>
      <c r="E135" t="str">
        <f t="shared" si="23"/>
        <v>Dynamic</v>
      </c>
      <c r="F135" t="str">
        <f ca="1">IF(AND(ISNUMBER($F$289),$B$165=1),$F$289,HLOOKUP(INDIRECT(ADDRESS(2,COLUMN())),OFFSET($R$2,0,0,ROW()-1,12),ROW()-1,FALSE))</f>
        <v/>
      </c>
      <c r="G135">
        <f ca="1">IF(AND(ISNUMBER($G$289),$B$165=1),$G$289,HLOOKUP(INDIRECT(ADDRESS(2,COLUMN())),OFFSET($R$2,0,0,ROW()-1,12),ROW()-1,FALSE))</f>
        <v>9453.6951000000008</v>
      </c>
      <c r="H135" t="str">
        <f ca="1">IF(AND(ISNUMBER($H$289),$B$165=1),$H$289,HLOOKUP(INDIRECT(ADDRESS(2,COLUMN())),OFFSET($R$2,0,0,ROW()-1,12),ROW()-1,FALSE))</f>
        <v/>
      </c>
      <c r="I135" t="str">
        <f ca="1">IF(AND(ISNUMBER($I$289),$B$165=1),$I$289,HLOOKUP(INDIRECT(ADDRESS(2,COLUMN())),OFFSET($R$2,0,0,ROW()-1,12),ROW()-1,FALSE))</f>
        <v/>
      </c>
      <c r="J135" t="str">
        <f ca="1">IF(AND(ISNUMBER($J$289),$B$165=1),$J$289,HLOOKUP(INDIRECT(ADDRESS(2,COLUMN())),OFFSET($R$2,0,0,ROW()-1,12),ROW()-1,FALSE))</f>
        <v/>
      </c>
      <c r="K135" t="str">
        <f ca="1">IF(AND(ISNUMBER($K$289),$B$165=1),$K$289,HLOOKUP(INDIRECT(ADDRESS(2,COLUMN())),OFFSET($R$2,0,0,ROW()-1,12),ROW()-1,FALSE))</f>
        <v/>
      </c>
      <c r="L135" t="str">
        <f ca="1">IF(AND(ISNUMBER($L$289),$B$165=1),$L$289,HLOOKUP(INDIRECT(ADDRESS(2,COLUMN())),OFFSET($R$2,0,0,ROW()-1,12),ROW()-1,FALSE))</f>
        <v/>
      </c>
      <c r="M135" t="str">
        <f ca="1">IF(AND(ISNUMBER($M$289),$B$165=1),$M$289,HLOOKUP(INDIRECT(ADDRESS(2,COLUMN())),OFFSET($R$2,0,0,ROW()-1,12),ROW()-1,FALSE))</f>
        <v/>
      </c>
      <c r="N135" t="str">
        <f ca="1">IF(AND(ISNUMBER($N$289),$B$165=1),$N$289,HLOOKUP(INDIRECT(ADDRESS(2,COLUMN())),OFFSET($R$2,0,0,ROW()-1,12),ROW()-1,FALSE))</f>
        <v/>
      </c>
      <c r="O135" t="str">
        <f ca="1">IF(AND(ISNUMBER($O$289),$B$165=1),$O$289,HLOOKUP(INDIRECT(ADDRESS(2,COLUMN())),OFFSET($R$2,0,0,ROW()-1,12),ROW()-1,FALSE))</f>
        <v/>
      </c>
      <c r="P135" t="str">
        <f ca="1">IF(AND(ISNUMBER($P$289),$B$165=1),$P$289,HLOOKUP(INDIRECT(ADDRESS(2,COLUMN())),OFFSET($R$2,0,0,ROW()-1,12),ROW()-1,FALSE))</f>
        <v/>
      </c>
      <c r="Q135" t="str">
        <f ca="1">IF(AND(ISNUMBER($Q$289),$B$165=1),$Q$289,HLOOKUP(INDIRECT(ADDRESS(2,COLUMN())),OFFSET($R$2,0,0,ROW()-1,12),ROW()-1,FALSE))</f>
        <v/>
      </c>
      <c r="R135" t="str">
        <f>""</f>
        <v/>
      </c>
      <c r="S135">
        <f>9453.6951</f>
        <v>9453.6951000000008</v>
      </c>
      <c r="T135" t="str">
        <f>""</f>
        <v/>
      </c>
      <c r="U135" t="str">
        <f>""</f>
        <v/>
      </c>
      <c r="V135" t="str">
        <f>""</f>
        <v/>
      </c>
      <c r="W135" t="str">
        <f>""</f>
        <v/>
      </c>
      <c r="X135" t="str">
        <f>""</f>
        <v/>
      </c>
      <c r="Y135" t="str">
        <f>""</f>
        <v/>
      </c>
      <c r="Z135" t="str">
        <f>""</f>
        <v/>
      </c>
      <c r="AA135" t="str">
        <f>""</f>
        <v/>
      </c>
      <c r="AB135" t="str">
        <f>""</f>
        <v/>
      </c>
      <c r="AC135" t="str">
        <f>""</f>
        <v/>
      </c>
    </row>
    <row r="136" spans="1:29" x14ac:dyDescent="0.25">
      <c r="A136" t="str">
        <f>"    CGI Inc"</f>
        <v xml:space="preserve">    CGI Inc</v>
      </c>
      <c r="B136" t="str">
        <f>"GIB US Equity"</f>
        <v>GIB US Equity</v>
      </c>
      <c r="C136" t="str">
        <f t="shared" si="21"/>
        <v>RR007</v>
      </c>
      <c r="D136" t="str">
        <f t="shared" si="22"/>
        <v>TOTAL_EQUITY</v>
      </c>
      <c r="E136" t="str">
        <f t="shared" si="23"/>
        <v>Dynamic</v>
      </c>
      <c r="F136">
        <f ca="1">IF(AND(ISNUMBER($F$290),$B$165=1),$F$290,HLOOKUP(INDIRECT(ADDRESS(2,COLUMN())),OFFSET($R$2,0,0,ROW()-1,12),ROW()-1,FALSE))</f>
        <v>4764.9520650000004</v>
      </c>
      <c r="G136">
        <f ca="1">IF(AND(ISNUMBER($G$290),$B$165=1),$G$290,HLOOKUP(INDIRECT(ADDRESS(2,COLUMN())),OFFSET($R$2,0,0,ROW()-1,12),ROW()-1,FALSE))</f>
        <v>5459.0807519999998</v>
      </c>
      <c r="H136">
        <f ca="1">IF(AND(ISNUMBER($H$290),$B$165=1),$H$290,HLOOKUP(INDIRECT(ADDRESS(2,COLUMN())),OFFSET($R$2,0,0,ROW()-1,12),ROW()-1,FALSE))</f>
        <v>5199.0808850000003</v>
      </c>
      <c r="I136">
        <f ca="1">IF(AND(ISNUMBER($I$290),$B$165=1),$I$290,HLOOKUP(INDIRECT(ADDRESS(2,COLUMN())),OFFSET($R$2,0,0,ROW()-1,12),ROW()-1,FALSE))</f>
        <v>5094.9316429999999</v>
      </c>
      <c r="J136">
        <f ca="1">IF(AND(ISNUMBER($J$290),$B$165=1),$J$290,HLOOKUP(INDIRECT(ADDRESS(2,COLUMN())),OFFSET($R$2,0,0,ROW()-1,12),ROW()-1,FALSE))</f>
        <v>5223.4772199999998</v>
      </c>
      <c r="K136">
        <f ca="1">IF(AND(ISNUMBER($K$290),$B$165=1),$K$290,HLOOKUP(INDIRECT(ADDRESS(2,COLUMN())),OFFSET($R$2,0,0,ROW()-1,12),ROW()-1,FALSE))</f>
        <v>5088.0673809999998</v>
      </c>
      <c r="L136">
        <f ca="1">IF(AND(ISNUMBER($L$290),$B$165=1),$L$290,HLOOKUP(INDIRECT(ADDRESS(2,COLUMN())),OFFSET($R$2,0,0,ROW()-1,12),ROW()-1,FALSE))</f>
        <v>5166.4015769999996</v>
      </c>
      <c r="M136">
        <f ca="1">IF(AND(ISNUMBER($M$290),$B$165=1),$M$290,HLOOKUP(INDIRECT(ADDRESS(2,COLUMN())),OFFSET($R$2,0,0,ROW()-1,12),ROW()-1,FALSE))</f>
        <v>5119.4263979999996</v>
      </c>
      <c r="N136">
        <f ca="1">IF(AND(ISNUMBER($N$290),$B$165=1),$N$290,HLOOKUP(INDIRECT(ADDRESS(2,COLUMN())),OFFSET($R$2,0,0,ROW()-1,12),ROW()-1,FALSE))</f>
        <v>5322.3935140000003</v>
      </c>
      <c r="O136">
        <f ca="1">IF(AND(ISNUMBER($O$290),$B$165=1),$O$290,HLOOKUP(INDIRECT(ADDRESS(2,COLUMN())),OFFSET($R$2,0,0,ROW()-1,12),ROW()-1,FALSE))</f>
        <v>5231.1646840000003</v>
      </c>
      <c r="P136">
        <f ca="1">IF(AND(ISNUMBER($P$290),$B$165=1),$P$290,HLOOKUP(INDIRECT(ADDRESS(2,COLUMN())),OFFSET($R$2,0,0,ROW()-1,12),ROW()-1,FALSE))</f>
        <v>4968.4604289999997</v>
      </c>
      <c r="Q136">
        <f ca="1">IF(AND(ISNUMBER($Q$290),$B$165=1),$Q$290,HLOOKUP(INDIRECT(ADDRESS(2,COLUMN())),OFFSET($R$2,0,0,ROW()-1,12),ROW()-1,FALSE))</f>
        <v>5112.7288120000003</v>
      </c>
      <c r="R136">
        <f>4764.952065</f>
        <v>4764.9520650000004</v>
      </c>
      <c r="S136">
        <f>5459.080752</f>
        <v>5459.0807519999998</v>
      </c>
      <c r="T136">
        <f>5199.080885</f>
        <v>5199.0808850000003</v>
      </c>
      <c r="U136">
        <f>5094.931643</f>
        <v>5094.9316429999999</v>
      </c>
      <c r="V136">
        <f>5223.47722</f>
        <v>5223.4772199999998</v>
      </c>
      <c r="W136">
        <f>5088.067381</f>
        <v>5088.0673809999998</v>
      </c>
      <c r="X136">
        <f>5166.401577</f>
        <v>5166.4015769999996</v>
      </c>
      <c r="Y136">
        <f>5119.426398</f>
        <v>5119.4263979999996</v>
      </c>
      <c r="Z136">
        <f>5322.393514</f>
        <v>5322.3935140000003</v>
      </c>
      <c r="AA136">
        <f>5231.164684</f>
        <v>5231.1646840000003</v>
      </c>
      <c r="AB136">
        <f>4968.460429</f>
        <v>4968.4604289999997</v>
      </c>
      <c r="AC136">
        <f>5112.728812</f>
        <v>5112.7288120000003</v>
      </c>
    </row>
    <row r="137" spans="1:29" x14ac:dyDescent="0.25">
      <c r="A137" t="str">
        <f>"    Cognizant Technology Solutions Corp"</f>
        <v xml:space="preserve">    Cognizant Technology Solutions Corp</v>
      </c>
      <c r="B137" t="str">
        <f>"CTSH US Equity"</f>
        <v>CTSH US Equity</v>
      </c>
      <c r="C137" t="str">
        <f t="shared" si="21"/>
        <v>RR007</v>
      </c>
      <c r="D137" t="str">
        <f t="shared" si="22"/>
        <v>TOTAL_EQUITY</v>
      </c>
      <c r="E137" t="str">
        <f t="shared" si="23"/>
        <v>Dynamic</v>
      </c>
      <c r="F137">
        <f ca="1">IF(AND(ISNUMBER($F$291),$B$165=1),$F$291,HLOOKUP(INDIRECT(ADDRESS(2,COLUMN())),OFFSET($R$2,0,0,ROW()-1,12),ROW()-1,FALSE))</f>
        <v>10613</v>
      </c>
      <c r="G137">
        <f ca="1">IF(AND(ISNUMBER($G$291),$B$165=1),$G$291,HLOOKUP(INDIRECT(ADDRESS(2,COLUMN())),OFFSET($R$2,0,0,ROW()-1,12),ROW()-1,FALSE))</f>
        <v>11022</v>
      </c>
      <c r="H137">
        <f ca="1">IF(AND(ISNUMBER($H$291),$B$165=1),$H$291,HLOOKUP(INDIRECT(ADDRESS(2,COLUMN())),OFFSET($R$2,0,0,ROW()-1,12),ROW()-1,FALSE))</f>
        <v>10702</v>
      </c>
      <c r="I137">
        <f ca="1">IF(AND(ISNUMBER($I$291),$B$165=1),$I$291,HLOOKUP(INDIRECT(ADDRESS(2,COLUMN())),OFFSET($R$2,0,0,ROW()-1,12),ROW()-1,FALSE))</f>
        <v>10557</v>
      </c>
      <c r="J137">
        <f ca="1">IF(AND(ISNUMBER($J$291),$B$165=1),$J$291,HLOOKUP(INDIRECT(ADDRESS(2,COLUMN())),OFFSET($R$2,0,0,ROW()-1,12),ROW()-1,FALSE))</f>
        <v>11136</v>
      </c>
      <c r="K137">
        <f ca="1">IF(AND(ISNUMBER($K$291),$B$165=1),$K$291,HLOOKUP(INDIRECT(ADDRESS(2,COLUMN())),OFFSET($R$2,0,0,ROW()-1,12),ROW()-1,FALSE))</f>
        <v>11424</v>
      </c>
      <c r="L137">
        <f ca="1">IF(AND(ISNUMBER($L$291),$B$165=1),$L$291,HLOOKUP(INDIRECT(ADDRESS(2,COLUMN())),OFFSET($R$2,0,0,ROW()-1,12),ROW()-1,FALSE))</f>
        <v>10978</v>
      </c>
      <c r="M137">
        <f ca="1">IF(AND(ISNUMBER($M$291),$B$165=1),$M$291,HLOOKUP(INDIRECT(ADDRESS(2,COLUMN())),OFFSET($R$2,0,0,ROW()-1,12),ROW()-1,FALSE))</f>
        <v>10648</v>
      </c>
      <c r="N137">
        <f ca="1">IF(AND(ISNUMBER($N$291),$B$165=1),$N$291,HLOOKUP(INDIRECT(ADDRESS(2,COLUMN())),OFFSET($R$2,0,0,ROW()-1,12),ROW()-1,FALSE))</f>
        <v>10988</v>
      </c>
      <c r="O137">
        <f ca="1">IF(AND(ISNUMBER($O$291),$B$165=1),$O$291,HLOOKUP(INDIRECT(ADDRESS(2,COLUMN())),OFFSET($R$2,0,0,ROW()-1,12),ROW()-1,FALSE))</f>
        <v>10669</v>
      </c>
      <c r="P137">
        <f ca="1">IF(AND(ISNUMBER($P$291),$B$165=1),$P$291,HLOOKUP(INDIRECT(ADDRESS(2,COLUMN())),OFFSET($R$2,0,0,ROW()-1,12),ROW()-1,FALSE))</f>
        <v>10979</v>
      </c>
      <c r="Q137">
        <f ca="1">IF(AND(ISNUMBER($Q$291),$B$165=1),$Q$291,HLOOKUP(INDIRECT(ADDRESS(2,COLUMN())),OFFSET($R$2,0,0,ROW()-1,12),ROW()-1,FALSE))</f>
        <v>10483</v>
      </c>
      <c r="R137">
        <f>10613</f>
        <v>10613</v>
      </c>
      <c r="S137">
        <f>11022</f>
        <v>11022</v>
      </c>
      <c r="T137">
        <f>10702</f>
        <v>10702</v>
      </c>
      <c r="U137">
        <f>10557</f>
        <v>10557</v>
      </c>
      <c r="V137">
        <f>11136</f>
        <v>11136</v>
      </c>
      <c r="W137">
        <f>11424</f>
        <v>11424</v>
      </c>
      <c r="X137">
        <f>10978</f>
        <v>10978</v>
      </c>
      <c r="Y137">
        <f>10648</f>
        <v>10648</v>
      </c>
      <c r="Z137">
        <f>10988</f>
        <v>10988</v>
      </c>
      <c r="AA137">
        <f>10669</f>
        <v>10669</v>
      </c>
      <c r="AB137">
        <f>10979</f>
        <v>10979</v>
      </c>
      <c r="AC137">
        <f>10483</f>
        <v>10483</v>
      </c>
    </row>
    <row r="138" spans="1:29" x14ac:dyDescent="0.25">
      <c r="A138" t="str">
        <f>"    Conduent Inc"</f>
        <v xml:space="preserve">    Conduent Inc</v>
      </c>
      <c r="B138" t="str">
        <f>"CNDT US Equity"</f>
        <v>CNDT US Equity</v>
      </c>
      <c r="C138" t="str">
        <f t="shared" si="21"/>
        <v>RR007</v>
      </c>
      <c r="D138" t="str">
        <f t="shared" si="22"/>
        <v>TOTAL_EQUITY</v>
      </c>
      <c r="E138" t="str">
        <f t="shared" si="23"/>
        <v>Dynamic</v>
      </c>
      <c r="F138">
        <f ca="1">IF(AND(ISNUMBER($F$292),$B$165=1),$F$292,HLOOKUP(INDIRECT(ADDRESS(2,COLUMN())),OFFSET($R$2,0,0,ROW()-1,12),ROW()-1,FALSE))</f>
        <v>1362</v>
      </c>
      <c r="G138">
        <f ca="1">IF(AND(ISNUMBER($G$292),$B$165=1),$G$292,HLOOKUP(INDIRECT(ADDRESS(2,COLUMN())),OFFSET($R$2,0,0,ROW()-1,12),ROW()-1,FALSE))</f>
        <v>1442</v>
      </c>
      <c r="H138">
        <f ca="1">IF(AND(ISNUMBER($H$292),$B$165=1),$H$292,HLOOKUP(INDIRECT(ADDRESS(2,COLUMN())),OFFSET($R$2,0,0,ROW()-1,12),ROW()-1,FALSE))</f>
        <v>2010</v>
      </c>
      <c r="I138">
        <f ca="1">IF(AND(ISNUMBER($I$292),$B$165=1),$I$292,HLOOKUP(INDIRECT(ADDRESS(2,COLUMN())),OFFSET($R$2,0,0,ROW()-1,12),ROW()-1,FALSE))</f>
        <v>2043</v>
      </c>
      <c r="J138">
        <f ca="1">IF(AND(ISNUMBER($J$292),$B$165=1),$J$292,HLOOKUP(INDIRECT(ADDRESS(2,COLUMN())),OFFSET($R$2,0,0,ROW()-1,12),ROW()-1,FALSE))</f>
        <v>3069</v>
      </c>
      <c r="K138">
        <f ca="1">IF(AND(ISNUMBER($K$292),$B$165=1),$K$292,HLOOKUP(INDIRECT(ADDRESS(2,COLUMN())),OFFSET($R$2,0,0,ROW()-1,12),ROW()-1,FALSE))</f>
        <v>3364</v>
      </c>
      <c r="L138">
        <f ca="1">IF(AND(ISNUMBER($L$292),$B$165=1),$L$292,HLOOKUP(INDIRECT(ADDRESS(2,COLUMN())),OFFSET($R$2,0,0,ROW()-1,12),ROW()-1,FALSE))</f>
        <v>3501</v>
      </c>
      <c r="M138">
        <f ca="1">IF(AND(ISNUMBER($M$292),$B$165=1),$M$292,HLOOKUP(INDIRECT(ADDRESS(2,COLUMN())),OFFSET($R$2,0,0,ROW()-1,12),ROW()-1,FALSE))</f>
        <v>3641</v>
      </c>
      <c r="N138">
        <f ca="1">IF(AND(ISNUMBER($N$292),$B$165=1),$N$292,HLOOKUP(INDIRECT(ADDRESS(2,COLUMN())),OFFSET($R$2,0,0,ROW()-1,12),ROW()-1,FALSE))</f>
        <v>3652</v>
      </c>
      <c r="O138">
        <f ca="1">IF(AND(ISNUMBER($O$292),$B$165=1),$O$292,HLOOKUP(INDIRECT(ADDRESS(2,COLUMN())),OFFSET($R$2,0,0,ROW()-1,12),ROW()-1,FALSE))</f>
        <v>3671</v>
      </c>
      <c r="P138">
        <f ca="1">IF(AND(ISNUMBER($P$292),$B$165=1),$P$292,HLOOKUP(INDIRECT(ADDRESS(2,COLUMN())),OFFSET($R$2,0,0,ROW()-1,12),ROW()-1,FALSE))</f>
        <v>3454</v>
      </c>
      <c r="Q138">
        <f ca="1">IF(AND(ISNUMBER($Q$292),$B$165=1),$Q$292,HLOOKUP(INDIRECT(ADDRESS(2,COLUMN())),OFFSET($R$2,0,0,ROW()-1,12),ROW()-1,FALSE))</f>
        <v>3459</v>
      </c>
      <c r="R138">
        <f>1362</f>
        <v>1362</v>
      </c>
      <c r="S138">
        <f>1442</f>
        <v>1442</v>
      </c>
      <c r="T138">
        <f>2010</f>
        <v>2010</v>
      </c>
      <c r="U138">
        <f>2043</f>
        <v>2043</v>
      </c>
      <c r="V138">
        <f>3069</f>
        <v>3069</v>
      </c>
      <c r="W138">
        <f>3364</f>
        <v>3364</v>
      </c>
      <c r="X138">
        <f>3501</f>
        <v>3501</v>
      </c>
      <c r="Y138">
        <f>3641</f>
        <v>3641</v>
      </c>
      <c r="Z138">
        <f>3652</f>
        <v>3652</v>
      </c>
      <c r="AA138">
        <f>3671</f>
        <v>3671</v>
      </c>
      <c r="AB138">
        <f>3454</f>
        <v>3454</v>
      </c>
      <c r="AC138">
        <f>3459</f>
        <v>3459</v>
      </c>
    </row>
    <row r="139" spans="1:29" x14ac:dyDescent="0.25">
      <c r="A139" t="str">
        <f>"    DXC Technology Co"</f>
        <v xml:space="preserve">    DXC Technology Co</v>
      </c>
      <c r="B139" t="str">
        <f>"DXC US Equity"</f>
        <v>DXC US Equity</v>
      </c>
      <c r="C139" t="str">
        <f t="shared" si="21"/>
        <v>RR007</v>
      </c>
      <c r="D139" t="str">
        <f t="shared" si="22"/>
        <v>TOTAL_EQUITY</v>
      </c>
      <c r="E139" t="str">
        <f t="shared" si="23"/>
        <v>Dynamic</v>
      </c>
      <c r="F139">
        <f ca="1">IF(AND(ISNUMBER($F$293),$B$165=1),$F$293,HLOOKUP(INDIRECT(ADDRESS(2,COLUMN())),OFFSET($R$2,0,0,ROW()-1,12),ROW()-1,FALSE))</f>
        <v>5129</v>
      </c>
      <c r="G139">
        <f ca="1">IF(AND(ISNUMBER($G$293),$B$165=1),$G$293,HLOOKUP(INDIRECT(ADDRESS(2,COLUMN())),OFFSET($R$2,0,0,ROW()-1,12),ROW()-1,FALSE))</f>
        <v>9101</v>
      </c>
      <c r="H139">
        <f ca="1">IF(AND(ISNUMBER($H$293),$B$165=1),$H$293,HLOOKUP(INDIRECT(ADDRESS(2,COLUMN())),OFFSET($R$2,0,0,ROW()-1,12),ROW()-1,FALSE))</f>
        <v>8870</v>
      </c>
      <c r="I139">
        <f ca="1">IF(AND(ISNUMBER($I$293),$B$165=1),$I$293,HLOOKUP(INDIRECT(ADDRESS(2,COLUMN())),OFFSET($R$2,0,0,ROW()-1,12),ROW()-1,FALSE))</f>
        <v>11217</v>
      </c>
      <c r="J139">
        <f ca="1">IF(AND(ISNUMBER($J$293),$B$165=1),$J$293,HLOOKUP(INDIRECT(ADDRESS(2,COLUMN())),OFFSET($R$2,0,0,ROW()-1,12),ROW()-1,FALSE))</f>
        <v>11725</v>
      </c>
      <c r="K139">
        <f ca="1">IF(AND(ISNUMBER($K$293),$B$165=1),$K$293,HLOOKUP(INDIRECT(ADDRESS(2,COLUMN())),OFFSET($R$2,0,0,ROW()-1,12),ROW()-1,FALSE))</f>
        <v>11356</v>
      </c>
      <c r="L139">
        <f ca="1">IF(AND(ISNUMBER($L$293),$B$165=1),$L$293,HLOOKUP(INDIRECT(ADDRESS(2,COLUMN())),OFFSET($R$2,0,0,ROW()-1,12),ROW()-1,FALSE))</f>
        <v>11837</v>
      </c>
      <c r="M139">
        <f ca="1">IF(AND(ISNUMBER($M$293),$B$165=1),$M$293,HLOOKUP(INDIRECT(ADDRESS(2,COLUMN())),OFFSET($R$2,0,0,ROW()-1,12),ROW()-1,FALSE))</f>
        <v>11814</v>
      </c>
      <c r="N139">
        <f ca="1">IF(AND(ISNUMBER($N$293),$B$165=1),$N$293,HLOOKUP(INDIRECT(ADDRESS(2,COLUMN())),OFFSET($R$2,0,0,ROW()-1,12),ROW()-1,FALSE))</f>
        <v>13837</v>
      </c>
      <c r="O139">
        <f ca="1">IF(AND(ISNUMBER($O$293),$B$165=1),$O$293,HLOOKUP(INDIRECT(ADDRESS(2,COLUMN())),OFFSET($R$2,0,0,ROW()-1,12),ROW()-1,FALSE))</f>
        <v>13202</v>
      </c>
      <c r="P139">
        <f ca="1">IF(AND(ISNUMBER($P$293),$B$165=1),$P$293,HLOOKUP(INDIRECT(ADDRESS(2,COLUMN())),OFFSET($R$2,0,0,ROW()-1,12),ROW()-1,FALSE))</f>
        <v>12507</v>
      </c>
      <c r="Q139">
        <f ca="1">IF(AND(ISNUMBER($Q$293),$B$165=1),$Q$293,HLOOKUP(INDIRECT(ADDRESS(2,COLUMN())),OFFSET($R$2,0,0,ROW()-1,12),ROW()-1,FALSE))</f>
        <v>12345</v>
      </c>
      <c r="R139">
        <f>5129</f>
        <v>5129</v>
      </c>
      <c r="S139">
        <f>9101</f>
        <v>9101</v>
      </c>
      <c r="T139">
        <f>8870</f>
        <v>8870</v>
      </c>
      <c r="U139">
        <f>11217</f>
        <v>11217</v>
      </c>
      <c r="V139">
        <f>11725</f>
        <v>11725</v>
      </c>
      <c r="W139">
        <f>11356</f>
        <v>11356</v>
      </c>
      <c r="X139">
        <f>11837</f>
        <v>11837</v>
      </c>
      <c r="Y139">
        <f>11814</f>
        <v>11814</v>
      </c>
      <c r="Z139">
        <f>13837</f>
        <v>13837</v>
      </c>
      <c r="AA139">
        <f>13202</f>
        <v>13202</v>
      </c>
      <c r="AB139">
        <f>12507</f>
        <v>12507</v>
      </c>
      <c r="AC139">
        <f>12345</f>
        <v>12345</v>
      </c>
    </row>
    <row r="140" spans="1:29" x14ac:dyDescent="0.25">
      <c r="A140" t="str">
        <f>"    EPAM Systems Inc"</f>
        <v xml:space="preserve">    EPAM Systems Inc</v>
      </c>
      <c r="B140" t="str">
        <f>"EPAM US Equity"</f>
        <v>EPAM US Equity</v>
      </c>
      <c r="C140" t="str">
        <f t="shared" si="21"/>
        <v>RR007</v>
      </c>
      <c r="D140" t="str">
        <f t="shared" si="22"/>
        <v>TOTAL_EQUITY</v>
      </c>
      <c r="E140" t="str">
        <f t="shared" si="23"/>
        <v>Dynamic</v>
      </c>
      <c r="F140">
        <f ca="1">IF(AND(ISNUMBER($F$294),$B$165=1),$F$294,HLOOKUP(INDIRECT(ADDRESS(2,COLUMN())),OFFSET($R$2,0,0,ROW()-1,12),ROW()-1,FALSE))</f>
        <v>1647.482</v>
      </c>
      <c r="G140">
        <f ca="1">IF(AND(ISNUMBER($G$294),$B$165=1),$G$294,HLOOKUP(INDIRECT(ADDRESS(2,COLUMN())),OFFSET($R$2,0,0,ROW()-1,12),ROW()-1,FALSE))</f>
        <v>1596.145</v>
      </c>
      <c r="H140">
        <f ca="1">IF(AND(ISNUMBER($H$294),$B$165=1),$H$294,HLOOKUP(INDIRECT(ADDRESS(2,COLUMN())),OFFSET($R$2,0,0,ROW()-1,12),ROW()-1,FALSE))</f>
        <v>1492.117</v>
      </c>
      <c r="I140">
        <f ca="1">IF(AND(ISNUMBER($I$294),$B$165=1),$I$294,HLOOKUP(INDIRECT(ADDRESS(2,COLUMN())),OFFSET($R$2,0,0,ROW()-1,12),ROW()-1,FALSE))</f>
        <v>1422.2470000000001</v>
      </c>
      <c r="J140">
        <f ca="1">IF(AND(ISNUMBER($J$294),$B$165=1),$J$294,HLOOKUP(INDIRECT(ADDRESS(2,COLUMN())),OFFSET($R$2,0,0,ROW()-1,12),ROW()-1,FALSE))</f>
        <v>1338.2249999999999</v>
      </c>
      <c r="K140">
        <f ca="1">IF(AND(ISNUMBER($K$294),$B$165=1),$K$294,HLOOKUP(INDIRECT(ADDRESS(2,COLUMN())),OFFSET($R$2,0,0,ROW()-1,12),ROW()-1,FALSE))</f>
        <v>1262.596</v>
      </c>
      <c r="L140">
        <f ca="1">IF(AND(ISNUMBER($L$294),$B$165=1),$L$294,HLOOKUP(INDIRECT(ADDRESS(2,COLUMN())),OFFSET($R$2,0,0,ROW()-1,12),ROW()-1,FALSE))</f>
        <v>1195.9349999999999</v>
      </c>
      <c r="M140">
        <f ca="1">IF(AND(ISNUMBER($M$294),$B$165=1),$M$294,HLOOKUP(INDIRECT(ADDRESS(2,COLUMN())),OFFSET($R$2,0,0,ROW()-1,12),ROW()-1,FALSE))</f>
        <v>1112.8030000000001</v>
      </c>
      <c r="N140">
        <f ca="1">IF(AND(ISNUMBER($N$294),$B$165=1),$N$294,HLOOKUP(INDIRECT(ADDRESS(2,COLUMN())),OFFSET($R$2,0,0,ROW()-1,12),ROW()-1,FALSE))</f>
        <v>1055.348</v>
      </c>
      <c r="O140">
        <f ca="1">IF(AND(ISNUMBER($O$294),$B$165=1),$O$294,HLOOKUP(INDIRECT(ADDRESS(2,COLUMN())),OFFSET($R$2,0,0,ROW()-1,12),ROW()-1,FALSE))</f>
        <v>974.947</v>
      </c>
      <c r="P140">
        <f ca="1">IF(AND(ISNUMBER($P$294),$B$165=1),$P$294,HLOOKUP(INDIRECT(ADDRESS(2,COLUMN())),OFFSET($R$2,0,0,ROW()-1,12),ROW()-1,FALSE))</f>
        <v>985.14499999999998</v>
      </c>
      <c r="Q140">
        <f ca="1">IF(AND(ISNUMBER($Q$294),$B$165=1),$Q$294,HLOOKUP(INDIRECT(ADDRESS(2,COLUMN())),OFFSET($R$2,0,0,ROW()-1,12),ROW()-1,FALSE))</f>
        <v>919.70600000000002</v>
      </c>
      <c r="R140">
        <f>1647.482</f>
        <v>1647.482</v>
      </c>
      <c r="S140">
        <f>1596.145</f>
        <v>1596.145</v>
      </c>
      <c r="T140">
        <f>1492.117</f>
        <v>1492.117</v>
      </c>
      <c r="U140">
        <f>1422.247</f>
        <v>1422.2470000000001</v>
      </c>
      <c r="V140">
        <f>1338.225</f>
        <v>1338.2249999999999</v>
      </c>
      <c r="W140">
        <f>1262.596</f>
        <v>1262.596</v>
      </c>
      <c r="X140">
        <f>1195.935</f>
        <v>1195.9349999999999</v>
      </c>
      <c r="Y140">
        <f>1112.803</f>
        <v>1112.8030000000001</v>
      </c>
      <c r="Z140">
        <f>1055.348</f>
        <v>1055.348</v>
      </c>
      <c r="AA140">
        <f>974.947</f>
        <v>974.947</v>
      </c>
      <c r="AB140">
        <f>985.145</f>
        <v>985.14499999999998</v>
      </c>
      <c r="AC140">
        <f>919.706</f>
        <v>919.70600000000002</v>
      </c>
    </row>
    <row r="141" spans="1:29" x14ac:dyDescent="0.25">
      <c r="A141" t="str">
        <f>"    Genpact Ltd"</f>
        <v xml:space="preserve">    Genpact Ltd</v>
      </c>
      <c r="B141" t="str">
        <f>"G US Equity"</f>
        <v>G US Equity</v>
      </c>
      <c r="C141" t="str">
        <f t="shared" si="21"/>
        <v>RR007</v>
      </c>
      <c r="D141" t="str">
        <f t="shared" si="22"/>
        <v>TOTAL_EQUITY</v>
      </c>
      <c r="E141" t="str">
        <f t="shared" si="23"/>
        <v>Dynamic</v>
      </c>
      <c r="F141">
        <f ca="1">IF(AND(ISNUMBER($F$295),$B$165=1),$F$295,HLOOKUP(INDIRECT(ADDRESS(2,COLUMN())),OFFSET($R$2,0,0,ROW()-1,12),ROW()-1,FALSE))</f>
        <v>1573.079</v>
      </c>
      <c r="G141">
        <f ca="1">IF(AND(ISNUMBER($G$295),$B$165=1),$G$295,HLOOKUP(INDIRECT(ADDRESS(2,COLUMN())),OFFSET($R$2,0,0,ROW()-1,12),ROW()-1,FALSE))</f>
        <v>1689.171</v>
      </c>
      <c r="H141">
        <f ca="1">IF(AND(ISNUMBER($H$295),$B$165=1),$H$295,HLOOKUP(INDIRECT(ADDRESS(2,COLUMN())),OFFSET($R$2,0,0,ROW()-1,12),ROW()-1,FALSE))</f>
        <v>1605.684</v>
      </c>
      <c r="I141">
        <f ca="1">IF(AND(ISNUMBER($I$295),$B$165=1),$I$295,HLOOKUP(INDIRECT(ADDRESS(2,COLUMN())),OFFSET($R$2,0,0,ROW()-1,12),ROW()-1,FALSE))</f>
        <v>1583.37</v>
      </c>
      <c r="J141">
        <f ca="1">IF(AND(ISNUMBER($J$295),$B$165=1),$J$295,HLOOKUP(INDIRECT(ADDRESS(2,COLUMN())),OFFSET($R$2,0,0,ROW()-1,12),ROW()-1,FALSE))</f>
        <v>1495.1690000000001</v>
      </c>
      <c r="K141">
        <f ca="1">IF(AND(ISNUMBER($K$295),$B$165=1),$K$295,HLOOKUP(INDIRECT(ADDRESS(2,COLUMN())),OFFSET($R$2,0,0,ROW()-1,12),ROW()-1,FALSE))</f>
        <v>1404.182</v>
      </c>
      <c r="L141">
        <f ca="1">IF(AND(ISNUMBER($L$295),$B$165=1),$L$295,HLOOKUP(INDIRECT(ADDRESS(2,COLUMN())),OFFSET($R$2,0,0,ROW()-1,12),ROW()-1,FALSE))</f>
        <v>1285.018</v>
      </c>
      <c r="M141">
        <f ca="1">IF(AND(ISNUMBER($M$295),$B$165=1),$M$295,HLOOKUP(INDIRECT(ADDRESS(2,COLUMN())),OFFSET($R$2,0,0,ROW()-1,12),ROW()-1,FALSE))</f>
        <v>1296.425</v>
      </c>
      <c r="N141">
        <f ca="1">IF(AND(ISNUMBER($N$295),$B$165=1),$N$295,HLOOKUP(INDIRECT(ADDRESS(2,COLUMN())),OFFSET($R$2,0,0,ROW()-1,12),ROW()-1,FALSE))</f>
        <v>1365.9970000000001</v>
      </c>
      <c r="O141">
        <f ca="1">IF(AND(ISNUMBER($O$295),$B$165=1),$O$295,HLOOKUP(INDIRECT(ADDRESS(2,COLUMN())),OFFSET($R$2,0,0,ROW()-1,12),ROW()-1,FALSE))</f>
        <v>1428.7940000000001</v>
      </c>
      <c r="P141">
        <f ca="1">IF(AND(ISNUMBER($P$295),$B$165=1),$P$295,HLOOKUP(INDIRECT(ADDRESS(2,COLUMN())),OFFSET($R$2,0,0,ROW()-1,12),ROW()-1,FALSE))</f>
        <v>1318.192</v>
      </c>
      <c r="Q141">
        <f ca="1">IF(AND(ISNUMBER($Q$295),$B$165=1),$Q$295,HLOOKUP(INDIRECT(ADDRESS(2,COLUMN())),OFFSET($R$2,0,0,ROW()-1,12),ROW()-1,FALSE))</f>
        <v>1263.0999999999999</v>
      </c>
      <c r="R141">
        <f>1573.079</f>
        <v>1573.079</v>
      </c>
      <c r="S141">
        <f>1689.171</f>
        <v>1689.171</v>
      </c>
      <c r="T141">
        <f>1605.684</f>
        <v>1605.684</v>
      </c>
      <c r="U141">
        <f>1583.37</f>
        <v>1583.37</v>
      </c>
      <c r="V141">
        <f>1495.169</f>
        <v>1495.1690000000001</v>
      </c>
      <c r="W141">
        <f>1404.182</f>
        <v>1404.182</v>
      </c>
      <c r="X141">
        <f>1285.018</f>
        <v>1285.018</v>
      </c>
      <c r="Y141">
        <f>1296.425</f>
        <v>1296.425</v>
      </c>
      <c r="Z141">
        <f>1365.997</f>
        <v>1365.9970000000001</v>
      </c>
      <c r="AA141">
        <f>1428.794</f>
        <v>1428.7940000000001</v>
      </c>
      <c r="AB141">
        <f>1318.192</f>
        <v>1318.192</v>
      </c>
      <c r="AC141">
        <f>1263.1</f>
        <v>1263.0999999999999</v>
      </c>
    </row>
    <row r="142" spans="1:29" x14ac:dyDescent="0.25">
      <c r="A142" t="str">
        <f>"    HCL Technologies Ltd"</f>
        <v xml:space="preserve">    HCL Technologies Ltd</v>
      </c>
      <c r="B142" t="str">
        <f>"HCLT IN Equity"</f>
        <v>HCLT IN Equity</v>
      </c>
      <c r="C142" t="str">
        <f t="shared" si="21"/>
        <v>RR007</v>
      </c>
      <c r="D142" t="str">
        <f t="shared" si="22"/>
        <v>TOTAL_EQUITY</v>
      </c>
      <c r="E142" t="str">
        <f t="shared" si="23"/>
        <v>Dynamic</v>
      </c>
      <c r="F142">
        <f ca="1">IF(AND(ISNUMBER($F$296),$B$165=1),$F$296,HLOOKUP(INDIRECT(ADDRESS(2,COLUMN())),OFFSET($R$2,0,0,ROW()-1,12),ROW()-1,FALSE))</f>
        <v>6900.7160000000003</v>
      </c>
      <c r="G142">
        <f ca="1">IF(AND(ISNUMBER($G$296),$B$165=1),$G$296,HLOOKUP(INDIRECT(ADDRESS(2,COLUMN())),OFFSET($R$2,0,0,ROW()-1,12),ROW()-1,FALSE))</f>
        <v>6944</v>
      </c>
      <c r="H142">
        <f ca="1">IF(AND(ISNUMBER($H$296),$B$165=1),$H$296,HLOOKUP(INDIRECT(ADDRESS(2,COLUMN())),OFFSET($R$2,0,0,ROW()-1,12),ROW()-1,FALSE))</f>
        <v>6563.7</v>
      </c>
      <c r="I142">
        <f ca="1">IF(AND(ISNUMBER($I$296),$B$165=1),$I$296,HLOOKUP(INDIRECT(ADDRESS(2,COLUMN())),OFFSET($R$2,0,0,ROW()-1,12),ROW()-1,FALSE))</f>
        <v>6109.1</v>
      </c>
      <c r="J142">
        <f ca="1">IF(AND(ISNUMBER($J$296),$B$165=1),$J$296,HLOOKUP(INDIRECT(ADDRESS(2,COLUMN())),OFFSET($R$2,0,0,ROW()-1,12),ROW()-1,FALSE))</f>
        <v>6109.1189999999997</v>
      </c>
      <c r="K142">
        <f ca="1">IF(AND(ISNUMBER($K$296),$B$165=1),$K$296,HLOOKUP(INDIRECT(ADDRESS(2,COLUMN())),OFFSET($R$2,0,0,ROW()-1,12),ROW()-1,FALSE))</f>
        <v>5720.4</v>
      </c>
      <c r="L142">
        <f ca="1">IF(AND(ISNUMBER($L$296),$B$165=1),$L$296,HLOOKUP(INDIRECT(ADDRESS(2,COLUMN())),OFFSET($R$2,0,0,ROW()-1,12),ROW()-1,FALSE))</f>
        <v>5774.5</v>
      </c>
      <c r="M142">
        <f ca="1">IF(AND(ISNUMBER($M$296),$B$165=1),$M$296,HLOOKUP(INDIRECT(ADDRESS(2,COLUMN())),OFFSET($R$2,0,0,ROW()-1,12),ROW()-1,FALSE))</f>
        <v>5677.8</v>
      </c>
      <c r="N142">
        <f ca="1">IF(AND(ISNUMBER($N$296),$B$165=1),$N$296,HLOOKUP(INDIRECT(ADDRESS(2,COLUMN())),OFFSET($R$2,0,0,ROW()-1,12),ROW()-1,FALSE))</f>
        <v>5585.8151669999997</v>
      </c>
      <c r="O142">
        <f ca="1">IF(AND(ISNUMBER($O$296),$B$165=1),$O$296,HLOOKUP(INDIRECT(ADDRESS(2,COLUMN())),OFFSET($R$2,0,0,ROW()-1,12),ROW()-1,FALSE))</f>
        <v>5437.8</v>
      </c>
      <c r="P142">
        <f ca="1">IF(AND(ISNUMBER($P$296),$B$165=1),$P$296,HLOOKUP(INDIRECT(ADDRESS(2,COLUMN())),OFFSET($R$2,0,0,ROW()-1,12),ROW()-1,FALSE))</f>
        <v>5056</v>
      </c>
      <c r="Q142">
        <f ca="1">IF(AND(ISNUMBER($Q$296),$B$165=1),$Q$296,HLOOKUP(INDIRECT(ADDRESS(2,COLUMN())),OFFSET($R$2,0,0,ROW()-1,12),ROW()-1,FALSE))</f>
        <v>5374.9</v>
      </c>
      <c r="R142">
        <f>6900.716</f>
        <v>6900.7160000000003</v>
      </c>
      <c r="S142">
        <f>6944</f>
        <v>6944</v>
      </c>
      <c r="T142">
        <f>6563.7</f>
        <v>6563.7</v>
      </c>
      <c r="U142">
        <f>6109.1</f>
        <v>6109.1</v>
      </c>
      <c r="V142">
        <f>6109.119</f>
        <v>6109.1189999999997</v>
      </c>
      <c r="W142">
        <f>5720.4</f>
        <v>5720.4</v>
      </c>
      <c r="X142">
        <f>5774.5</f>
        <v>5774.5</v>
      </c>
      <c r="Y142">
        <f>5677.8</f>
        <v>5677.8</v>
      </c>
      <c r="Z142">
        <f>5585.815167</f>
        <v>5585.8151669999997</v>
      </c>
      <c r="AA142">
        <f>5437.8</f>
        <v>5437.8</v>
      </c>
      <c r="AB142">
        <f>5056</f>
        <v>5056</v>
      </c>
      <c r="AC142">
        <f>5374.9</f>
        <v>5374.9</v>
      </c>
    </row>
    <row r="143" spans="1:29" x14ac:dyDescent="0.25">
      <c r="A143" t="str">
        <f>"    Indra Sistemas SA"</f>
        <v xml:space="preserve">    Indra Sistemas SA</v>
      </c>
      <c r="B143" t="str">
        <f>"IDR SM Equity"</f>
        <v>IDR SM Equity</v>
      </c>
      <c r="C143" t="str">
        <f t="shared" si="21"/>
        <v>RR007</v>
      </c>
      <c r="D143" t="str">
        <f t="shared" si="22"/>
        <v>TOTAL_EQUITY</v>
      </c>
      <c r="E143" t="str">
        <f t="shared" si="23"/>
        <v>Dynamic</v>
      </c>
      <c r="F143">
        <f ca="1">IF(AND(ISNUMBER($F$297),$B$165=1),$F$297,HLOOKUP(INDIRECT(ADDRESS(2,COLUMN())),OFFSET($R$2,0,0,ROW()-1,12),ROW()-1,FALSE))</f>
        <v>848.38742999999999</v>
      </c>
      <c r="G143">
        <f ca="1">IF(AND(ISNUMBER($G$297),$B$165=1),$G$297,HLOOKUP(INDIRECT(ADDRESS(2,COLUMN())),OFFSET($R$2,0,0,ROW()-1,12),ROW()-1,FALSE))</f>
        <v>899.16554369999994</v>
      </c>
      <c r="H143">
        <f ca="1">IF(AND(ISNUMBER($H$297),$B$165=1),$H$297,HLOOKUP(INDIRECT(ADDRESS(2,COLUMN())),OFFSET($R$2,0,0,ROW()-1,12),ROW()-1,FALSE))</f>
        <v>807.58520999999996</v>
      </c>
      <c r="I143">
        <f ca="1">IF(AND(ISNUMBER($I$297),$B$165=1),$I$297,HLOOKUP(INDIRECT(ADDRESS(2,COLUMN())),OFFSET($R$2,0,0,ROW()-1,12),ROW()-1,FALSE))</f>
        <v>817.33457320000002</v>
      </c>
      <c r="J143">
        <f ca="1">IF(AND(ISNUMBER($J$297),$B$165=1),$J$297,HLOOKUP(INDIRECT(ADDRESS(2,COLUMN())),OFFSET($R$2,0,0,ROW()-1,12),ROW()-1,FALSE))</f>
        <v>788.72409000000005</v>
      </c>
      <c r="K143">
        <f ca="1">IF(AND(ISNUMBER($K$297),$B$165=1),$K$297,HLOOKUP(INDIRECT(ADDRESS(2,COLUMN())),OFFSET($R$2,0,0,ROW()-1,12),ROW()-1,FALSE))</f>
        <v>776.08715240000004</v>
      </c>
      <c r="L143">
        <f ca="1">IF(AND(ISNUMBER($L$297),$B$165=1),$L$297,HLOOKUP(INDIRECT(ADDRESS(2,COLUMN())),OFFSET($R$2,0,0,ROW()-1,12),ROW()-1,FALSE))</f>
        <v>717.28063999999995</v>
      </c>
      <c r="M143">
        <f ca="1">IF(AND(ISNUMBER($M$297),$B$165=1),$M$297,HLOOKUP(INDIRECT(ADDRESS(2,COLUMN())),OFFSET($R$2,0,0,ROW()-1,12),ROW()-1,FALSE))</f>
        <v>705.07944629999997</v>
      </c>
      <c r="N143">
        <f ca="1">IF(AND(ISNUMBER($N$297),$B$165=1),$N$297,HLOOKUP(INDIRECT(ADDRESS(2,COLUMN())),OFFSET($R$2,0,0,ROW()-1,12),ROW()-1,FALSE))</f>
        <v>726.92318999999998</v>
      </c>
      <c r="O143">
        <f ca="1">IF(AND(ISNUMBER($O$297),$B$165=1),$O$297,HLOOKUP(INDIRECT(ADDRESS(2,COLUMN())),OFFSET($R$2,0,0,ROW()-1,12),ROW()-1,FALSE))</f>
        <v>780.13763500000005</v>
      </c>
      <c r="P143">
        <f ca="1">IF(AND(ISNUMBER($P$297),$B$165=1),$P$297,HLOOKUP(INDIRECT(ADDRESS(2,COLUMN())),OFFSET($R$2,0,0,ROW()-1,12),ROW()-1,FALSE))</f>
        <v>706.40954999999997</v>
      </c>
      <c r="Q143">
        <f ca="1">IF(AND(ISNUMBER($Q$297),$B$165=1),$Q$297,HLOOKUP(INDIRECT(ADDRESS(2,COLUMN())),OFFSET($R$2,0,0,ROW()-1,12),ROW()-1,FALSE))</f>
        <v>633.69312939999998</v>
      </c>
      <c r="R143">
        <f>848.38743</f>
        <v>848.38742999999999</v>
      </c>
      <c r="S143">
        <f>899.1655437</f>
        <v>899.16554369999994</v>
      </c>
      <c r="T143">
        <f>807.58521</f>
        <v>807.58520999999996</v>
      </c>
      <c r="U143">
        <f>817.3345732</f>
        <v>817.33457320000002</v>
      </c>
      <c r="V143">
        <f>788.72409</f>
        <v>788.72409000000005</v>
      </c>
      <c r="W143">
        <f>776.0871524</f>
        <v>776.08715240000004</v>
      </c>
      <c r="X143">
        <f>717.28064</f>
        <v>717.28063999999995</v>
      </c>
      <c r="Y143">
        <f>705.0794463</f>
        <v>705.07944629999997</v>
      </c>
      <c r="Z143">
        <f>726.92319</f>
        <v>726.92318999999998</v>
      </c>
      <c r="AA143">
        <f>780.137635</f>
        <v>780.13763500000005</v>
      </c>
      <c r="AB143">
        <f>706.40955</f>
        <v>706.40954999999997</v>
      </c>
      <c r="AC143">
        <f>633.6931294</f>
        <v>633.69312939999998</v>
      </c>
    </row>
    <row r="144" spans="1:29" x14ac:dyDescent="0.25">
      <c r="A144" t="str">
        <f>"    Infosys Ltd"</f>
        <v xml:space="preserve">    Infosys Ltd</v>
      </c>
      <c r="B144" t="str">
        <f>"INFY US Equity"</f>
        <v>INFY US Equity</v>
      </c>
      <c r="C144" t="str">
        <f t="shared" si="21"/>
        <v>RR007</v>
      </c>
      <c r="D144" t="str">
        <f t="shared" si="22"/>
        <v>TOTAL_EQUITY</v>
      </c>
      <c r="E144" t="str">
        <f t="shared" si="23"/>
        <v>Dynamic</v>
      </c>
      <c r="F144">
        <f ca="1">IF(AND(ISNUMBER($F$298),$B$165=1),$F$298,HLOOKUP(INDIRECT(ADDRESS(2,COLUMN())),OFFSET($R$2,0,0,ROW()-1,12),ROW()-1,FALSE))</f>
        <v>8735.6730530000004</v>
      </c>
      <c r="G144">
        <f ca="1">IF(AND(ISNUMBER($G$298),$B$165=1),$G$298,HLOOKUP(INDIRECT(ADDRESS(2,COLUMN())),OFFSET($R$2,0,0,ROW()-1,12),ROW()-1,FALSE))</f>
        <v>8596.9013470000009</v>
      </c>
      <c r="H144">
        <f ca="1">IF(AND(ISNUMBER($H$298),$B$165=1),$H$298,HLOOKUP(INDIRECT(ADDRESS(2,COLUMN())),OFFSET($R$2,0,0,ROW()-1,12),ROW()-1,FALSE))</f>
        <v>8615.0123459999995</v>
      </c>
      <c r="I144">
        <f ca="1">IF(AND(ISNUMBER($I$298),$B$165=1),$I$298,HLOOKUP(INDIRECT(ADDRESS(2,COLUMN())),OFFSET($R$2,0,0,ROW()-1,12),ROW()-1,FALSE))</f>
        <v>8248.7388809999993</v>
      </c>
      <c r="J144">
        <f ca="1">IF(AND(ISNUMBER($J$298),$B$165=1),$J$298,HLOOKUP(INDIRECT(ADDRESS(2,COLUMN())),OFFSET($R$2,0,0,ROW()-1,12),ROW()-1,FALSE))</f>
        <v>9377.2223770000001</v>
      </c>
      <c r="K144">
        <f ca="1">IF(AND(ISNUMBER($K$298),$B$165=1),$K$298,HLOOKUP(INDIRECT(ADDRESS(2,COLUMN())),OFFSET($R$2,0,0,ROW()-1,12),ROW()-1,FALSE))</f>
        <v>9332.3288850000008</v>
      </c>
      <c r="L144">
        <f ca="1">IF(AND(ISNUMBER($L$298),$B$165=1),$L$298,HLOOKUP(INDIRECT(ADDRESS(2,COLUMN())),OFFSET($R$2,0,0,ROW()-1,12),ROW()-1,FALSE))</f>
        <v>8979.9378359999992</v>
      </c>
      <c r="M144">
        <f ca="1">IF(AND(ISNUMBER($M$298),$B$165=1),$M$298,HLOOKUP(INDIRECT(ADDRESS(2,COLUMN())),OFFSET($R$2,0,0,ROW()-1,12),ROW()-1,FALSE))</f>
        <v>8862.5045640000008</v>
      </c>
      <c r="N144">
        <f ca="1">IF(AND(ISNUMBER($N$298),$B$165=1),$N$298,HLOOKUP(INDIRECT(ADDRESS(2,COLUMN())),OFFSET($R$2,0,0,ROW()-1,12),ROW()-1,FALSE))</f>
        <v>9966.8406510000004</v>
      </c>
      <c r="O144">
        <f ca="1">IF(AND(ISNUMBER($O$298),$B$165=1),$O$298,HLOOKUP(INDIRECT(ADDRESS(2,COLUMN())),OFFSET($R$2,0,0,ROW()-1,12),ROW()-1,FALSE))</f>
        <v>9549.3449639999999</v>
      </c>
      <c r="P144">
        <f ca="1">IF(AND(ISNUMBER($P$298),$B$165=1),$P$298,HLOOKUP(INDIRECT(ADDRESS(2,COLUMN())),OFFSET($R$2,0,0,ROW()-1,12),ROW()-1,FALSE))</f>
        <v>11074.215759999999</v>
      </c>
      <c r="Q144">
        <f ca="1">IF(AND(ISNUMBER($Q$298),$B$165=1),$Q$298,HLOOKUP(INDIRECT(ADDRESS(2,COLUMN())),OFFSET($R$2,0,0,ROW()-1,12),ROW()-1,FALSE))</f>
        <v>10602.61622</v>
      </c>
      <c r="R144">
        <f>8735.673053</f>
        <v>8735.6730530000004</v>
      </c>
      <c r="S144">
        <f>8596.901347</f>
        <v>8596.9013470000009</v>
      </c>
      <c r="T144">
        <f>8615.012346</f>
        <v>8615.0123459999995</v>
      </c>
      <c r="U144">
        <f>8248.738881</f>
        <v>8248.7388809999993</v>
      </c>
      <c r="V144">
        <f>9377.222377</f>
        <v>9377.2223770000001</v>
      </c>
      <c r="W144">
        <f>9332.328885</f>
        <v>9332.3288850000008</v>
      </c>
      <c r="X144">
        <f>8979.937836</f>
        <v>8979.9378359999992</v>
      </c>
      <c r="Y144">
        <f>8862.504564</f>
        <v>8862.5045640000008</v>
      </c>
      <c r="Z144">
        <f>9966.840651</f>
        <v>9966.8406510000004</v>
      </c>
      <c r="AA144">
        <f>9549.344964</f>
        <v>9549.3449639999999</v>
      </c>
      <c r="AB144">
        <f>11074.21576</f>
        <v>11074.215759999999</v>
      </c>
      <c r="AC144">
        <f>10602.61622</f>
        <v>10602.61622</v>
      </c>
    </row>
    <row r="145" spans="1:29" x14ac:dyDescent="0.25">
      <c r="A145" t="str">
        <f>"    International Business Machines Corp"</f>
        <v xml:space="preserve">    International Business Machines Corp</v>
      </c>
      <c r="B145" t="str">
        <f>"IBM US Equity"</f>
        <v>IBM US Equity</v>
      </c>
      <c r="C145" t="str">
        <f t="shared" si="21"/>
        <v>RR007</v>
      </c>
      <c r="D145" t="str">
        <f t="shared" si="22"/>
        <v>TOTAL_EQUITY</v>
      </c>
      <c r="E145" t="str">
        <f t="shared" si="23"/>
        <v>Dynamic</v>
      </c>
      <c r="F145">
        <f ca="1">IF(AND(ISNUMBER($F$299),$B$165=1),$F$299,HLOOKUP(INDIRECT(ADDRESS(2,COLUMN())),OFFSET($R$2,0,0,ROW()-1,12),ROW()-1,FALSE))</f>
        <v>20128</v>
      </c>
      <c r="G145">
        <f ca="1">IF(AND(ISNUMBER($G$299),$B$165=1),$G$299,HLOOKUP(INDIRECT(ADDRESS(2,COLUMN())),OFFSET($R$2,0,0,ROW()-1,12),ROW()-1,FALSE))</f>
        <v>20984</v>
      </c>
      <c r="H145">
        <f ca="1">IF(AND(ISNUMBER($H$299),$B$165=1),$H$299,HLOOKUP(INDIRECT(ADDRESS(2,COLUMN())),OFFSET($R$2,0,0,ROW()-1,12),ROW()-1,FALSE))</f>
        <v>18096</v>
      </c>
      <c r="I145">
        <f ca="1">IF(AND(ISNUMBER($I$299),$B$165=1),$I$299,HLOOKUP(INDIRECT(ADDRESS(2,COLUMN())),OFFSET($R$2,0,0,ROW()-1,12),ROW()-1,FALSE))</f>
        <v>17776</v>
      </c>
      <c r="J145">
        <f ca="1">IF(AND(ISNUMBER($J$299),$B$165=1),$J$299,HLOOKUP(INDIRECT(ADDRESS(2,COLUMN())),OFFSET($R$2,0,0,ROW()-1,12),ROW()-1,FALSE))</f>
        <v>16606</v>
      </c>
      <c r="K145">
        <f ca="1">IF(AND(ISNUMBER($K$299),$B$165=1),$K$299,HLOOKUP(INDIRECT(ADDRESS(2,COLUMN())),OFFSET($R$2,0,0,ROW()-1,12),ROW()-1,FALSE))</f>
        <v>16930</v>
      </c>
      <c r="L145">
        <f ca="1">IF(AND(ISNUMBER($L$299),$B$165=1),$L$299,HLOOKUP(INDIRECT(ADDRESS(2,COLUMN())),OFFSET($R$2,0,0,ROW()-1,12),ROW()-1,FALSE))</f>
        <v>19919</v>
      </c>
      <c r="M145">
        <f ca="1">IF(AND(ISNUMBER($M$299),$B$165=1),$M$299,HLOOKUP(INDIRECT(ADDRESS(2,COLUMN())),OFFSET($R$2,0,0,ROW()-1,12),ROW()-1,FALSE))</f>
        <v>18648</v>
      </c>
      <c r="N145">
        <f ca="1">IF(AND(ISNUMBER($N$299),$B$165=1),$N$299,HLOOKUP(INDIRECT(ADDRESS(2,COLUMN())),OFFSET($R$2,0,0,ROW()-1,12),ROW()-1,FALSE))</f>
        <v>18290</v>
      </c>
      <c r="O145">
        <f ca="1">IF(AND(ISNUMBER($O$299),$B$165=1),$O$299,HLOOKUP(INDIRECT(ADDRESS(2,COLUMN())),OFFSET($R$2,0,0,ROW()-1,12),ROW()-1,FALSE))</f>
        <v>17725</v>
      </c>
      <c r="P145">
        <f ca="1">IF(AND(ISNUMBER($P$299),$B$165=1),$P$299,HLOOKUP(INDIRECT(ADDRESS(2,COLUMN())),OFFSET($R$2,0,0,ROW()-1,12),ROW()-1,FALSE))</f>
        <v>19757</v>
      </c>
      <c r="Q145">
        <f ca="1">IF(AND(ISNUMBER($Q$299),$B$165=1),$Q$299,HLOOKUP(INDIRECT(ADDRESS(2,COLUMN())),OFFSET($R$2,0,0,ROW()-1,12),ROW()-1,FALSE))</f>
        <v>18544</v>
      </c>
      <c r="R145">
        <f>20128</f>
        <v>20128</v>
      </c>
      <c r="S145">
        <f>20984</f>
        <v>20984</v>
      </c>
      <c r="T145">
        <f>18096</f>
        <v>18096</v>
      </c>
      <c r="U145">
        <f>17776</f>
        <v>17776</v>
      </c>
      <c r="V145">
        <f>16606</f>
        <v>16606</v>
      </c>
      <c r="W145">
        <f>16930</f>
        <v>16930</v>
      </c>
      <c r="X145">
        <f>19919</f>
        <v>19919</v>
      </c>
      <c r="Y145">
        <f>18648</f>
        <v>18648</v>
      </c>
      <c r="Z145">
        <f>18290</f>
        <v>18290</v>
      </c>
      <c r="AA145">
        <f>17725</f>
        <v>17725</v>
      </c>
      <c r="AB145">
        <f>19757</f>
        <v>19757</v>
      </c>
      <c r="AC145">
        <f>18544</f>
        <v>18544</v>
      </c>
    </row>
    <row r="146" spans="1:29" x14ac:dyDescent="0.25">
      <c r="A146" t="str">
        <f>"    Tata Consultancy Services Ltd"</f>
        <v xml:space="preserve">    Tata Consultancy Services Ltd</v>
      </c>
      <c r="B146" t="str">
        <f>"TCS IN Equity"</f>
        <v>TCS IN Equity</v>
      </c>
      <c r="C146" t="str">
        <f t="shared" si="21"/>
        <v>RR007</v>
      </c>
      <c r="D146" t="str">
        <f t="shared" si="22"/>
        <v>TOTAL_EQUITY</v>
      </c>
      <c r="E146" t="str">
        <f t="shared" si="23"/>
        <v>Dynamic</v>
      </c>
      <c r="F146">
        <f ca="1">IF(AND(ISNUMBER($F$300),$B$165=1),$F$300,HLOOKUP(INDIRECT(ADDRESS(2,COLUMN())),OFFSET($R$2,0,0,ROW()-1,12),ROW()-1,FALSE))</f>
        <v>11524.311530000001</v>
      </c>
      <c r="G146">
        <f ca="1">IF(AND(ISNUMBER($G$300),$B$165=1),$G$300,HLOOKUP(INDIRECT(ADDRESS(2,COLUMN())),OFFSET($R$2,0,0,ROW()-1,12),ROW()-1,FALSE))</f>
        <v>12038.975350000001</v>
      </c>
      <c r="H146">
        <f ca="1">IF(AND(ISNUMBER($H$300),$B$165=1),$H$300,HLOOKUP(INDIRECT(ADDRESS(2,COLUMN())),OFFSET($R$2,0,0,ROW()-1,12),ROW()-1,FALSE))</f>
        <v>13820.30183</v>
      </c>
      <c r="I146">
        <f ca="1">IF(AND(ISNUMBER($I$300),$B$165=1),$I$300,HLOOKUP(INDIRECT(ADDRESS(2,COLUMN())),OFFSET($R$2,0,0,ROW()-1,12),ROW()-1,FALSE))</f>
        <v>13338.3338</v>
      </c>
      <c r="J146">
        <f ca="1">IF(AND(ISNUMBER($J$300),$B$165=1),$J$300,HLOOKUP(INDIRECT(ADDRESS(2,COLUMN())),OFFSET($R$2,0,0,ROW()-1,12),ROW()-1,FALSE))</f>
        <v>13272.44952</v>
      </c>
      <c r="K146">
        <f ca="1">IF(AND(ISNUMBER($K$300),$B$165=1),$K$300,HLOOKUP(INDIRECT(ADDRESS(2,COLUMN())),OFFSET($R$2,0,0,ROW()-1,12),ROW()-1,FALSE))</f>
        <v>12304.7783</v>
      </c>
      <c r="L146">
        <f ca="1">IF(AND(ISNUMBER($L$300),$B$165=1),$L$300,HLOOKUP(INDIRECT(ADDRESS(2,COLUMN())),OFFSET($R$2,0,0,ROW()-1,12),ROW()-1,FALSE))</f>
        <v>10845.69845</v>
      </c>
      <c r="M146">
        <f ca="1">IF(AND(ISNUMBER($M$300),$B$165=1),$M$300,HLOOKUP(INDIRECT(ADDRESS(2,COLUMN())),OFFSET($R$2,0,0,ROW()-1,12),ROW()-1,FALSE))</f>
        <v>12878.71486</v>
      </c>
      <c r="N146">
        <f ca="1">IF(AND(ISNUMBER($N$300),$B$165=1),$N$300,HLOOKUP(INDIRECT(ADDRESS(2,COLUMN())),OFFSET($R$2,0,0,ROW()-1,12),ROW()-1,FALSE))</f>
        <v>13454.55941</v>
      </c>
      <c r="O146">
        <f ca="1">IF(AND(ISNUMBER($O$300),$B$165=1),$O$300,HLOOKUP(INDIRECT(ADDRESS(2,COLUMN())),OFFSET($R$2,0,0,ROW()-1,12),ROW()-1,FALSE))</f>
        <v>12834.624089999999</v>
      </c>
      <c r="P146">
        <f ca="1">IF(AND(ISNUMBER($P$300),$B$165=1),$P$300,HLOOKUP(INDIRECT(ADDRESS(2,COLUMN())),OFFSET($R$2,0,0,ROW()-1,12),ROW()-1,FALSE))</f>
        <v>11862.28003</v>
      </c>
      <c r="Q146">
        <f ca="1">IF(AND(ISNUMBER($Q$300),$B$165=1),$Q$300,HLOOKUP(INDIRECT(ADDRESS(2,COLUMN())),OFFSET($R$2,0,0,ROW()-1,12),ROW()-1,FALSE))</f>
        <v>11246.071260000001</v>
      </c>
      <c r="R146">
        <f>11524.31153</f>
        <v>11524.311530000001</v>
      </c>
      <c r="S146">
        <f>12038.97535</f>
        <v>12038.975350000001</v>
      </c>
      <c r="T146">
        <f>13820.30183</f>
        <v>13820.30183</v>
      </c>
      <c r="U146">
        <f>13338.3338</f>
        <v>13338.3338</v>
      </c>
      <c r="V146">
        <f>13272.44952</f>
        <v>13272.44952</v>
      </c>
      <c r="W146">
        <f>12304.7783</f>
        <v>12304.7783</v>
      </c>
      <c r="X146">
        <f>10845.69845</f>
        <v>10845.69845</v>
      </c>
      <c r="Y146">
        <f>12878.71486</f>
        <v>12878.71486</v>
      </c>
      <c r="Z146">
        <f>13454.55941</f>
        <v>13454.55941</v>
      </c>
      <c r="AA146">
        <f>12834.62409</f>
        <v>12834.624089999999</v>
      </c>
      <c r="AB146">
        <f>11862.28003</f>
        <v>11862.28003</v>
      </c>
      <c r="AC146">
        <f>11246.07126</f>
        <v>11246.071260000001</v>
      </c>
    </row>
    <row r="147" spans="1:29" x14ac:dyDescent="0.25">
      <c r="A147" t="str">
        <f>"    Tech Mahindra Ltd"</f>
        <v xml:space="preserve">    Tech Mahindra Ltd</v>
      </c>
      <c r="B147" t="str">
        <f>"TECHM IN Equity"</f>
        <v>TECHM IN Equity</v>
      </c>
      <c r="C147" t="str">
        <f t="shared" si="21"/>
        <v>RR007</v>
      </c>
      <c r="D147" t="str">
        <f t="shared" si="22"/>
        <v>TOTAL_EQUITY</v>
      </c>
      <c r="E147" t="str">
        <f t="shared" si="23"/>
        <v>Dynamic</v>
      </c>
      <c r="F147">
        <f ca="1">IF(AND(ISNUMBER($F$301),$B$165=1),$F$301,HLOOKUP(INDIRECT(ADDRESS(2,COLUMN())),OFFSET($R$2,0,0,ROW()-1,12),ROW()-1,FALSE))</f>
        <v>2946.1700700000001</v>
      </c>
      <c r="G147">
        <f ca="1">IF(AND(ISNUMBER($G$301),$B$165=1),$G$301,HLOOKUP(INDIRECT(ADDRESS(2,COLUMN())),OFFSET($R$2,0,0,ROW()-1,12),ROW()-1,FALSE))</f>
        <v>3160.611868</v>
      </c>
      <c r="H147">
        <f ca="1">IF(AND(ISNUMBER($H$301),$B$165=1),$H$301,HLOOKUP(INDIRECT(ADDRESS(2,COLUMN())),OFFSET($R$2,0,0,ROW()-1,12),ROW()-1,FALSE))</f>
        <v>3026.9287450000002</v>
      </c>
      <c r="I147">
        <f ca="1">IF(AND(ISNUMBER($I$301),$B$165=1),$I$301,HLOOKUP(INDIRECT(ADDRESS(2,COLUMN())),OFFSET($R$2,0,0,ROW()-1,12),ROW()-1,FALSE))</f>
        <v>3142.7497830000002</v>
      </c>
      <c r="J147">
        <f ca="1">IF(AND(ISNUMBER($J$301),$B$165=1),$J$301,HLOOKUP(INDIRECT(ADDRESS(2,COLUMN())),OFFSET($R$2,0,0,ROW()-1,12),ROW()-1,FALSE))</f>
        <v>2994.9670599999999</v>
      </c>
      <c r="K147">
        <f ca="1">IF(AND(ISNUMBER($K$301),$B$165=1),$K$301,HLOOKUP(INDIRECT(ADDRESS(2,COLUMN())),OFFSET($R$2,0,0,ROW()-1,12),ROW()-1,FALSE))</f>
        <v>3057.2535509999998</v>
      </c>
      <c r="L147">
        <f ca="1">IF(AND(ISNUMBER($L$301),$B$165=1),$L$301,HLOOKUP(INDIRECT(ADDRESS(2,COLUMN())),OFFSET($R$2,0,0,ROW()-1,12),ROW()-1,FALSE))</f>
        <v>2732.1773410000001</v>
      </c>
      <c r="M147">
        <f ca="1">IF(AND(ISNUMBER($M$301),$B$165=1),$M$301,HLOOKUP(INDIRECT(ADDRESS(2,COLUMN())),OFFSET($R$2,0,0,ROW()-1,12),ROW()-1,FALSE))</f>
        <v>3026.0240960000001</v>
      </c>
      <c r="N147">
        <f ca="1">IF(AND(ISNUMBER($N$301),$B$165=1),$N$301,HLOOKUP(INDIRECT(ADDRESS(2,COLUMN())),OFFSET($R$2,0,0,ROW()-1,12),ROW()-1,FALSE))</f>
        <v>2970.8167020000001</v>
      </c>
      <c r="O147">
        <f ca="1">IF(AND(ISNUMBER($O$301),$B$165=1),$O$301,HLOOKUP(INDIRECT(ADDRESS(2,COLUMN())),OFFSET($R$2,0,0,ROW()-1,12),ROW()-1,FALSE))</f>
        <v>2844.4750709999998</v>
      </c>
      <c r="P147">
        <f ca="1">IF(AND(ISNUMBER($P$301),$B$165=1),$P$301,HLOOKUP(INDIRECT(ADDRESS(2,COLUMN())),OFFSET($R$2,0,0,ROW()-1,12),ROW()-1,FALSE))</f>
        <v>2699.7658759999999</v>
      </c>
      <c r="Q147">
        <f ca="1">IF(AND(ISNUMBER($Q$301),$B$165=1),$Q$301,HLOOKUP(INDIRECT(ADDRESS(2,COLUMN())),OFFSET($R$2,0,0,ROW()-1,12),ROW()-1,FALSE))</f>
        <v>2758.0203620000002</v>
      </c>
      <c r="R147">
        <f>2946.17007</f>
        <v>2946.1700700000001</v>
      </c>
      <c r="S147">
        <f>3160.611868</f>
        <v>3160.611868</v>
      </c>
      <c r="T147">
        <f>3026.928745</f>
        <v>3026.9287450000002</v>
      </c>
      <c r="U147">
        <f>3142.749783</f>
        <v>3142.7497830000002</v>
      </c>
      <c r="V147">
        <f>2994.96706</f>
        <v>2994.9670599999999</v>
      </c>
      <c r="W147">
        <f>3057.253551</f>
        <v>3057.2535509999998</v>
      </c>
      <c r="X147">
        <f>2732.177341</f>
        <v>2732.1773410000001</v>
      </c>
      <c r="Y147">
        <f>3026.024096</f>
        <v>3026.0240960000001</v>
      </c>
      <c r="Z147">
        <f>2970.816702</f>
        <v>2970.8167020000001</v>
      </c>
      <c r="AA147">
        <f>2844.475071</f>
        <v>2844.4750709999998</v>
      </c>
      <c r="AB147">
        <f>2699.765876</f>
        <v>2699.7658759999999</v>
      </c>
      <c r="AC147">
        <f>2758.020362</f>
        <v>2758.0203620000002</v>
      </c>
    </row>
    <row r="148" spans="1:29" x14ac:dyDescent="0.25">
      <c r="A148" t="str">
        <f>"    Wipro Ltd"</f>
        <v xml:space="preserve">    Wipro Ltd</v>
      </c>
      <c r="B148" t="str">
        <f>"WIT US Equity"</f>
        <v>WIT US Equity</v>
      </c>
      <c r="C148" t="str">
        <f t="shared" si="21"/>
        <v>RR007</v>
      </c>
      <c r="D148" t="str">
        <f t="shared" si="22"/>
        <v>TOTAL_EQUITY</v>
      </c>
      <c r="E148" t="str">
        <f t="shared" si="23"/>
        <v>Dynamic</v>
      </c>
      <c r="F148">
        <f ca="1">IF(AND(ISNUMBER($F$302),$B$165=1),$F$302,HLOOKUP(INDIRECT(ADDRESS(2,COLUMN())),OFFSET($R$2,0,0,ROW()-1,12),ROW()-1,FALSE))</f>
        <v>7420.797971</v>
      </c>
      <c r="G148">
        <f ca="1">IF(AND(ISNUMBER($G$302),$B$165=1),$G$302,HLOOKUP(INDIRECT(ADDRESS(2,COLUMN())),OFFSET($R$2,0,0,ROW()-1,12),ROW()-1,FALSE))</f>
        <v>7598.986304</v>
      </c>
      <c r="H148">
        <f ca="1">IF(AND(ISNUMBER($H$302),$B$165=1),$H$302,HLOOKUP(INDIRECT(ADDRESS(2,COLUMN())),OFFSET($R$2,0,0,ROW()-1,12),ROW()-1,FALSE))</f>
        <v>7306.0415890000004</v>
      </c>
      <c r="I148">
        <f ca="1">IF(AND(ISNUMBER($I$302),$B$165=1),$I$302,HLOOKUP(INDIRECT(ADDRESS(2,COLUMN())),OFFSET($R$2,0,0,ROW()-1,12),ROW()-1,FALSE))</f>
        <v>8642.1266589999996</v>
      </c>
      <c r="J148">
        <f ca="1">IF(AND(ISNUMBER($J$302),$B$165=1),$J$302,HLOOKUP(INDIRECT(ADDRESS(2,COLUMN())),OFFSET($R$2,0,0,ROW()-1,12),ROW()-1,FALSE))</f>
        <v>8233.2058629999992</v>
      </c>
      <c r="K148">
        <f ca="1">IF(AND(ISNUMBER($K$302),$B$165=1),$K$302,HLOOKUP(INDIRECT(ADDRESS(2,COLUMN())),OFFSET($R$2,0,0,ROW()-1,12),ROW()-1,FALSE))</f>
        <v>7887.4874440000003</v>
      </c>
      <c r="L148">
        <f ca="1">IF(AND(ISNUMBER($L$302),$B$165=1),$L$302,HLOOKUP(INDIRECT(ADDRESS(2,COLUMN())),OFFSET($R$2,0,0,ROW()-1,12),ROW()-1,FALSE))</f>
        <v>7213.1992639999999</v>
      </c>
      <c r="M148">
        <f ca="1">IF(AND(ISNUMBER($M$302),$B$165=1),$M$302,HLOOKUP(INDIRECT(ADDRESS(2,COLUMN())),OFFSET($R$2,0,0,ROW()-1,12),ROW()-1,FALSE))</f>
        <v>7328.5870759999998</v>
      </c>
      <c r="N148">
        <f ca="1">IF(AND(ISNUMBER($N$302),$B$165=1),$N$302,HLOOKUP(INDIRECT(ADDRESS(2,COLUMN())),OFFSET($R$2,0,0,ROW()-1,12),ROW()-1,FALSE))</f>
        <v>7450.8136320000003</v>
      </c>
      <c r="O148">
        <f ca="1">IF(AND(ISNUMBER($O$302),$B$165=1),$O$302,HLOOKUP(INDIRECT(ADDRESS(2,COLUMN())),OFFSET($R$2,0,0,ROW()-1,12),ROW()-1,FALSE))</f>
        <v>7405.3859350000002</v>
      </c>
      <c r="P148">
        <f ca="1">IF(AND(ISNUMBER($P$302),$B$165=1),$P$302,HLOOKUP(INDIRECT(ADDRESS(2,COLUMN())),OFFSET($R$2,0,0,ROW()-1,12),ROW()-1,FALSE))</f>
        <v>8644.1469010000001</v>
      </c>
      <c r="Q148">
        <f ca="1">IF(AND(ISNUMBER($Q$302),$B$165=1),$Q$302,HLOOKUP(INDIRECT(ADDRESS(2,COLUMN())),OFFSET($R$2,0,0,ROW()-1,12),ROW()-1,FALSE))</f>
        <v>8405.3828620000004</v>
      </c>
      <c r="R148">
        <f>7420.797971</f>
        <v>7420.797971</v>
      </c>
      <c r="S148">
        <f>7598.986304</f>
        <v>7598.986304</v>
      </c>
      <c r="T148">
        <f>7306.041589</f>
        <v>7306.0415890000004</v>
      </c>
      <c r="U148">
        <f>8642.126659</f>
        <v>8642.1266589999996</v>
      </c>
      <c r="V148">
        <f>8233.205863</f>
        <v>8233.2058629999992</v>
      </c>
      <c r="W148">
        <f>7887.487444</f>
        <v>7887.4874440000003</v>
      </c>
      <c r="X148">
        <f>7213.199264</f>
        <v>7213.1992639999999</v>
      </c>
      <c r="Y148">
        <f>7328.587076</f>
        <v>7328.5870759999998</v>
      </c>
      <c r="Z148">
        <f>7450.813632</f>
        <v>7450.8136320000003</v>
      </c>
      <c r="AA148">
        <f>7405.385935</f>
        <v>7405.3859350000002</v>
      </c>
      <c r="AB148">
        <f>8644.146901</f>
        <v>8644.1469010000001</v>
      </c>
      <c r="AC148">
        <f>8405.382862</f>
        <v>8405.3828620000004</v>
      </c>
    </row>
    <row r="149" spans="1:29" x14ac:dyDescent="0.25">
      <c r="A149" t="str">
        <f>"Source: Company Filings"</f>
        <v>Source: Company Filings</v>
      </c>
      <c r="B149" t="str">
        <f>""</f>
        <v/>
      </c>
      <c r="E149" t="str">
        <f>"Heading"</f>
        <v>Heading</v>
      </c>
      <c r="R149" t="str">
        <f>""</f>
        <v/>
      </c>
      <c r="S149" t="str">
        <f>""</f>
        <v/>
      </c>
      <c r="T149" t="str">
        <f>""</f>
        <v/>
      </c>
      <c r="U149" t="str">
        <f>""</f>
        <v/>
      </c>
      <c r="V149" t="str">
        <f>""</f>
        <v/>
      </c>
      <c r="W149" t="str">
        <f>""</f>
        <v/>
      </c>
      <c r="X149" t="str">
        <f>""</f>
        <v/>
      </c>
      <c r="Y149" t="str">
        <f>""</f>
        <v/>
      </c>
      <c r="Z149" t="str">
        <f>""</f>
        <v/>
      </c>
      <c r="AA149" t="str">
        <f>""</f>
        <v/>
      </c>
      <c r="AB149" t="str">
        <f>""</f>
        <v/>
      </c>
      <c r="AC149" t="str">
        <f>""</f>
        <v/>
      </c>
    </row>
    <row r="150" spans="1:29" x14ac:dyDescent="0.25">
      <c r="R150" t="str">
        <f>""</f>
        <v/>
      </c>
      <c r="S150" t="str">
        <f>""</f>
        <v/>
      </c>
      <c r="T150" t="str">
        <f>""</f>
        <v/>
      </c>
      <c r="U150" t="str">
        <f>""</f>
        <v/>
      </c>
      <c r="V150" t="str">
        <f>""</f>
        <v/>
      </c>
      <c r="W150" t="str">
        <f>""</f>
        <v/>
      </c>
      <c r="X150" t="str">
        <f>""</f>
        <v/>
      </c>
      <c r="Y150" t="str">
        <f>""</f>
        <v/>
      </c>
      <c r="Z150" t="str">
        <f>""</f>
        <v/>
      </c>
      <c r="AA150" t="str">
        <f>""</f>
        <v/>
      </c>
      <c r="AB150" t="str">
        <f>""</f>
        <v/>
      </c>
      <c r="AC150" t="str">
        <f>""</f>
        <v/>
      </c>
    </row>
    <row r="151" spans="1:29" x14ac:dyDescent="0.25">
      <c r="R151" t="str">
        <f>""</f>
        <v/>
      </c>
      <c r="S151" t="str">
        <f>""</f>
        <v/>
      </c>
      <c r="T151" t="str">
        <f>""</f>
        <v/>
      </c>
      <c r="U151" t="str">
        <f>""</f>
        <v/>
      </c>
      <c r="V151" t="str">
        <f>""</f>
        <v/>
      </c>
      <c r="W151" t="str">
        <f>""</f>
        <v/>
      </c>
      <c r="X151" t="str">
        <f>""</f>
        <v/>
      </c>
      <c r="Y151" t="str">
        <f>""</f>
        <v/>
      </c>
      <c r="Z151" t="str">
        <f>""</f>
        <v/>
      </c>
      <c r="AA151" t="str">
        <f>""</f>
        <v/>
      </c>
      <c r="AB151" t="str">
        <f>""</f>
        <v/>
      </c>
      <c r="AC151" t="str">
        <f>""</f>
        <v/>
      </c>
    </row>
    <row r="152" spans="1:29" x14ac:dyDescent="0.25">
      <c r="R152" t="str">
        <f>""</f>
        <v/>
      </c>
      <c r="S152" t="str">
        <f>""</f>
        <v/>
      </c>
      <c r="T152" t="str">
        <f>""</f>
        <v/>
      </c>
      <c r="U152" t="str">
        <f>""</f>
        <v/>
      </c>
      <c r="V152" t="str">
        <f>""</f>
        <v/>
      </c>
      <c r="W152" t="str">
        <f>""</f>
        <v/>
      </c>
      <c r="X152" t="str">
        <f>""</f>
        <v/>
      </c>
      <c r="Y152" t="str">
        <f>""</f>
        <v/>
      </c>
      <c r="Z152" t="str">
        <f>""</f>
        <v/>
      </c>
      <c r="AA152" t="str">
        <f>""</f>
        <v/>
      </c>
      <c r="AB152" t="str">
        <f>""</f>
        <v/>
      </c>
      <c r="AC152" t="str">
        <f>""</f>
        <v/>
      </c>
    </row>
    <row r="153" spans="1:29" x14ac:dyDescent="0.25">
      <c r="R153" t="str">
        <f>""</f>
        <v/>
      </c>
      <c r="S153" t="str">
        <f>""</f>
        <v/>
      </c>
      <c r="T153" t="str">
        <f>""</f>
        <v/>
      </c>
      <c r="U153" t="str">
        <f>""</f>
        <v/>
      </c>
      <c r="V153" t="str">
        <f>""</f>
        <v/>
      </c>
      <c r="W153" t="str">
        <f>""</f>
        <v/>
      </c>
      <c r="X153" t="str">
        <f>""</f>
        <v/>
      </c>
      <c r="Y153" t="str">
        <f>""</f>
        <v/>
      </c>
      <c r="Z153" t="str">
        <f>""</f>
        <v/>
      </c>
      <c r="AA153" t="str">
        <f>""</f>
        <v/>
      </c>
      <c r="AB153" t="str">
        <f>""</f>
        <v/>
      </c>
      <c r="AC153" t="str">
        <f>""</f>
        <v/>
      </c>
    </row>
    <row r="154" spans="1:29" x14ac:dyDescent="0.25">
      <c r="R154" t="str">
        <f>""</f>
        <v/>
      </c>
      <c r="S154" t="str">
        <f>""</f>
        <v/>
      </c>
      <c r="T154" t="str">
        <f>""</f>
        <v/>
      </c>
      <c r="U154" t="str">
        <f>""</f>
        <v/>
      </c>
      <c r="V154" t="str">
        <f>""</f>
        <v/>
      </c>
      <c r="W154" t="str">
        <f>""</f>
        <v/>
      </c>
      <c r="X154" t="str">
        <f>""</f>
        <v/>
      </c>
      <c r="Y154" t="str">
        <f>""</f>
        <v/>
      </c>
      <c r="Z154" t="str">
        <f>""</f>
        <v/>
      </c>
      <c r="AA154" t="str">
        <f>""</f>
        <v/>
      </c>
      <c r="AB154" t="str">
        <f>""</f>
        <v/>
      </c>
      <c r="AC154" t="str">
        <f>""</f>
        <v/>
      </c>
    </row>
    <row r="155" spans="1:29" x14ac:dyDescent="0.25">
      <c r="R155" t="str">
        <f>""</f>
        <v/>
      </c>
      <c r="S155" t="str">
        <f>""</f>
        <v/>
      </c>
      <c r="T155" t="str">
        <f>""</f>
        <v/>
      </c>
      <c r="U155" t="str">
        <f>""</f>
        <v/>
      </c>
      <c r="V155" t="str">
        <f>""</f>
        <v/>
      </c>
      <c r="W155" t="str">
        <f>""</f>
        <v/>
      </c>
      <c r="X155" t="str">
        <f>""</f>
        <v/>
      </c>
      <c r="Y155" t="str">
        <f>""</f>
        <v/>
      </c>
      <c r="Z155" t="str">
        <f>""</f>
        <v/>
      </c>
      <c r="AA155" t="str">
        <f>""</f>
        <v/>
      </c>
      <c r="AB155" t="str">
        <f>""</f>
        <v/>
      </c>
      <c r="AC155" t="str">
        <f>""</f>
        <v/>
      </c>
    </row>
    <row r="156" spans="1:29" x14ac:dyDescent="0.25">
      <c r="R156" t="str">
        <f>""</f>
        <v/>
      </c>
      <c r="S156" t="str">
        <f>""</f>
        <v/>
      </c>
      <c r="T156" t="str">
        <f>""</f>
        <v/>
      </c>
      <c r="U156" t="str">
        <f>""</f>
        <v/>
      </c>
      <c r="V156" t="str">
        <f>""</f>
        <v/>
      </c>
      <c r="W156" t="str">
        <f>""</f>
        <v/>
      </c>
      <c r="X156" t="str">
        <f>""</f>
        <v/>
      </c>
      <c r="Y156" t="str">
        <f>""</f>
        <v/>
      </c>
      <c r="Z156" t="str">
        <f>""</f>
        <v/>
      </c>
      <c r="AA156" t="str">
        <f>""</f>
        <v/>
      </c>
      <c r="AB156" t="str">
        <f>""</f>
        <v/>
      </c>
      <c r="AC156" t="str">
        <f>""</f>
        <v/>
      </c>
    </row>
    <row r="157" spans="1:29" x14ac:dyDescent="0.25">
      <c r="A157" t="str">
        <f t="shared" ref="A157:Q157" si="24">"~~~~~~~~~~"</f>
        <v>~~~~~~~~~~</v>
      </c>
      <c r="B157" t="str">
        <f t="shared" si="24"/>
        <v>~~~~~~~~~~</v>
      </c>
      <c r="C157" t="str">
        <f t="shared" si="24"/>
        <v>~~~~~~~~~~</v>
      </c>
      <c r="D157" t="str">
        <f t="shared" si="24"/>
        <v>~~~~~~~~~~</v>
      </c>
      <c r="E157" t="str">
        <f t="shared" si="24"/>
        <v>~~~~~~~~~~</v>
      </c>
      <c r="F157" t="str">
        <f t="shared" si="24"/>
        <v>~~~~~~~~~~</v>
      </c>
      <c r="G157" t="str">
        <f t="shared" si="24"/>
        <v>~~~~~~~~~~</v>
      </c>
      <c r="H157" t="str">
        <f t="shared" si="24"/>
        <v>~~~~~~~~~~</v>
      </c>
      <c r="I157" t="str">
        <f t="shared" si="24"/>
        <v>~~~~~~~~~~</v>
      </c>
      <c r="J157" t="str">
        <f t="shared" si="24"/>
        <v>~~~~~~~~~~</v>
      </c>
      <c r="K157" t="str">
        <f t="shared" si="24"/>
        <v>~~~~~~~~~~</v>
      </c>
      <c r="L157" t="str">
        <f t="shared" si="24"/>
        <v>~~~~~~~~~~</v>
      </c>
      <c r="M157" t="str">
        <f t="shared" si="24"/>
        <v>~~~~~~~~~~</v>
      </c>
      <c r="N157" t="str">
        <f t="shared" si="24"/>
        <v>~~~~~~~~~~</v>
      </c>
      <c r="O157" t="str">
        <f t="shared" si="24"/>
        <v>~~~~~~~~~~</v>
      </c>
      <c r="P157" t="str">
        <f t="shared" si="24"/>
        <v>~~~~~~~~~~</v>
      </c>
      <c r="Q157" t="str">
        <f t="shared" si="24"/>
        <v>~~~~~~~~~~</v>
      </c>
      <c r="R157" t="str">
        <f>""</f>
        <v/>
      </c>
      <c r="S157" t="str">
        <f>""</f>
        <v/>
      </c>
      <c r="T157" t="str">
        <f>""</f>
        <v/>
      </c>
      <c r="U157" t="str">
        <f>""</f>
        <v/>
      </c>
      <c r="V157" t="str">
        <f>""</f>
        <v/>
      </c>
      <c r="W157" t="str">
        <f>""</f>
        <v/>
      </c>
      <c r="X157" t="str">
        <f>""</f>
        <v/>
      </c>
      <c r="Y157" t="str">
        <f>""</f>
        <v/>
      </c>
      <c r="Z157" t="str">
        <f>""</f>
        <v/>
      </c>
      <c r="AA157" t="str">
        <f>""</f>
        <v/>
      </c>
      <c r="AB157" t="str">
        <f>""</f>
        <v/>
      </c>
      <c r="AC157" t="str">
        <f>""</f>
        <v/>
      </c>
    </row>
    <row r="158" spans="1:29" x14ac:dyDescent="0.25">
      <c r="A158" t="str">
        <f>"All rows below have been added for reference by formula rows above."</f>
        <v>All rows below have been added for reference by formula rows above.</v>
      </c>
      <c r="R158" t="str">
        <f>""</f>
        <v/>
      </c>
      <c r="S158" t="str">
        <f>""</f>
        <v/>
      </c>
      <c r="T158" t="str">
        <f>""</f>
        <v/>
      </c>
      <c r="U158" t="str">
        <f>""</f>
        <v/>
      </c>
      <c r="V158" t="str">
        <f>""</f>
        <v/>
      </c>
      <c r="W158" t="str">
        <f>""</f>
        <v/>
      </c>
      <c r="X158" t="str">
        <f>""</f>
        <v/>
      </c>
      <c r="Y158" t="str">
        <f>""</f>
        <v/>
      </c>
      <c r="Z158" t="str">
        <f>""</f>
        <v/>
      </c>
      <c r="AA158" t="str">
        <f>""</f>
        <v/>
      </c>
      <c r="AB158" t="str">
        <f>""</f>
        <v/>
      </c>
      <c r="AC158" t="str">
        <f>""</f>
        <v/>
      </c>
    </row>
    <row r="159" spans="1:29" x14ac:dyDescent="0.25">
      <c r="A159">
        <f>RTD("bloomberg.ccyreader", "", "#track", "DBG", "BIHITX", "1.0","RepeatHit")</f>
        <v>0</v>
      </c>
      <c r="R159" t="str">
        <f>""</f>
        <v/>
      </c>
      <c r="S159" t="str">
        <f>""</f>
        <v/>
      </c>
      <c r="T159" t="str">
        <f>""</f>
        <v/>
      </c>
      <c r="U159" t="str">
        <f>""</f>
        <v/>
      </c>
      <c r="V159" t="str">
        <f>""</f>
        <v/>
      </c>
      <c r="W159" t="str">
        <f>""</f>
        <v/>
      </c>
      <c r="X159" t="str">
        <f>""</f>
        <v/>
      </c>
      <c r="Y159" t="str">
        <f>""</f>
        <v/>
      </c>
      <c r="Z159" t="str">
        <f>""</f>
        <v/>
      </c>
      <c r="AA159" t="str">
        <f>""</f>
        <v/>
      </c>
      <c r="AB159" t="str">
        <f>""</f>
        <v/>
      </c>
      <c r="AC159" t="str">
        <f>""</f>
        <v/>
      </c>
    </row>
    <row r="160" spans="1:29" x14ac:dyDescent="0.25">
      <c r="A160" t="str">
        <f>"Currency"</f>
        <v>Currency</v>
      </c>
      <c r="B160" t="str">
        <f>"USD"</f>
        <v>USD</v>
      </c>
      <c r="R160" t="str">
        <f>""</f>
        <v/>
      </c>
      <c r="S160" t="str">
        <f>""</f>
        <v/>
      </c>
      <c r="T160" t="str">
        <f>""</f>
        <v/>
      </c>
      <c r="U160" t="str">
        <f>""</f>
        <v/>
      </c>
      <c r="V160" t="str">
        <f>""</f>
        <v/>
      </c>
      <c r="W160" t="str">
        <f>""</f>
        <v/>
      </c>
      <c r="X160" t="str">
        <f>""</f>
        <v/>
      </c>
      <c r="Y160" t="str">
        <f>""</f>
        <v/>
      </c>
      <c r="Z160" t="str">
        <f>""</f>
        <v/>
      </c>
      <c r="AA160" t="str">
        <f>""</f>
        <v/>
      </c>
      <c r="AB160" t="str">
        <f>""</f>
        <v/>
      </c>
      <c r="AC160" t="str">
        <f>""</f>
        <v/>
      </c>
    </row>
    <row r="161" spans="1:29" x14ac:dyDescent="0.25">
      <c r="A161" t="str">
        <f>"Periodicity"</f>
        <v>Periodicity</v>
      </c>
      <c r="B161" t="str">
        <f>"CQ"</f>
        <v>CQ</v>
      </c>
      <c r="C161" t="str">
        <f>"AQ"</f>
        <v>AQ</v>
      </c>
      <c r="R161" t="str">
        <f>""</f>
        <v/>
      </c>
      <c r="S161" t="str">
        <f>""</f>
        <v/>
      </c>
      <c r="T161" t="str">
        <f>""</f>
        <v/>
      </c>
      <c r="U161" t="str">
        <f>""</f>
        <v/>
      </c>
      <c r="V161" t="str">
        <f>""</f>
        <v/>
      </c>
      <c r="W161" t="str">
        <f>""</f>
        <v/>
      </c>
      <c r="X161" t="str">
        <f>""</f>
        <v/>
      </c>
      <c r="Y161" t="str">
        <f>""</f>
        <v/>
      </c>
      <c r="Z161" t="str">
        <f>""</f>
        <v/>
      </c>
      <c r="AA161" t="str">
        <f>""</f>
        <v/>
      </c>
      <c r="AB161" t="str">
        <f>""</f>
        <v/>
      </c>
      <c r="AC161" t="str">
        <f>""</f>
        <v/>
      </c>
    </row>
    <row r="162" spans="1:29" x14ac:dyDescent="0.25">
      <c r="A162" t="str">
        <f>"Number of Periods"</f>
        <v>Number of Periods</v>
      </c>
      <c r="B162">
        <f>12</f>
        <v>12</v>
      </c>
      <c r="R162" t="str">
        <f>""</f>
        <v/>
      </c>
      <c r="S162" t="str">
        <f>""</f>
        <v/>
      </c>
      <c r="T162" t="str">
        <f>""</f>
        <v/>
      </c>
      <c r="U162" t="str">
        <f>""</f>
        <v/>
      </c>
      <c r="V162" t="str">
        <f>""</f>
        <v/>
      </c>
      <c r="W162" t="str">
        <f>""</f>
        <v/>
      </c>
      <c r="X162" t="str">
        <f>""</f>
        <v/>
      </c>
      <c r="Y162" t="str">
        <f>""</f>
        <v/>
      </c>
      <c r="Z162" t="str">
        <f>""</f>
        <v/>
      </c>
      <c r="AA162" t="str">
        <f>""</f>
        <v/>
      </c>
      <c r="AB162" t="str">
        <f>""</f>
        <v/>
      </c>
      <c r="AC162" t="str">
        <f>""</f>
        <v/>
      </c>
    </row>
    <row r="163" spans="1:29" x14ac:dyDescent="0.25">
      <c r="A163" t="str">
        <f>"Start Date"</f>
        <v>Start Date</v>
      </c>
      <c r="B163" t="str">
        <f>CONCATENATE("-",$B$162,$B$161)</f>
        <v>-12CQ</v>
      </c>
      <c r="C163" t="str">
        <f>CONCATENATE("-",$B$162,$C$161)</f>
        <v>-12AQ</v>
      </c>
      <c r="R163" t="str">
        <f>""</f>
        <v/>
      </c>
      <c r="S163" t="str">
        <f>""</f>
        <v/>
      </c>
      <c r="T163" t="str">
        <f>""</f>
        <v/>
      </c>
      <c r="U163" t="str">
        <f>""</f>
        <v/>
      </c>
      <c r="V163" t="str">
        <f>""</f>
        <v/>
      </c>
      <c r="W163" t="str">
        <f>""</f>
        <v/>
      </c>
      <c r="X163" t="str">
        <f>""</f>
        <v/>
      </c>
      <c r="Y163" t="str">
        <f>""</f>
        <v/>
      </c>
      <c r="Z163" t="str">
        <f>""</f>
        <v/>
      </c>
      <c r="AA163" t="str">
        <f>""</f>
        <v/>
      </c>
      <c r="AB163" t="str">
        <f>""</f>
        <v/>
      </c>
      <c r="AC163" t="str">
        <f>""</f>
        <v/>
      </c>
    </row>
    <row r="164" spans="1:29" x14ac:dyDescent="0.25">
      <c r="A164" t="str">
        <f>"End Date"</f>
        <v>End Date</v>
      </c>
      <c r="B164">
        <f ca="1">TODAY()</f>
        <v>43999</v>
      </c>
      <c r="R164" t="str">
        <f>""</f>
        <v/>
      </c>
      <c r="S164" t="str">
        <f>""</f>
        <v/>
      </c>
      <c r="T164" t="str">
        <f>""</f>
        <v/>
      </c>
      <c r="U164" t="str">
        <f>""</f>
        <v/>
      </c>
      <c r="V164" t="str">
        <f>""</f>
        <v/>
      </c>
      <c r="W164" t="str">
        <f>""</f>
        <v/>
      </c>
      <c r="X164" t="str">
        <f>""</f>
        <v/>
      </c>
      <c r="Y164" t="str">
        <f>""</f>
        <v/>
      </c>
      <c r="Z164" t="str">
        <f>""</f>
        <v/>
      </c>
      <c r="AA164" t="str">
        <f>""</f>
        <v/>
      </c>
      <c r="AB164" t="str">
        <f>""</f>
        <v/>
      </c>
      <c r="AC164" t="str">
        <f>""</f>
        <v/>
      </c>
    </row>
    <row r="165" spans="1:29" x14ac:dyDescent="0.25">
      <c r="A165" t="str">
        <f>"HeaderStatus"</f>
        <v>HeaderStatus</v>
      </c>
      <c r="B165">
        <f ca="1">$B$322*$B$330</f>
        <v>4</v>
      </c>
      <c r="R165" t="str">
        <f>""</f>
        <v/>
      </c>
      <c r="S165" t="str">
        <f>""</f>
        <v/>
      </c>
      <c r="T165" t="str">
        <f>""</f>
        <v/>
      </c>
      <c r="U165" t="str">
        <f>""</f>
        <v/>
      </c>
      <c r="V165" t="str">
        <f>""</f>
        <v/>
      </c>
      <c r="W165" t="str">
        <f>""</f>
        <v/>
      </c>
      <c r="X165" t="str">
        <f>""</f>
        <v/>
      </c>
      <c r="Y165" t="str">
        <f>""</f>
        <v/>
      </c>
      <c r="Z165" t="str">
        <f>""</f>
        <v/>
      </c>
      <c r="AA165" t="str">
        <f>""</f>
        <v/>
      </c>
      <c r="AB165" t="str">
        <f>""</f>
        <v/>
      </c>
      <c r="AC165" t="str">
        <f>""</f>
        <v/>
      </c>
    </row>
    <row r="166" spans="1:29" x14ac:dyDescent="0.25">
      <c r="R166" t="str">
        <f>""</f>
        <v/>
      </c>
      <c r="S166" t="str">
        <f>""</f>
        <v/>
      </c>
      <c r="T166" t="str">
        <f>""</f>
        <v/>
      </c>
      <c r="U166" t="str">
        <f>""</f>
        <v/>
      </c>
      <c r="V166" t="str">
        <f>""</f>
        <v/>
      </c>
      <c r="W166" t="str">
        <f>""</f>
        <v/>
      </c>
      <c r="X166" t="str">
        <f>""</f>
        <v/>
      </c>
      <c r="Y166" t="str">
        <f>""</f>
        <v/>
      </c>
      <c r="Z166" t="str">
        <f>""</f>
        <v/>
      </c>
      <c r="AA166" t="str">
        <f>""</f>
        <v/>
      </c>
      <c r="AB166" t="str">
        <f>""</f>
        <v/>
      </c>
      <c r="AC166" t="str">
        <f>""</f>
        <v/>
      </c>
    </row>
    <row r="167" spans="1:29" x14ac:dyDescent="0.25">
      <c r="A167" t="str">
        <f>$A$5</f>
        <v xml:space="preserve">    Accenture PLC</v>
      </c>
      <c r="B167" t="str">
        <f>$B$5</f>
        <v>ACN US Equity</v>
      </c>
      <c r="C167" t="str">
        <f>$C$5</f>
        <v>RR253</v>
      </c>
      <c r="D167" t="str">
        <f>$D$5</f>
        <v>CASH_AND_MARKETABLE_SECURITIES</v>
      </c>
      <c r="E167" t="str">
        <f>$E$5</f>
        <v>Dynamic</v>
      </c>
      <c r="F167">
        <f ca="1">_xll.BDH($B$5,$C$5,$B$163,$B$164,CONCATENATE("Per=",$B$161),"Dts=H","Dir=H",CONCATENATE("Points=",$B$162),"Sort=R","Days=A","Fill=B",CONCATENATE("FX=", $B$160),"cols=12;rows=1")</f>
        <v>5440.0990000000002</v>
      </c>
      <c r="G167">
        <v>5813.84</v>
      </c>
      <c r="H167">
        <v>6130.1660000000002</v>
      </c>
      <c r="I167">
        <v>4772.4960000000001</v>
      </c>
      <c r="J167">
        <v>4468</v>
      </c>
      <c r="K167">
        <v>4366.9059999999999</v>
      </c>
      <c r="L167">
        <v>5064.5519999999997</v>
      </c>
      <c r="M167">
        <v>3932.1060000000002</v>
      </c>
      <c r="N167">
        <v>3598.4969999999998</v>
      </c>
      <c r="O167">
        <v>3682.393</v>
      </c>
      <c r="P167">
        <v>4129.8710000000001</v>
      </c>
      <c r="Q167">
        <v>3384.8470000000002</v>
      </c>
      <c r="R167" t="str">
        <f>""</f>
        <v/>
      </c>
      <c r="S167" t="str">
        <f>""</f>
        <v/>
      </c>
      <c r="T167" t="str">
        <f>""</f>
        <v/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  <c r="Z167" t="str">
        <f>""</f>
        <v/>
      </c>
      <c r="AA167" t="str">
        <f>""</f>
        <v/>
      </c>
      <c r="AB167" t="str">
        <f>""</f>
        <v/>
      </c>
      <c r="AC167" t="str">
        <f>""</f>
        <v/>
      </c>
    </row>
    <row r="168" spans="1:29" x14ac:dyDescent="0.25">
      <c r="A168" t="str">
        <f>$A$6</f>
        <v xml:space="preserve">    Amdocs Ltd</v>
      </c>
      <c r="B168" t="str">
        <f>$B$6</f>
        <v>DOX US Equity</v>
      </c>
      <c r="C168" t="str">
        <f>$C$6</f>
        <v>RR253</v>
      </c>
      <c r="D168" t="str">
        <f>$D$6</f>
        <v>CASH_AND_MARKETABLE_SECURITIES</v>
      </c>
      <c r="E168" t="str">
        <f>$E$6</f>
        <v>Dynamic</v>
      </c>
      <c r="F168">
        <f ca="1">_xll.BDH($B$6,$C$6,$B$163,$B$164,CONCATENATE("Per=",$B$161),"Dts=H","Dir=H",CONCATENATE("Points=",$B$162),"Sort=R","Days=A","Fill=B",CONCATENATE("FX=", $B$160),"cols=12;rows=1")</f>
        <v>762.60199999999998</v>
      </c>
      <c r="G168">
        <v>485.875</v>
      </c>
      <c r="H168">
        <v>471.63200000000001</v>
      </c>
      <c r="I168">
        <v>457.70699999999999</v>
      </c>
      <c r="J168">
        <v>449.69600000000003</v>
      </c>
      <c r="K168">
        <v>458.65</v>
      </c>
      <c r="L168">
        <v>519.21600000000001</v>
      </c>
      <c r="M168">
        <v>561.04100000000005</v>
      </c>
      <c r="N168">
        <v>666.84299999999996</v>
      </c>
      <c r="O168">
        <v>965.93799999999999</v>
      </c>
      <c r="P168">
        <v>979.60799999999995</v>
      </c>
      <c r="Q168">
        <v>963.03899999999999</v>
      </c>
      <c r="R168" t="str">
        <f>""</f>
        <v/>
      </c>
      <c r="S168" t="str">
        <f>""</f>
        <v/>
      </c>
      <c r="T168" t="str">
        <f>""</f>
        <v/>
      </c>
      <c r="U168" t="str">
        <f>""</f>
        <v/>
      </c>
      <c r="V168" t="str">
        <f>""</f>
        <v/>
      </c>
      <c r="W168" t="str">
        <f>""</f>
        <v/>
      </c>
      <c r="X168" t="str">
        <f>""</f>
        <v/>
      </c>
      <c r="Y168" t="str">
        <f>""</f>
        <v/>
      </c>
      <c r="Z168" t="str">
        <f>""</f>
        <v/>
      </c>
      <c r="AA168" t="str">
        <f>""</f>
        <v/>
      </c>
      <c r="AB168" t="str">
        <f>""</f>
        <v/>
      </c>
      <c r="AC168" t="str">
        <f>""</f>
        <v/>
      </c>
    </row>
    <row r="169" spans="1:29" x14ac:dyDescent="0.25">
      <c r="A169" t="str">
        <f>$A$7</f>
        <v xml:space="preserve">    Atos SE</v>
      </c>
      <c r="B169" t="str">
        <f>$B$7</f>
        <v>ATO FP Equity</v>
      </c>
      <c r="C169" t="str">
        <f>$C$7</f>
        <v>RR253</v>
      </c>
      <c r="D169" t="str">
        <f>$D$7</f>
        <v>CASH_AND_MARKETABLE_SECURITIES</v>
      </c>
      <c r="E169" t="str">
        <f>$E$7</f>
        <v>Dynamic</v>
      </c>
      <c r="F169" t="str">
        <f ca="1">_xll.BDH($B$7,$C$7,$B$163,$B$164,CONCATENATE("Per=",$B$161),"Dts=H","Dir=H",CONCATENATE("Points=",$B$162),"Sort=R","Days=A","Fill=B",CONCATENATE("FX=", $B$160) )</f>
        <v/>
      </c>
      <c r="R169" t="str">
        <f>""</f>
        <v/>
      </c>
      <c r="S169" t="str">
        <f>""</f>
        <v/>
      </c>
      <c r="T169" t="str">
        <f>""</f>
        <v/>
      </c>
      <c r="U169" t="str">
        <f>""</f>
        <v/>
      </c>
      <c r="V169" t="str">
        <f>""</f>
        <v/>
      </c>
      <c r="W169" t="str">
        <f>""</f>
        <v/>
      </c>
      <c r="X169" t="str">
        <f>""</f>
        <v/>
      </c>
      <c r="Y169" t="str">
        <f>""</f>
        <v/>
      </c>
      <c r="Z169" t="str">
        <f>""</f>
        <v/>
      </c>
      <c r="AA169" t="str">
        <f>""</f>
        <v/>
      </c>
      <c r="AB169" t="str">
        <f>""</f>
        <v/>
      </c>
      <c r="AC169" t="str">
        <f>""</f>
        <v/>
      </c>
    </row>
    <row r="170" spans="1:29" x14ac:dyDescent="0.25">
      <c r="A170" t="str">
        <f>$A$8</f>
        <v xml:space="preserve">    Capgemini SE</v>
      </c>
      <c r="B170" t="str">
        <f>$B$8</f>
        <v>CAP FP Equity</v>
      </c>
      <c r="C170" t="str">
        <f>$C$8</f>
        <v>RR253</v>
      </c>
      <c r="D170" t="str">
        <f>$D$8</f>
        <v>CASH_AND_MARKETABLE_SECURITIES</v>
      </c>
      <c r="E170" t="str">
        <f>$E$8</f>
        <v>Dynamic</v>
      </c>
      <c r="F170" t="str">
        <f ca="1">_xll.BDH($B$8,$C$8,$B$163,$B$164,CONCATENATE("Per=",$B$161),"Dts=H","Dir=H",CONCATENATE("Points=",$B$162),"Sort=R","Days=A","Fill=B",CONCATENATE("FX=", $B$160),"cols=12;rows=1")</f>
        <v/>
      </c>
      <c r="G170">
        <v>3002.6345999999999</v>
      </c>
      <c r="R170" t="str">
        <f>""</f>
        <v/>
      </c>
      <c r="S170" t="str">
        <f>""</f>
        <v/>
      </c>
      <c r="T170" t="str">
        <f>""</f>
        <v/>
      </c>
      <c r="U170" t="str">
        <f>""</f>
        <v/>
      </c>
      <c r="V170" t="str">
        <f>""</f>
        <v/>
      </c>
      <c r="W170" t="str">
        <f>""</f>
        <v/>
      </c>
      <c r="X170" t="str">
        <f>""</f>
        <v/>
      </c>
      <c r="Y170" t="str">
        <f>""</f>
        <v/>
      </c>
      <c r="Z170" t="str">
        <f>""</f>
        <v/>
      </c>
      <c r="AA170" t="str">
        <f>""</f>
        <v/>
      </c>
      <c r="AB170" t="str">
        <f>""</f>
        <v/>
      </c>
      <c r="AC170" t="str">
        <f>""</f>
        <v/>
      </c>
    </row>
    <row r="171" spans="1:29" x14ac:dyDescent="0.25">
      <c r="A171" t="str">
        <f>$A$9</f>
        <v xml:space="preserve">    CGI Inc</v>
      </c>
      <c r="B171" t="str">
        <f>$B$9</f>
        <v>GIB US Equity</v>
      </c>
      <c r="C171" t="str">
        <f>$C$9</f>
        <v>RR253</v>
      </c>
      <c r="D171" t="str">
        <f>$D$9</f>
        <v>CASH_AND_MARKETABLE_SECURITIES</v>
      </c>
      <c r="E171" t="str">
        <f>$E$9</f>
        <v>Dynamic</v>
      </c>
      <c r="F171">
        <f ca="1">_xll.BDH($B$9,$C$9,$B$163,$B$164,CONCATENATE("Per=",$B$161),"Dts=H","Dir=H",CONCATENATE("Points=",$B$162),"Sort=R","Days=A","Fill=B",CONCATENATE("FX=", $B$160),"cols=12;rows=1")</f>
        <v>213.22919999999999</v>
      </c>
      <c r="G171">
        <v>164.184</v>
      </c>
      <c r="H171">
        <v>161.49160000000001</v>
      </c>
      <c r="I171">
        <v>171.96289999999999</v>
      </c>
      <c r="J171">
        <v>406.94099999999997</v>
      </c>
      <c r="K171">
        <v>298.10039999999998</v>
      </c>
      <c r="L171">
        <v>142.27610000000001</v>
      </c>
      <c r="M171">
        <v>130.16050000000001</v>
      </c>
      <c r="N171">
        <v>222.86930000000001</v>
      </c>
      <c r="O171">
        <v>190.74160000000001</v>
      </c>
      <c r="P171">
        <v>132.86770000000001</v>
      </c>
      <c r="Q171">
        <v>233.18989999999999</v>
      </c>
      <c r="R171" t="str">
        <f>""</f>
        <v/>
      </c>
      <c r="S171" t="str">
        <f>""</f>
        <v/>
      </c>
      <c r="T171" t="str">
        <f>""</f>
        <v/>
      </c>
      <c r="U171" t="str">
        <f>""</f>
        <v/>
      </c>
      <c r="V171" t="str">
        <f>""</f>
        <v/>
      </c>
      <c r="W171" t="str">
        <f>""</f>
        <v/>
      </c>
      <c r="X171" t="str">
        <f>""</f>
        <v/>
      </c>
      <c r="Y171" t="str">
        <f>""</f>
        <v/>
      </c>
      <c r="Z171" t="str">
        <f>""</f>
        <v/>
      </c>
      <c r="AA171" t="str">
        <f>""</f>
        <v/>
      </c>
      <c r="AB171" t="str">
        <f>""</f>
        <v/>
      </c>
      <c r="AC171" t="str">
        <f>""</f>
        <v/>
      </c>
    </row>
    <row r="172" spans="1:29" x14ac:dyDescent="0.25">
      <c r="A172" t="str">
        <f>$A$10</f>
        <v xml:space="preserve">    Cognizant Technology Solutions Corp</v>
      </c>
      <c r="B172" t="str">
        <f>$B$10</f>
        <v>CTSH US Equity</v>
      </c>
      <c r="C172" t="str">
        <f>$C$10</f>
        <v>RR253</v>
      </c>
      <c r="D172" t="str">
        <f>$D$10</f>
        <v>CASH_AND_MARKETABLE_SECURITIES</v>
      </c>
      <c r="E172" t="str">
        <f>$E$10</f>
        <v>Dynamic</v>
      </c>
      <c r="F172">
        <f ca="1">_xll.BDH($B$10,$C$10,$B$163,$B$164,CONCATENATE("Per=",$B$161),"Dts=H","Dir=H",CONCATENATE("Points=",$B$162),"Sort=R","Days=A","Fill=B",CONCATENATE("FX=", $B$160),"cols=12;rows=1")</f>
        <v>4282</v>
      </c>
      <c r="G172">
        <v>3424</v>
      </c>
      <c r="H172">
        <v>3077</v>
      </c>
      <c r="I172">
        <v>3003</v>
      </c>
      <c r="J172">
        <v>3668</v>
      </c>
      <c r="K172">
        <v>4511</v>
      </c>
      <c r="L172">
        <v>4763</v>
      </c>
      <c r="M172">
        <v>4247</v>
      </c>
      <c r="N172">
        <v>4830</v>
      </c>
      <c r="O172">
        <v>5056</v>
      </c>
      <c r="P172">
        <v>4713</v>
      </c>
      <c r="Q172">
        <v>4378</v>
      </c>
      <c r="R172" t="str">
        <f>""</f>
        <v/>
      </c>
      <c r="S172" t="str">
        <f>""</f>
        <v/>
      </c>
      <c r="T172" t="str">
        <f>""</f>
        <v/>
      </c>
      <c r="U172" t="str">
        <f>""</f>
        <v/>
      </c>
      <c r="V172" t="str">
        <f>""</f>
        <v/>
      </c>
      <c r="W172" t="str">
        <f>""</f>
        <v/>
      </c>
      <c r="X172" t="str">
        <f>""</f>
        <v/>
      </c>
      <c r="Y172" t="str">
        <f>""</f>
        <v/>
      </c>
      <c r="Z172" t="str">
        <f>""</f>
        <v/>
      </c>
      <c r="AA172" t="str">
        <f>""</f>
        <v/>
      </c>
      <c r="AB172" t="str">
        <f>""</f>
        <v/>
      </c>
      <c r="AC172" t="str">
        <f>""</f>
        <v/>
      </c>
    </row>
    <row r="173" spans="1:29" x14ac:dyDescent="0.25">
      <c r="A173" t="str">
        <f>$A$11</f>
        <v xml:space="preserve">    Conduent Inc</v>
      </c>
      <c r="B173" t="str">
        <f>$B$11</f>
        <v>CNDT US Equity</v>
      </c>
      <c r="C173" t="str">
        <f>$C$11</f>
        <v>RR253</v>
      </c>
      <c r="D173" t="str">
        <f>$D$11</f>
        <v>CASH_AND_MARKETABLE_SECURITIES</v>
      </c>
      <c r="E173" t="str">
        <f>$E$11</f>
        <v>Dynamic</v>
      </c>
      <c r="F173">
        <f ca="1">_xll.BDH($B$11,$C$11,$B$163,$B$164,CONCATENATE("Per=",$B$161),"Dts=H","Dir=H",CONCATENATE("Points=",$B$162),"Sort=R","Days=A","Fill=B",CONCATENATE("FX=", $B$160),"cols=12;rows=1")</f>
        <v>395</v>
      </c>
      <c r="G173">
        <v>496</v>
      </c>
      <c r="H173">
        <v>228</v>
      </c>
      <c r="I173">
        <v>276</v>
      </c>
      <c r="J173">
        <v>520</v>
      </c>
      <c r="K173">
        <v>756</v>
      </c>
      <c r="L173">
        <v>586</v>
      </c>
      <c r="M173">
        <v>993</v>
      </c>
      <c r="N173">
        <v>553</v>
      </c>
      <c r="O173">
        <v>658</v>
      </c>
      <c r="P173">
        <v>468</v>
      </c>
      <c r="Q173">
        <v>309</v>
      </c>
      <c r="R173" t="str">
        <f>""</f>
        <v/>
      </c>
      <c r="S173" t="str">
        <f>""</f>
        <v/>
      </c>
      <c r="T173" t="str">
        <f>""</f>
        <v/>
      </c>
      <c r="U173" t="str">
        <f>""</f>
        <v/>
      </c>
      <c r="V173" t="str">
        <f>""</f>
        <v/>
      </c>
      <c r="W173" t="str">
        <f>""</f>
        <v/>
      </c>
      <c r="X173" t="str">
        <f>""</f>
        <v/>
      </c>
      <c r="Y173" t="str">
        <f>""</f>
        <v/>
      </c>
      <c r="Z173" t="str">
        <f>""</f>
        <v/>
      </c>
      <c r="AA173" t="str">
        <f>""</f>
        <v/>
      </c>
      <c r="AB173" t="str">
        <f>""</f>
        <v/>
      </c>
      <c r="AC173" t="str">
        <f>""</f>
        <v/>
      </c>
    </row>
    <row r="174" spans="1:29" x14ac:dyDescent="0.25">
      <c r="A174" t="str">
        <f>$A$12</f>
        <v xml:space="preserve">    DXC Technology Co</v>
      </c>
      <c r="B174" t="str">
        <f>$B$12</f>
        <v>DXC US Equity</v>
      </c>
      <c r="C174" t="str">
        <f>$C$12</f>
        <v>RR253</v>
      </c>
      <c r="D174" t="str">
        <f>$D$12</f>
        <v>CASH_AND_MARKETABLE_SECURITIES</v>
      </c>
      <c r="E174" t="str">
        <f>$E$12</f>
        <v>Dynamic</v>
      </c>
      <c r="F174">
        <f ca="1">_xll.BDH($B$12,$C$12,$B$163,$B$164,CONCATENATE("Per=",$B$161),"Dts=H","Dir=H",CONCATENATE("Points=",$B$162),"Sort=R","Days=A","Fill=B",CONCATENATE("FX=", $B$160),"cols=12;rows=1")</f>
        <v>3679</v>
      </c>
      <c r="G174">
        <v>2560</v>
      </c>
      <c r="H174">
        <v>2880</v>
      </c>
      <c r="I174">
        <v>1868</v>
      </c>
      <c r="J174">
        <v>2899</v>
      </c>
      <c r="K174">
        <v>2475</v>
      </c>
      <c r="L174">
        <v>2780</v>
      </c>
      <c r="M174">
        <v>2579</v>
      </c>
      <c r="N174">
        <v>2593</v>
      </c>
      <c r="O174">
        <v>2926</v>
      </c>
      <c r="P174">
        <v>2671</v>
      </c>
      <c r="Q174">
        <v>2517</v>
      </c>
      <c r="R174" t="str">
        <f>""</f>
        <v/>
      </c>
      <c r="S174" t="str">
        <f>""</f>
        <v/>
      </c>
      <c r="T174" t="str">
        <f>""</f>
        <v/>
      </c>
      <c r="U174" t="str">
        <f>""</f>
        <v/>
      </c>
      <c r="V174" t="str">
        <f>""</f>
        <v/>
      </c>
      <c r="W174" t="str">
        <f>""</f>
        <v/>
      </c>
      <c r="X174" t="str">
        <f>""</f>
        <v/>
      </c>
      <c r="Y174" t="str">
        <f>""</f>
        <v/>
      </c>
      <c r="Z174" t="str">
        <f>""</f>
        <v/>
      </c>
      <c r="AA174" t="str">
        <f>""</f>
        <v/>
      </c>
      <c r="AB174" t="str">
        <f>""</f>
        <v/>
      </c>
      <c r="AC174" t="str">
        <f>""</f>
        <v/>
      </c>
    </row>
    <row r="175" spans="1:29" x14ac:dyDescent="0.25">
      <c r="A175" t="str">
        <f>$A$13</f>
        <v xml:space="preserve">    EPAM Systems Inc</v>
      </c>
      <c r="B175" t="str">
        <f>$B$13</f>
        <v>EPAM US Equity</v>
      </c>
      <c r="C175" t="str">
        <f>$C$13</f>
        <v>RR253</v>
      </c>
      <c r="D175" t="str">
        <f>$D$13</f>
        <v>CASH_AND_MARKETABLE_SECURITIES</v>
      </c>
      <c r="E175" t="str">
        <f>$E$13</f>
        <v>Dynamic</v>
      </c>
      <c r="F175">
        <f ca="1">_xll.BDH($B$13,$C$13,$B$163,$B$164,CONCATENATE("Per=",$B$161),"Dts=H","Dir=H",CONCATENATE("Points=",$B$162),"Sort=R","Days=A","Fill=B",CONCATENATE("FX=", $B$160),"cols=12;rows=1")</f>
        <v>916.25300000000004</v>
      </c>
      <c r="G175">
        <v>936.55200000000002</v>
      </c>
      <c r="H175">
        <v>853.24099999999999</v>
      </c>
      <c r="I175">
        <v>777.36500000000001</v>
      </c>
      <c r="J175">
        <v>762.529</v>
      </c>
      <c r="K175">
        <v>770.56</v>
      </c>
      <c r="L175">
        <v>685.10799999999995</v>
      </c>
      <c r="M175">
        <v>584.08100000000002</v>
      </c>
      <c r="N175">
        <v>535.85699999999997</v>
      </c>
      <c r="O175">
        <v>582.58500000000004</v>
      </c>
      <c r="P175">
        <v>512.49300000000005</v>
      </c>
      <c r="Q175">
        <v>443.50099999999998</v>
      </c>
      <c r="R175" t="str">
        <f>""</f>
        <v/>
      </c>
      <c r="S175" t="str">
        <f>""</f>
        <v/>
      </c>
      <c r="T175" t="str">
        <f>""</f>
        <v/>
      </c>
      <c r="U175" t="str">
        <f>""</f>
        <v/>
      </c>
      <c r="V175" t="str">
        <f>""</f>
        <v/>
      </c>
      <c r="W175" t="str">
        <f>""</f>
        <v/>
      </c>
      <c r="X175" t="str">
        <f>""</f>
        <v/>
      </c>
      <c r="Y175" t="str">
        <f>""</f>
        <v/>
      </c>
      <c r="Z175" t="str">
        <f>""</f>
        <v/>
      </c>
      <c r="AA175" t="str">
        <f>""</f>
        <v/>
      </c>
      <c r="AB175" t="str">
        <f>""</f>
        <v/>
      </c>
      <c r="AC175" t="str">
        <f>""</f>
        <v/>
      </c>
    </row>
    <row r="176" spans="1:29" x14ac:dyDescent="0.25">
      <c r="A176" t="str">
        <f>$A$14</f>
        <v xml:space="preserve">    Genpact Ltd</v>
      </c>
      <c r="B176" t="str">
        <f>$B$14</f>
        <v>G US Equity</v>
      </c>
      <c r="C176" t="str">
        <f>$C$14</f>
        <v>RR253</v>
      </c>
      <c r="D176" t="str">
        <f>$D$14</f>
        <v>CASH_AND_MARKETABLE_SECURITIES</v>
      </c>
      <c r="E176" t="str">
        <f>$E$14</f>
        <v>Dynamic</v>
      </c>
      <c r="F176">
        <f ca="1">_xll.BDH($B$14,$C$14,$B$163,$B$164,CONCATENATE("Per=",$B$161),"Dts=H","Dir=H",CONCATENATE("Points=",$B$162),"Sort=R","Days=A","Fill=B",CONCATENATE("FX=", $B$160),"cols=12;rows=1")</f>
        <v>401.62400000000002</v>
      </c>
      <c r="G176">
        <v>467.096</v>
      </c>
      <c r="H176">
        <v>456.87200000000001</v>
      </c>
      <c r="I176">
        <v>378.03</v>
      </c>
      <c r="J176">
        <v>325.37700000000001</v>
      </c>
      <c r="K176">
        <v>368.39600000000002</v>
      </c>
      <c r="L176">
        <v>401.23</v>
      </c>
      <c r="M176">
        <v>333.90300000000002</v>
      </c>
      <c r="N176">
        <v>424.226</v>
      </c>
      <c r="O176">
        <v>504.46800000000002</v>
      </c>
      <c r="P176">
        <v>440.05500000000001</v>
      </c>
      <c r="Q176">
        <v>441.06400000000002</v>
      </c>
      <c r="R176" t="str">
        <f>""</f>
        <v/>
      </c>
      <c r="S176" t="str">
        <f>""</f>
        <v/>
      </c>
      <c r="T176" t="str">
        <f>""</f>
        <v/>
      </c>
      <c r="U176" t="str">
        <f>""</f>
        <v/>
      </c>
      <c r="V176" t="str">
        <f>""</f>
        <v/>
      </c>
      <c r="W176" t="str">
        <f>""</f>
        <v/>
      </c>
      <c r="X176" t="str">
        <f>""</f>
        <v/>
      </c>
      <c r="Y176" t="str">
        <f>""</f>
        <v/>
      </c>
      <c r="Z176" t="str">
        <f>""</f>
        <v/>
      </c>
      <c r="AA176" t="str">
        <f>""</f>
        <v/>
      </c>
      <c r="AB176" t="str">
        <f>""</f>
        <v/>
      </c>
      <c r="AC176" t="str">
        <f>""</f>
        <v/>
      </c>
    </row>
    <row r="177" spans="1:29" x14ac:dyDescent="0.25">
      <c r="A177" t="str">
        <f>$A$15</f>
        <v xml:space="preserve">    HCL Technologies Ltd</v>
      </c>
      <c r="B177" t="str">
        <f>$B$15</f>
        <v>HCLT IN Equity</v>
      </c>
      <c r="C177" t="str">
        <f>$C$15</f>
        <v>RR253</v>
      </c>
      <c r="D177" t="str">
        <f>$D$15</f>
        <v>CASH_AND_MARKETABLE_SECURITIES</v>
      </c>
      <c r="E177" t="str">
        <f>$E$15</f>
        <v>Dynamic</v>
      </c>
      <c r="F177">
        <f ca="1">_xll.BDH($B$15,$C$15,$B$163,$B$164,CONCATENATE("Per=",$B$161),"Dts=H","Dir=H",CONCATENATE("Points=",$B$162),"Sort=R","Days=A","Fill=B",CONCATENATE("FX=", $B$160),"cols=12;rows=1")</f>
        <v>2031.9079999999999</v>
      </c>
      <c r="G177">
        <v>1673.6</v>
      </c>
      <c r="H177">
        <v>1096.9000000000001</v>
      </c>
      <c r="I177">
        <v>1648.2</v>
      </c>
      <c r="J177">
        <v>1648.1110000000001</v>
      </c>
      <c r="K177">
        <v>1360.9</v>
      </c>
      <c r="L177">
        <v>1318.6</v>
      </c>
      <c r="M177">
        <v>1457.2</v>
      </c>
      <c r="N177">
        <v>977.85619999999994</v>
      </c>
      <c r="O177">
        <v>1300.5999999999999</v>
      </c>
      <c r="P177">
        <v>1488.8</v>
      </c>
      <c r="Q177">
        <v>1808.3</v>
      </c>
      <c r="R177" t="str">
        <f>""</f>
        <v/>
      </c>
      <c r="S177" t="str">
        <f>""</f>
        <v/>
      </c>
      <c r="T177" t="str">
        <f>""</f>
        <v/>
      </c>
      <c r="U177" t="str">
        <f>""</f>
        <v/>
      </c>
      <c r="V177" t="str">
        <f>""</f>
        <v/>
      </c>
      <c r="W177" t="str">
        <f>""</f>
        <v/>
      </c>
      <c r="X177" t="str">
        <f>""</f>
        <v/>
      </c>
      <c r="Y177" t="str">
        <f>""</f>
        <v/>
      </c>
      <c r="Z177" t="str">
        <f>""</f>
        <v/>
      </c>
      <c r="AA177" t="str">
        <f>""</f>
        <v/>
      </c>
      <c r="AB177" t="str">
        <f>""</f>
        <v/>
      </c>
      <c r="AC177" t="str">
        <f>""</f>
        <v/>
      </c>
    </row>
    <row r="178" spans="1:29" x14ac:dyDescent="0.25">
      <c r="A178" t="str">
        <f>$A$16</f>
        <v xml:space="preserve">    Indra Sistemas SA</v>
      </c>
      <c r="B178" t="str">
        <f>$B$16</f>
        <v>IDR SM Equity</v>
      </c>
      <c r="C178" t="str">
        <f>$C$16</f>
        <v>RR253</v>
      </c>
      <c r="D178" t="str">
        <f>$D$16</f>
        <v>CASH_AND_MARKETABLE_SECURITIES</v>
      </c>
      <c r="E178" t="str">
        <f>$E$16</f>
        <v>Dynamic</v>
      </c>
      <c r="F178">
        <f ca="1">_xll.BDH($B$16,$C$16,$B$163,$B$164,CONCATENATE("Per=",$B$161),"Dts=H","Dir=H",CONCATENATE("Points=",$B$162),"Sort=R","Days=A","Fill=B",CONCATENATE("FX=", $B$160),"cols=12;rows=1")</f>
        <v>899.73170000000005</v>
      </c>
      <c r="G178">
        <v>959.52819999999997</v>
      </c>
      <c r="H178">
        <v>823.83069999999998</v>
      </c>
      <c r="I178">
        <v>841.57349999999997</v>
      </c>
      <c r="J178">
        <v>941.89070000000004</v>
      </c>
      <c r="K178">
        <v>1051.0932</v>
      </c>
      <c r="L178">
        <v>996.01660000000004</v>
      </c>
      <c r="M178">
        <v>1104.6267</v>
      </c>
      <c r="N178">
        <v>926.24980000000005</v>
      </c>
      <c r="O178">
        <v>842.15309999999999</v>
      </c>
      <c r="P178">
        <v>753.62149999999997</v>
      </c>
      <c r="Q178">
        <v>614.93020000000001</v>
      </c>
      <c r="R178" t="str">
        <f>""</f>
        <v/>
      </c>
      <c r="S178" t="str">
        <f>""</f>
        <v/>
      </c>
      <c r="T178" t="str">
        <f>""</f>
        <v/>
      </c>
      <c r="U178" t="str">
        <f>""</f>
        <v/>
      </c>
      <c r="V178" t="str">
        <f>""</f>
        <v/>
      </c>
      <c r="W178" t="str">
        <f>""</f>
        <v/>
      </c>
      <c r="X178" t="str">
        <f>""</f>
        <v/>
      </c>
      <c r="Y178" t="str">
        <f>""</f>
        <v/>
      </c>
      <c r="Z178" t="str">
        <f>""</f>
        <v/>
      </c>
      <c r="AA178" t="str">
        <f>""</f>
        <v/>
      </c>
      <c r="AB178" t="str">
        <f>""</f>
        <v/>
      </c>
      <c r="AC178" t="str">
        <f>""</f>
        <v/>
      </c>
    </row>
    <row r="179" spans="1:29" x14ac:dyDescent="0.25">
      <c r="A179" t="str">
        <f>$A$17</f>
        <v xml:space="preserve">    Infosys Ltd</v>
      </c>
      <c r="B179" t="str">
        <f>$B$17</f>
        <v>INFY US Equity</v>
      </c>
      <c r="C179" t="str">
        <f>$C$17</f>
        <v>RR253</v>
      </c>
      <c r="D179" t="str">
        <f>$D$17</f>
        <v>CASH_AND_MARKETABLE_SECURITIES</v>
      </c>
      <c r="E179" t="str">
        <f>$E$17</f>
        <v>Dynamic</v>
      </c>
      <c r="F179">
        <f ca="1">_xll.BDH($B$17,$C$17,$B$163,$B$164,CONCATENATE("Per=",$B$161),"Dts=H","Dir=H",CONCATENATE("Points=",$B$162),"Sort=R","Days=A","Fill=B",CONCATENATE("FX=", $B$160),"cols=12;rows=1")</f>
        <v>3091.7946000000002</v>
      </c>
      <c r="G179">
        <v>2859.4092999999998</v>
      </c>
      <c r="H179">
        <v>2828.8416999999999</v>
      </c>
      <c r="I179">
        <v>3048.8822</v>
      </c>
      <c r="J179">
        <v>3778.6718000000001</v>
      </c>
      <c r="K179">
        <v>3769.1203999999998</v>
      </c>
      <c r="L179">
        <v>3505.3308000000002</v>
      </c>
      <c r="M179">
        <v>3414.6768999999999</v>
      </c>
      <c r="N179">
        <v>4025.7896000000001</v>
      </c>
      <c r="O179">
        <v>3616.5164</v>
      </c>
      <c r="P179">
        <v>5426.3198000000002</v>
      </c>
      <c r="Q179">
        <v>5184.9353000000001</v>
      </c>
      <c r="R179" t="str">
        <f>""</f>
        <v/>
      </c>
      <c r="S179" t="str">
        <f>""</f>
        <v/>
      </c>
      <c r="T179" t="str">
        <f>""</f>
        <v/>
      </c>
      <c r="U179" t="str">
        <f>""</f>
        <v/>
      </c>
      <c r="V179" t="str">
        <f>""</f>
        <v/>
      </c>
      <c r="W179" t="str">
        <f>""</f>
        <v/>
      </c>
      <c r="X179" t="str">
        <f>""</f>
        <v/>
      </c>
      <c r="Y179" t="str">
        <f>""</f>
        <v/>
      </c>
      <c r="Z179" t="str">
        <f>""</f>
        <v/>
      </c>
      <c r="AA179" t="str">
        <f>""</f>
        <v/>
      </c>
      <c r="AB179" t="str">
        <f>""</f>
        <v/>
      </c>
      <c r="AC179" t="str">
        <f>""</f>
        <v/>
      </c>
    </row>
    <row r="180" spans="1:29" x14ac:dyDescent="0.25">
      <c r="A180" t="str">
        <f>$A$18</f>
        <v xml:space="preserve">    International Business Machines Corp</v>
      </c>
      <c r="B180" t="str">
        <f>$B$18</f>
        <v>IBM US Equity</v>
      </c>
      <c r="C180" t="str">
        <f>$C$18</f>
        <v>RR253</v>
      </c>
      <c r="D180" t="str">
        <f>$D$18</f>
        <v>CASH_AND_MARKETABLE_SECURITIES</v>
      </c>
      <c r="E180" t="str">
        <f>$E$18</f>
        <v>Dynamic</v>
      </c>
      <c r="F180">
        <f ca="1">_xll.BDH($B$18,$C$18,$B$163,$B$164,CONCATENATE("Per=",$B$161),"Dts=H","Dir=H",CONCATENATE("Points=",$B$162),"Sort=R","Days=A","Fill=B",CONCATENATE("FX=", $B$160),"cols=12;rows=1")</f>
        <v>11865</v>
      </c>
      <c r="G180">
        <v>8868</v>
      </c>
      <c r="H180">
        <v>10820</v>
      </c>
      <c r="I180">
        <v>46273</v>
      </c>
      <c r="J180">
        <v>18006</v>
      </c>
      <c r="K180">
        <v>11997</v>
      </c>
      <c r="L180">
        <v>14495</v>
      </c>
      <c r="M180">
        <v>11707</v>
      </c>
      <c r="N180">
        <v>12842</v>
      </c>
      <c r="O180">
        <v>12580</v>
      </c>
      <c r="P180">
        <v>11515</v>
      </c>
      <c r="Q180">
        <v>12295</v>
      </c>
      <c r="R180" t="str">
        <f>""</f>
        <v/>
      </c>
      <c r="S180" t="str">
        <f>""</f>
        <v/>
      </c>
      <c r="T180" t="str">
        <f>""</f>
        <v/>
      </c>
      <c r="U180" t="str">
        <f>""</f>
        <v/>
      </c>
      <c r="V180" t="str">
        <f>""</f>
        <v/>
      </c>
      <c r="W180" t="str">
        <f>""</f>
        <v/>
      </c>
      <c r="X180" t="str">
        <f>""</f>
        <v/>
      </c>
      <c r="Y180" t="str">
        <f>""</f>
        <v/>
      </c>
      <c r="Z180" t="str">
        <f>""</f>
        <v/>
      </c>
      <c r="AA180" t="str">
        <f>""</f>
        <v/>
      </c>
      <c r="AB180" t="str">
        <f>""</f>
        <v/>
      </c>
      <c r="AC180" t="str">
        <f>""</f>
        <v/>
      </c>
    </row>
    <row r="181" spans="1:29" x14ac:dyDescent="0.25">
      <c r="A181" t="str">
        <f>$A$19</f>
        <v xml:space="preserve">    Tata Consultancy Services Ltd</v>
      </c>
      <c r="B181" t="str">
        <f>$B$19</f>
        <v>TCS IN Equity</v>
      </c>
      <c r="C181" t="str">
        <f>$C$19</f>
        <v>RR253</v>
      </c>
      <c r="D181" t="str">
        <f>$D$19</f>
        <v>CASH_AND_MARKETABLE_SECURITIES</v>
      </c>
      <c r="E181" t="str">
        <f>$E$19</f>
        <v>Dynamic</v>
      </c>
      <c r="F181">
        <f ca="1">_xll.BDH($B$19,$C$19,$B$163,$B$164,CONCATENATE("Per=",$B$161),"Dts=H","Dir=H",CONCATENATE("Points=",$B$162),"Sort=R","Days=A","Fill=B",CONCATENATE("FX=", $B$160),"cols=12;rows=1")</f>
        <v>4721.9387999999999</v>
      </c>
      <c r="G181">
        <v>5187.5407999999998</v>
      </c>
      <c r="H181">
        <v>6573.2257</v>
      </c>
      <c r="I181">
        <v>6155.2165999999997</v>
      </c>
      <c r="J181">
        <v>6021.4964</v>
      </c>
      <c r="K181">
        <v>5176.9264000000003</v>
      </c>
      <c r="L181">
        <v>4669.6392999999998</v>
      </c>
      <c r="M181">
        <v>5601.6063999999997</v>
      </c>
      <c r="N181">
        <v>6546.5709999999999</v>
      </c>
      <c r="O181">
        <v>5752.5664999999999</v>
      </c>
      <c r="P181">
        <v>5132.0581000000002</v>
      </c>
      <c r="Q181">
        <v>4935.3217999999997</v>
      </c>
      <c r="R181" t="str">
        <f>""</f>
        <v/>
      </c>
      <c r="S181" t="str">
        <f>""</f>
        <v/>
      </c>
      <c r="T181" t="str">
        <f>""</f>
        <v/>
      </c>
      <c r="U181" t="str">
        <f>""</f>
        <v/>
      </c>
      <c r="V181" t="str">
        <f>""</f>
        <v/>
      </c>
      <c r="W181" t="str">
        <f>""</f>
        <v/>
      </c>
      <c r="X181" t="str">
        <f>""</f>
        <v/>
      </c>
      <c r="Y181" t="str">
        <f>""</f>
        <v/>
      </c>
      <c r="Z181" t="str">
        <f>""</f>
        <v/>
      </c>
      <c r="AA181" t="str">
        <f>""</f>
        <v/>
      </c>
      <c r="AB181" t="str">
        <f>""</f>
        <v/>
      </c>
      <c r="AC181" t="str">
        <f>""</f>
        <v/>
      </c>
    </row>
    <row r="182" spans="1:29" x14ac:dyDescent="0.25">
      <c r="A182" t="str">
        <f>$A$20</f>
        <v xml:space="preserve">    Tech Mahindra Ltd</v>
      </c>
      <c r="B182" t="str">
        <f>$B$20</f>
        <v>TECHM IN Equity</v>
      </c>
      <c r="C182" t="str">
        <f>$C$20</f>
        <v>RR253</v>
      </c>
      <c r="D182" t="str">
        <f>$D$20</f>
        <v>CASH_AND_MARKETABLE_SECURITIES</v>
      </c>
      <c r="E182" t="str">
        <f>$E$20</f>
        <v>Dynamic</v>
      </c>
      <c r="F182">
        <f ca="1">_xll.BDH($B$20,$C$20,$B$163,$B$164,CONCATENATE("Per=",$B$161),"Dts=H","Dir=H",CONCATENATE("Points=",$B$162),"Sort=R","Days=A","Fill=B",CONCATENATE("FX=", $B$160),"cols=12;rows=1")</f>
        <v>1162.2887000000001</v>
      </c>
      <c r="G182">
        <v>1148.8041000000001</v>
      </c>
      <c r="H182">
        <v>1061.7601999999999</v>
      </c>
      <c r="I182">
        <v>1128.9786999999999</v>
      </c>
      <c r="J182">
        <v>1251.8013000000001</v>
      </c>
      <c r="K182">
        <v>961.51530000000002</v>
      </c>
      <c r="L182">
        <v>876.47739999999999</v>
      </c>
      <c r="M182">
        <v>1047.7985000000001</v>
      </c>
      <c r="N182">
        <v>989.06240000000003</v>
      </c>
      <c r="O182">
        <v>950.37699999999995</v>
      </c>
      <c r="P182">
        <v>912.20960000000002</v>
      </c>
      <c r="Q182">
        <v>931.04449999999997</v>
      </c>
      <c r="R182" t="str">
        <f>""</f>
        <v/>
      </c>
      <c r="S182" t="str">
        <f>""</f>
        <v/>
      </c>
      <c r="T182" t="str">
        <f>""</f>
        <v/>
      </c>
      <c r="U182" t="str">
        <f>""</f>
        <v/>
      </c>
      <c r="V182" t="str">
        <f>""</f>
        <v/>
      </c>
      <c r="W182" t="str">
        <f>""</f>
        <v/>
      </c>
      <c r="X182" t="str">
        <f>""</f>
        <v/>
      </c>
      <c r="Y182" t="str">
        <f>""</f>
        <v/>
      </c>
      <c r="Z182" t="str">
        <f>""</f>
        <v/>
      </c>
      <c r="AA182" t="str">
        <f>""</f>
        <v/>
      </c>
      <c r="AB182" t="str">
        <f>""</f>
        <v/>
      </c>
      <c r="AC182" t="str">
        <f>""</f>
        <v/>
      </c>
    </row>
    <row r="183" spans="1:29" x14ac:dyDescent="0.25">
      <c r="A183" t="str">
        <f>$A$21</f>
        <v xml:space="preserve">    Wipro Ltd</v>
      </c>
      <c r="B183" t="str">
        <f>$B$21</f>
        <v>WIT US Equity</v>
      </c>
      <c r="C183" t="str">
        <f>$C$21</f>
        <v>RR253</v>
      </c>
      <c r="D183" t="str">
        <f>$D$21</f>
        <v>CASH_AND_MARKETABLE_SECURITIES</v>
      </c>
      <c r="E183" t="str">
        <f>$E$21</f>
        <v>Dynamic</v>
      </c>
      <c r="F183">
        <f ca="1">_xll.BDH($B$21,$C$21,$B$163,$B$164,CONCATENATE("Per=",$B$161),"Dts=H","Dir=H",CONCATENATE("Points=",$B$162),"Sort=R","Days=A","Fill=B",CONCATENATE("FX=", $B$160),"cols=12;rows=1")</f>
        <v>4433.0316999999995</v>
      </c>
      <c r="G183">
        <v>4926.5771999999997</v>
      </c>
      <c r="H183">
        <v>4615.3236999999999</v>
      </c>
      <c r="I183">
        <v>6147.8609999999999</v>
      </c>
      <c r="J183">
        <v>5470.6715000000004</v>
      </c>
      <c r="K183">
        <v>5092.1509999999998</v>
      </c>
      <c r="L183">
        <v>4529.7762000000002</v>
      </c>
      <c r="M183">
        <v>4693.8882999999996</v>
      </c>
      <c r="N183">
        <v>4513.4742999999999</v>
      </c>
      <c r="O183">
        <v>4531.5771999999997</v>
      </c>
      <c r="P183">
        <v>5883.2134999999998</v>
      </c>
      <c r="Q183">
        <v>5757.2821999999996</v>
      </c>
      <c r="R183" t="str">
        <f>""</f>
        <v/>
      </c>
      <c r="S183" t="str">
        <f>""</f>
        <v/>
      </c>
      <c r="T183" t="str">
        <f>""</f>
        <v/>
      </c>
      <c r="U183" t="str">
        <f>""</f>
        <v/>
      </c>
      <c r="V183" t="str">
        <f>""</f>
        <v/>
      </c>
      <c r="W183" t="str">
        <f>""</f>
        <v/>
      </c>
      <c r="X183" t="str">
        <f>""</f>
        <v/>
      </c>
      <c r="Y183" t="str">
        <f>""</f>
        <v/>
      </c>
      <c r="Z183" t="str">
        <f>""</f>
        <v/>
      </c>
      <c r="AA183" t="str">
        <f>""</f>
        <v/>
      </c>
      <c r="AB183" t="str">
        <f>""</f>
        <v/>
      </c>
      <c r="AC183" t="str">
        <f>""</f>
        <v/>
      </c>
    </row>
    <row r="184" spans="1:29" x14ac:dyDescent="0.25">
      <c r="A184" t="str">
        <f>$A$23</f>
        <v xml:space="preserve">    Accenture PLC</v>
      </c>
      <c r="B184" t="str">
        <f>$B$23</f>
        <v>ACN US Equity</v>
      </c>
      <c r="C184" t="str">
        <f>$C$23</f>
        <v>BS012</v>
      </c>
      <c r="D184" t="str">
        <f>$D$23</f>
        <v>BS_ACCT_NOTE_RCV</v>
      </c>
      <c r="E184" t="str">
        <f>$E$23</f>
        <v>Dynamic</v>
      </c>
      <c r="F184">
        <f ca="1">_xll.BDH($B$23,$C$23,$B$163,$B$164,CONCATENATE("Per=",$B$161),"Dts=H","Dir=H",CONCATENATE("Points=",$B$162),"Sort=R","Days=A","Fill=B",CONCATENATE("FX=", $B$160),"cols=12;rows=1")</f>
        <v>8517.9490000000005</v>
      </c>
      <c r="G184">
        <v>8577.3860000000004</v>
      </c>
      <c r="H184">
        <v>8095.0709999999999</v>
      </c>
      <c r="I184">
        <v>8134.1469999999999</v>
      </c>
      <c r="J184">
        <v>8151.4110000000001</v>
      </c>
      <c r="K184">
        <v>8023.0569999999998</v>
      </c>
      <c r="L184">
        <v>4996.4539999999997</v>
      </c>
      <c r="M184">
        <v>4986.652</v>
      </c>
      <c r="N184">
        <v>5030.6980000000003</v>
      </c>
      <c r="O184">
        <v>4981.0839999999998</v>
      </c>
      <c r="P184">
        <v>4569.2139999999999</v>
      </c>
      <c r="Q184">
        <v>4474.415</v>
      </c>
      <c r="R184" t="str">
        <f>""</f>
        <v/>
      </c>
      <c r="S184" t="str">
        <f>""</f>
        <v/>
      </c>
      <c r="T184" t="str">
        <f>""</f>
        <v/>
      </c>
      <c r="U184" t="str">
        <f>""</f>
        <v/>
      </c>
      <c r="V184" t="str">
        <f>""</f>
        <v/>
      </c>
      <c r="W184" t="str">
        <f>""</f>
        <v/>
      </c>
      <c r="X184" t="str">
        <f>""</f>
        <v/>
      </c>
      <c r="Y184" t="str">
        <f>""</f>
        <v/>
      </c>
      <c r="Z184" t="str">
        <f>""</f>
        <v/>
      </c>
      <c r="AA184" t="str">
        <f>""</f>
        <v/>
      </c>
      <c r="AB184" t="str">
        <f>""</f>
        <v/>
      </c>
      <c r="AC184" t="str">
        <f>""</f>
        <v/>
      </c>
    </row>
    <row r="185" spans="1:29" x14ac:dyDescent="0.25">
      <c r="A185" t="str">
        <f>$A$24</f>
        <v xml:space="preserve">    Amdocs Ltd</v>
      </c>
      <c r="B185" t="str">
        <f>$B$24</f>
        <v>DOX US Equity</v>
      </c>
      <c r="C185" t="str">
        <f>$C$24</f>
        <v>BS012</v>
      </c>
      <c r="D185" t="str">
        <f>$D$24</f>
        <v>BS_ACCT_NOTE_RCV</v>
      </c>
      <c r="E185" t="str">
        <f>$E$24</f>
        <v>Dynamic</v>
      </c>
      <c r="F185">
        <f ca="1">_xll.BDH($B$24,$C$24,$B$163,$B$164,CONCATENATE("Per=",$B$161),"Dts=H","Dir=H",CONCATENATE("Points=",$B$162),"Sort=R","Days=A","Fill=B",CONCATENATE("FX=", $B$160),"cols=12;rows=1")</f>
        <v>755.39300000000003</v>
      </c>
      <c r="G185">
        <v>1002.264</v>
      </c>
      <c r="H185">
        <v>987.85799999999995</v>
      </c>
      <c r="I185">
        <v>952.89099999999996</v>
      </c>
      <c r="J185">
        <v>764.928</v>
      </c>
      <c r="K185">
        <v>1008.748</v>
      </c>
      <c r="L185">
        <v>707.505</v>
      </c>
      <c r="M185">
        <v>733.27499999999998</v>
      </c>
      <c r="N185">
        <v>722.90200000000004</v>
      </c>
      <c r="O185">
        <v>681.63300000000004</v>
      </c>
      <c r="P185">
        <v>635.37300000000005</v>
      </c>
      <c r="Q185">
        <v>718.48800000000006</v>
      </c>
      <c r="R185" t="str">
        <f>""</f>
        <v/>
      </c>
      <c r="S185" t="str">
        <f>""</f>
        <v/>
      </c>
      <c r="T185" t="str">
        <f>""</f>
        <v/>
      </c>
      <c r="U185" t="str">
        <f>""</f>
        <v/>
      </c>
      <c r="V185" t="str">
        <f>""</f>
        <v/>
      </c>
      <c r="W185" t="str">
        <f>""</f>
        <v/>
      </c>
      <c r="X185" t="str">
        <f>""</f>
        <v/>
      </c>
      <c r="Y185" t="str">
        <f>""</f>
        <v/>
      </c>
      <c r="Z185" t="str">
        <f>""</f>
        <v/>
      </c>
      <c r="AA185" t="str">
        <f>""</f>
        <v/>
      </c>
      <c r="AB185" t="str">
        <f>""</f>
        <v/>
      </c>
      <c r="AC185" t="str">
        <f>""</f>
        <v/>
      </c>
    </row>
    <row r="186" spans="1:29" x14ac:dyDescent="0.25">
      <c r="A186" t="str">
        <f>$A$25</f>
        <v xml:space="preserve">    Atos SE</v>
      </c>
      <c r="B186" t="str">
        <f>$B$25</f>
        <v>ATO FP Equity</v>
      </c>
      <c r="C186" t="str">
        <f>$C$25</f>
        <v>BS012</v>
      </c>
      <c r="D186" t="str">
        <f>$D$25</f>
        <v>BS_ACCT_NOTE_RCV</v>
      </c>
      <c r="E186" t="str">
        <f>$E$25</f>
        <v>Dynamic</v>
      </c>
      <c r="F186" t="str">
        <f ca="1">_xll.BDH($B$25,$C$25,$B$163,$B$164,CONCATENATE("Per=",$B$161),"Dts=H","Dir=H",CONCATENATE("Points=",$B$162),"Sort=R","Days=A","Fill=B",CONCATENATE("FX=", $B$160) )</f>
        <v/>
      </c>
      <c r="R186" t="str">
        <f>""</f>
        <v/>
      </c>
      <c r="S186" t="str">
        <f>""</f>
        <v/>
      </c>
      <c r="T186" t="str">
        <f>""</f>
        <v/>
      </c>
      <c r="U186" t="str">
        <f>""</f>
        <v/>
      </c>
      <c r="V186" t="str">
        <f>""</f>
        <v/>
      </c>
      <c r="W186" t="str">
        <f>""</f>
        <v/>
      </c>
      <c r="X186" t="str">
        <f>""</f>
        <v/>
      </c>
      <c r="Y186" t="str">
        <f>""</f>
        <v/>
      </c>
      <c r="Z186" t="str">
        <f>""</f>
        <v/>
      </c>
      <c r="AA186" t="str">
        <f>""</f>
        <v/>
      </c>
      <c r="AB186" t="str">
        <f>""</f>
        <v/>
      </c>
      <c r="AC186" t="str">
        <f>""</f>
        <v/>
      </c>
    </row>
    <row r="187" spans="1:29" x14ac:dyDescent="0.25">
      <c r="A187" t="str">
        <f>$A$26</f>
        <v xml:space="preserve">    Capgemini SE</v>
      </c>
      <c r="B187" t="str">
        <f>$B$26</f>
        <v>CAP FP Equity</v>
      </c>
      <c r="C187" t="str">
        <f>$C$26</f>
        <v>BS012</v>
      </c>
      <c r="D187" t="str">
        <f>$D$26</f>
        <v>BS_ACCT_NOTE_RCV</v>
      </c>
      <c r="E187" t="str">
        <f>$E$26</f>
        <v>Dynamic</v>
      </c>
      <c r="F187" t="str">
        <f ca="1">_xll.BDH($B$26,$C$26,$B$163,$B$164,CONCATENATE("Per=",$B$161),"Dts=H","Dir=H",CONCATENATE("Points=",$B$162),"Sort=R","Days=A","Fill=B",CONCATENATE("FX=", $B$160),"cols=12;rows=1")</f>
        <v/>
      </c>
      <c r="G187">
        <v>2381.6709000000001</v>
      </c>
      <c r="R187" t="str">
        <f>""</f>
        <v/>
      </c>
      <c r="S187" t="str">
        <f>""</f>
        <v/>
      </c>
      <c r="T187" t="str">
        <f>""</f>
        <v/>
      </c>
      <c r="U187" t="str">
        <f>""</f>
        <v/>
      </c>
      <c r="V187" t="str">
        <f>""</f>
        <v/>
      </c>
      <c r="W187" t="str">
        <f>""</f>
        <v/>
      </c>
      <c r="X187" t="str">
        <f>""</f>
        <v/>
      </c>
      <c r="Y187" t="str">
        <f>""</f>
        <v/>
      </c>
      <c r="Z187" t="str">
        <f>""</f>
        <v/>
      </c>
      <c r="AA187" t="str">
        <f>""</f>
        <v/>
      </c>
      <c r="AB187" t="str">
        <f>""</f>
        <v/>
      </c>
      <c r="AC187" t="str">
        <f>""</f>
        <v/>
      </c>
    </row>
    <row r="188" spans="1:29" x14ac:dyDescent="0.25">
      <c r="A188" t="str">
        <f>$A$27</f>
        <v xml:space="preserve">    CGI Inc</v>
      </c>
      <c r="B188" t="str">
        <f>$B$27</f>
        <v>GIB US Equity</v>
      </c>
      <c r="C188" t="str">
        <f>$C$27</f>
        <v>BS012</v>
      </c>
      <c r="D188" t="str">
        <f>$D$27</f>
        <v>BS_ACCT_NOTE_RCV</v>
      </c>
      <c r="E188" t="str">
        <f>$E$27</f>
        <v>Dynamic</v>
      </c>
      <c r="F188">
        <f ca="1">_xll.BDH($B$27,$C$27,$B$163,$B$164,CONCATENATE("Per=",$B$161),"Dts=H","Dir=H",CONCATENATE("Points=",$B$162),"Sort=R","Days=A","Fill=B",CONCATENATE("FX=", $B$160),"cols=12;rows=1")</f>
        <v>1050.2968000000001</v>
      </c>
      <c r="G188">
        <v>1201.5264</v>
      </c>
      <c r="H188">
        <v>739.91989999999998</v>
      </c>
      <c r="I188">
        <v>1129.473</v>
      </c>
      <c r="J188">
        <v>1093.7877000000001</v>
      </c>
      <c r="K188">
        <v>1118.5298</v>
      </c>
      <c r="L188">
        <v>870.83389999999997</v>
      </c>
      <c r="N188">
        <v>1039.5776000000001</v>
      </c>
      <c r="O188">
        <v>1146.1818000000001</v>
      </c>
      <c r="P188">
        <v>746.17909999999995</v>
      </c>
      <c r="Q188">
        <v>971.27319999999997</v>
      </c>
      <c r="R188" t="str">
        <f>""</f>
        <v/>
      </c>
      <c r="S188" t="str">
        <f>""</f>
        <v/>
      </c>
      <c r="T188" t="str">
        <f>""</f>
        <v/>
      </c>
      <c r="U188" t="str">
        <f>""</f>
        <v/>
      </c>
      <c r="V188" t="str">
        <f>""</f>
        <v/>
      </c>
      <c r="W188" t="str">
        <f>""</f>
        <v/>
      </c>
      <c r="X188" t="str">
        <f>""</f>
        <v/>
      </c>
      <c r="Y188" t="str">
        <f>""</f>
        <v/>
      </c>
      <c r="Z188" t="str">
        <f>""</f>
        <v/>
      </c>
      <c r="AA188" t="str">
        <f>""</f>
        <v/>
      </c>
      <c r="AB188" t="str">
        <f>""</f>
        <v/>
      </c>
      <c r="AC188" t="str">
        <f>""</f>
        <v/>
      </c>
    </row>
    <row r="189" spans="1:29" x14ac:dyDescent="0.25">
      <c r="A189" t="str">
        <f>$A$28</f>
        <v xml:space="preserve">    Cognizant Technology Solutions Corp</v>
      </c>
      <c r="B189" t="str">
        <f>$B$28</f>
        <v>CTSH US Equity</v>
      </c>
      <c r="C189" t="str">
        <f>$C$28</f>
        <v>BS012</v>
      </c>
      <c r="D189" t="str">
        <f>$D$28</f>
        <v>BS_ACCT_NOTE_RCV</v>
      </c>
      <c r="E189" t="str">
        <f>$E$28</f>
        <v>Dynamic</v>
      </c>
      <c r="F189">
        <f ca="1">_xll.BDH($B$28,$C$28,$B$163,$B$164,CONCATENATE("Per=",$B$161),"Dts=H","Dir=H",CONCATENATE("Points=",$B$162),"Sort=R","Days=A","Fill=B",CONCATENATE("FX=", $B$160),"cols=12;rows=1")</f>
        <v>3220</v>
      </c>
      <c r="G189">
        <v>3256</v>
      </c>
      <c r="H189">
        <v>3438</v>
      </c>
      <c r="I189">
        <v>3386</v>
      </c>
      <c r="J189">
        <v>3377</v>
      </c>
      <c r="K189">
        <v>3190</v>
      </c>
      <c r="L189">
        <v>3187</v>
      </c>
      <c r="M189">
        <v>3204</v>
      </c>
      <c r="N189">
        <v>3145</v>
      </c>
      <c r="O189">
        <v>2865</v>
      </c>
      <c r="P189">
        <v>2889</v>
      </c>
      <c r="Q189">
        <v>2680</v>
      </c>
      <c r="R189" t="str">
        <f>""</f>
        <v/>
      </c>
      <c r="S189" t="str">
        <f>""</f>
        <v/>
      </c>
      <c r="T189" t="str">
        <f>""</f>
        <v/>
      </c>
      <c r="U189" t="str">
        <f>""</f>
        <v/>
      </c>
      <c r="V189" t="str">
        <f>""</f>
        <v/>
      </c>
      <c r="W189" t="str">
        <f>""</f>
        <v/>
      </c>
      <c r="X189" t="str">
        <f>""</f>
        <v/>
      </c>
      <c r="Y189" t="str">
        <f>""</f>
        <v/>
      </c>
      <c r="Z189" t="str">
        <f>""</f>
        <v/>
      </c>
      <c r="AA189" t="str">
        <f>""</f>
        <v/>
      </c>
      <c r="AB189" t="str">
        <f>""</f>
        <v/>
      </c>
      <c r="AC189" t="str">
        <f>""</f>
        <v/>
      </c>
    </row>
    <row r="190" spans="1:29" x14ac:dyDescent="0.25">
      <c r="A190" t="str">
        <f>$A$29</f>
        <v xml:space="preserve">    Conduent Inc</v>
      </c>
      <c r="B190" t="str">
        <f>$B$29</f>
        <v>CNDT US Equity</v>
      </c>
      <c r="C190" t="str">
        <f>$C$29</f>
        <v>BS012</v>
      </c>
      <c r="D190" t="str">
        <f>$D$29</f>
        <v>BS_ACCT_NOTE_RCV</v>
      </c>
      <c r="E190" t="str">
        <f>$E$29</f>
        <v>Dynamic</v>
      </c>
      <c r="F190">
        <f ca="1">_xll.BDH($B$29,$C$29,$B$163,$B$164,CONCATENATE("Per=",$B$161),"Dts=H","Dir=H",CONCATENATE("Points=",$B$162),"Sort=R","Days=A","Fill=B",CONCATENATE("FX=", $B$160),"cols=12;rows=1")</f>
        <v>690</v>
      </c>
      <c r="G190">
        <v>652</v>
      </c>
      <c r="H190">
        <v>840</v>
      </c>
      <c r="I190">
        <v>824</v>
      </c>
      <c r="J190">
        <v>820</v>
      </c>
      <c r="K190">
        <v>782</v>
      </c>
      <c r="L190">
        <v>951</v>
      </c>
      <c r="M190">
        <v>930</v>
      </c>
      <c r="N190">
        <v>1026</v>
      </c>
      <c r="O190">
        <v>1115</v>
      </c>
      <c r="P190">
        <v>1411</v>
      </c>
      <c r="Q190">
        <v>1413</v>
      </c>
      <c r="R190" t="str">
        <f>""</f>
        <v/>
      </c>
      <c r="S190" t="str">
        <f>""</f>
        <v/>
      </c>
      <c r="T190" t="str">
        <f>""</f>
        <v/>
      </c>
      <c r="U190" t="str">
        <f>""</f>
        <v/>
      </c>
      <c r="V190" t="str">
        <f>""</f>
        <v/>
      </c>
      <c r="W190" t="str">
        <f>""</f>
        <v/>
      </c>
      <c r="X190" t="str">
        <f>""</f>
        <v/>
      </c>
      <c r="Y190" t="str">
        <f>""</f>
        <v/>
      </c>
      <c r="Z190" t="str">
        <f>""</f>
        <v/>
      </c>
      <c r="AA190" t="str">
        <f>""</f>
        <v/>
      </c>
      <c r="AB190" t="str">
        <f>""</f>
        <v/>
      </c>
      <c r="AC190" t="str">
        <f>""</f>
        <v/>
      </c>
    </row>
    <row r="191" spans="1:29" x14ac:dyDescent="0.25">
      <c r="A191" t="str">
        <f>$A$30</f>
        <v xml:space="preserve">    DXC Technology Co</v>
      </c>
      <c r="B191" t="str">
        <f>$B$30</f>
        <v>DXC US Equity</v>
      </c>
      <c r="C191" t="str">
        <f>$C$30</f>
        <v>BS012</v>
      </c>
      <c r="D191" t="str">
        <f>$D$30</f>
        <v>BS_ACCT_NOTE_RCV</v>
      </c>
      <c r="E191" t="str">
        <f>$E$30</f>
        <v>Dynamic</v>
      </c>
      <c r="F191">
        <f ca="1">_xll.BDH($B$30,$C$30,$B$163,$B$164,CONCATENATE("Per=",$B$161),"Dts=H","Dir=H",CONCATENATE("Points=",$B$162),"Sort=R","Days=A","Fill=B",CONCATENATE("FX=", $B$160),"cols=12;rows=1")</f>
        <v>2094</v>
      </c>
      <c r="G191">
        <v>4619</v>
      </c>
      <c r="H191">
        <v>4611</v>
      </c>
      <c r="I191">
        <v>5234</v>
      </c>
      <c r="J191">
        <v>2508</v>
      </c>
      <c r="K191">
        <v>5096</v>
      </c>
      <c r="L191">
        <v>4928</v>
      </c>
      <c r="M191">
        <v>5271</v>
      </c>
      <c r="N191">
        <v>3110</v>
      </c>
      <c r="O191">
        <v>5611</v>
      </c>
      <c r="P191">
        <v>5676</v>
      </c>
      <c r="Q191">
        <v>5776</v>
      </c>
      <c r="R191" t="str">
        <f>""</f>
        <v/>
      </c>
      <c r="S191" t="str">
        <f>""</f>
        <v/>
      </c>
      <c r="T191" t="str">
        <f>""</f>
        <v/>
      </c>
      <c r="U191" t="str">
        <f>""</f>
        <v/>
      </c>
      <c r="V191" t="str">
        <f>""</f>
        <v/>
      </c>
      <c r="W191" t="str">
        <f>""</f>
        <v/>
      </c>
      <c r="X191" t="str">
        <f>""</f>
        <v/>
      </c>
      <c r="Y191" t="str">
        <f>""</f>
        <v/>
      </c>
      <c r="Z191" t="str">
        <f>""</f>
        <v/>
      </c>
      <c r="AA191" t="str">
        <f>""</f>
        <v/>
      </c>
      <c r="AB191" t="str">
        <f>""</f>
        <v/>
      </c>
      <c r="AC191" t="str">
        <f>""</f>
        <v/>
      </c>
    </row>
    <row r="192" spans="1:29" x14ac:dyDescent="0.25">
      <c r="A192" t="str">
        <f>$A$31</f>
        <v xml:space="preserve">    EPAM Systems Inc</v>
      </c>
      <c r="B192" t="str">
        <f>$B$31</f>
        <v>EPAM US Equity</v>
      </c>
      <c r="C192" t="str">
        <f>$C$31</f>
        <v>BS012</v>
      </c>
      <c r="D192" t="str">
        <f>$D$31</f>
        <v>BS_ACCT_NOTE_RCV</v>
      </c>
      <c r="E192" t="str">
        <f>$E$31</f>
        <v>Dynamic</v>
      </c>
      <c r="F192">
        <f ca="1">_xll.BDH($B$31,$C$31,$B$163,$B$164,CONCATENATE("Per=",$B$161),"Dts=H","Dir=H",CONCATENATE("Points=",$B$162),"Sort=R","Days=A","Fill=B",CONCATENATE("FX=", $B$160),"cols=12;rows=1")</f>
        <v>542.69799999999998</v>
      </c>
      <c r="G192">
        <v>497.71600000000001</v>
      </c>
      <c r="H192">
        <v>339.11200000000002</v>
      </c>
      <c r="I192">
        <v>343.86399999999998</v>
      </c>
      <c r="J192">
        <v>307.202</v>
      </c>
      <c r="K192">
        <v>297.685</v>
      </c>
      <c r="L192">
        <v>282.27600000000001</v>
      </c>
      <c r="M192">
        <v>283.00099999999998</v>
      </c>
      <c r="N192">
        <v>262.29500000000002</v>
      </c>
      <c r="O192">
        <v>265.63900000000001</v>
      </c>
      <c r="P192">
        <v>230.119</v>
      </c>
      <c r="Q192">
        <v>208.273</v>
      </c>
      <c r="R192" t="str">
        <f>""</f>
        <v/>
      </c>
      <c r="S192" t="str">
        <f>""</f>
        <v/>
      </c>
      <c r="T192" t="str">
        <f>""</f>
        <v/>
      </c>
      <c r="U192" t="str">
        <f>""</f>
        <v/>
      </c>
      <c r="V192" t="str">
        <f>""</f>
        <v/>
      </c>
      <c r="W192" t="str">
        <f>""</f>
        <v/>
      </c>
      <c r="X192" t="str">
        <f>""</f>
        <v/>
      </c>
      <c r="Y192" t="str">
        <f>""</f>
        <v/>
      </c>
      <c r="Z192" t="str">
        <f>""</f>
        <v/>
      </c>
      <c r="AA192" t="str">
        <f>""</f>
        <v/>
      </c>
      <c r="AB192" t="str">
        <f>""</f>
        <v/>
      </c>
      <c r="AC192" t="str">
        <f>""</f>
        <v/>
      </c>
    </row>
    <row r="193" spans="1:29" x14ac:dyDescent="0.25">
      <c r="A193" t="str">
        <f>$A$32</f>
        <v xml:space="preserve">    Genpact Ltd</v>
      </c>
      <c r="B193" t="str">
        <f>$B$32</f>
        <v>G US Equity</v>
      </c>
      <c r="C193" t="str">
        <f>$C$32</f>
        <v>BS012</v>
      </c>
      <c r="D193" t="str">
        <f>$D$32</f>
        <v>BS_ACCT_NOTE_RCV</v>
      </c>
      <c r="E193" t="str">
        <f>$E$32</f>
        <v>Dynamic</v>
      </c>
      <c r="F193">
        <f ca="1">_xll.BDH($B$32,$C$32,$B$163,$B$164,CONCATENATE("Per=",$B$161),"Dts=H","Dir=H",CONCATENATE("Points=",$B$162),"Sort=R","Days=A","Fill=B",CONCATENATE("FX=", $B$160),"cols=12;rows=1")</f>
        <v>910.95500000000004</v>
      </c>
      <c r="G193">
        <v>914.255</v>
      </c>
      <c r="H193">
        <v>863.23199999999997</v>
      </c>
      <c r="I193">
        <v>856.60199999999998</v>
      </c>
      <c r="J193">
        <v>838.99199999999996</v>
      </c>
      <c r="K193">
        <v>774.18399999999997</v>
      </c>
      <c r="L193">
        <v>710.04499999999996</v>
      </c>
      <c r="M193">
        <v>691.34699999999998</v>
      </c>
      <c r="N193">
        <v>703.06600000000003</v>
      </c>
      <c r="O193">
        <v>693.08500000000004</v>
      </c>
      <c r="P193">
        <v>670.69200000000001</v>
      </c>
      <c r="Q193">
        <v>637.61300000000006</v>
      </c>
      <c r="R193" t="str">
        <f>""</f>
        <v/>
      </c>
      <c r="S193" t="str">
        <f>""</f>
        <v/>
      </c>
      <c r="T193" t="str">
        <f>""</f>
        <v/>
      </c>
      <c r="U193" t="str">
        <f>""</f>
        <v/>
      </c>
      <c r="V193" t="str">
        <f>""</f>
        <v/>
      </c>
      <c r="W193" t="str">
        <f>""</f>
        <v/>
      </c>
      <c r="X193" t="str">
        <f>""</f>
        <v/>
      </c>
      <c r="Y193" t="str">
        <f>""</f>
        <v/>
      </c>
      <c r="Z193" t="str">
        <f>""</f>
        <v/>
      </c>
      <c r="AA193" t="str">
        <f>""</f>
        <v/>
      </c>
      <c r="AB193" t="str">
        <f>""</f>
        <v/>
      </c>
      <c r="AC193" t="str">
        <f>""</f>
        <v/>
      </c>
    </row>
    <row r="194" spans="1:29" x14ac:dyDescent="0.25">
      <c r="A194" t="str">
        <f>$A$33</f>
        <v xml:space="preserve">    HCL Technologies Ltd</v>
      </c>
      <c r="B194" t="str">
        <f>$B$33</f>
        <v>HCLT IN Equity</v>
      </c>
      <c r="C194" t="str">
        <f>$C$33</f>
        <v>BS012</v>
      </c>
      <c r="D194" t="str">
        <f>$D$33</f>
        <v>BS_ACCT_NOTE_RCV</v>
      </c>
      <c r="E194" t="str">
        <f>$E$33</f>
        <v>Dynamic</v>
      </c>
      <c r="F194">
        <f ca="1">_xll.BDH($B$33,$C$33,$B$163,$B$164,CONCATENATE("Per=",$B$161),"Dts=H","Dir=H",CONCATENATE("Points=",$B$162),"Sort=R","Days=A","Fill=B",CONCATENATE("FX=", $B$160),"cols=12;rows=1")</f>
        <v>1867.9970000000001</v>
      </c>
      <c r="G194">
        <v>1859.2</v>
      </c>
      <c r="H194">
        <v>1944.8</v>
      </c>
      <c r="I194">
        <v>1693.5</v>
      </c>
      <c r="J194">
        <v>1693.5129999999999</v>
      </c>
      <c r="K194">
        <v>1601.3</v>
      </c>
      <c r="L194">
        <v>1494.3</v>
      </c>
      <c r="M194">
        <v>1504.9</v>
      </c>
      <c r="N194">
        <v>1479.6792</v>
      </c>
      <c r="O194">
        <v>1463.1</v>
      </c>
      <c r="P194">
        <v>1362.5</v>
      </c>
      <c r="Q194">
        <v>1321.4</v>
      </c>
      <c r="R194" t="str">
        <f>""</f>
        <v/>
      </c>
      <c r="S194" t="str">
        <f>""</f>
        <v/>
      </c>
      <c r="T194" t="str">
        <f>""</f>
        <v/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tr">
        <f>""</f>
        <v/>
      </c>
      <c r="Z194" t="str">
        <f>""</f>
        <v/>
      </c>
      <c r="AA194" t="str">
        <f>""</f>
        <v/>
      </c>
      <c r="AB194" t="str">
        <f>""</f>
        <v/>
      </c>
      <c r="AC194" t="str">
        <f>""</f>
        <v/>
      </c>
    </row>
    <row r="195" spans="1:29" x14ac:dyDescent="0.25">
      <c r="A195" t="str">
        <f>$A$34</f>
        <v xml:space="preserve">    Indra Sistemas SA</v>
      </c>
      <c r="B195" t="str">
        <f>$B$34</f>
        <v>IDR SM Equity</v>
      </c>
      <c r="C195" t="str">
        <f>$C$34</f>
        <v>BS012</v>
      </c>
      <c r="D195" t="str">
        <f>$D$34</f>
        <v>BS_ACCT_NOTE_RCV</v>
      </c>
      <c r="E195" t="str">
        <f>$E$34</f>
        <v>Dynamic</v>
      </c>
      <c r="F195" t="str">
        <f ca="1">_xll.BDH($B$34,$C$34,$B$163,$B$164,CONCATENATE("Per=",$B$161),"Dts=H","Dir=H",CONCATENATE("Points=",$B$162),"Sort=R","Days=A","Fill=B",CONCATENATE("FX=", $B$160),"cols=12;rows=1")</f>
        <v/>
      </c>
      <c r="G195">
        <v>1151.5036</v>
      </c>
      <c r="I195">
        <v>1259.2257999999999</v>
      </c>
      <c r="K195">
        <v>1095.8304000000001</v>
      </c>
      <c r="M195">
        <v>1133.1419000000001</v>
      </c>
      <c r="O195">
        <v>1460.0129999999999</v>
      </c>
      <c r="P195">
        <v>1661.5083</v>
      </c>
      <c r="Q195">
        <v>1564.6572000000001</v>
      </c>
      <c r="R195" t="str">
        <f>""</f>
        <v/>
      </c>
      <c r="S195" t="str">
        <f>""</f>
        <v/>
      </c>
      <c r="T195" t="str">
        <f>""</f>
        <v/>
      </c>
      <c r="U195" t="str">
        <f>""</f>
        <v/>
      </c>
      <c r="V195" t="str">
        <f>""</f>
        <v/>
      </c>
      <c r="W195" t="str">
        <f>""</f>
        <v/>
      </c>
      <c r="X195" t="str">
        <f>""</f>
        <v/>
      </c>
      <c r="Y195" t="str">
        <f>""</f>
        <v/>
      </c>
      <c r="Z195" t="str">
        <f>""</f>
        <v/>
      </c>
      <c r="AA195" t="str">
        <f>""</f>
        <v/>
      </c>
      <c r="AB195" t="str">
        <f>""</f>
        <v/>
      </c>
      <c r="AC195" t="str">
        <f>""</f>
        <v/>
      </c>
    </row>
    <row r="196" spans="1:29" x14ac:dyDescent="0.25">
      <c r="A196" t="str">
        <f>$A$35</f>
        <v xml:space="preserve">    Infosys Ltd</v>
      </c>
      <c r="B196" t="str">
        <f>$B$35</f>
        <v>INFY US Equity</v>
      </c>
      <c r="C196" t="str">
        <f>$C$35</f>
        <v>BS012</v>
      </c>
      <c r="D196" t="str">
        <f>$D$35</f>
        <v>BS_ACCT_NOTE_RCV</v>
      </c>
      <c r="E196" t="str">
        <f>$E$35</f>
        <v>Dynamic</v>
      </c>
      <c r="F196">
        <f ca="1">_xll.BDH($B$35,$C$35,$B$163,$B$164,CONCATENATE("Per=",$B$161),"Dts=H","Dir=H",CONCATENATE("Points=",$B$162),"Sort=R","Days=A","Fill=B",CONCATENATE("FX=", $B$160),"cols=12;rows=1")</f>
        <v>2452.7123000000001</v>
      </c>
      <c r="G196">
        <v>2534.9423000000002</v>
      </c>
      <c r="H196">
        <v>2271.875</v>
      </c>
      <c r="I196">
        <v>2292.7188000000001</v>
      </c>
      <c r="J196">
        <v>2138.8191000000002</v>
      </c>
      <c r="K196">
        <v>2132.4436999999998</v>
      </c>
      <c r="L196">
        <v>2037.3676</v>
      </c>
      <c r="M196">
        <v>2000.5842</v>
      </c>
      <c r="N196">
        <v>2017.4232999999999</v>
      </c>
      <c r="O196">
        <v>2058.3697999999999</v>
      </c>
      <c r="P196">
        <v>2054.0167999999999</v>
      </c>
      <c r="Q196">
        <v>1932.5316</v>
      </c>
      <c r="R196" t="str">
        <f>""</f>
        <v/>
      </c>
      <c r="S196" t="str">
        <f>""</f>
        <v/>
      </c>
      <c r="T196" t="str">
        <f>""</f>
        <v/>
      </c>
      <c r="U196" t="str">
        <f>""</f>
        <v/>
      </c>
      <c r="V196" t="str">
        <f>""</f>
        <v/>
      </c>
      <c r="W196" t="str">
        <f>""</f>
        <v/>
      </c>
      <c r="X196" t="str">
        <f>""</f>
        <v/>
      </c>
      <c r="Y196" t="str">
        <f>""</f>
        <v/>
      </c>
      <c r="Z196" t="str">
        <f>""</f>
        <v/>
      </c>
      <c r="AA196" t="str">
        <f>""</f>
        <v/>
      </c>
      <c r="AB196" t="str">
        <f>""</f>
        <v/>
      </c>
      <c r="AC196" t="str">
        <f>""</f>
        <v/>
      </c>
    </row>
    <row r="197" spans="1:29" x14ac:dyDescent="0.25">
      <c r="A197" t="str">
        <f>$A$36</f>
        <v xml:space="preserve">    International Business Machines Corp</v>
      </c>
      <c r="B197" t="str">
        <f>$B$36</f>
        <v>IBM US Equity</v>
      </c>
      <c r="C197" t="str">
        <f>$C$36</f>
        <v>BS012</v>
      </c>
      <c r="D197" t="str">
        <f>$D$36</f>
        <v>BS_ACCT_NOTE_RCV</v>
      </c>
      <c r="E197" t="str">
        <f>$E$36</f>
        <v>Dynamic</v>
      </c>
      <c r="F197">
        <f ca="1">_xll.BDH($B$36,$C$36,$B$163,$B$164,CONCATENATE("Per=",$B$161),"Dts=H","Dir=H",CONCATENATE("Points=",$B$162),"Sort=R","Days=A","Fill=B",CONCATENATE("FX=", $B$160),"cols=12;rows=1")</f>
        <v>19053</v>
      </c>
      <c r="G197">
        <v>22062</v>
      </c>
      <c r="H197">
        <v>19083</v>
      </c>
      <c r="I197">
        <v>22957</v>
      </c>
      <c r="J197">
        <v>27274</v>
      </c>
      <c r="K197">
        <v>29820</v>
      </c>
      <c r="L197">
        <v>26320</v>
      </c>
      <c r="M197">
        <v>27251</v>
      </c>
      <c r="N197">
        <v>28023</v>
      </c>
      <c r="O197">
        <v>30649</v>
      </c>
      <c r="P197">
        <v>26200</v>
      </c>
      <c r="Q197">
        <v>25964</v>
      </c>
      <c r="R197" t="str">
        <f>""</f>
        <v/>
      </c>
      <c r="S197" t="str">
        <f>""</f>
        <v/>
      </c>
      <c r="T197" t="str">
        <f>""</f>
        <v/>
      </c>
      <c r="U197" t="str">
        <f>""</f>
        <v/>
      </c>
      <c r="V197" t="str">
        <f>""</f>
        <v/>
      </c>
      <c r="W197" t="str">
        <f>""</f>
        <v/>
      </c>
      <c r="X197" t="str">
        <f>""</f>
        <v/>
      </c>
      <c r="Y197" t="str">
        <f>""</f>
        <v/>
      </c>
      <c r="Z197" t="str">
        <f>""</f>
        <v/>
      </c>
      <c r="AA197" t="str">
        <f>""</f>
        <v/>
      </c>
      <c r="AB197" t="str">
        <f>""</f>
        <v/>
      </c>
      <c r="AC197" t="str">
        <f>""</f>
        <v/>
      </c>
    </row>
    <row r="198" spans="1:29" x14ac:dyDescent="0.25">
      <c r="A198" t="str">
        <f>$A$37</f>
        <v xml:space="preserve">    Tata Consultancy Services Ltd</v>
      </c>
      <c r="B198" t="str">
        <f>$B$37</f>
        <v>TCS IN Equity</v>
      </c>
      <c r="C198" t="str">
        <f>$C$37</f>
        <v>BS012</v>
      </c>
      <c r="D198" t="str">
        <f>$D$37</f>
        <v>BS_ACCT_NOTE_RCV</v>
      </c>
      <c r="E198" t="str">
        <f>$E$37</f>
        <v>Dynamic</v>
      </c>
      <c r="F198">
        <f ca="1">_xll.BDH($B$37,$C$37,$B$163,$B$164,CONCATENATE("Per=",$B$161),"Dts=H","Dir=H",CONCATENATE("Points=",$B$162),"Sort=R","Days=A","Fill=B",CONCATENATE("FX=", $B$160),"cols=12;rows=1")</f>
        <v>4050.7498000000001</v>
      </c>
      <c r="G198">
        <v>4090.306</v>
      </c>
      <c r="H198">
        <v>3913.0589</v>
      </c>
      <c r="I198">
        <v>4070.2541000000001</v>
      </c>
      <c r="J198">
        <v>3944.7055</v>
      </c>
      <c r="K198">
        <v>3914.0479</v>
      </c>
      <c r="L198">
        <v>3944.0657999999999</v>
      </c>
      <c r="M198">
        <v>3977.51</v>
      </c>
      <c r="N198">
        <v>3828.9902999999999</v>
      </c>
      <c r="O198">
        <v>3796.9351000000001</v>
      </c>
      <c r="P198">
        <v>3786.2280000000001</v>
      </c>
      <c r="Q198">
        <v>3512.076</v>
      </c>
      <c r="R198" t="str">
        <f>""</f>
        <v/>
      </c>
      <c r="S198" t="str">
        <f>""</f>
        <v/>
      </c>
      <c r="T198" t="str">
        <f>""</f>
        <v/>
      </c>
      <c r="U198" t="str">
        <f>""</f>
        <v/>
      </c>
      <c r="V198" t="str">
        <f>""</f>
        <v/>
      </c>
      <c r="W198" t="str">
        <f>""</f>
        <v/>
      </c>
      <c r="X198" t="str">
        <f>""</f>
        <v/>
      </c>
      <c r="Y198" t="str">
        <f>""</f>
        <v/>
      </c>
      <c r="Z198" t="str">
        <f>""</f>
        <v/>
      </c>
      <c r="AA198" t="str">
        <f>""</f>
        <v/>
      </c>
      <c r="AB198" t="str">
        <f>""</f>
        <v/>
      </c>
      <c r="AC198" t="str">
        <f>""</f>
        <v/>
      </c>
    </row>
    <row r="199" spans="1:29" x14ac:dyDescent="0.25">
      <c r="A199" t="str">
        <f>$A$38</f>
        <v xml:space="preserve">    Tech Mahindra Ltd</v>
      </c>
      <c r="B199" t="str">
        <f>$B$38</f>
        <v>TECHM IN Equity</v>
      </c>
      <c r="C199" t="str">
        <f>$C$38</f>
        <v>BS012</v>
      </c>
      <c r="D199" t="str">
        <f>$D$38</f>
        <v>BS_ACCT_NOTE_RCV</v>
      </c>
      <c r="E199" t="str">
        <f>$E$38</f>
        <v>Dynamic</v>
      </c>
      <c r="F199">
        <f ca="1">_xll.BDH($B$38,$C$38,$B$163,$B$164,CONCATENATE("Per=",$B$161),"Dts=H","Dir=H",CONCATENATE("Points=",$B$162),"Sort=R","Days=A","Fill=B",CONCATENATE("FX=", $B$160),"cols=12;rows=1")</f>
        <v>1005.2800999999999</v>
      </c>
      <c r="G199">
        <v>1109.1268</v>
      </c>
      <c r="H199">
        <v>1036.6615999999999</v>
      </c>
      <c r="I199">
        <v>970.70950000000005</v>
      </c>
      <c r="J199">
        <v>1003.7895</v>
      </c>
      <c r="K199">
        <v>1095.8531</v>
      </c>
      <c r="L199">
        <v>991.13570000000004</v>
      </c>
      <c r="M199">
        <v>971.02589999999998</v>
      </c>
      <c r="N199">
        <v>997.49009999999998</v>
      </c>
      <c r="O199">
        <v>1009.295</v>
      </c>
      <c r="P199">
        <v>943.3818</v>
      </c>
      <c r="Q199">
        <v>910.47799999999995</v>
      </c>
      <c r="R199" t="str">
        <f>""</f>
        <v/>
      </c>
      <c r="S199" t="str">
        <f>""</f>
        <v/>
      </c>
      <c r="T199" t="str">
        <f>""</f>
        <v/>
      </c>
      <c r="U199" t="str">
        <f>""</f>
        <v/>
      </c>
      <c r="V199" t="str">
        <f>""</f>
        <v/>
      </c>
      <c r="W199" t="str">
        <f>""</f>
        <v/>
      </c>
      <c r="X199" t="str">
        <f>""</f>
        <v/>
      </c>
      <c r="Y199" t="str">
        <f>""</f>
        <v/>
      </c>
      <c r="Z199" t="str">
        <f>""</f>
        <v/>
      </c>
      <c r="AA199" t="str">
        <f>""</f>
        <v/>
      </c>
      <c r="AB199" t="str">
        <f>""</f>
        <v/>
      </c>
      <c r="AC199" t="str">
        <f>""</f>
        <v/>
      </c>
    </row>
    <row r="200" spans="1:29" x14ac:dyDescent="0.25">
      <c r="A200" t="str">
        <f>$A$39</f>
        <v xml:space="preserve">    Wipro Ltd</v>
      </c>
      <c r="B200" t="str">
        <f>$B$39</f>
        <v>WIT US Equity</v>
      </c>
      <c r="C200" t="str">
        <f>$C$39</f>
        <v>BS012</v>
      </c>
      <c r="D200" t="str">
        <f>$D$39</f>
        <v>BS_ACCT_NOTE_RCV</v>
      </c>
      <c r="E200" t="str">
        <f>$E$39</f>
        <v>Dynamic</v>
      </c>
      <c r="F200">
        <f ca="1">_xll.BDH($B$39,$C$39,$B$163,$B$164,CONCATENATE("Per=",$B$161),"Dts=H","Dir=H",CONCATENATE("Points=",$B$162),"Sort=R","Days=A","Fill=B",CONCATENATE("FX=", $B$160),"cols=12;rows=1")</f>
        <v>1386.0803000000001</v>
      </c>
      <c r="G200">
        <v>1412.7442000000001</v>
      </c>
      <c r="H200">
        <v>1370.7805000000001</v>
      </c>
      <c r="I200">
        <v>1390.1539</v>
      </c>
      <c r="J200">
        <v>1449.5703000000001</v>
      </c>
      <c r="K200">
        <v>1435.5574999999999</v>
      </c>
      <c r="L200">
        <v>1466.3368</v>
      </c>
      <c r="M200">
        <v>1425.4545000000001</v>
      </c>
      <c r="N200">
        <v>1550.2936</v>
      </c>
      <c r="O200">
        <v>1566.1339</v>
      </c>
      <c r="P200">
        <v>1528.4927</v>
      </c>
      <c r="Q200">
        <v>1515.8488</v>
      </c>
      <c r="R200" t="str">
        <f>""</f>
        <v/>
      </c>
      <c r="S200" t="str">
        <f>""</f>
        <v/>
      </c>
      <c r="T200" t="str">
        <f>""</f>
        <v/>
      </c>
      <c r="U200" t="str">
        <f>""</f>
        <v/>
      </c>
      <c r="V200" t="str">
        <f>""</f>
        <v/>
      </c>
      <c r="W200" t="str">
        <f>""</f>
        <v/>
      </c>
      <c r="X200" t="str">
        <f>""</f>
        <v/>
      </c>
      <c r="Y200" t="str">
        <f>""</f>
        <v/>
      </c>
      <c r="Z200" t="str">
        <f>""</f>
        <v/>
      </c>
      <c r="AA200" t="str">
        <f>""</f>
        <v/>
      </c>
      <c r="AB200" t="str">
        <f>""</f>
        <v/>
      </c>
      <c r="AC200" t="str">
        <f>""</f>
        <v/>
      </c>
    </row>
    <row r="201" spans="1:29" x14ac:dyDescent="0.25">
      <c r="A201" t="str">
        <f>$A$41</f>
        <v xml:space="preserve">    Accenture PLC</v>
      </c>
      <c r="B201" t="str">
        <f>$B$41</f>
        <v>ACN US Equity</v>
      </c>
      <c r="C201" t="str">
        <f>$C$41</f>
        <v>BS035</v>
      </c>
      <c r="D201" t="str">
        <f>$D$41</f>
        <v>BS_TOT_ASSET</v>
      </c>
      <c r="E201" t="str">
        <f>$E$41</f>
        <v>Dynamic</v>
      </c>
      <c r="F201">
        <f ca="1">_xll.BDH($B$41,$C$41,$B$163,$B$164,CONCATENATE("Per=",$B$161),"Dts=H","Dir=H",CONCATENATE("Points=",$B$162),"Sort=R","Days=A","Fill=B",CONCATENATE("FX=", $B$160),"cols=12;rows=1")</f>
        <v>33503.43</v>
      </c>
      <c r="G201">
        <v>33170.712</v>
      </c>
      <c r="H201">
        <v>29789.88</v>
      </c>
      <c r="I201">
        <v>28156.36</v>
      </c>
      <c r="J201">
        <v>27390.207999999999</v>
      </c>
      <c r="K201">
        <v>26706.412</v>
      </c>
      <c r="L201">
        <v>24449.082999999999</v>
      </c>
      <c r="M201">
        <v>23250.793000000001</v>
      </c>
      <c r="N201">
        <v>23132.978999999999</v>
      </c>
      <c r="O201">
        <v>22974.152999999998</v>
      </c>
      <c r="P201">
        <v>22689.89</v>
      </c>
      <c r="Q201">
        <v>21135.592000000001</v>
      </c>
      <c r="R201" t="str">
        <f>""</f>
        <v/>
      </c>
      <c r="S201" t="str">
        <f>""</f>
        <v/>
      </c>
      <c r="T201" t="str">
        <f>""</f>
        <v/>
      </c>
      <c r="U201" t="str">
        <f>""</f>
        <v/>
      </c>
      <c r="V201" t="str">
        <f>""</f>
        <v/>
      </c>
      <c r="W201" t="str">
        <f>""</f>
        <v/>
      </c>
      <c r="X201" t="str">
        <f>""</f>
        <v/>
      </c>
      <c r="Y201" t="str">
        <f>""</f>
        <v/>
      </c>
      <c r="Z201" t="str">
        <f>""</f>
        <v/>
      </c>
      <c r="AA201" t="str">
        <f>""</f>
        <v/>
      </c>
      <c r="AB201" t="str">
        <f>""</f>
        <v/>
      </c>
      <c r="AC201" t="str">
        <f>""</f>
        <v/>
      </c>
    </row>
    <row r="202" spans="1:29" x14ac:dyDescent="0.25">
      <c r="A202" t="str">
        <f>$A$42</f>
        <v xml:space="preserve">    Amdocs Ltd</v>
      </c>
      <c r="B202" t="str">
        <f>$B$42</f>
        <v>DOX US Equity</v>
      </c>
      <c r="C202" t="str">
        <f>$C$42</f>
        <v>BS035</v>
      </c>
      <c r="D202" t="str">
        <f>$D$42</f>
        <v>BS_TOT_ASSET</v>
      </c>
      <c r="E202" t="str">
        <f>$E$42</f>
        <v>Dynamic</v>
      </c>
      <c r="F202">
        <f ca="1">_xll.BDH($B$42,$C$42,$B$163,$B$164,CONCATENATE("Per=",$B$161),"Dts=H","Dir=H",CONCATENATE("Points=",$B$162),"Sort=R","Days=A","Fill=B",CONCATENATE("FX=", $B$160),"cols=12;rows=1")</f>
        <v>5905.5780000000004</v>
      </c>
      <c r="G202">
        <v>5632.2749999999996</v>
      </c>
      <c r="H202">
        <v>5292.826</v>
      </c>
      <c r="I202">
        <v>5234.6189999999997</v>
      </c>
      <c r="J202">
        <v>5233.7139999999999</v>
      </c>
      <c r="K202">
        <v>5296.0290000000005</v>
      </c>
      <c r="L202">
        <v>5347.8149999999996</v>
      </c>
      <c r="M202">
        <v>5443.4679999999998</v>
      </c>
      <c r="N202">
        <v>5578.991</v>
      </c>
      <c r="O202">
        <v>5401.8689999999997</v>
      </c>
      <c r="P202">
        <v>5279.38</v>
      </c>
      <c r="Q202">
        <v>5293.6170000000002</v>
      </c>
      <c r="R202" t="str">
        <f>""</f>
        <v/>
      </c>
      <c r="S202" t="str">
        <f>""</f>
        <v/>
      </c>
      <c r="T202" t="str">
        <f>""</f>
        <v/>
      </c>
      <c r="U202" t="str">
        <f>""</f>
        <v/>
      </c>
      <c r="V202" t="str">
        <f>""</f>
        <v/>
      </c>
      <c r="W202" t="str">
        <f>""</f>
        <v/>
      </c>
      <c r="X202" t="str">
        <f>""</f>
        <v/>
      </c>
      <c r="Y202" t="str">
        <f>""</f>
        <v/>
      </c>
      <c r="Z202" t="str">
        <f>""</f>
        <v/>
      </c>
      <c r="AA202" t="str">
        <f>""</f>
        <v/>
      </c>
      <c r="AB202" t="str">
        <f>""</f>
        <v/>
      </c>
      <c r="AC202" t="str">
        <f>""</f>
        <v/>
      </c>
    </row>
    <row r="203" spans="1:29" x14ac:dyDescent="0.25">
      <c r="A203" t="str">
        <f>$A$43</f>
        <v xml:space="preserve">    Atos SE</v>
      </c>
      <c r="B203" t="str">
        <f>$B$43</f>
        <v>ATO FP Equity</v>
      </c>
      <c r="C203" t="str">
        <f>$C$43</f>
        <v>BS035</v>
      </c>
      <c r="D203" t="str">
        <f>$D$43</f>
        <v>BS_TOT_ASSET</v>
      </c>
      <c r="E203" t="str">
        <f>$E$43</f>
        <v>Dynamic</v>
      </c>
      <c r="F203" t="str">
        <f ca="1">_xll.BDH($B$43,$C$43,$B$163,$B$164,CONCATENATE("Per=",$B$161),"Dts=H","Dir=H",CONCATENATE("Points=",$B$162),"Sort=R","Days=A","Fill=B",CONCATENATE("FX=", $B$160) )</f>
        <v/>
      </c>
      <c r="R203" t="str">
        <f>""</f>
        <v/>
      </c>
      <c r="S203" t="str">
        <f>""</f>
        <v/>
      </c>
      <c r="T203" t="str">
        <f>""</f>
        <v/>
      </c>
      <c r="U203" t="str">
        <f>""</f>
        <v/>
      </c>
      <c r="V203" t="str">
        <f>""</f>
        <v/>
      </c>
      <c r="W203" t="str">
        <f>""</f>
        <v/>
      </c>
      <c r="X203" t="str">
        <f>""</f>
        <v/>
      </c>
      <c r="Y203" t="str">
        <f>""</f>
        <v/>
      </c>
      <c r="Z203" t="str">
        <f>""</f>
        <v/>
      </c>
      <c r="AA203" t="str">
        <f>""</f>
        <v/>
      </c>
      <c r="AB203" t="str">
        <f>""</f>
        <v/>
      </c>
      <c r="AC203" t="str">
        <f>""</f>
        <v/>
      </c>
    </row>
    <row r="204" spans="1:29" x14ac:dyDescent="0.25">
      <c r="A204" t="str">
        <f>$A$44</f>
        <v xml:space="preserve">    Capgemini SE</v>
      </c>
      <c r="B204" t="str">
        <f>$B$44</f>
        <v>CAP FP Equity</v>
      </c>
      <c r="C204" t="str">
        <f>$C$44</f>
        <v>BS035</v>
      </c>
      <c r="D204" t="str">
        <f>$D$44</f>
        <v>BS_TOT_ASSET</v>
      </c>
      <c r="E204" t="str">
        <f>$E$44</f>
        <v>Dynamic</v>
      </c>
      <c r="F204" t="str">
        <f ca="1">_xll.BDH($B$44,$C$44,$B$163,$B$164,CONCATENATE("Per=",$B$161),"Dts=H","Dir=H",CONCATENATE("Points=",$B$162),"Sort=R","Days=A","Fill=B",CONCATENATE("FX=", $B$160),"cols=12;rows=1")</f>
        <v/>
      </c>
      <c r="G204">
        <v>20363.791499999999</v>
      </c>
      <c r="R204" t="str">
        <f>""</f>
        <v/>
      </c>
      <c r="S204" t="str">
        <f>""</f>
        <v/>
      </c>
      <c r="T204" t="str">
        <f>""</f>
        <v/>
      </c>
      <c r="U204" t="str">
        <f>""</f>
        <v/>
      </c>
      <c r="V204" t="str">
        <f>""</f>
        <v/>
      </c>
      <c r="W204" t="str">
        <f>""</f>
        <v/>
      </c>
      <c r="X204" t="str">
        <f>""</f>
        <v/>
      </c>
      <c r="Y204" t="str">
        <f>""</f>
        <v/>
      </c>
      <c r="Z204" t="str">
        <f>""</f>
        <v/>
      </c>
      <c r="AA204" t="str">
        <f>""</f>
        <v/>
      </c>
      <c r="AB204" t="str">
        <f>""</f>
        <v/>
      </c>
      <c r="AC204" t="str">
        <f>""</f>
        <v/>
      </c>
    </row>
    <row r="205" spans="1:29" x14ac:dyDescent="0.25">
      <c r="A205" t="str">
        <f>$A$45</f>
        <v xml:space="preserve">    CGI Inc</v>
      </c>
      <c r="B205" t="str">
        <f>$B$45</f>
        <v>GIB US Equity</v>
      </c>
      <c r="C205" t="str">
        <f>$C$45</f>
        <v>BS035</v>
      </c>
      <c r="D205" t="str">
        <f>$D$45</f>
        <v>BS_TOT_ASSET</v>
      </c>
      <c r="E205" t="str">
        <f>$E$45</f>
        <v>Dynamic</v>
      </c>
      <c r="F205">
        <f ca="1">_xll.BDH($B$45,$C$45,$B$163,$B$164,CONCATENATE("Per=",$B$161),"Dts=H","Dir=H",CONCATENATE("Points=",$B$162),"Sort=R","Days=A","Fill=B",CONCATENATE("FX=", $B$160),"cols=12;rows=1")</f>
        <v>10289.8907</v>
      </c>
      <c r="G205">
        <v>10682.3987</v>
      </c>
      <c r="H205">
        <v>9532.3207999999995</v>
      </c>
      <c r="I205">
        <v>9786.8510000000006</v>
      </c>
      <c r="J205">
        <v>9508.0548999999992</v>
      </c>
      <c r="K205">
        <v>9448.3647000000001</v>
      </c>
      <c r="L205">
        <v>9211.7366000000002</v>
      </c>
      <c r="M205">
        <v>9246.8801999999996</v>
      </c>
      <c r="N205">
        <v>9582.7453000000005</v>
      </c>
      <c r="O205">
        <v>9545.3852000000006</v>
      </c>
      <c r="P205">
        <v>9128.6543000000001</v>
      </c>
      <c r="Q205">
        <v>9108.3412000000008</v>
      </c>
      <c r="R205" t="str">
        <f>""</f>
        <v/>
      </c>
      <c r="S205" t="str">
        <f>""</f>
        <v/>
      </c>
      <c r="T205" t="str">
        <f>""</f>
        <v/>
      </c>
      <c r="U205" t="str">
        <f>""</f>
        <v/>
      </c>
      <c r="V205" t="str">
        <f>""</f>
        <v/>
      </c>
      <c r="W205" t="str">
        <f>""</f>
        <v/>
      </c>
      <c r="X205" t="str">
        <f>""</f>
        <v/>
      </c>
      <c r="Y205" t="str">
        <f>""</f>
        <v/>
      </c>
      <c r="Z205" t="str">
        <f>""</f>
        <v/>
      </c>
      <c r="AA205" t="str">
        <f>""</f>
        <v/>
      </c>
      <c r="AB205" t="str">
        <f>""</f>
        <v/>
      </c>
      <c r="AC205" t="str">
        <f>""</f>
        <v/>
      </c>
    </row>
    <row r="206" spans="1:29" x14ac:dyDescent="0.25">
      <c r="A206" t="str">
        <f>$A$46</f>
        <v xml:space="preserve">    Cognizant Technology Solutions Corp</v>
      </c>
      <c r="B206" t="str">
        <f>$B$46</f>
        <v>CTSH US Equity</v>
      </c>
      <c r="C206" t="str">
        <f>$C$46</f>
        <v>BS035</v>
      </c>
      <c r="D206" t="str">
        <f>$D$46</f>
        <v>BS_TOT_ASSET</v>
      </c>
      <c r="E206" t="str">
        <f>$E$46</f>
        <v>Dynamic</v>
      </c>
      <c r="F206">
        <f ca="1">_xll.BDH($B$46,$C$46,$B$163,$B$164,CONCATENATE("Per=",$B$161),"Dts=H","Dir=H",CONCATENATE("Points=",$B$162),"Sort=R","Days=A","Fill=B",CONCATENATE("FX=", $B$160),"cols=12;rows=1")</f>
        <v>17429</v>
      </c>
      <c r="G206">
        <v>16204</v>
      </c>
      <c r="H206">
        <v>15844</v>
      </c>
      <c r="I206">
        <v>15517</v>
      </c>
      <c r="J206">
        <v>16096</v>
      </c>
      <c r="K206">
        <v>15846</v>
      </c>
      <c r="L206">
        <v>15274</v>
      </c>
      <c r="M206">
        <v>14806</v>
      </c>
      <c r="N206">
        <v>15045</v>
      </c>
      <c r="O206">
        <v>15221</v>
      </c>
      <c r="P206">
        <v>14580</v>
      </c>
      <c r="Q206">
        <v>13938</v>
      </c>
      <c r="R206" t="str">
        <f>""</f>
        <v/>
      </c>
      <c r="S206" t="str">
        <f>""</f>
        <v/>
      </c>
      <c r="T206" t="str">
        <f>""</f>
        <v/>
      </c>
      <c r="U206" t="str">
        <f>""</f>
        <v/>
      </c>
      <c r="V206" t="str">
        <f>""</f>
        <v/>
      </c>
      <c r="W206" t="str">
        <f>""</f>
        <v/>
      </c>
      <c r="X206" t="str">
        <f>""</f>
        <v/>
      </c>
      <c r="Y206" t="str">
        <f>""</f>
        <v/>
      </c>
      <c r="Z206" t="str">
        <f>""</f>
        <v/>
      </c>
      <c r="AA206" t="str">
        <f>""</f>
        <v/>
      </c>
      <c r="AB206" t="str">
        <f>""</f>
        <v/>
      </c>
      <c r="AC206" t="str">
        <f>""</f>
        <v/>
      </c>
    </row>
    <row r="207" spans="1:29" x14ac:dyDescent="0.25">
      <c r="A207" t="str">
        <f>$A$47</f>
        <v xml:space="preserve">    Conduent Inc</v>
      </c>
      <c r="B207" t="str">
        <f>$B$47</f>
        <v>CNDT US Equity</v>
      </c>
      <c r="C207" t="str">
        <f>$C$47</f>
        <v>BS035</v>
      </c>
      <c r="D207" t="str">
        <f>$D$47</f>
        <v>BS_TOT_ASSET</v>
      </c>
      <c r="E207" t="str">
        <f>$E$47</f>
        <v>Dynamic</v>
      </c>
      <c r="F207">
        <f ca="1">_xll.BDH($B$47,$C$47,$B$163,$B$164,CONCATENATE("Per=",$B$161),"Dts=H","Dir=H",CONCATENATE("Points=",$B$162),"Sort=R","Days=A","Fill=B",CONCATENATE("FX=", $B$160),"cols=12;rows=1")</f>
        <v>4394</v>
      </c>
      <c r="G207">
        <v>4514</v>
      </c>
      <c r="H207">
        <v>5114</v>
      </c>
      <c r="I207">
        <v>5303</v>
      </c>
      <c r="J207">
        <v>6663</v>
      </c>
      <c r="K207">
        <v>6680</v>
      </c>
      <c r="L207">
        <v>6730</v>
      </c>
      <c r="M207">
        <v>7436</v>
      </c>
      <c r="N207">
        <v>7511</v>
      </c>
      <c r="O207">
        <v>7548</v>
      </c>
      <c r="P207">
        <v>7547</v>
      </c>
      <c r="Q207">
        <v>7648</v>
      </c>
      <c r="R207" t="str">
        <f>""</f>
        <v/>
      </c>
      <c r="S207" t="str">
        <f>""</f>
        <v/>
      </c>
      <c r="T207" t="str">
        <f>""</f>
        <v/>
      </c>
      <c r="U207" t="str">
        <f>""</f>
        <v/>
      </c>
      <c r="V207" t="str">
        <f>""</f>
        <v/>
      </c>
      <c r="W207" t="str">
        <f>""</f>
        <v/>
      </c>
      <c r="X207" t="str">
        <f>""</f>
        <v/>
      </c>
      <c r="Y207" t="str">
        <f>""</f>
        <v/>
      </c>
      <c r="Z207" t="str">
        <f>""</f>
        <v/>
      </c>
      <c r="AA207" t="str">
        <f>""</f>
        <v/>
      </c>
      <c r="AB207" t="str">
        <f>""</f>
        <v/>
      </c>
      <c r="AC207" t="str">
        <f>""</f>
        <v/>
      </c>
    </row>
    <row r="208" spans="1:29" x14ac:dyDescent="0.25">
      <c r="A208" t="str">
        <f>$A$48</f>
        <v xml:space="preserve">    DXC Technology Co</v>
      </c>
      <c r="B208" t="str">
        <f>$B$48</f>
        <v>DXC US Equity</v>
      </c>
      <c r="C208" t="str">
        <f>$C$48</f>
        <v>BS035</v>
      </c>
      <c r="D208" t="str">
        <f>$D$48</f>
        <v>BS_TOT_ASSET</v>
      </c>
      <c r="E208" t="str">
        <f>$E$48</f>
        <v>Dynamic</v>
      </c>
      <c r="F208">
        <f ca="1">_xll.BDH($B$48,$C$48,$B$163,$B$164,CONCATENATE("Per=",$B$161),"Dts=H","Dir=H",CONCATENATE("Points=",$B$162),"Sort=R","Days=A","Fill=B",CONCATENATE("FX=", $B$160),"cols=12;rows=1")</f>
        <v>26006</v>
      </c>
      <c r="G208">
        <v>29599</v>
      </c>
      <c r="H208">
        <v>29516</v>
      </c>
      <c r="I208">
        <v>32577</v>
      </c>
      <c r="J208">
        <v>29574</v>
      </c>
      <c r="K208">
        <v>28871</v>
      </c>
      <c r="L208">
        <v>28882</v>
      </c>
      <c r="M208">
        <v>29126</v>
      </c>
      <c r="N208">
        <v>33921</v>
      </c>
      <c r="O208">
        <v>33582</v>
      </c>
      <c r="P208">
        <v>33176</v>
      </c>
      <c r="Q208">
        <v>31216</v>
      </c>
      <c r="R208" t="str">
        <f>""</f>
        <v/>
      </c>
      <c r="S208" t="str">
        <f>""</f>
        <v/>
      </c>
      <c r="T208" t="str">
        <f>""</f>
        <v/>
      </c>
      <c r="U208" t="str">
        <f>""</f>
        <v/>
      </c>
      <c r="V208" t="str">
        <f>""</f>
        <v/>
      </c>
      <c r="W208" t="str">
        <f>""</f>
        <v/>
      </c>
      <c r="X208" t="str">
        <f>""</f>
        <v/>
      </c>
      <c r="Y208" t="str">
        <f>""</f>
        <v/>
      </c>
      <c r="Z208" t="str">
        <f>""</f>
        <v/>
      </c>
      <c r="AA208" t="str">
        <f>""</f>
        <v/>
      </c>
      <c r="AB208" t="str">
        <f>""</f>
        <v/>
      </c>
      <c r="AC208" t="str">
        <f>""</f>
        <v/>
      </c>
    </row>
    <row r="209" spans="1:29" x14ac:dyDescent="0.25">
      <c r="A209" t="str">
        <f>$A$49</f>
        <v xml:space="preserve">    EPAM Systems Inc</v>
      </c>
      <c r="B209" t="str">
        <f>$B$49</f>
        <v>EPAM US Equity</v>
      </c>
      <c r="C209" t="str">
        <f>$C$49</f>
        <v>BS035</v>
      </c>
      <c r="D209" t="str">
        <f>$D$49</f>
        <v>BS_TOT_ASSET</v>
      </c>
      <c r="E209" t="str">
        <f>$E$49</f>
        <v>Dynamic</v>
      </c>
      <c r="F209">
        <f ca="1">_xll.BDH($B$49,$C$49,$B$163,$B$164,CONCATENATE("Per=",$B$161),"Dts=H","Dir=H",CONCATENATE("Points=",$B$162),"Sort=R","Days=A","Fill=B",CONCATENATE("FX=", $B$160),"cols=12;rows=1")</f>
        <v>2311.8809999999999</v>
      </c>
      <c r="G209">
        <v>2244.2080000000001</v>
      </c>
      <c r="H209">
        <v>2040.163</v>
      </c>
      <c r="I209">
        <v>1931.451</v>
      </c>
      <c r="J209">
        <v>1831.4349999999999</v>
      </c>
      <c r="K209">
        <v>1611.8019999999999</v>
      </c>
      <c r="L209">
        <v>1503.982</v>
      </c>
      <c r="M209">
        <v>1392.1949999999999</v>
      </c>
      <c r="N209">
        <v>1343.402</v>
      </c>
      <c r="O209">
        <v>1250.2560000000001</v>
      </c>
      <c r="P209">
        <v>1173.0060000000001</v>
      </c>
      <c r="Q209">
        <v>1079.383</v>
      </c>
      <c r="R209" t="str">
        <f>""</f>
        <v/>
      </c>
      <c r="S209" t="str">
        <f>""</f>
        <v/>
      </c>
      <c r="T209" t="str">
        <f>""</f>
        <v/>
      </c>
      <c r="U209" t="str">
        <f>""</f>
        <v/>
      </c>
      <c r="V209" t="str">
        <f>""</f>
        <v/>
      </c>
      <c r="W209" t="str">
        <f>""</f>
        <v/>
      </c>
      <c r="X209" t="str">
        <f>""</f>
        <v/>
      </c>
      <c r="Y209" t="str">
        <f>""</f>
        <v/>
      </c>
      <c r="Z209" t="str">
        <f>""</f>
        <v/>
      </c>
      <c r="AA209" t="str">
        <f>""</f>
        <v/>
      </c>
      <c r="AB209" t="str">
        <f>""</f>
        <v/>
      </c>
      <c r="AC209" t="str">
        <f>""</f>
        <v/>
      </c>
    </row>
    <row r="210" spans="1:29" x14ac:dyDescent="0.25">
      <c r="A210" t="str">
        <f>$A$50</f>
        <v xml:space="preserve">    Genpact Ltd</v>
      </c>
      <c r="B210" t="str">
        <f>$B$50</f>
        <v>G US Equity</v>
      </c>
      <c r="C210" t="str">
        <f>$C$50</f>
        <v>BS035</v>
      </c>
      <c r="D210" t="str">
        <f>$D$50</f>
        <v>BS_TOT_ASSET</v>
      </c>
      <c r="E210" t="str">
        <f>$E$50</f>
        <v>Dynamic</v>
      </c>
      <c r="F210">
        <f ca="1">_xll.BDH($B$50,$C$50,$B$163,$B$164,CONCATENATE("Per=",$B$161),"Dts=H","Dir=H",CONCATENATE("Points=",$B$162),"Sort=R","Days=A","Fill=B",CONCATENATE("FX=", $B$160),"cols=12;rows=1")</f>
        <v>4402.78</v>
      </c>
      <c r="G210">
        <v>4454.1840000000002</v>
      </c>
      <c r="H210">
        <v>4097.7610000000004</v>
      </c>
      <c r="I210">
        <v>4012.7570000000001</v>
      </c>
      <c r="J210">
        <v>3904.8139999999999</v>
      </c>
      <c r="K210">
        <v>3529.4450000000002</v>
      </c>
      <c r="L210">
        <v>3456.6289999999999</v>
      </c>
      <c r="M210">
        <v>3266.078</v>
      </c>
      <c r="N210">
        <v>3397.127</v>
      </c>
      <c r="O210">
        <v>3449.6210000000001</v>
      </c>
      <c r="P210">
        <v>3349.8910000000001</v>
      </c>
      <c r="Q210">
        <v>3239.4340000000002</v>
      </c>
      <c r="R210" t="str">
        <f>""</f>
        <v/>
      </c>
      <c r="S210" t="str">
        <f>""</f>
        <v/>
      </c>
      <c r="T210" t="str">
        <f>""</f>
        <v/>
      </c>
      <c r="U210" t="str">
        <f>""</f>
        <v/>
      </c>
      <c r="V210" t="str">
        <f>""</f>
        <v/>
      </c>
      <c r="W210" t="str">
        <f>""</f>
        <v/>
      </c>
      <c r="X210" t="str">
        <f>""</f>
        <v/>
      </c>
      <c r="Y210" t="str">
        <f>""</f>
        <v/>
      </c>
      <c r="Z210" t="str">
        <f>""</f>
        <v/>
      </c>
      <c r="AA210" t="str">
        <f>""</f>
        <v/>
      </c>
      <c r="AB210" t="str">
        <f>""</f>
        <v/>
      </c>
      <c r="AC210" t="str">
        <f>""</f>
        <v/>
      </c>
    </row>
    <row r="211" spans="1:29" x14ac:dyDescent="0.25">
      <c r="A211" t="str">
        <f>$A$51</f>
        <v xml:space="preserve">    HCL Technologies Ltd</v>
      </c>
      <c r="B211" t="str">
        <f>$B$51</f>
        <v>HCLT IN Equity</v>
      </c>
      <c r="C211" t="str">
        <f>$C$51</f>
        <v>BS035</v>
      </c>
      <c r="D211" t="str">
        <f>$D$51</f>
        <v>BS_TOT_ASSET</v>
      </c>
      <c r="E211" t="str">
        <f>$E$51</f>
        <v>Dynamic</v>
      </c>
      <c r="F211">
        <f ca="1">_xll.BDH($B$51,$C$51,$B$163,$B$164,CONCATENATE("Per=",$B$161),"Dts=H","Dir=H",CONCATENATE("Points=",$B$162),"Sort=R","Days=A","Fill=B",CONCATENATE("FX=", $B$160),"cols=12;rows=1")</f>
        <v>10998.168</v>
      </c>
      <c r="G211">
        <v>10914.8</v>
      </c>
      <c r="H211">
        <v>10654.8</v>
      </c>
      <c r="I211">
        <v>8521.2000000000007</v>
      </c>
      <c r="J211">
        <v>8521.17</v>
      </c>
      <c r="K211">
        <v>7994</v>
      </c>
      <c r="L211">
        <v>8005</v>
      </c>
      <c r="M211">
        <v>7530</v>
      </c>
      <c r="N211">
        <v>7371.9921999999997</v>
      </c>
      <c r="O211">
        <v>7245.2</v>
      </c>
      <c r="P211">
        <v>6980.9</v>
      </c>
      <c r="Q211">
        <v>7395.6</v>
      </c>
      <c r="R211" t="str">
        <f>""</f>
        <v/>
      </c>
      <c r="S211" t="str">
        <f>""</f>
        <v/>
      </c>
      <c r="T211" t="str">
        <f>""</f>
        <v/>
      </c>
      <c r="U211" t="str">
        <f>""</f>
        <v/>
      </c>
      <c r="V211" t="str">
        <f>""</f>
        <v/>
      </c>
      <c r="W211" t="str">
        <f>""</f>
        <v/>
      </c>
      <c r="X211" t="str">
        <f>""</f>
        <v/>
      </c>
      <c r="Y211" t="str">
        <f>""</f>
        <v/>
      </c>
      <c r="Z211" t="str">
        <f>""</f>
        <v/>
      </c>
      <c r="AA211" t="str">
        <f>""</f>
        <v/>
      </c>
      <c r="AB211" t="str">
        <f>""</f>
        <v/>
      </c>
      <c r="AC211" t="str">
        <f>""</f>
        <v/>
      </c>
    </row>
    <row r="212" spans="1:29" x14ac:dyDescent="0.25">
      <c r="A212" t="str">
        <f>$A$52</f>
        <v xml:space="preserve">    Indra Sistemas SA</v>
      </c>
      <c r="B212" t="str">
        <f>$B$52</f>
        <v>IDR SM Equity</v>
      </c>
      <c r="C212" t="str">
        <f>$C$52</f>
        <v>BS035</v>
      </c>
      <c r="D212" t="str">
        <f>$D$52</f>
        <v>BS_TOT_ASSET</v>
      </c>
      <c r="E212" t="str">
        <f>$E$52</f>
        <v>Dynamic</v>
      </c>
      <c r="F212">
        <f ca="1">_xll.BDH($B$52,$C$52,$B$163,$B$164,CONCATENATE("Per=",$B$161),"Dts=H","Dir=H",CONCATENATE("Points=",$B$162),"Sort=R","Days=A","Fill=B",CONCATENATE("FX=", $B$160),"cols=12;rows=1")</f>
        <v>4648.9612999999999</v>
      </c>
      <c r="G212">
        <v>4846.9642000000003</v>
      </c>
      <c r="H212">
        <v>4569.8833999999997</v>
      </c>
      <c r="I212">
        <v>4758.1499000000003</v>
      </c>
      <c r="J212">
        <v>4659.2957999999999</v>
      </c>
      <c r="K212">
        <v>4628.0510000000004</v>
      </c>
      <c r="L212">
        <v>4639.0962</v>
      </c>
      <c r="M212">
        <v>4742.6859000000004</v>
      </c>
      <c r="N212">
        <v>4661.6076000000003</v>
      </c>
      <c r="O212">
        <v>4648.4120999999996</v>
      </c>
      <c r="P212">
        <v>4428.4856</v>
      </c>
      <c r="Q212">
        <v>4209.3244000000004</v>
      </c>
      <c r="R212" t="str">
        <f>""</f>
        <v/>
      </c>
      <c r="S212" t="str">
        <f>""</f>
        <v/>
      </c>
      <c r="T212" t="str">
        <f>""</f>
        <v/>
      </c>
      <c r="U212" t="str">
        <f>""</f>
        <v/>
      </c>
      <c r="V212" t="str">
        <f>""</f>
        <v/>
      </c>
      <c r="W212" t="str">
        <f>""</f>
        <v/>
      </c>
      <c r="X212" t="str">
        <f>""</f>
        <v/>
      </c>
      <c r="Y212" t="str">
        <f>""</f>
        <v/>
      </c>
      <c r="Z212" t="str">
        <f>""</f>
        <v/>
      </c>
      <c r="AA212" t="str">
        <f>""</f>
        <v/>
      </c>
      <c r="AB212" t="str">
        <f>""</f>
        <v/>
      </c>
      <c r="AC212" t="str">
        <f>""</f>
        <v/>
      </c>
    </row>
    <row r="213" spans="1:29" x14ac:dyDescent="0.25">
      <c r="A213" t="str">
        <f>$A$53</f>
        <v xml:space="preserve">    Infosys Ltd</v>
      </c>
      <c r="B213" t="str">
        <f>$B$53</f>
        <v>INFY US Equity</v>
      </c>
      <c r="C213" t="str">
        <f>$C$53</f>
        <v>BS035</v>
      </c>
      <c r="D213" t="str">
        <f>$D$53</f>
        <v>BS_TOT_ASSET</v>
      </c>
      <c r="E213" t="str">
        <f>$E$53</f>
        <v>Dynamic</v>
      </c>
      <c r="F213">
        <f ca="1">_xll.BDH($B$53,$C$53,$B$163,$B$164,CONCATENATE("Per=",$B$161),"Dts=H","Dir=H",CONCATENATE("Points=",$B$162),"Sort=R","Days=A","Fill=B",CONCATENATE("FX=", $B$160),"cols=12;rows=1")</f>
        <v>12307.7413</v>
      </c>
      <c r="G213">
        <v>12137.536899999999</v>
      </c>
      <c r="H213">
        <v>12057.847599999999</v>
      </c>
      <c r="I213">
        <v>12433.7523</v>
      </c>
      <c r="J213">
        <v>12223.595799999999</v>
      </c>
      <c r="K213">
        <v>11888.219300000001</v>
      </c>
      <c r="L213">
        <v>11278.5064</v>
      </c>
      <c r="M213">
        <v>11406.060600000001</v>
      </c>
      <c r="N213">
        <v>12263.883</v>
      </c>
      <c r="O213">
        <v>11895.5702</v>
      </c>
      <c r="P213">
        <v>13539.0972</v>
      </c>
      <c r="Q213">
        <v>13173.186600000001</v>
      </c>
      <c r="R213" t="str">
        <f>""</f>
        <v/>
      </c>
      <c r="S213" t="str">
        <f>""</f>
        <v/>
      </c>
      <c r="T213" t="str">
        <f>""</f>
        <v/>
      </c>
      <c r="U213" t="str">
        <f>""</f>
        <v/>
      </c>
      <c r="V213" t="str">
        <f>""</f>
        <v/>
      </c>
      <c r="W213" t="str">
        <f>""</f>
        <v/>
      </c>
      <c r="X213" t="str">
        <f>""</f>
        <v/>
      </c>
      <c r="Y213" t="str">
        <f>""</f>
        <v/>
      </c>
      <c r="Z213" t="str">
        <f>""</f>
        <v/>
      </c>
      <c r="AA213" t="str">
        <f>""</f>
        <v/>
      </c>
      <c r="AB213" t="str">
        <f>""</f>
        <v/>
      </c>
      <c r="AC213" t="str">
        <f>""</f>
        <v/>
      </c>
    </row>
    <row r="214" spans="1:29" x14ac:dyDescent="0.25">
      <c r="A214" t="str">
        <f>$A$54</f>
        <v xml:space="preserve">    International Business Machines Corp</v>
      </c>
      <c r="B214" t="str">
        <f>$B$54</f>
        <v>IBM US Equity</v>
      </c>
      <c r="C214" t="str">
        <f>$C$54</f>
        <v>BS035</v>
      </c>
      <c r="D214" t="str">
        <f>$D$54</f>
        <v>BS_TOT_ASSET</v>
      </c>
      <c r="E214" t="str">
        <f>$E$54</f>
        <v>Dynamic</v>
      </c>
      <c r="F214">
        <f ca="1">_xll.BDH($B$54,$C$54,$B$163,$B$164,CONCATENATE("Per=",$B$161),"Dts=H","Dir=H",CONCATENATE("Points=",$B$162),"Sort=R","Days=A","Fill=B",CONCATENATE("FX=", $B$160),"cols=12;rows=1")</f>
        <v>153403</v>
      </c>
      <c r="G214">
        <v>152186</v>
      </c>
      <c r="H214">
        <v>149620</v>
      </c>
      <c r="I214">
        <v>154652</v>
      </c>
      <c r="J214">
        <v>130926</v>
      </c>
      <c r="K214">
        <v>123382</v>
      </c>
      <c r="L214">
        <v>121990</v>
      </c>
      <c r="M214">
        <v>121622</v>
      </c>
      <c r="N214">
        <v>125285</v>
      </c>
      <c r="O214">
        <v>125356</v>
      </c>
      <c r="P214">
        <v>121636</v>
      </c>
      <c r="Q214">
        <v>120495</v>
      </c>
      <c r="R214" t="str">
        <f>""</f>
        <v/>
      </c>
      <c r="S214" t="str">
        <f>""</f>
        <v/>
      </c>
      <c r="T214" t="str">
        <f>""</f>
        <v/>
      </c>
      <c r="U214" t="str">
        <f>""</f>
        <v/>
      </c>
      <c r="V214" t="str">
        <f>""</f>
        <v/>
      </c>
      <c r="W214" t="str">
        <f>""</f>
        <v/>
      </c>
      <c r="X214" t="str">
        <f>""</f>
        <v/>
      </c>
      <c r="Y214" t="str">
        <f>""</f>
        <v/>
      </c>
      <c r="Z214" t="str">
        <f>""</f>
        <v/>
      </c>
      <c r="AA214" t="str">
        <f>""</f>
        <v/>
      </c>
      <c r="AB214" t="str">
        <f>""</f>
        <v/>
      </c>
      <c r="AC214" t="str">
        <f>""</f>
        <v/>
      </c>
    </row>
    <row r="215" spans="1:29" x14ac:dyDescent="0.25">
      <c r="A215" t="str">
        <f>$A$55</f>
        <v xml:space="preserve">    Tata Consultancy Services Ltd</v>
      </c>
      <c r="B215" t="str">
        <f>$B$55</f>
        <v>TCS IN Equity</v>
      </c>
      <c r="C215" t="str">
        <f>$C$55</f>
        <v>BS035</v>
      </c>
      <c r="D215" t="str">
        <f>$D$55</f>
        <v>BS_TOT_ASSET</v>
      </c>
      <c r="E215" t="str">
        <f>$E$55</f>
        <v>Dynamic</v>
      </c>
      <c r="F215">
        <f ca="1">_xll.BDH($B$55,$C$55,$B$163,$B$164,CONCATENATE("Per=",$B$161),"Dts=H","Dir=H",CONCATENATE("Points=",$B$162),"Sort=R","Days=A","Fill=B",CONCATENATE("FX=", $B$160),"cols=12;rows=1")</f>
        <v>16320.4141</v>
      </c>
      <c r="G215">
        <v>16710.963199999998</v>
      </c>
      <c r="H215">
        <v>18316.789000000001</v>
      </c>
      <c r="I215">
        <v>18022.716799999998</v>
      </c>
      <c r="J215">
        <v>16885.0877</v>
      </c>
      <c r="K215">
        <v>15745.3006</v>
      </c>
      <c r="L215">
        <v>14345.515799999999</v>
      </c>
      <c r="M215">
        <v>16305.805</v>
      </c>
      <c r="N215">
        <v>16641.823700000001</v>
      </c>
      <c r="O215">
        <v>15719.442800000001</v>
      </c>
      <c r="P215">
        <v>14700.688599999999</v>
      </c>
      <c r="Q215">
        <v>13917.5393</v>
      </c>
      <c r="R215" t="str">
        <f>""</f>
        <v/>
      </c>
      <c r="S215" t="str">
        <f>""</f>
        <v/>
      </c>
      <c r="T215" t="str">
        <f>""</f>
        <v/>
      </c>
      <c r="U215" t="str">
        <f>""</f>
        <v/>
      </c>
      <c r="V215" t="str">
        <f>""</f>
        <v/>
      </c>
      <c r="W215" t="str">
        <f>""</f>
        <v/>
      </c>
      <c r="X215" t="str">
        <f>""</f>
        <v/>
      </c>
      <c r="Y215" t="str">
        <f>""</f>
        <v/>
      </c>
      <c r="Z215" t="str">
        <f>""</f>
        <v/>
      </c>
      <c r="AA215" t="str">
        <f>""</f>
        <v/>
      </c>
      <c r="AB215" t="str">
        <f>""</f>
        <v/>
      </c>
      <c r="AC215" t="str">
        <f>""</f>
        <v/>
      </c>
    </row>
    <row r="216" spans="1:29" x14ac:dyDescent="0.25">
      <c r="A216" t="str">
        <f>$A$56</f>
        <v xml:space="preserve">    Tech Mahindra Ltd</v>
      </c>
      <c r="B216" t="str">
        <f>$B$56</f>
        <v>TECHM IN Equity</v>
      </c>
      <c r="C216" t="str">
        <f>$C$56</f>
        <v>BS035</v>
      </c>
      <c r="D216" t="str">
        <f>$D$56</f>
        <v>BS_TOT_ASSET</v>
      </c>
      <c r="E216" t="str">
        <f>$E$56</f>
        <v>Dynamic</v>
      </c>
      <c r="F216">
        <f ca="1">_xll.BDH($B$56,$C$56,$B$163,$B$164,CONCATENATE("Per=",$B$161),"Dts=H","Dir=H",CONCATENATE("Points=",$B$162),"Sort=R","Days=A","Fill=B",CONCATENATE("FX=", $B$160),"cols=12;rows=1")</f>
        <v>4955.7749999999996</v>
      </c>
      <c r="G216">
        <v>5005.2299000000003</v>
      </c>
      <c r="H216">
        <v>4782.5766000000003</v>
      </c>
      <c r="I216">
        <v>4882.3319000000001</v>
      </c>
      <c r="J216">
        <v>4824.7703000000001</v>
      </c>
      <c r="K216">
        <v>4680.4276</v>
      </c>
      <c r="L216">
        <v>4438.1147000000001</v>
      </c>
      <c r="M216">
        <v>4618.5469000000003</v>
      </c>
      <c r="N216">
        <v>4672.4027999999998</v>
      </c>
      <c r="O216">
        <v>4514.3027000000002</v>
      </c>
      <c r="P216">
        <v>4238.8279000000002</v>
      </c>
      <c r="Q216">
        <v>4350.0222000000003</v>
      </c>
      <c r="R216" t="str">
        <f>""</f>
        <v/>
      </c>
      <c r="S216" t="str">
        <f>""</f>
        <v/>
      </c>
      <c r="T216" t="str">
        <f>""</f>
        <v/>
      </c>
      <c r="U216" t="str">
        <f>""</f>
        <v/>
      </c>
      <c r="V216" t="str">
        <f>""</f>
        <v/>
      </c>
      <c r="W216" t="str">
        <f>""</f>
        <v/>
      </c>
      <c r="X216" t="str">
        <f>""</f>
        <v/>
      </c>
      <c r="Y216" t="str">
        <f>""</f>
        <v/>
      </c>
      <c r="Z216" t="str">
        <f>""</f>
        <v/>
      </c>
      <c r="AA216" t="str">
        <f>""</f>
        <v/>
      </c>
      <c r="AB216" t="str">
        <f>""</f>
        <v/>
      </c>
      <c r="AC216" t="str">
        <f>""</f>
        <v/>
      </c>
    </row>
    <row r="217" spans="1:29" x14ac:dyDescent="0.25">
      <c r="A217" t="str">
        <f>$A$57</f>
        <v xml:space="preserve">    Wipro Ltd</v>
      </c>
      <c r="B217" t="str">
        <f>$B$57</f>
        <v>WIT US Equity</v>
      </c>
      <c r="C217" t="str">
        <f>$C$57</f>
        <v>BS035</v>
      </c>
      <c r="D217" t="str">
        <f>$D$57</f>
        <v>BS_TOT_ASSET</v>
      </c>
      <c r="E217" t="str">
        <f>$E$57</f>
        <v>Dynamic</v>
      </c>
      <c r="F217">
        <f ca="1">_xll.BDH($B$57,$C$57,$B$163,$B$164,CONCATENATE("Per=",$B$161),"Dts=H","Dir=H",CONCATENATE("Points=",$B$162),"Sort=R","Days=A","Fill=B",CONCATENATE("FX=", $B$160),"cols=12;rows=1")</f>
        <v>10840.147199999999</v>
      </c>
      <c r="G217">
        <v>11389.9571</v>
      </c>
      <c r="H217">
        <v>11073.179700000001</v>
      </c>
      <c r="I217">
        <v>12711.394200000001</v>
      </c>
      <c r="J217">
        <v>12018.628699999999</v>
      </c>
      <c r="K217">
        <v>11603.989100000001</v>
      </c>
      <c r="L217">
        <v>11053.335999999999</v>
      </c>
      <c r="M217">
        <v>11146.1847</v>
      </c>
      <c r="N217">
        <v>11676.555200000001</v>
      </c>
      <c r="O217">
        <v>11612.7577</v>
      </c>
      <c r="P217">
        <v>12903.29</v>
      </c>
      <c r="Q217">
        <v>12853.548199999999</v>
      </c>
      <c r="R217" t="str">
        <f>""</f>
        <v/>
      </c>
      <c r="S217" t="str">
        <f>""</f>
        <v/>
      </c>
      <c r="T217" t="str">
        <f>""</f>
        <v/>
      </c>
      <c r="U217" t="str">
        <f>""</f>
        <v/>
      </c>
      <c r="V217" t="str">
        <f>""</f>
        <v/>
      </c>
      <c r="W217" t="str">
        <f>""</f>
        <v/>
      </c>
      <c r="X217" t="str">
        <f>""</f>
        <v/>
      </c>
      <c r="Y217" t="str">
        <f>""</f>
        <v/>
      </c>
      <c r="Z217" t="str">
        <f>""</f>
        <v/>
      </c>
      <c r="AA217" t="str">
        <f>""</f>
        <v/>
      </c>
      <c r="AB217" t="str">
        <f>""</f>
        <v/>
      </c>
      <c r="AC217" t="str">
        <f>""</f>
        <v/>
      </c>
    </row>
    <row r="218" spans="1:29" x14ac:dyDescent="0.25">
      <c r="A218" t="str">
        <f>$A$60</f>
        <v xml:space="preserve">    Accenture PLC</v>
      </c>
      <c r="B218" t="str">
        <f>$B$60</f>
        <v>ACN US Equity</v>
      </c>
      <c r="C218" t="str">
        <f>$C$60</f>
        <v>BS036</v>
      </c>
      <c r="D218" t="str">
        <f>$D$60</f>
        <v>BS_ACCT_PAYABLE</v>
      </c>
      <c r="E218" t="str">
        <f>$E$60</f>
        <v>Dynamic</v>
      </c>
      <c r="F218">
        <f ca="1">_xll.BDH($B$60,$C$60,$B$163,$B$164,CONCATENATE("Per=",$B$161),"Dts=H","Dir=H",CONCATENATE("Points=",$B$162),"Sort=R","Days=A","Fill=B",CONCATENATE("FX=", $B$160),"cols=12;rows=1")</f>
        <v>1526.135</v>
      </c>
      <c r="G218">
        <v>1581.1120000000001</v>
      </c>
      <c r="H218">
        <v>1646.6410000000001</v>
      </c>
      <c r="I218">
        <v>1562.9949999999999</v>
      </c>
      <c r="J218">
        <v>1472.13</v>
      </c>
      <c r="K218">
        <v>1355.538</v>
      </c>
      <c r="L218">
        <v>1348.8019999999999</v>
      </c>
      <c r="M218">
        <v>1388.989</v>
      </c>
      <c r="N218">
        <v>1367.4639999999999</v>
      </c>
      <c r="O218">
        <v>1316.93</v>
      </c>
      <c r="P218">
        <v>1525.0650000000001</v>
      </c>
      <c r="Q218">
        <v>1291.1379999999999</v>
      </c>
      <c r="R218" t="str">
        <f>""</f>
        <v/>
      </c>
      <c r="S218" t="str">
        <f>""</f>
        <v/>
      </c>
      <c r="T218" t="str">
        <f>""</f>
        <v/>
      </c>
      <c r="U218" t="str">
        <f>""</f>
        <v/>
      </c>
      <c r="V218" t="str">
        <f>""</f>
        <v/>
      </c>
      <c r="W218" t="str">
        <f>""</f>
        <v/>
      </c>
      <c r="X218" t="str">
        <f>""</f>
        <v/>
      </c>
      <c r="Y218" t="str">
        <f>""</f>
        <v/>
      </c>
      <c r="Z218" t="str">
        <f>""</f>
        <v/>
      </c>
      <c r="AA218" t="str">
        <f>""</f>
        <v/>
      </c>
      <c r="AB218" t="str">
        <f>""</f>
        <v/>
      </c>
      <c r="AC218" t="str">
        <f>""</f>
        <v/>
      </c>
    </row>
    <row r="219" spans="1:29" x14ac:dyDescent="0.25">
      <c r="A219" t="str">
        <f>$A$61</f>
        <v xml:space="preserve">    Amdocs Ltd</v>
      </c>
      <c r="B219" t="str">
        <f>$B$61</f>
        <v>DOX US Equity</v>
      </c>
      <c r="C219" t="str">
        <f>$C$61</f>
        <v>BS036</v>
      </c>
      <c r="D219" t="str">
        <f>$D$61</f>
        <v>BS_ACCT_PAYABLE</v>
      </c>
      <c r="E219" t="str">
        <f>$E$61</f>
        <v>Dynamic</v>
      </c>
      <c r="F219" t="str">
        <f ca="1">_xll.BDH($B$61,$C$61,$B$163,$B$164,CONCATENATE("Per=",$B$161),"Dts=H","Dir=H",CONCATENATE("Points=",$B$162),"Sort=R","Days=A","Fill=B",CONCATENATE("FX=", $B$160),"cols=12;rows=1")</f>
        <v/>
      </c>
      <c r="H219">
        <v>176.50800000000001</v>
      </c>
      <c r="I219">
        <v>172.09299999999999</v>
      </c>
      <c r="K219">
        <v>168.44</v>
      </c>
      <c r="L219">
        <v>194.738</v>
      </c>
      <c r="M219">
        <v>252.596</v>
      </c>
      <c r="N219">
        <v>1141.799</v>
      </c>
      <c r="P219">
        <v>126.414</v>
      </c>
      <c r="Q219">
        <v>176.39</v>
      </c>
      <c r="R219" t="str">
        <f>""</f>
        <v/>
      </c>
      <c r="S219" t="str">
        <f>""</f>
        <v/>
      </c>
      <c r="T219" t="str">
        <f>""</f>
        <v/>
      </c>
      <c r="U219" t="str">
        <f>""</f>
        <v/>
      </c>
      <c r="V219" t="str">
        <f>""</f>
        <v/>
      </c>
      <c r="W219" t="str">
        <f>""</f>
        <v/>
      </c>
      <c r="X219" t="str">
        <f>""</f>
        <v/>
      </c>
      <c r="Y219" t="str">
        <f>""</f>
        <v/>
      </c>
      <c r="Z219" t="str">
        <f>""</f>
        <v/>
      </c>
      <c r="AA219" t="str">
        <f>""</f>
        <v/>
      </c>
      <c r="AB219" t="str">
        <f>""</f>
        <v/>
      </c>
      <c r="AC219" t="str">
        <f>""</f>
        <v/>
      </c>
    </row>
    <row r="220" spans="1:29" x14ac:dyDescent="0.25">
      <c r="A220" t="str">
        <f>$A$62</f>
        <v xml:space="preserve">    Atos SE</v>
      </c>
      <c r="B220" t="str">
        <f>$B$62</f>
        <v>ATO FP Equity</v>
      </c>
      <c r="C220" t="str">
        <f>$C$62</f>
        <v>BS036</v>
      </c>
      <c r="D220" t="str">
        <f>$D$62</f>
        <v>BS_ACCT_PAYABLE</v>
      </c>
      <c r="E220" t="str">
        <f>$E$62</f>
        <v>Dynamic</v>
      </c>
      <c r="F220" t="str">
        <f ca="1">_xll.BDH($B$62,$C$62,$B$163,$B$164,CONCATENATE("Per=",$B$161),"Dts=H","Dir=H",CONCATENATE("Points=",$B$162),"Sort=R","Days=A","Fill=B",CONCATENATE("FX=", $B$160) )</f>
        <v/>
      </c>
      <c r="R220" t="str">
        <f>""</f>
        <v/>
      </c>
      <c r="S220" t="str">
        <f>""</f>
        <v/>
      </c>
      <c r="T220" t="str">
        <f>""</f>
        <v/>
      </c>
      <c r="U220" t="str">
        <f>""</f>
        <v/>
      </c>
      <c r="V220" t="str">
        <f>""</f>
        <v/>
      </c>
      <c r="W220" t="str">
        <f>""</f>
        <v/>
      </c>
      <c r="X220" t="str">
        <f>""</f>
        <v/>
      </c>
      <c r="Y220" t="str">
        <f>""</f>
        <v/>
      </c>
      <c r="Z220" t="str">
        <f>""</f>
        <v/>
      </c>
      <c r="AA220" t="str">
        <f>""</f>
        <v/>
      </c>
      <c r="AB220" t="str">
        <f>""</f>
        <v/>
      </c>
      <c r="AC220" t="str">
        <f>""</f>
        <v/>
      </c>
    </row>
    <row r="221" spans="1:29" x14ac:dyDescent="0.25">
      <c r="A221" t="str">
        <f>$A$63</f>
        <v xml:space="preserve">    Capgemini SE</v>
      </c>
      <c r="B221" t="str">
        <f>$B$63</f>
        <v>CAP FP Equity</v>
      </c>
      <c r="C221" t="str">
        <f>$C$63</f>
        <v>BS036</v>
      </c>
      <c r="D221" t="str">
        <f>$D$63</f>
        <v>BS_ACCT_PAYABLE</v>
      </c>
      <c r="E221" t="str">
        <f>$E$63</f>
        <v>Dynamic</v>
      </c>
      <c r="F221" t="str">
        <f ca="1">_xll.BDH($B$63,$C$63,$B$163,$B$164,CONCATENATE("Per=",$B$161),"Dts=H","Dir=H",CONCATENATE("Points=",$B$162),"Sort=R","Days=A","Fill=B",CONCATENATE("FX=", $B$160),"cols=12;rows=1")</f>
        <v/>
      </c>
      <c r="G221">
        <v>1290.2121</v>
      </c>
      <c r="R221" t="str">
        <f>""</f>
        <v/>
      </c>
      <c r="S221" t="str">
        <f>""</f>
        <v/>
      </c>
      <c r="T221" t="str">
        <f>""</f>
        <v/>
      </c>
      <c r="U221" t="str">
        <f>""</f>
        <v/>
      </c>
      <c r="V221" t="str">
        <f>""</f>
        <v/>
      </c>
      <c r="W221" t="str">
        <f>""</f>
        <v/>
      </c>
      <c r="X221" t="str">
        <f>""</f>
        <v/>
      </c>
      <c r="Y221" t="str">
        <f>""</f>
        <v/>
      </c>
      <c r="Z221" t="str">
        <f>""</f>
        <v/>
      </c>
      <c r="AA221" t="str">
        <f>""</f>
        <v/>
      </c>
      <c r="AB221" t="str">
        <f>""</f>
        <v/>
      </c>
      <c r="AC221" t="str">
        <f>""</f>
        <v/>
      </c>
    </row>
    <row r="222" spans="1:29" x14ac:dyDescent="0.25">
      <c r="A222" t="str">
        <f>$A$64</f>
        <v xml:space="preserve">    CGI Inc</v>
      </c>
      <c r="B222" t="str">
        <f>$B$64</f>
        <v>GIB US Equity</v>
      </c>
      <c r="C222" t="str">
        <f>$C$64</f>
        <v>BS036</v>
      </c>
      <c r="D222" t="str">
        <f>$D$64</f>
        <v>BS_ACCT_PAYABLE</v>
      </c>
      <c r="E222" t="str">
        <f>$E$64</f>
        <v>Dynamic</v>
      </c>
      <c r="F222" t="str">
        <f ca="1">_xll.BDH($B$64,$C$64,$B$163,$B$164,CONCATENATE("Per=",$B$161),"Dts=H","Dir=H",CONCATENATE("Points=",$B$162),"Sort=R","Days=A","Fill=B",CONCATENATE("FX=", $B$160) )</f>
        <v/>
      </c>
      <c r="R222" t="str">
        <f>""</f>
        <v/>
      </c>
      <c r="S222" t="str">
        <f>""</f>
        <v/>
      </c>
      <c r="T222" t="str">
        <f>""</f>
        <v/>
      </c>
      <c r="U222" t="str">
        <f>""</f>
        <v/>
      </c>
      <c r="V222" t="str">
        <f>""</f>
        <v/>
      </c>
      <c r="W222" t="str">
        <f>""</f>
        <v/>
      </c>
      <c r="X222" t="str">
        <f>""</f>
        <v/>
      </c>
      <c r="Y222" t="str">
        <f>""</f>
        <v/>
      </c>
      <c r="Z222" t="str">
        <f>""</f>
        <v/>
      </c>
      <c r="AA222" t="str">
        <f>""</f>
        <v/>
      </c>
      <c r="AB222" t="str">
        <f>""</f>
        <v/>
      </c>
      <c r="AC222" t="str">
        <f>""</f>
        <v/>
      </c>
    </row>
    <row r="223" spans="1:29" x14ac:dyDescent="0.25">
      <c r="A223" t="str">
        <f>$A$65</f>
        <v xml:space="preserve">    Cognizant Technology Solutions Corp</v>
      </c>
      <c r="B223" t="str">
        <f>$B$65</f>
        <v>CTSH US Equity</v>
      </c>
      <c r="C223" t="str">
        <f>$C$65</f>
        <v>BS036</v>
      </c>
      <c r="D223" t="str">
        <f>$D$65</f>
        <v>BS_ACCT_PAYABLE</v>
      </c>
      <c r="E223" t="str">
        <f>$E$65</f>
        <v>Dynamic</v>
      </c>
      <c r="F223">
        <f ca="1">_xll.BDH($B$65,$C$65,$B$163,$B$164,CONCATENATE("Per=",$B$161),"Dts=H","Dir=H",CONCATENATE("Points=",$B$162),"Sort=R","Days=A","Fill=B",CONCATENATE("FX=", $B$160),"cols=12;rows=1")</f>
        <v>289</v>
      </c>
      <c r="G223">
        <v>239</v>
      </c>
      <c r="H223">
        <v>246</v>
      </c>
      <c r="I223">
        <v>254</v>
      </c>
      <c r="J223">
        <v>262</v>
      </c>
      <c r="K223">
        <v>215</v>
      </c>
      <c r="L223">
        <v>223</v>
      </c>
      <c r="M223">
        <v>217</v>
      </c>
      <c r="N223">
        <v>293</v>
      </c>
      <c r="O223">
        <v>210</v>
      </c>
      <c r="P223">
        <v>186</v>
      </c>
      <c r="Q223">
        <v>179</v>
      </c>
      <c r="R223" t="str">
        <f>""</f>
        <v/>
      </c>
      <c r="S223" t="str">
        <f>""</f>
        <v/>
      </c>
      <c r="T223" t="str">
        <f>""</f>
        <v/>
      </c>
      <c r="U223" t="str">
        <f>""</f>
        <v/>
      </c>
      <c r="V223" t="str">
        <f>""</f>
        <v/>
      </c>
      <c r="W223" t="str">
        <f>""</f>
        <v/>
      </c>
      <c r="X223" t="str">
        <f>""</f>
        <v/>
      </c>
      <c r="Y223" t="str">
        <f>""</f>
        <v/>
      </c>
      <c r="Z223" t="str">
        <f>""</f>
        <v/>
      </c>
      <c r="AA223" t="str">
        <f>""</f>
        <v/>
      </c>
      <c r="AB223" t="str">
        <f>""</f>
        <v/>
      </c>
      <c r="AC223" t="str">
        <f>""</f>
        <v/>
      </c>
    </row>
    <row r="224" spans="1:29" x14ac:dyDescent="0.25">
      <c r="A224" t="str">
        <f>$A$66</f>
        <v xml:space="preserve">    Conduent Inc</v>
      </c>
      <c r="B224" t="str">
        <f>$B$66</f>
        <v>CNDT US Equity</v>
      </c>
      <c r="C224" t="str">
        <f>$C$66</f>
        <v>BS036</v>
      </c>
      <c r="D224" t="str">
        <f>$D$66</f>
        <v>BS_ACCT_PAYABLE</v>
      </c>
      <c r="E224" t="str">
        <f>$E$66</f>
        <v>Dynamic</v>
      </c>
      <c r="F224">
        <f ca="1">_xll.BDH($B$66,$C$66,$B$163,$B$164,CONCATENATE("Per=",$B$161),"Dts=H","Dir=H",CONCATENATE("Points=",$B$162),"Sort=R","Days=A","Fill=B",CONCATENATE("FX=", $B$160),"cols=12;rows=1")</f>
        <v>168</v>
      </c>
      <c r="G224">
        <v>198</v>
      </c>
      <c r="H224">
        <v>145</v>
      </c>
      <c r="I224">
        <v>161</v>
      </c>
      <c r="J224">
        <v>313</v>
      </c>
      <c r="K224">
        <v>230</v>
      </c>
      <c r="L224">
        <v>216</v>
      </c>
      <c r="M224">
        <v>158</v>
      </c>
      <c r="N224">
        <v>152</v>
      </c>
      <c r="O224">
        <v>138</v>
      </c>
      <c r="P224">
        <v>147</v>
      </c>
      <c r="Q224">
        <v>106</v>
      </c>
      <c r="R224" t="str">
        <f>""</f>
        <v/>
      </c>
      <c r="S224" t="str">
        <f>""</f>
        <v/>
      </c>
      <c r="T224" t="str">
        <f>""</f>
        <v/>
      </c>
      <c r="U224" t="str">
        <f>""</f>
        <v/>
      </c>
      <c r="V224" t="str">
        <f>""</f>
        <v/>
      </c>
      <c r="W224" t="str">
        <f>""</f>
        <v/>
      </c>
      <c r="X224" t="str">
        <f>""</f>
        <v/>
      </c>
      <c r="Y224" t="str">
        <f>""</f>
        <v/>
      </c>
      <c r="Z224" t="str">
        <f>""</f>
        <v/>
      </c>
      <c r="AA224" t="str">
        <f>""</f>
        <v/>
      </c>
      <c r="AB224" t="str">
        <f>""</f>
        <v/>
      </c>
      <c r="AC224" t="str">
        <f>""</f>
        <v/>
      </c>
    </row>
    <row r="225" spans="1:29" x14ac:dyDescent="0.25">
      <c r="A225" t="str">
        <f>$A$67</f>
        <v xml:space="preserve">    DXC Technology Co</v>
      </c>
      <c r="B225" t="str">
        <f>$B$67</f>
        <v>DXC US Equity</v>
      </c>
      <c r="C225" t="str">
        <f>$C$67</f>
        <v>BS036</v>
      </c>
      <c r="D225" t="str">
        <f>$D$67</f>
        <v>BS_ACCT_PAYABLE</v>
      </c>
      <c r="E225" t="str">
        <f>$E$67</f>
        <v>Dynamic</v>
      </c>
      <c r="F225">
        <f ca="1">_xll.BDH($B$67,$C$67,$B$163,$B$164,CONCATENATE("Per=",$B$161),"Dts=H","Dir=H",CONCATENATE("Points=",$B$162),"Sort=R","Days=A","Fill=B",CONCATENATE("FX=", $B$160),"cols=12;rows=1")</f>
        <v>1598</v>
      </c>
      <c r="G225">
        <v>1576</v>
      </c>
      <c r="H225">
        <v>1603</v>
      </c>
      <c r="I225">
        <v>1517</v>
      </c>
      <c r="J225">
        <v>1666</v>
      </c>
      <c r="K225">
        <v>1345</v>
      </c>
      <c r="L225">
        <v>1358</v>
      </c>
      <c r="M225">
        <v>1326</v>
      </c>
      <c r="N225">
        <v>1513</v>
      </c>
      <c r="O225">
        <v>1510</v>
      </c>
      <c r="P225">
        <v>1666</v>
      </c>
      <c r="Q225">
        <v>1961</v>
      </c>
      <c r="R225" t="str">
        <f>""</f>
        <v/>
      </c>
      <c r="S225" t="str">
        <f>""</f>
        <v/>
      </c>
      <c r="T225" t="str">
        <f>""</f>
        <v/>
      </c>
      <c r="U225" t="str">
        <f>""</f>
        <v/>
      </c>
      <c r="V225" t="str">
        <f>""</f>
        <v/>
      </c>
      <c r="W225" t="str">
        <f>""</f>
        <v/>
      </c>
      <c r="X225" t="str">
        <f>""</f>
        <v/>
      </c>
      <c r="Y225" t="str">
        <f>""</f>
        <v/>
      </c>
      <c r="Z225" t="str">
        <f>""</f>
        <v/>
      </c>
      <c r="AA225" t="str">
        <f>""</f>
        <v/>
      </c>
      <c r="AB225" t="str">
        <f>""</f>
        <v/>
      </c>
      <c r="AC225" t="str">
        <f>""</f>
        <v/>
      </c>
    </row>
    <row r="226" spans="1:29" x14ac:dyDescent="0.25">
      <c r="A226" t="str">
        <f>$A$68</f>
        <v xml:space="preserve">    EPAM Systems Inc</v>
      </c>
      <c r="B226" t="str">
        <f>$B$68</f>
        <v>EPAM US Equity</v>
      </c>
      <c r="C226" t="str">
        <f>$C$68</f>
        <v>BS036</v>
      </c>
      <c r="D226" t="str">
        <f>$D$68</f>
        <v>BS_ACCT_PAYABLE</v>
      </c>
      <c r="E226" t="str">
        <f>$E$68</f>
        <v>Dynamic</v>
      </c>
      <c r="F226">
        <f ca="1">_xll.BDH($B$68,$C$68,$B$163,$B$164,CONCATENATE("Per=",$B$161),"Dts=H","Dir=H",CONCATENATE("Points=",$B$162),"Sort=R","Days=A","Fill=B",CONCATENATE("FX=", $B$160),"cols=12;rows=1")</f>
        <v>5.2320000000000002</v>
      </c>
      <c r="G226">
        <v>7.8309999999999995</v>
      </c>
      <c r="H226">
        <v>6.8959999999999999</v>
      </c>
      <c r="I226">
        <v>6.0430000000000001</v>
      </c>
      <c r="J226">
        <v>4.3970000000000002</v>
      </c>
      <c r="K226">
        <v>7.444</v>
      </c>
      <c r="L226">
        <v>8.4220000000000006</v>
      </c>
      <c r="M226">
        <v>6.7270000000000003</v>
      </c>
      <c r="N226">
        <v>8.4740000000000002</v>
      </c>
      <c r="O226">
        <v>5.5739999999999998</v>
      </c>
      <c r="P226">
        <v>5.5919999999999996</v>
      </c>
      <c r="Q226">
        <v>4.2530000000000001</v>
      </c>
      <c r="R226" t="str">
        <f>""</f>
        <v/>
      </c>
      <c r="S226" t="str">
        <f>""</f>
        <v/>
      </c>
      <c r="T226" t="str">
        <f>""</f>
        <v/>
      </c>
      <c r="U226" t="str">
        <f>""</f>
        <v/>
      </c>
      <c r="V226" t="str">
        <f>""</f>
        <v/>
      </c>
      <c r="W226" t="str">
        <f>""</f>
        <v/>
      </c>
      <c r="X226" t="str">
        <f>""</f>
        <v/>
      </c>
      <c r="Y226" t="str">
        <f>""</f>
        <v/>
      </c>
      <c r="Z226" t="str">
        <f>""</f>
        <v/>
      </c>
      <c r="AA226" t="str">
        <f>""</f>
        <v/>
      </c>
      <c r="AB226" t="str">
        <f>""</f>
        <v/>
      </c>
      <c r="AC226" t="str">
        <f>""</f>
        <v/>
      </c>
    </row>
    <row r="227" spans="1:29" x14ac:dyDescent="0.25">
      <c r="A227" t="str">
        <f>$A$69</f>
        <v xml:space="preserve">    Genpact Ltd</v>
      </c>
      <c r="B227" t="str">
        <f>$B$69</f>
        <v>G US Equity</v>
      </c>
      <c r="C227" t="str">
        <f>$C$69</f>
        <v>BS036</v>
      </c>
      <c r="D227" t="str">
        <f>$D$69</f>
        <v>BS_ACCT_PAYABLE</v>
      </c>
      <c r="E227" t="str">
        <f>$E$69</f>
        <v>Dynamic</v>
      </c>
      <c r="F227">
        <f ca="1">_xll.BDH($B$69,$C$69,$B$163,$B$164,CONCATENATE("Per=",$B$161),"Dts=H","Dir=H",CONCATENATE("Points=",$B$162),"Sort=R","Days=A","Fill=B",CONCATENATE("FX=", $B$160),"cols=12;rows=1")</f>
        <v>26.07</v>
      </c>
      <c r="G227">
        <v>21.981000000000002</v>
      </c>
      <c r="H227">
        <v>20.954000000000001</v>
      </c>
      <c r="I227">
        <v>24.398</v>
      </c>
      <c r="J227">
        <v>29.494</v>
      </c>
      <c r="K227">
        <v>42.584000000000003</v>
      </c>
      <c r="L227">
        <v>14.436</v>
      </c>
      <c r="M227">
        <v>20.942</v>
      </c>
      <c r="N227">
        <v>13.811</v>
      </c>
      <c r="O227">
        <v>15.05</v>
      </c>
      <c r="P227">
        <v>16.858000000000001</v>
      </c>
      <c r="Q227">
        <v>18.317</v>
      </c>
      <c r="R227" t="str">
        <f>""</f>
        <v/>
      </c>
      <c r="S227" t="str">
        <f>""</f>
        <v/>
      </c>
      <c r="T227" t="str">
        <f>""</f>
        <v/>
      </c>
      <c r="U227" t="str">
        <f>""</f>
        <v/>
      </c>
      <c r="V227" t="str">
        <f>""</f>
        <v/>
      </c>
      <c r="W227" t="str">
        <f>""</f>
        <v/>
      </c>
      <c r="X227" t="str">
        <f>""</f>
        <v/>
      </c>
      <c r="Y227" t="str">
        <f>""</f>
        <v/>
      </c>
      <c r="Z227" t="str">
        <f>""</f>
        <v/>
      </c>
      <c r="AA227" t="str">
        <f>""</f>
        <v/>
      </c>
      <c r="AB227" t="str">
        <f>""</f>
        <v/>
      </c>
      <c r="AC227" t="str">
        <f>""</f>
        <v/>
      </c>
    </row>
    <row r="228" spans="1:29" x14ac:dyDescent="0.25">
      <c r="A228" t="str">
        <f>$A$70</f>
        <v xml:space="preserve">    HCL Technologies Ltd</v>
      </c>
      <c r="B228" t="str">
        <f>$B$70</f>
        <v>HCLT IN Equity</v>
      </c>
      <c r="C228" t="str">
        <f>$C$70</f>
        <v>BS036</v>
      </c>
      <c r="D228" t="str">
        <f>$D$70</f>
        <v>BS_ACCT_PAYABLE</v>
      </c>
      <c r="E228" t="str">
        <f>$E$70</f>
        <v>Dynamic</v>
      </c>
      <c r="F228">
        <f ca="1">_xll.BDH($B$70,$C$70,$B$163,$B$164,CONCATENATE("Per=",$B$161),"Dts=H","Dir=H",CONCATENATE("Points=",$B$162),"Sort=R","Days=A","Fill=B",CONCATENATE("FX=", $B$160),"cols=12;rows=1")</f>
        <v>222.34100000000001</v>
      </c>
      <c r="J228">
        <v>257.548</v>
      </c>
      <c r="N228">
        <v>140.92179999999999</v>
      </c>
      <c r="R228" t="str">
        <f>""</f>
        <v/>
      </c>
      <c r="S228" t="str">
        <f>""</f>
        <v/>
      </c>
      <c r="T228" t="str">
        <f>""</f>
        <v/>
      </c>
      <c r="U228" t="str">
        <f>""</f>
        <v/>
      </c>
      <c r="V228" t="str">
        <f>""</f>
        <v/>
      </c>
      <c r="W228" t="str">
        <f>""</f>
        <v/>
      </c>
      <c r="X228" t="str">
        <f>""</f>
        <v/>
      </c>
      <c r="Y228" t="str">
        <f>""</f>
        <v/>
      </c>
      <c r="Z228" t="str">
        <f>""</f>
        <v/>
      </c>
      <c r="AA228" t="str">
        <f>""</f>
        <v/>
      </c>
      <c r="AB228" t="str">
        <f>""</f>
        <v/>
      </c>
      <c r="AC228" t="str">
        <f>""</f>
        <v/>
      </c>
    </row>
    <row r="229" spans="1:29" x14ac:dyDescent="0.25">
      <c r="A229" t="str">
        <f>$A$71</f>
        <v xml:space="preserve">    Indra Sistemas SA</v>
      </c>
      <c r="B229" t="str">
        <f>$B$71</f>
        <v>IDR SM Equity</v>
      </c>
      <c r="C229" t="str">
        <f>$C$71</f>
        <v>BS036</v>
      </c>
      <c r="D229" t="str">
        <f>$D$71</f>
        <v>BS_ACCT_PAYABLE</v>
      </c>
      <c r="E229" t="str">
        <f>$E$71</f>
        <v>Dynamic</v>
      </c>
      <c r="F229" t="str">
        <f ca="1">_xll.BDH($B$71,$C$71,$B$163,$B$164,CONCATENATE("Per=",$B$161),"Dts=H","Dir=H",CONCATENATE("Points=",$B$162),"Sort=R","Days=A","Fill=B",CONCATENATE("FX=", $B$160),"cols=12;rows=1")</f>
        <v/>
      </c>
      <c r="G229">
        <v>699.31849999999997</v>
      </c>
      <c r="I229">
        <v>1419.1139000000001</v>
      </c>
      <c r="K229">
        <v>751.12869999999998</v>
      </c>
      <c r="L229">
        <v>1479.8559</v>
      </c>
      <c r="M229">
        <v>663.09010000000001</v>
      </c>
      <c r="O229">
        <v>785.18449999999996</v>
      </c>
      <c r="P229">
        <v>1619.8436999999999</v>
      </c>
      <c r="Q229">
        <v>610.08079999999995</v>
      </c>
      <c r="R229" t="str">
        <f>""</f>
        <v/>
      </c>
      <c r="S229" t="str">
        <f>""</f>
        <v/>
      </c>
      <c r="T229" t="str">
        <f>""</f>
        <v/>
      </c>
      <c r="U229" t="str">
        <f>""</f>
        <v/>
      </c>
      <c r="V229" t="str">
        <f>""</f>
        <v/>
      </c>
      <c r="W229" t="str">
        <f>""</f>
        <v/>
      </c>
      <c r="X229" t="str">
        <f>""</f>
        <v/>
      </c>
      <c r="Y229" t="str">
        <f>""</f>
        <v/>
      </c>
      <c r="Z229" t="str">
        <f>""</f>
        <v/>
      </c>
      <c r="AA229" t="str">
        <f>""</f>
        <v/>
      </c>
      <c r="AB229" t="str">
        <f>""</f>
        <v/>
      </c>
      <c r="AC229" t="str">
        <f>""</f>
        <v/>
      </c>
    </row>
    <row r="230" spans="1:29" x14ac:dyDescent="0.25">
      <c r="A230" t="str">
        <f>$A$72</f>
        <v xml:space="preserve">    Infosys Ltd</v>
      </c>
      <c r="B230" t="str">
        <f>$B$72</f>
        <v>INFY US Equity</v>
      </c>
      <c r="C230" t="str">
        <f>$C$72</f>
        <v>BS036</v>
      </c>
      <c r="D230" t="str">
        <f>$D$72</f>
        <v>BS_ACCT_PAYABLE</v>
      </c>
      <c r="E230" t="str">
        <f>$E$72</f>
        <v>Dynamic</v>
      </c>
      <c r="F230">
        <f ca="1">_xll.BDH($B$72,$C$72,$B$163,$B$164,CONCATENATE("Per=",$B$161),"Dts=H","Dir=H",CONCATENATE("Points=",$B$162),"Sort=R","Days=A","Fill=B",CONCATENATE("FX=", $B$160),"cols=12;rows=1")</f>
        <v>378.38130000000001</v>
      </c>
      <c r="G230">
        <v>263.39249999999998</v>
      </c>
      <c r="H230">
        <v>301.97329999999999</v>
      </c>
      <c r="I230">
        <v>317.0025</v>
      </c>
      <c r="J230">
        <v>238.73650000000001</v>
      </c>
      <c r="K230">
        <v>218.8262</v>
      </c>
      <c r="L230">
        <v>164.43950000000001</v>
      </c>
      <c r="M230">
        <v>116.5389</v>
      </c>
      <c r="N230">
        <v>106.53570000000001</v>
      </c>
      <c r="O230">
        <v>78.619900000000001</v>
      </c>
      <c r="P230">
        <v>82.325900000000004</v>
      </c>
      <c r="Q230">
        <v>40.235300000000002</v>
      </c>
      <c r="R230" t="str">
        <f>""</f>
        <v/>
      </c>
      <c r="S230" t="str">
        <f>""</f>
        <v/>
      </c>
      <c r="T230" t="str">
        <f>""</f>
        <v/>
      </c>
      <c r="U230" t="str">
        <f>""</f>
        <v/>
      </c>
      <c r="V230" t="str">
        <f>""</f>
        <v/>
      </c>
      <c r="W230" t="str">
        <f>""</f>
        <v/>
      </c>
      <c r="X230" t="str">
        <f>""</f>
        <v/>
      </c>
      <c r="Y230" t="str">
        <f>""</f>
        <v/>
      </c>
      <c r="Z230" t="str">
        <f>""</f>
        <v/>
      </c>
      <c r="AA230" t="str">
        <f>""</f>
        <v/>
      </c>
      <c r="AB230" t="str">
        <f>""</f>
        <v/>
      </c>
      <c r="AC230" t="str">
        <f>""</f>
        <v/>
      </c>
    </row>
    <row r="231" spans="1:29" x14ac:dyDescent="0.25">
      <c r="A231" t="str">
        <f>$A$73</f>
        <v xml:space="preserve">    International Business Machines Corp</v>
      </c>
      <c r="B231" t="str">
        <f>$B$73</f>
        <v>IBM US Equity</v>
      </c>
      <c r="C231" t="str">
        <f>$C$73</f>
        <v>BS036</v>
      </c>
      <c r="D231" t="str">
        <f>$D$73</f>
        <v>BS_ACCT_PAYABLE</v>
      </c>
      <c r="E231" t="str">
        <f>$E$73</f>
        <v>Dynamic</v>
      </c>
      <c r="F231">
        <f ca="1">_xll.BDH($B$73,$C$73,$B$163,$B$164,CONCATENATE("Per=",$B$161),"Dts=H","Dir=H",CONCATENATE("Points=",$B$162),"Sort=R","Days=A","Fill=B",CONCATENATE("FX=", $B$160),"cols=12;rows=1")</f>
        <v>4172</v>
      </c>
      <c r="G231">
        <v>4896</v>
      </c>
      <c r="H231">
        <v>4042</v>
      </c>
      <c r="I231">
        <v>4724</v>
      </c>
      <c r="J231">
        <v>5711</v>
      </c>
      <c r="K231">
        <v>6558</v>
      </c>
      <c r="L231">
        <v>5384</v>
      </c>
      <c r="M231">
        <v>5518</v>
      </c>
      <c r="N231">
        <v>5736</v>
      </c>
      <c r="O231">
        <v>6451</v>
      </c>
      <c r="P231">
        <v>5442</v>
      </c>
      <c r="Q231">
        <v>5126</v>
      </c>
      <c r="R231" t="str">
        <f>""</f>
        <v/>
      </c>
      <c r="S231" t="str">
        <f>""</f>
        <v/>
      </c>
      <c r="T231" t="str">
        <f>""</f>
        <v/>
      </c>
      <c r="U231" t="str">
        <f>""</f>
        <v/>
      </c>
      <c r="V231" t="str">
        <f>""</f>
        <v/>
      </c>
      <c r="W231" t="str">
        <f>""</f>
        <v/>
      </c>
      <c r="X231" t="str">
        <f>""</f>
        <v/>
      </c>
      <c r="Y231" t="str">
        <f>""</f>
        <v/>
      </c>
      <c r="Z231" t="str">
        <f>""</f>
        <v/>
      </c>
      <c r="AA231" t="str">
        <f>""</f>
        <v/>
      </c>
      <c r="AB231" t="str">
        <f>""</f>
        <v/>
      </c>
      <c r="AC231" t="str">
        <f>""</f>
        <v/>
      </c>
    </row>
    <row r="232" spans="1:29" x14ac:dyDescent="0.25">
      <c r="A232" t="str">
        <f>$A$74</f>
        <v xml:space="preserve">    Tata Consultancy Services Ltd</v>
      </c>
      <c r="B232" t="str">
        <f>$B$74</f>
        <v>TCS IN Equity</v>
      </c>
      <c r="C232" t="str">
        <f>$C$74</f>
        <v>BS036</v>
      </c>
      <c r="D232" t="str">
        <f>$D$74</f>
        <v>BS_ACCT_PAYABLE</v>
      </c>
      <c r="E232" t="str">
        <f>$E$74</f>
        <v>Dynamic</v>
      </c>
      <c r="F232">
        <f ca="1">_xll.BDH($B$74,$C$74,$B$163,$B$164,CONCATENATE("Per=",$B$161),"Dts=H","Dir=H",CONCATENATE("Points=",$B$162),"Sort=R","Days=A","Fill=B",CONCATENATE("FX=", $B$160),"cols=12;rows=1")</f>
        <v>894.21109999999999</v>
      </c>
      <c r="G232">
        <v>884.24630000000002</v>
      </c>
      <c r="H232">
        <v>952.89980000000003</v>
      </c>
      <c r="I232">
        <v>967.83690000000001</v>
      </c>
      <c r="J232">
        <v>907.63130000000001</v>
      </c>
      <c r="K232">
        <v>867.98680000000002</v>
      </c>
      <c r="L232">
        <v>861.75649999999996</v>
      </c>
      <c r="M232">
        <v>812.12120000000004</v>
      </c>
      <c r="N232">
        <v>781.97799999999995</v>
      </c>
      <c r="O232">
        <v>835.53240000000005</v>
      </c>
      <c r="P232">
        <v>829.53330000000005</v>
      </c>
      <c r="R232" t="str">
        <f>""</f>
        <v/>
      </c>
      <c r="S232" t="str">
        <f>""</f>
        <v/>
      </c>
      <c r="T232" t="str">
        <f>""</f>
        <v/>
      </c>
      <c r="U232" t="str">
        <f>""</f>
        <v/>
      </c>
      <c r="V232" t="str">
        <f>""</f>
        <v/>
      </c>
      <c r="W232" t="str">
        <f>""</f>
        <v/>
      </c>
      <c r="X232" t="str">
        <f>""</f>
        <v/>
      </c>
      <c r="Y232" t="str">
        <f>""</f>
        <v/>
      </c>
      <c r="Z232" t="str">
        <f>""</f>
        <v/>
      </c>
      <c r="AA232" t="str">
        <f>""</f>
        <v/>
      </c>
      <c r="AB232" t="str">
        <f>""</f>
        <v/>
      </c>
      <c r="AC232" t="str">
        <f>""</f>
        <v/>
      </c>
    </row>
    <row r="233" spans="1:29" x14ac:dyDescent="0.25">
      <c r="A233" t="str">
        <f>$A$75</f>
        <v xml:space="preserve">    Tech Mahindra Ltd</v>
      </c>
      <c r="B233" t="str">
        <f>$B$75</f>
        <v>TECHM IN Equity</v>
      </c>
      <c r="C233" t="str">
        <f>$C$75</f>
        <v>BS036</v>
      </c>
      <c r="D233" t="str">
        <f>$D$75</f>
        <v>BS_ACCT_PAYABLE</v>
      </c>
      <c r="E233" t="str">
        <f>$E$75</f>
        <v>Dynamic</v>
      </c>
      <c r="F233">
        <f ca="1">_xll.BDH($B$75,$C$75,$B$163,$B$164,CONCATENATE("Per=",$B$161),"Dts=H","Dir=H",CONCATENATE("Points=",$B$162),"Sort=R","Days=A","Fill=B",CONCATENATE("FX=", $B$160),"cols=12;rows=1")</f>
        <v>432.06049999999999</v>
      </c>
      <c r="G233">
        <v>411.10849999999999</v>
      </c>
      <c r="H233">
        <v>378.4855</v>
      </c>
      <c r="I233">
        <v>365.61919999999998</v>
      </c>
      <c r="J233">
        <v>359.0856</v>
      </c>
      <c r="K233">
        <v>333.77820000000003</v>
      </c>
      <c r="L233">
        <v>335.73219999999998</v>
      </c>
      <c r="M233">
        <v>311.63200000000001</v>
      </c>
      <c r="N233">
        <v>312.66840000000002</v>
      </c>
      <c r="O233">
        <v>364.67430000000002</v>
      </c>
      <c r="P233">
        <v>364.93040000000002</v>
      </c>
      <c r="Q233">
        <v>384.09219999999999</v>
      </c>
      <c r="R233" t="str">
        <f>""</f>
        <v/>
      </c>
      <c r="S233" t="str">
        <f>""</f>
        <v/>
      </c>
      <c r="T233" t="str">
        <f>""</f>
        <v/>
      </c>
      <c r="U233" t="str">
        <f>""</f>
        <v/>
      </c>
      <c r="V233" t="str">
        <f>""</f>
        <v/>
      </c>
      <c r="W233" t="str">
        <f>""</f>
        <v/>
      </c>
      <c r="X233" t="str">
        <f>""</f>
        <v/>
      </c>
      <c r="Y233" t="str">
        <f>""</f>
        <v/>
      </c>
      <c r="Z233" t="str">
        <f>""</f>
        <v/>
      </c>
      <c r="AA233" t="str">
        <f>""</f>
        <v/>
      </c>
      <c r="AB233" t="str">
        <f>""</f>
        <v/>
      </c>
      <c r="AC233" t="str">
        <f>""</f>
        <v/>
      </c>
    </row>
    <row r="234" spans="1:29" x14ac:dyDescent="0.25">
      <c r="A234" t="str">
        <f>$A$76</f>
        <v xml:space="preserve">    Wipro Ltd</v>
      </c>
      <c r="B234" t="str">
        <f>$B$76</f>
        <v>WIT US Equity</v>
      </c>
      <c r="C234" t="str">
        <f>$C$76</f>
        <v>BS036</v>
      </c>
      <c r="D234" t="str">
        <f>$D$76</f>
        <v>BS_ACCT_PAYABLE</v>
      </c>
      <c r="E234" t="str">
        <f>$E$76</f>
        <v>Dynamic</v>
      </c>
      <c r="F234">
        <f ca="1">_xll.BDH($B$76,$C$76,$B$163,$B$164,CONCATENATE("Per=",$B$161),"Dts=H","Dir=H",CONCATENATE("Points=",$B$162),"Sort=R","Days=A","Fill=B",CONCATENATE("FX=", $B$160),"cols=12;rows=1")</f>
        <v>1036.5552</v>
      </c>
      <c r="J234">
        <v>411.50670000000002</v>
      </c>
      <c r="N234">
        <v>374.65559999999999</v>
      </c>
      <c r="R234" t="str">
        <f>""</f>
        <v/>
      </c>
      <c r="S234" t="str">
        <f>""</f>
        <v/>
      </c>
      <c r="T234" t="str">
        <f>""</f>
        <v/>
      </c>
      <c r="U234" t="str">
        <f>""</f>
        <v/>
      </c>
      <c r="V234" t="str">
        <f>""</f>
        <v/>
      </c>
      <c r="W234" t="str">
        <f>""</f>
        <v/>
      </c>
      <c r="X234" t="str">
        <f>""</f>
        <v/>
      </c>
      <c r="Y234" t="str">
        <f>""</f>
        <v/>
      </c>
      <c r="Z234" t="str">
        <f>""</f>
        <v/>
      </c>
      <c r="AA234" t="str">
        <f>""</f>
        <v/>
      </c>
      <c r="AB234" t="str">
        <f>""</f>
        <v/>
      </c>
      <c r="AC234" t="str">
        <f>""</f>
        <v/>
      </c>
    </row>
    <row r="235" spans="1:29" x14ac:dyDescent="0.25">
      <c r="A235" t="str">
        <f>$A$78</f>
        <v xml:space="preserve">    Accenture PLC</v>
      </c>
      <c r="B235" t="str">
        <f>$B$78</f>
        <v>ACN US Equity</v>
      </c>
      <c r="C235" t="str">
        <f>$C$78</f>
        <v>BS047</v>
      </c>
      <c r="D235" t="str">
        <f>$D$78</f>
        <v>BS_ST_BORROW</v>
      </c>
      <c r="E235" t="str">
        <f>$E$78</f>
        <v>Dynamic</v>
      </c>
      <c r="F235">
        <f ca="1">_xll.BDH($B$78,$C$78,$B$163,$B$164,CONCATENATE("Per=",$B$161),"Dts=H","Dir=H",CONCATENATE("Points=",$B$162),"Sort=R","Days=A","Fill=B",CONCATENATE("FX=", $B$160),"cols=12;rows=1")</f>
        <v>744.47799999999995</v>
      </c>
      <c r="G235">
        <v>714.48500000000001</v>
      </c>
      <c r="H235">
        <v>6.4109999999999996</v>
      </c>
      <c r="I235">
        <v>4.1370000000000005</v>
      </c>
      <c r="J235">
        <v>4.3650000000000002</v>
      </c>
      <c r="K235">
        <v>4.7270000000000003</v>
      </c>
      <c r="L235">
        <v>5.3369999999999997</v>
      </c>
      <c r="M235">
        <v>2.84</v>
      </c>
      <c r="N235">
        <v>2.9140000000000001</v>
      </c>
      <c r="O235">
        <v>2.9790000000000001</v>
      </c>
      <c r="P235">
        <v>2.907</v>
      </c>
      <c r="Q235">
        <v>2.9420000000000002</v>
      </c>
      <c r="R235" t="str">
        <f>""</f>
        <v/>
      </c>
      <c r="S235" t="str">
        <f>""</f>
        <v/>
      </c>
      <c r="T235" t="str">
        <f>""</f>
        <v/>
      </c>
      <c r="U235" t="str">
        <f>""</f>
        <v/>
      </c>
      <c r="V235" t="str">
        <f>""</f>
        <v/>
      </c>
      <c r="W235" t="str">
        <f>""</f>
        <v/>
      </c>
      <c r="X235" t="str">
        <f>""</f>
        <v/>
      </c>
      <c r="Y235" t="str">
        <f>""</f>
        <v/>
      </c>
      <c r="Z235" t="str">
        <f>""</f>
        <v/>
      </c>
      <c r="AA235" t="str">
        <f>""</f>
        <v/>
      </c>
      <c r="AB235" t="str">
        <f>""</f>
        <v/>
      </c>
      <c r="AC235" t="str">
        <f>""</f>
        <v/>
      </c>
    </row>
    <row r="236" spans="1:29" x14ac:dyDescent="0.25">
      <c r="A236" t="str">
        <f>$A$79</f>
        <v xml:space="preserve">    Amdocs Ltd</v>
      </c>
      <c r="B236" t="str">
        <f>$B$79</f>
        <v>DOX US Equity</v>
      </c>
      <c r="C236" t="str">
        <f>$C$79</f>
        <v>BS047</v>
      </c>
      <c r="D236" t="str">
        <f>$D$79</f>
        <v>BS_ST_BORROW</v>
      </c>
      <c r="E236" t="str">
        <f>$E$79</f>
        <v>Dynamic</v>
      </c>
      <c r="F236">
        <f ca="1">_xll.BDH($B$79,$C$79,$B$163,$B$164,CONCATENATE("Per=",$B$161),"Dts=H","Dir=H",CONCATENATE("Points=",$B$162),"Sort=R","Days=A","Fill=B",CONCATENATE("FX=", $B$160),"cols=12;rows=1")</f>
        <v>409.767</v>
      </c>
      <c r="G236">
        <v>57.752000000000002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120</v>
      </c>
      <c r="O236">
        <v>0</v>
      </c>
      <c r="P236">
        <v>0</v>
      </c>
      <c r="Q236">
        <v>0</v>
      </c>
      <c r="R236" t="str">
        <f>""</f>
        <v/>
      </c>
      <c r="S236" t="str">
        <f>""</f>
        <v/>
      </c>
      <c r="T236" t="str">
        <f>""</f>
        <v/>
      </c>
      <c r="U236" t="str">
        <f>""</f>
        <v/>
      </c>
      <c r="V236" t="str">
        <f>""</f>
        <v/>
      </c>
      <c r="W236" t="str">
        <f>""</f>
        <v/>
      </c>
      <c r="X236" t="str">
        <f>""</f>
        <v/>
      </c>
      <c r="Y236" t="str">
        <f>""</f>
        <v/>
      </c>
      <c r="Z236" t="str">
        <f>""</f>
        <v/>
      </c>
      <c r="AA236" t="str">
        <f>""</f>
        <v/>
      </c>
      <c r="AB236" t="str">
        <f>""</f>
        <v/>
      </c>
      <c r="AC236" t="str">
        <f>""</f>
        <v/>
      </c>
    </row>
    <row r="237" spans="1:29" x14ac:dyDescent="0.25">
      <c r="A237" t="str">
        <f>$A$80</f>
        <v xml:space="preserve">    Atos SE</v>
      </c>
      <c r="B237" t="str">
        <f>$B$80</f>
        <v>ATO FP Equity</v>
      </c>
      <c r="C237" t="str">
        <f>$C$80</f>
        <v>BS047</v>
      </c>
      <c r="D237" t="str">
        <f>$D$80</f>
        <v>BS_ST_BORROW</v>
      </c>
      <c r="E237" t="str">
        <f>$E$80</f>
        <v>Dynamic</v>
      </c>
      <c r="F237" t="str">
        <f ca="1">_xll.BDH($B$80,$C$80,$B$163,$B$164,CONCATENATE("Per=",$B$161),"Dts=H","Dir=H",CONCATENATE("Points=",$B$162),"Sort=R","Days=A","Fill=B",CONCATENATE("FX=", $B$160) )</f>
        <v/>
      </c>
      <c r="R237" t="str">
        <f>""</f>
        <v/>
      </c>
      <c r="S237" t="str">
        <f>""</f>
        <v/>
      </c>
      <c r="T237" t="str">
        <f>""</f>
        <v/>
      </c>
      <c r="U237" t="str">
        <f>""</f>
        <v/>
      </c>
      <c r="V237" t="str">
        <f>""</f>
        <v/>
      </c>
      <c r="W237" t="str">
        <f>""</f>
        <v/>
      </c>
      <c r="X237" t="str">
        <f>""</f>
        <v/>
      </c>
      <c r="Y237" t="str">
        <f>""</f>
        <v/>
      </c>
      <c r="Z237" t="str">
        <f>""</f>
        <v/>
      </c>
      <c r="AA237" t="str">
        <f>""</f>
        <v/>
      </c>
      <c r="AB237" t="str">
        <f>""</f>
        <v/>
      </c>
      <c r="AC237" t="str">
        <f>""</f>
        <v/>
      </c>
    </row>
    <row r="238" spans="1:29" x14ac:dyDescent="0.25">
      <c r="A238" t="str">
        <f>$A$81</f>
        <v xml:space="preserve">    Capgemini SE</v>
      </c>
      <c r="B238" t="str">
        <f>$B$81</f>
        <v>CAP FP Equity</v>
      </c>
      <c r="C238" t="str">
        <f>$C$81</f>
        <v>BS047</v>
      </c>
      <c r="D238" t="str">
        <f>$D$81</f>
        <v>BS_ST_BORROW</v>
      </c>
      <c r="E238" t="str">
        <f>$E$81</f>
        <v>Dynamic</v>
      </c>
      <c r="F238" t="str">
        <f ca="1">_xll.BDH($B$81,$C$81,$B$163,$B$164,CONCATENATE("Per=",$B$161),"Dts=H","Dir=H",CONCATENATE("Points=",$B$162),"Sort=R","Days=A","Fill=B",CONCATENATE("FX=", $B$160),"cols=12;rows=1")</f>
        <v/>
      </c>
      <c r="G238">
        <v>1053.2801999999999</v>
      </c>
      <c r="R238" t="str">
        <f>""</f>
        <v/>
      </c>
      <c r="S238" t="str">
        <f>""</f>
        <v/>
      </c>
      <c r="T238" t="str">
        <f>""</f>
        <v/>
      </c>
      <c r="U238" t="str">
        <f>""</f>
        <v/>
      </c>
      <c r="V238" t="str">
        <f>""</f>
        <v/>
      </c>
      <c r="W238" t="str">
        <f>""</f>
        <v/>
      </c>
      <c r="X238" t="str">
        <f>""</f>
        <v/>
      </c>
      <c r="Y238" t="str">
        <f>""</f>
        <v/>
      </c>
      <c r="Z238" t="str">
        <f>""</f>
        <v/>
      </c>
      <c r="AA238" t="str">
        <f>""</f>
        <v/>
      </c>
      <c r="AB238" t="str">
        <f>""</f>
        <v/>
      </c>
      <c r="AC238" t="str">
        <f>""</f>
        <v/>
      </c>
    </row>
    <row r="239" spans="1:29" x14ac:dyDescent="0.25">
      <c r="A239" t="str">
        <f>$A$82</f>
        <v xml:space="preserve">    CGI Inc</v>
      </c>
      <c r="B239" t="str">
        <f>$B$82</f>
        <v>GIB US Equity</v>
      </c>
      <c r="C239" t="str">
        <f>$C$82</f>
        <v>BS047</v>
      </c>
      <c r="D239" t="str">
        <f>$D$82</f>
        <v>BS_ST_BORROW</v>
      </c>
      <c r="E239" t="str">
        <f>$E$82</f>
        <v>Dynamic</v>
      </c>
      <c r="F239">
        <f ca="1">_xll.BDH($B$82,$C$82,$B$163,$B$164,CONCATENATE("Per=",$B$161),"Dts=H","Dir=H",CONCATENATE("Points=",$B$162),"Sort=R","Days=A","Fill=B",CONCATENATE("FX=", $B$160),"cols=12;rows=1")</f>
        <v>203.6557</v>
      </c>
      <c r="G239">
        <v>212.80170000000001</v>
      </c>
      <c r="H239">
        <v>85.726900000000001</v>
      </c>
      <c r="I239">
        <v>126.6891</v>
      </c>
      <c r="J239">
        <v>125.46720000000001</v>
      </c>
      <c r="K239">
        <v>126.9378</v>
      </c>
      <c r="L239">
        <v>269.40260000000001</v>
      </c>
      <c r="M239">
        <v>227.35720000000001</v>
      </c>
      <c r="N239">
        <v>232.58250000000001</v>
      </c>
      <c r="O239">
        <v>242.72929999999999</v>
      </c>
      <c r="P239">
        <v>98.099199999999996</v>
      </c>
      <c r="Q239">
        <v>52.292400000000001</v>
      </c>
      <c r="R239" t="str">
        <f>""</f>
        <v/>
      </c>
      <c r="S239" t="str">
        <f>""</f>
        <v/>
      </c>
      <c r="T239" t="str">
        <f>""</f>
        <v/>
      </c>
      <c r="U239" t="str">
        <f>""</f>
        <v/>
      </c>
      <c r="V239" t="str">
        <f>""</f>
        <v/>
      </c>
      <c r="W239" t="str">
        <f>""</f>
        <v/>
      </c>
      <c r="X239" t="str">
        <f>""</f>
        <v/>
      </c>
      <c r="Y239" t="str">
        <f>""</f>
        <v/>
      </c>
      <c r="Z239" t="str">
        <f>""</f>
        <v/>
      </c>
      <c r="AA239" t="str">
        <f>""</f>
        <v/>
      </c>
      <c r="AB239" t="str">
        <f>""</f>
        <v/>
      </c>
      <c r="AC239" t="str">
        <f>""</f>
        <v/>
      </c>
    </row>
    <row r="240" spans="1:29" x14ac:dyDescent="0.25">
      <c r="A240" t="str">
        <f>$A$83</f>
        <v xml:space="preserve">    Cognizant Technology Solutions Corp</v>
      </c>
      <c r="B240" t="str">
        <f>$B$83</f>
        <v>CTSH US Equity</v>
      </c>
      <c r="C240" t="str">
        <f>$C$83</f>
        <v>BS047</v>
      </c>
      <c r="D240" t="str">
        <f>$D$83</f>
        <v>BS_ST_BORROW</v>
      </c>
      <c r="E240" t="str">
        <f>$E$83</f>
        <v>Dynamic</v>
      </c>
      <c r="F240">
        <f ca="1">_xll.BDH($B$83,$C$83,$B$163,$B$164,CONCATENATE("Per=",$B$161),"Dts=H","Dir=H",CONCATENATE("Points=",$B$162),"Sort=R","Days=A","Fill=B",CONCATENATE("FX=", $B$160),"cols=12;rows=1")</f>
        <v>235</v>
      </c>
      <c r="G240">
        <v>251</v>
      </c>
      <c r="H240">
        <v>243</v>
      </c>
      <c r="I240">
        <v>241</v>
      </c>
      <c r="J240">
        <v>216</v>
      </c>
      <c r="K240">
        <v>9</v>
      </c>
      <c r="L240">
        <v>100</v>
      </c>
      <c r="M240">
        <v>100</v>
      </c>
      <c r="N240">
        <v>100</v>
      </c>
      <c r="O240">
        <v>175</v>
      </c>
      <c r="P240">
        <v>100</v>
      </c>
      <c r="Q240">
        <v>244</v>
      </c>
      <c r="R240" t="str">
        <f>""</f>
        <v/>
      </c>
      <c r="S240" t="str">
        <f>""</f>
        <v/>
      </c>
      <c r="T240" t="str">
        <f>""</f>
        <v/>
      </c>
      <c r="U240" t="str">
        <f>""</f>
        <v/>
      </c>
      <c r="V240" t="str">
        <f>""</f>
        <v/>
      </c>
      <c r="W240" t="str">
        <f>""</f>
        <v/>
      </c>
      <c r="X240" t="str">
        <f>""</f>
        <v/>
      </c>
      <c r="Y240" t="str">
        <f>""</f>
        <v/>
      </c>
      <c r="Z240" t="str">
        <f>""</f>
        <v/>
      </c>
      <c r="AA240" t="str">
        <f>""</f>
        <v/>
      </c>
      <c r="AB240" t="str">
        <f>""</f>
        <v/>
      </c>
      <c r="AC240" t="str">
        <f>""</f>
        <v/>
      </c>
    </row>
    <row r="241" spans="1:29" x14ac:dyDescent="0.25">
      <c r="A241" t="str">
        <f>$A$84</f>
        <v xml:space="preserve">    Conduent Inc</v>
      </c>
      <c r="B241" t="str">
        <f>$B$84</f>
        <v>CNDT US Equity</v>
      </c>
      <c r="C241" t="str">
        <f>$C$84</f>
        <v>BS047</v>
      </c>
      <c r="D241" t="str">
        <f>$D$84</f>
        <v>BS_ST_BORROW</v>
      </c>
      <c r="E241" t="str">
        <f>$E$84</f>
        <v>Dynamic</v>
      </c>
      <c r="F241">
        <f ca="1">_xll.BDH($B$84,$C$84,$B$163,$B$164,CONCATENATE("Per=",$B$161),"Dts=H","Dir=H",CONCATENATE("Points=",$B$162),"Sort=R","Days=A","Fill=B",CONCATENATE("FX=", $B$160),"cols=12;rows=1")</f>
        <v>147</v>
      </c>
      <c r="G241">
        <v>148</v>
      </c>
      <c r="H241">
        <v>154</v>
      </c>
      <c r="I241">
        <v>158</v>
      </c>
      <c r="J241">
        <v>165</v>
      </c>
      <c r="K241">
        <v>55</v>
      </c>
      <c r="L241">
        <v>49</v>
      </c>
      <c r="M241">
        <v>43</v>
      </c>
      <c r="N241">
        <v>81</v>
      </c>
      <c r="O241">
        <v>82</v>
      </c>
      <c r="P241">
        <v>71</v>
      </c>
      <c r="Q241">
        <v>59</v>
      </c>
      <c r="R241" t="str">
        <f>""</f>
        <v/>
      </c>
      <c r="S241" t="str">
        <f>""</f>
        <v/>
      </c>
      <c r="T241" t="str">
        <f>""</f>
        <v/>
      </c>
      <c r="U241" t="str">
        <f>""</f>
        <v/>
      </c>
      <c r="V241" t="str">
        <f>""</f>
        <v/>
      </c>
      <c r="W241" t="str">
        <f>""</f>
        <v/>
      </c>
      <c r="X241" t="str">
        <f>""</f>
        <v/>
      </c>
      <c r="Y241" t="str">
        <f>""</f>
        <v/>
      </c>
      <c r="Z241" t="str">
        <f>""</f>
        <v/>
      </c>
      <c r="AA241" t="str">
        <f>""</f>
        <v/>
      </c>
      <c r="AB241" t="str">
        <f>""</f>
        <v/>
      </c>
      <c r="AC241" t="str">
        <f>""</f>
        <v/>
      </c>
    </row>
    <row r="242" spans="1:29" x14ac:dyDescent="0.25">
      <c r="A242" t="str">
        <f>$A$85</f>
        <v xml:space="preserve">    DXC Technology Co</v>
      </c>
      <c r="B242" t="str">
        <f>$B$85</f>
        <v>DXC US Equity</v>
      </c>
      <c r="C242" t="str">
        <f>$C$85</f>
        <v>BS047</v>
      </c>
      <c r="D242" t="str">
        <f>$D$85</f>
        <v>BS_ST_BORROW</v>
      </c>
      <c r="E242" t="str">
        <f>$E$85</f>
        <v>Dynamic</v>
      </c>
      <c r="F242">
        <f ca="1">_xll.BDH($B$85,$C$85,$B$163,$B$164,CONCATENATE("Per=",$B$161),"Dts=H","Dir=H",CONCATENATE("Points=",$B$162),"Sort=R","Days=A","Fill=B",CONCATENATE("FX=", $B$160),"cols=12;rows=1")</f>
        <v>1758</v>
      </c>
      <c r="G242">
        <v>2079</v>
      </c>
      <c r="H242">
        <v>1960</v>
      </c>
      <c r="I242">
        <v>2097</v>
      </c>
      <c r="J242">
        <v>1942</v>
      </c>
      <c r="K242">
        <v>1580</v>
      </c>
      <c r="L242">
        <v>1618</v>
      </c>
      <c r="M242">
        <v>2307</v>
      </c>
      <c r="N242">
        <v>1918</v>
      </c>
      <c r="O242">
        <v>2173</v>
      </c>
      <c r="P242">
        <v>2200</v>
      </c>
      <c r="Q242">
        <v>1203</v>
      </c>
      <c r="R242" t="str">
        <f>""</f>
        <v/>
      </c>
      <c r="S242" t="str">
        <f>""</f>
        <v/>
      </c>
      <c r="T242" t="str">
        <f>""</f>
        <v/>
      </c>
      <c r="U242" t="str">
        <f>""</f>
        <v/>
      </c>
      <c r="V242" t="str">
        <f>""</f>
        <v/>
      </c>
      <c r="W242" t="str">
        <f>""</f>
        <v/>
      </c>
      <c r="X242" t="str">
        <f>""</f>
        <v/>
      </c>
      <c r="Y242" t="str">
        <f>""</f>
        <v/>
      </c>
      <c r="Z242" t="str">
        <f>""</f>
        <v/>
      </c>
      <c r="AA242" t="str">
        <f>""</f>
        <v/>
      </c>
      <c r="AB242" t="str">
        <f>""</f>
        <v/>
      </c>
      <c r="AC242" t="str">
        <f>""</f>
        <v/>
      </c>
    </row>
    <row r="243" spans="1:29" x14ac:dyDescent="0.25">
      <c r="A243" t="str">
        <f>$A$86</f>
        <v xml:space="preserve">    EPAM Systems Inc</v>
      </c>
      <c r="B243" t="str">
        <f>$B$86</f>
        <v>EPAM US Equity</v>
      </c>
      <c r="C243" t="str">
        <f>$C$86</f>
        <v>BS047</v>
      </c>
      <c r="D243" t="str">
        <f>$D$86</f>
        <v>BS_ST_BORROW</v>
      </c>
      <c r="E243" t="str">
        <f>$E$86</f>
        <v>Dynamic</v>
      </c>
      <c r="F243">
        <f ca="1">_xll.BDH($B$86,$C$86,$B$163,$B$164,CONCATENATE("Per=",$B$161),"Dts=H","Dir=H",CONCATENATE("Points=",$B$162),"Sort=R","Days=A","Fill=B",CONCATENATE("FX=", $B$160),"cols=12;rows=1")</f>
        <v>60.107999999999997</v>
      </c>
      <c r="G243">
        <v>57.542000000000002</v>
      </c>
      <c r="H243">
        <v>51.423999999999999</v>
      </c>
      <c r="I243">
        <v>48.429000000000002</v>
      </c>
      <c r="J243">
        <v>39.856000000000002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tr">
        <f>""</f>
        <v/>
      </c>
      <c r="S243" t="str">
        <f>""</f>
        <v/>
      </c>
      <c r="T243" t="str">
        <f>""</f>
        <v/>
      </c>
      <c r="U243" t="str">
        <f>""</f>
        <v/>
      </c>
      <c r="V243" t="str">
        <f>""</f>
        <v/>
      </c>
      <c r="W243" t="str">
        <f>""</f>
        <v/>
      </c>
      <c r="X243" t="str">
        <f>""</f>
        <v/>
      </c>
      <c r="Y243" t="str">
        <f>""</f>
        <v/>
      </c>
      <c r="Z243" t="str">
        <f>""</f>
        <v/>
      </c>
      <c r="AA243" t="str">
        <f>""</f>
        <v/>
      </c>
      <c r="AB243" t="str">
        <f>""</f>
        <v/>
      </c>
      <c r="AC243" t="str">
        <f>""</f>
        <v/>
      </c>
    </row>
    <row r="244" spans="1:29" x14ac:dyDescent="0.25">
      <c r="A244" t="str">
        <f>$A$87</f>
        <v xml:space="preserve">    Genpact Ltd</v>
      </c>
      <c r="B244" t="str">
        <f>$B$87</f>
        <v>G US Equity</v>
      </c>
      <c r="C244" t="str">
        <f>$C$87</f>
        <v>BS047</v>
      </c>
      <c r="D244" t="str">
        <f>$D$87</f>
        <v>BS_ST_BORROW</v>
      </c>
      <c r="E244" t="str">
        <f>$E$87</f>
        <v>Dynamic</v>
      </c>
      <c r="F244">
        <f ca="1">_xll.BDH($B$87,$C$87,$B$163,$B$164,CONCATENATE("Per=",$B$161),"Dts=H","Dir=H",CONCATENATE("Points=",$B$162),"Sort=R","Days=A","Fill=B",CONCATENATE("FX=", $B$160),"cols=12;rows=1")</f>
        <v>271.25099999999998</v>
      </c>
      <c r="G244">
        <v>170.91300000000001</v>
      </c>
      <c r="H244">
        <v>337.875</v>
      </c>
      <c r="I244">
        <v>379.37900000000002</v>
      </c>
      <c r="J244">
        <v>403.05099999999999</v>
      </c>
      <c r="K244">
        <v>328.483</v>
      </c>
      <c r="L244">
        <v>363.476</v>
      </c>
      <c r="M244">
        <v>254.249</v>
      </c>
      <c r="N244">
        <v>314.23700000000002</v>
      </c>
      <c r="O244">
        <v>209.226</v>
      </c>
      <c r="P244">
        <v>199.22399999999999</v>
      </c>
      <c r="Q244">
        <v>244.21299999999999</v>
      </c>
      <c r="R244" t="str">
        <f>""</f>
        <v/>
      </c>
      <c r="S244" t="str">
        <f>""</f>
        <v/>
      </c>
      <c r="T244" t="str">
        <f>""</f>
        <v/>
      </c>
      <c r="U244" t="str">
        <f>""</f>
        <v/>
      </c>
      <c r="V244" t="str">
        <f>""</f>
        <v/>
      </c>
      <c r="W244" t="str">
        <f>""</f>
        <v/>
      </c>
      <c r="X244" t="str">
        <f>""</f>
        <v/>
      </c>
      <c r="Y244" t="str">
        <f>""</f>
        <v/>
      </c>
      <c r="Z244" t="str">
        <f>""</f>
        <v/>
      </c>
      <c r="AA244" t="str">
        <f>""</f>
        <v/>
      </c>
      <c r="AB244" t="str">
        <f>""</f>
        <v/>
      </c>
      <c r="AC244" t="str">
        <f>""</f>
        <v/>
      </c>
    </row>
    <row r="245" spans="1:29" x14ac:dyDescent="0.25">
      <c r="A245" t="str">
        <f>$A$88</f>
        <v xml:space="preserve">    HCL Technologies Ltd</v>
      </c>
      <c r="B245" t="str">
        <f>$B$88</f>
        <v>HCLT IN Equity</v>
      </c>
      <c r="C245" t="str">
        <f>$C$88</f>
        <v>BS047</v>
      </c>
      <c r="D245" t="str">
        <f>$D$88</f>
        <v>BS_ST_BORROW</v>
      </c>
      <c r="E245" t="str">
        <f>$E$88</f>
        <v>Dynamic</v>
      </c>
      <c r="F245">
        <f ca="1">_xll.BDH($B$88,$C$88,$B$163,$B$164,CONCATENATE("Per=",$B$161),"Dts=H","Dir=H",CONCATENATE("Points=",$B$162),"Sort=R","Days=A","Fill=B",CONCATENATE("FX=", $B$160),"cols=12;rows=1")</f>
        <v>391.13600000000002</v>
      </c>
      <c r="J245">
        <v>176.13</v>
      </c>
      <c r="M245">
        <v>0</v>
      </c>
      <c r="N245">
        <v>6.4474</v>
      </c>
      <c r="O245">
        <v>0</v>
      </c>
      <c r="P245">
        <v>0</v>
      </c>
      <c r="Q245">
        <v>0</v>
      </c>
      <c r="R245" t="str">
        <f>""</f>
        <v/>
      </c>
      <c r="S245" t="str">
        <f>""</f>
        <v/>
      </c>
      <c r="T245" t="str">
        <f>""</f>
        <v/>
      </c>
      <c r="U245" t="str">
        <f>""</f>
        <v/>
      </c>
      <c r="V245" t="str">
        <f>""</f>
        <v/>
      </c>
      <c r="W245" t="str">
        <f>""</f>
        <v/>
      </c>
      <c r="X245" t="str">
        <f>""</f>
        <v/>
      </c>
      <c r="Y245" t="str">
        <f>""</f>
        <v/>
      </c>
      <c r="Z245" t="str">
        <f>""</f>
        <v/>
      </c>
      <c r="AA245" t="str">
        <f>""</f>
        <v/>
      </c>
      <c r="AB245" t="str">
        <f>""</f>
        <v/>
      </c>
      <c r="AC245" t="str">
        <f>""</f>
        <v/>
      </c>
    </row>
    <row r="246" spans="1:29" x14ac:dyDescent="0.25">
      <c r="A246" t="str">
        <f>$A$89</f>
        <v xml:space="preserve">    Indra Sistemas SA</v>
      </c>
      <c r="B246" t="str">
        <f>$B$89</f>
        <v>IDR SM Equity</v>
      </c>
      <c r="C246" t="str">
        <f>$C$89</f>
        <v>BS047</v>
      </c>
      <c r="D246" t="str">
        <f>$D$89</f>
        <v>BS_ST_BORROW</v>
      </c>
      <c r="E246" t="str">
        <f>$E$89</f>
        <v>Dynamic</v>
      </c>
      <c r="F246">
        <f ca="1">_xll.BDH($B$89,$C$89,$B$163,$B$164,CONCATENATE("Per=",$B$161),"Dts=H","Dir=H",CONCATENATE("Points=",$B$162),"Sort=R","Days=A","Fill=B",CONCATENATE("FX=", $B$160),"cols=12;rows=1")</f>
        <v>195.94210000000001</v>
      </c>
      <c r="G246">
        <v>125.7165</v>
      </c>
      <c r="H246">
        <v>122.9858</v>
      </c>
      <c r="I246">
        <v>118.1109</v>
      </c>
      <c r="J246">
        <v>34.336300000000001</v>
      </c>
      <c r="K246">
        <v>48.498100000000001</v>
      </c>
      <c r="L246">
        <v>238.55160000000001</v>
      </c>
      <c r="M246">
        <v>303.16059999999999</v>
      </c>
      <c r="N246">
        <v>390.23930000000001</v>
      </c>
      <c r="O246">
        <v>325.73849999999999</v>
      </c>
      <c r="P246">
        <v>149.54400000000001</v>
      </c>
      <c r="Q246">
        <v>129.59</v>
      </c>
      <c r="R246" t="str">
        <f>""</f>
        <v/>
      </c>
      <c r="S246" t="str">
        <f>""</f>
        <v/>
      </c>
      <c r="T246" t="str">
        <f>""</f>
        <v/>
      </c>
      <c r="U246" t="str">
        <f>""</f>
        <v/>
      </c>
      <c r="V246" t="str">
        <f>""</f>
        <v/>
      </c>
      <c r="W246" t="str">
        <f>""</f>
        <v/>
      </c>
      <c r="X246" t="str">
        <f>""</f>
        <v/>
      </c>
      <c r="Y246" t="str">
        <f>""</f>
        <v/>
      </c>
      <c r="Z246" t="str">
        <f>""</f>
        <v/>
      </c>
      <c r="AA246" t="str">
        <f>""</f>
        <v/>
      </c>
      <c r="AB246" t="str">
        <f>""</f>
        <v/>
      </c>
      <c r="AC246" t="str">
        <f>""</f>
        <v/>
      </c>
    </row>
    <row r="247" spans="1:29" x14ac:dyDescent="0.25">
      <c r="A247" t="str">
        <f>$A$90</f>
        <v xml:space="preserve">    Infosys Ltd</v>
      </c>
      <c r="B247" t="str">
        <f>$B$90</f>
        <v>INFY US Equity</v>
      </c>
      <c r="C247" t="str">
        <f>$C$90</f>
        <v>BS047</v>
      </c>
      <c r="D247" t="str">
        <f>$D$90</f>
        <v>BS_ST_BORROW</v>
      </c>
      <c r="E247" t="str">
        <f>$E$90</f>
        <v>Dynamic</v>
      </c>
      <c r="F247">
        <f ca="1">_xll.BDH($B$90,$C$90,$B$163,$B$164,CONCATENATE("Per=",$B$161),"Dts=H","Dir=H",CONCATENATE("Points=",$B$162),"Sort=R","Days=A","Fill=B",CONCATENATE("FX=", $B$160),"cols=12;rows=1")</f>
        <v>82.124099999999999</v>
      </c>
      <c r="G247">
        <v>79.747799999999998</v>
      </c>
      <c r="H247">
        <v>72.875500000000002</v>
      </c>
      <c r="I247">
        <v>71.670100000000005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tr">
        <f>""</f>
        <v/>
      </c>
      <c r="S247" t="str">
        <f>""</f>
        <v/>
      </c>
      <c r="T247" t="str">
        <f>""</f>
        <v/>
      </c>
      <c r="U247" t="str">
        <f>""</f>
        <v/>
      </c>
      <c r="V247" t="str">
        <f>""</f>
        <v/>
      </c>
      <c r="W247" t="str">
        <f>""</f>
        <v/>
      </c>
      <c r="X247" t="str">
        <f>""</f>
        <v/>
      </c>
      <c r="Y247" t="str">
        <f>""</f>
        <v/>
      </c>
      <c r="Z247" t="str">
        <f>""</f>
        <v/>
      </c>
      <c r="AA247" t="str">
        <f>""</f>
        <v/>
      </c>
      <c r="AB247" t="str">
        <f>""</f>
        <v/>
      </c>
      <c r="AC247" t="str">
        <f>""</f>
        <v/>
      </c>
    </row>
    <row r="248" spans="1:29" x14ac:dyDescent="0.25">
      <c r="A248" t="str">
        <f>$A$91</f>
        <v xml:space="preserve">    International Business Machines Corp</v>
      </c>
      <c r="B248" t="str">
        <f>$B$91</f>
        <v>IBM US Equity</v>
      </c>
      <c r="C248" t="str">
        <f>$C$91</f>
        <v>BS047</v>
      </c>
      <c r="D248" t="str">
        <f>$D$91</f>
        <v>BS_ST_BORROW</v>
      </c>
      <c r="E248" t="str">
        <f>$E$91</f>
        <v>Dynamic</v>
      </c>
      <c r="F248">
        <f ca="1">_xll.BDH($B$91,$C$91,$B$163,$B$164,CONCATENATE("Per=",$B$161),"Dts=H","Dir=H",CONCATENATE("Points=",$B$162),"Sort=R","Days=A","Fill=B",CONCATENATE("FX=", $B$160),"cols=12;rows=1")</f>
        <v>12969</v>
      </c>
      <c r="G248">
        <v>10177</v>
      </c>
      <c r="H248">
        <v>9907</v>
      </c>
      <c r="I248">
        <v>15913</v>
      </c>
      <c r="J248">
        <v>11563</v>
      </c>
      <c r="K248">
        <v>10207</v>
      </c>
      <c r="L248">
        <v>10932</v>
      </c>
      <c r="M248">
        <v>7646</v>
      </c>
      <c r="N248">
        <v>5977</v>
      </c>
      <c r="O248">
        <v>6987</v>
      </c>
      <c r="P248">
        <v>4299</v>
      </c>
      <c r="Q248">
        <v>8061</v>
      </c>
      <c r="R248" t="str">
        <f>""</f>
        <v/>
      </c>
      <c r="S248" t="str">
        <f>""</f>
        <v/>
      </c>
      <c r="T248" t="str">
        <f>""</f>
        <v/>
      </c>
      <c r="U248" t="str">
        <f>""</f>
        <v/>
      </c>
      <c r="V248" t="str">
        <f>""</f>
        <v/>
      </c>
      <c r="W248" t="str">
        <f>""</f>
        <v/>
      </c>
      <c r="X248" t="str">
        <f>""</f>
        <v/>
      </c>
      <c r="Y248" t="str">
        <f>""</f>
        <v/>
      </c>
      <c r="Z248" t="str">
        <f>""</f>
        <v/>
      </c>
      <c r="AA248" t="str">
        <f>""</f>
        <v/>
      </c>
      <c r="AB248" t="str">
        <f>""</f>
        <v/>
      </c>
      <c r="AC248" t="str">
        <f>""</f>
        <v/>
      </c>
    </row>
    <row r="249" spans="1:29" x14ac:dyDescent="0.25">
      <c r="A249" t="str">
        <f>$A$92</f>
        <v xml:space="preserve">    Tata Consultancy Services Ltd</v>
      </c>
      <c r="B249" t="str">
        <f>$B$92</f>
        <v>TCS IN Equity</v>
      </c>
      <c r="C249" t="str">
        <f>$C$92</f>
        <v>BS047</v>
      </c>
      <c r="D249" t="str">
        <f>$D$92</f>
        <v>BS_ST_BORROW</v>
      </c>
      <c r="E249" t="str">
        <f>$E$92</f>
        <v>Dynamic</v>
      </c>
      <c r="F249">
        <f ca="1">_xll.BDH($B$92,$C$92,$B$163,$B$164,CONCATENATE("Per=",$B$161),"Dts=H","Dir=H",CONCATENATE("Points=",$B$162),"Sort=R","Days=A","Fill=B",CONCATENATE("FX=", $B$160),"cols=12;rows=1")</f>
        <v>168.22839999999999</v>
      </c>
      <c r="G249">
        <v>167.35810000000001</v>
      </c>
      <c r="H249">
        <v>160.4675</v>
      </c>
      <c r="I249">
        <v>156.39760000000001</v>
      </c>
      <c r="J249">
        <v>2.5964999999999998</v>
      </c>
      <c r="K249">
        <v>2.4394</v>
      </c>
      <c r="L249">
        <v>2.3431999999999999</v>
      </c>
      <c r="M249">
        <v>2.3365999999999998</v>
      </c>
      <c r="N249">
        <v>29.627400000000002</v>
      </c>
      <c r="O249">
        <v>2.9756999999999998</v>
      </c>
      <c r="P249">
        <v>3.0604</v>
      </c>
      <c r="Q249">
        <v>3.2498</v>
      </c>
      <c r="R249" t="str">
        <f>""</f>
        <v/>
      </c>
      <c r="S249" t="str">
        <f>""</f>
        <v/>
      </c>
      <c r="T249" t="str">
        <f>""</f>
        <v/>
      </c>
      <c r="U249" t="str">
        <f>""</f>
        <v/>
      </c>
      <c r="V249" t="str">
        <f>""</f>
        <v/>
      </c>
      <c r="W249" t="str">
        <f>""</f>
        <v/>
      </c>
      <c r="X249" t="str">
        <f>""</f>
        <v/>
      </c>
      <c r="Y249" t="str">
        <f>""</f>
        <v/>
      </c>
      <c r="Z249" t="str">
        <f>""</f>
        <v/>
      </c>
      <c r="AA249" t="str">
        <f>""</f>
        <v/>
      </c>
      <c r="AB249" t="str">
        <f>""</f>
        <v/>
      </c>
      <c r="AC249" t="str">
        <f>""</f>
        <v/>
      </c>
    </row>
    <row r="250" spans="1:29" x14ac:dyDescent="0.25">
      <c r="A250" t="str">
        <f>$A$93</f>
        <v xml:space="preserve">    Tech Mahindra Ltd</v>
      </c>
      <c r="B250" t="str">
        <f>$B$93</f>
        <v>TECHM IN Equity</v>
      </c>
      <c r="C250" t="str">
        <f>$C$93</f>
        <v>BS047</v>
      </c>
      <c r="D250" t="str">
        <f>$D$93</f>
        <v>BS_ST_BORROW</v>
      </c>
      <c r="E250" t="str">
        <f>$E$93</f>
        <v>Dynamic</v>
      </c>
      <c r="F250">
        <f ca="1">_xll.BDH($B$93,$C$93,$B$163,$B$164,CONCATENATE("Per=",$B$161),"Dts=H","Dir=H",CONCATENATE("Points=",$B$162),"Sort=R","Days=A","Fill=B",CONCATENATE("FX=", $B$160),"cols=12;rows=1")</f>
        <v>298.44630000000001</v>
      </c>
      <c r="G250">
        <v>314.45639999999997</v>
      </c>
      <c r="H250">
        <v>327.4726</v>
      </c>
      <c r="I250">
        <v>233.01499999999999</v>
      </c>
      <c r="J250">
        <v>257.76330000000002</v>
      </c>
      <c r="K250">
        <v>200.40180000000001</v>
      </c>
      <c r="L250">
        <v>153.9804</v>
      </c>
      <c r="M250">
        <v>148.17089999999999</v>
      </c>
      <c r="N250">
        <v>249.5299</v>
      </c>
      <c r="O250">
        <v>183.97380000000001</v>
      </c>
      <c r="P250">
        <v>155.5608</v>
      </c>
      <c r="Q250">
        <v>154.61179999999999</v>
      </c>
      <c r="R250" t="str">
        <f>""</f>
        <v/>
      </c>
      <c r="S250" t="str">
        <f>""</f>
        <v/>
      </c>
      <c r="T250" t="str">
        <f>""</f>
        <v/>
      </c>
      <c r="U250" t="str">
        <f>""</f>
        <v/>
      </c>
      <c r="V250" t="str">
        <f>""</f>
        <v/>
      </c>
      <c r="W250" t="str">
        <f>""</f>
        <v/>
      </c>
      <c r="X250" t="str">
        <f>""</f>
        <v/>
      </c>
      <c r="Y250" t="str">
        <f>""</f>
        <v/>
      </c>
      <c r="Z250" t="str">
        <f>""</f>
        <v/>
      </c>
      <c r="AA250" t="str">
        <f>""</f>
        <v/>
      </c>
      <c r="AB250" t="str">
        <f>""</f>
        <v/>
      </c>
      <c r="AC250" t="str">
        <f>""</f>
        <v/>
      </c>
    </row>
    <row r="251" spans="1:29" x14ac:dyDescent="0.25">
      <c r="A251" t="str">
        <f>$A$94</f>
        <v xml:space="preserve">    Wipro Ltd</v>
      </c>
      <c r="B251" t="str">
        <f>$B$94</f>
        <v>WIT US Equity</v>
      </c>
      <c r="C251" t="str">
        <f>$C$94</f>
        <v>BS047</v>
      </c>
      <c r="D251" t="str">
        <f>$D$94</f>
        <v>BS_ST_BORROW</v>
      </c>
      <c r="E251" t="str">
        <f>$E$94</f>
        <v>Dynamic</v>
      </c>
      <c r="F251">
        <f ca="1">_xll.BDH($B$94,$C$94,$B$163,$B$164,CONCATENATE("Per=",$B$161),"Dts=H","Dir=H",CONCATENATE("Points=",$B$162),"Sort=R","Days=A","Fill=B",CONCATENATE("FX=", $B$160),"cols=12;rows=1")</f>
        <v>1058.2206000000001</v>
      </c>
      <c r="G251">
        <v>1105.9256</v>
      </c>
      <c r="H251">
        <v>1109.2637</v>
      </c>
      <c r="I251">
        <v>1271.1583000000001</v>
      </c>
      <c r="J251">
        <v>1025.6148000000001</v>
      </c>
      <c r="K251">
        <v>772.89419999999996</v>
      </c>
      <c r="L251">
        <v>864.59590000000003</v>
      </c>
      <c r="M251">
        <v>1032.0263</v>
      </c>
      <c r="N251">
        <v>1427.5011999999999</v>
      </c>
      <c r="O251">
        <v>1600.0093999999999</v>
      </c>
      <c r="P251">
        <v>1747.6664000000001</v>
      </c>
      <c r="Q251">
        <v>1759.7056</v>
      </c>
      <c r="R251" t="str">
        <f>""</f>
        <v/>
      </c>
      <c r="S251" t="str">
        <f>""</f>
        <v/>
      </c>
      <c r="T251" t="str">
        <f>""</f>
        <v/>
      </c>
      <c r="U251" t="str">
        <f>""</f>
        <v/>
      </c>
      <c r="V251" t="str">
        <f>""</f>
        <v/>
      </c>
      <c r="W251" t="str">
        <f>""</f>
        <v/>
      </c>
      <c r="X251" t="str">
        <f>""</f>
        <v/>
      </c>
      <c r="Y251" t="str">
        <f>""</f>
        <v/>
      </c>
      <c r="Z251" t="str">
        <f>""</f>
        <v/>
      </c>
      <c r="AA251" t="str">
        <f>""</f>
        <v/>
      </c>
      <c r="AB251" t="str">
        <f>""</f>
        <v/>
      </c>
      <c r="AC251" t="str">
        <f>""</f>
        <v/>
      </c>
    </row>
    <row r="252" spans="1:29" x14ac:dyDescent="0.25">
      <c r="A252" t="str">
        <f>$A$96</f>
        <v xml:space="preserve">    Accenture PLC</v>
      </c>
      <c r="B252" t="str">
        <f>$B$96</f>
        <v>ACN US Equity</v>
      </c>
      <c r="C252" t="str">
        <f>$C$96</f>
        <v>BS051</v>
      </c>
      <c r="D252" t="str">
        <f>$D$96</f>
        <v>BS_LT_BORROW</v>
      </c>
      <c r="E252" t="str">
        <f>$E$96</f>
        <v>Dynamic</v>
      </c>
      <c r="F252">
        <f ca="1">_xll.BDH($B$96,$C$96,$B$163,$B$164,CONCATENATE("Per=",$B$161),"Dts=H","Dir=H",CONCATENATE("Points=",$B$162),"Sort=R","Days=A","Fill=B",CONCATENATE("FX=", $B$160),"cols=12;rows=1")</f>
        <v>2665.7310000000002</v>
      </c>
      <c r="G252">
        <v>2667.5859999999998</v>
      </c>
      <c r="H252">
        <v>16.247</v>
      </c>
      <c r="I252">
        <v>19.855</v>
      </c>
      <c r="J252">
        <v>19.753</v>
      </c>
      <c r="K252">
        <v>19.896000000000001</v>
      </c>
      <c r="L252">
        <v>19.675999999999998</v>
      </c>
      <c r="M252">
        <v>25.957999999999998</v>
      </c>
      <c r="N252">
        <v>25.923000000000002</v>
      </c>
      <c r="O252">
        <v>22.225999999999999</v>
      </c>
      <c r="P252">
        <v>22.163</v>
      </c>
      <c r="Q252">
        <v>24.731999999999999</v>
      </c>
      <c r="R252" t="str">
        <f>""</f>
        <v/>
      </c>
      <c r="S252" t="str">
        <f>""</f>
        <v/>
      </c>
      <c r="T252" t="str">
        <f>""</f>
        <v/>
      </c>
      <c r="U252" t="str">
        <f>""</f>
        <v/>
      </c>
      <c r="V252" t="str">
        <f>""</f>
        <v/>
      </c>
      <c r="W252" t="str">
        <f>""</f>
        <v/>
      </c>
      <c r="X252" t="str">
        <f>""</f>
        <v/>
      </c>
      <c r="Y252" t="str">
        <f>""</f>
        <v/>
      </c>
      <c r="Z252" t="str">
        <f>""</f>
        <v/>
      </c>
      <c r="AA252" t="str">
        <f>""</f>
        <v/>
      </c>
      <c r="AB252" t="str">
        <f>""</f>
        <v/>
      </c>
      <c r="AC252" t="str">
        <f>""</f>
        <v/>
      </c>
    </row>
    <row r="253" spans="1:29" x14ac:dyDescent="0.25">
      <c r="A253" t="str">
        <f>$A$97</f>
        <v xml:space="preserve">    Amdocs Ltd</v>
      </c>
      <c r="B253" t="str">
        <f>$B$97</f>
        <v>DOX US Equity</v>
      </c>
      <c r="C253" t="str">
        <f>$C$97</f>
        <v>BS051</v>
      </c>
      <c r="D253" t="str">
        <f>$D$97</f>
        <v>BS_LT_BORROW</v>
      </c>
      <c r="E253" t="str">
        <f>$E$97</f>
        <v>Dynamic</v>
      </c>
      <c r="F253">
        <f ca="1">_xll.BDH($B$97,$C$97,$B$163,$B$164,CONCATENATE("Per=",$B$161),"Dts=H","Dir=H",CONCATENATE("Points=",$B$162),"Sort=R","Days=A","Fill=B",CONCATENATE("FX=", $B$160),"cols=12;rows=1")</f>
        <v>218.39099999999999</v>
      </c>
      <c r="G253">
        <v>223.66399999999999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tr">
        <f>""</f>
        <v/>
      </c>
      <c r="S253" t="str">
        <f>""</f>
        <v/>
      </c>
      <c r="T253" t="str">
        <f>""</f>
        <v/>
      </c>
      <c r="U253" t="str">
        <f>""</f>
        <v/>
      </c>
      <c r="V253" t="str">
        <f>""</f>
        <v/>
      </c>
      <c r="W253" t="str">
        <f>""</f>
        <v/>
      </c>
      <c r="X253" t="str">
        <f>""</f>
        <v/>
      </c>
      <c r="Y253" t="str">
        <f>""</f>
        <v/>
      </c>
      <c r="Z253" t="str">
        <f>""</f>
        <v/>
      </c>
      <c r="AA253" t="str">
        <f>""</f>
        <v/>
      </c>
      <c r="AB253" t="str">
        <f>""</f>
        <v/>
      </c>
      <c r="AC253" t="str">
        <f>""</f>
        <v/>
      </c>
    </row>
    <row r="254" spans="1:29" x14ac:dyDescent="0.25">
      <c r="A254" t="str">
        <f>$A$98</f>
        <v xml:space="preserve">    Atos SE</v>
      </c>
      <c r="B254" t="str">
        <f>$B$98</f>
        <v>ATO FP Equity</v>
      </c>
      <c r="C254" t="str">
        <f>$C$98</f>
        <v>BS051</v>
      </c>
      <c r="D254" t="str">
        <f>$D$98</f>
        <v>BS_LT_BORROW</v>
      </c>
      <c r="E254" t="str">
        <f>$E$98</f>
        <v>Dynamic</v>
      </c>
      <c r="F254" t="str">
        <f ca="1">_xll.BDH($B$98,$C$98,$B$163,$B$164,CONCATENATE("Per=",$B$161),"Dts=H","Dir=H",CONCATENATE("Points=",$B$162),"Sort=R","Days=A","Fill=B",CONCATENATE("FX=", $B$160) )</f>
        <v/>
      </c>
      <c r="R254" t="str">
        <f>""</f>
        <v/>
      </c>
      <c r="S254" t="str">
        <f>""</f>
        <v/>
      </c>
      <c r="T254" t="str">
        <f>""</f>
        <v/>
      </c>
      <c r="U254" t="str">
        <f>""</f>
        <v/>
      </c>
      <c r="V254" t="str">
        <f>""</f>
        <v/>
      </c>
      <c r="W254" t="str">
        <f>""</f>
        <v/>
      </c>
      <c r="X254" t="str">
        <f>""</f>
        <v/>
      </c>
      <c r="Y254" t="str">
        <f>""</f>
        <v/>
      </c>
      <c r="Z254" t="str">
        <f>""</f>
        <v/>
      </c>
      <c r="AA254" t="str">
        <f>""</f>
        <v/>
      </c>
      <c r="AB254" t="str">
        <f>""</f>
        <v/>
      </c>
      <c r="AC254" t="str">
        <f>""</f>
        <v/>
      </c>
    </row>
    <row r="255" spans="1:29" x14ac:dyDescent="0.25">
      <c r="A255" t="str">
        <f>$A$99</f>
        <v xml:space="preserve">    Capgemini SE</v>
      </c>
      <c r="B255" t="str">
        <f>$B$99</f>
        <v>CAP FP Equity</v>
      </c>
      <c r="C255" t="str">
        <f>$C$99</f>
        <v>BS051</v>
      </c>
      <c r="D255" t="str">
        <f>$D$99</f>
        <v>BS_LT_BORROW</v>
      </c>
      <c r="E255" t="str">
        <f>$E$99</f>
        <v>Dynamic</v>
      </c>
      <c r="F255" t="str">
        <f ca="1">_xll.BDH($B$99,$C$99,$B$163,$B$164,CONCATENATE("Per=",$B$161),"Dts=H","Dir=H",CONCATENATE("Points=",$B$162),"Sort=R","Days=A","Fill=B",CONCATENATE("FX=", $B$160),"cols=12;rows=1")</f>
        <v/>
      </c>
      <c r="G255">
        <v>3543.8724000000002</v>
      </c>
      <c r="R255" t="str">
        <f>""</f>
        <v/>
      </c>
      <c r="S255" t="str">
        <f>""</f>
        <v/>
      </c>
      <c r="T255" t="str">
        <f>""</f>
        <v/>
      </c>
      <c r="U255" t="str">
        <f>""</f>
        <v/>
      </c>
      <c r="V255" t="str">
        <f>""</f>
        <v/>
      </c>
      <c r="W255" t="str">
        <f>""</f>
        <v/>
      </c>
      <c r="X255" t="str">
        <f>""</f>
        <v/>
      </c>
      <c r="Y255" t="str">
        <f>""</f>
        <v/>
      </c>
      <c r="Z255" t="str">
        <f>""</f>
        <v/>
      </c>
      <c r="AA255" t="str">
        <f>""</f>
        <v/>
      </c>
      <c r="AB255" t="str">
        <f>""</f>
        <v/>
      </c>
      <c r="AC255" t="str">
        <f>""</f>
        <v/>
      </c>
    </row>
    <row r="256" spans="1:29" x14ac:dyDescent="0.25">
      <c r="A256" t="str">
        <f>$A$100</f>
        <v xml:space="preserve">    CGI Inc</v>
      </c>
      <c r="B256" t="str">
        <f>$B$100</f>
        <v>GIB US Equity</v>
      </c>
      <c r="C256" t="str">
        <f>$C$100</f>
        <v>BS051</v>
      </c>
      <c r="D256" t="str">
        <f>$D$100</f>
        <v>BS_LT_BORROW</v>
      </c>
      <c r="E256" t="str">
        <f>$E$100</f>
        <v>Dynamic</v>
      </c>
      <c r="F256">
        <f ca="1">_xll.BDH($B$100,$C$100,$B$163,$B$164,CONCATENATE("Per=",$B$161),"Dts=H","Dir=H",CONCATENATE("Points=",$B$162),"Sort=R","Days=A","Fill=B",CONCATENATE("FX=", $B$160),"cols=12;rows=1")</f>
        <v>2733.1714000000002</v>
      </c>
      <c r="G256">
        <v>2102.9735000000001</v>
      </c>
      <c r="H256">
        <v>1674.8705</v>
      </c>
      <c r="I256">
        <v>1807.4131</v>
      </c>
      <c r="J256">
        <v>1473.9755</v>
      </c>
      <c r="K256">
        <v>1477.8074999999999</v>
      </c>
      <c r="L256">
        <v>1122.4305999999999</v>
      </c>
      <c r="M256">
        <v>1174.4123</v>
      </c>
      <c r="N256">
        <v>1148.2886000000001</v>
      </c>
      <c r="O256">
        <v>1212.4411</v>
      </c>
      <c r="P256">
        <v>1393.4123999999999</v>
      </c>
      <c r="Q256">
        <v>1278.9023</v>
      </c>
      <c r="R256" t="str">
        <f>""</f>
        <v/>
      </c>
      <c r="S256" t="str">
        <f>""</f>
        <v/>
      </c>
      <c r="T256" t="str">
        <f>""</f>
        <v/>
      </c>
      <c r="U256" t="str">
        <f>""</f>
        <v/>
      </c>
      <c r="V256" t="str">
        <f>""</f>
        <v/>
      </c>
      <c r="W256" t="str">
        <f>""</f>
        <v/>
      </c>
      <c r="X256" t="str">
        <f>""</f>
        <v/>
      </c>
      <c r="Y256" t="str">
        <f>""</f>
        <v/>
      </c>
      <c r="Z256" t="str">
        <f>""</f>
        <v/>
      </c>
      <c r="AA256" t="str">
        <f>""</f>
        <v/>
      </c>
      <c r="AB256" t="str">
        <f>""</f>
        <v/>
      </c>
      <c r="AC256" t="str">
        <f>""</f>
        <v/>
      </c>
    </row>
    <row r="257" spans="1:29" x14ac:dyDescent="0.25">
      <c r="A257" t="str">
        <f>$A$101</f>
        <v xml:space="preserve">    Cognizant Technology Solutions Corp</v>
      </c>
      <c r="B257" t="str">
        <f>$B$101</f>
        <v>CTSH US Equity</v>
      </c>
      <c r="C257" t="str">
        <f>$C$101</f>
        <v>BS051</v>
      </c>
      <c r="D257" t="str">
        <f>$D$101</f>
        <v>BS_LT_BORROW</v>
      </c>
      <c r="E257" t="str">
        <f>$E$101</f>
        <v>Dynamic</v>
      </c>
      <c r="F257">
        <f ca="1">_xll.BDH($B$101,$C$101,$B$163,$B$164,CONCATENATE("Per=",$B$161),"Dts=H","Dir=H",CONCATENATE("Points=",$B$162),"Sort=R","Days=A","Fill=B",CONCATENATE("FX=", $B$160),"cols=12;rows=1")</f>
        <v>3164</v>
      </c>
      <c r="G257">
        <v>1460</v>
      </c>
      <c r="H257">
        <v>1457</v>
      </c>
      <c r="I257">
        <v>1413</v>
      </c>
      <c r="J257">
        <v>1395</v>
      </c>
      <c r="K257">
        <v>736</v>
      </c>
      <c r="L257">
        <v>624</v>
      </c>
      <c r="M257">
        <v>649</v>
      </c>
      <c r="N257">
        <v>673</v>
      </c>
      <c r="O257">
        <v>698</v>
      </c>
      <c r="P257">
        <v>723</v>
      </c>
      <c r="Q257">
        <v>747</v>
      </c>
      <c r="R257" t="str">
        <f>""</f>
        <v/>
      </c>
      <c r="S257" t="str">
        <f>""</f>
        <v/>
      </c>
      <c r="T257" t="str">
        <f>""</f>
        <v/>
      </c>
      <c r="U257" t="str">
        <f>""</f>
        <v/>
      </c>
      <c r="V257" t="str">
        <f>""</f>
        <v/>
      </c>
      <c r="W257" t="str">
        <f>""</f>
        <v/>
      </c>
      <c r="X257" t="str">
        <f>""</f>
        <v/>
      </c>
      <c r="Y257" t="str">
        <f>""</f>
        <v/>
      </c>
      <c r="Z257" t="str">
        <f>""</f>
        <v/>
      </c>
      <c r="AA257" t="str">
        <f>""</f>
        <v/>
      </c>
      <c r="AB257" t="str">
        <f>""</f>
        <v/>
      </c>
      <c r="AC257" t="str">
        <f>""</f>
        <v/>
      </c>
    </row>
    <row r="258" spans="1:29" x14ac:dyDescent="0.25">
      <c r="A258" t="str">
        <f>$A$102</f>
        <v xml:space="preserve">    Conduent Inc</v>
      </c>
      <c r="B258" t="str">
        <f>$B$102</f>
        <v>CNDT US Equity</v>
      </c>
      <c r="C258" t="str">
        <f>$C$102</f>
        <v>BS051</v>
      </c>
      <c r="D258" t="str">
        <f>$D$102</f>
        <v>BS_LT_BORROW</v>
      </c>
      <c r="E258" t="str">
        <f>$E$102</f>
        <v>Dynamic</v>
      </c>
      <c r="F258">
        <f ca="1">_xll.BDH($B$102,$C$102,$B$163,$B$164,CONCATENATE("Per=",$B$161),"Dts=H","Dir=H",CONCATENATE("Points=",$B$162),"Sort=R","Days=A","Fill=B",CONCATENATE("FX=", $B$160),"cols=12;rows=1")</f>
        <v>1820</v>
      </c>
      <c r="G258">
        <v>1693</v>
      </c>
      <c r="H258">
        <v>1713</v>
      </c>
      <c r="I258">
        <v>1752</v>
      </c>
      <c r="J258">
        <v>1778</v>
      </c>
      <c r="K258">
        <v>1512</v>
      </c>
      <c r="L258">
        <v>1528</v>
      </c>
      <c r="M258">
        <v>2001</v>
      </c>
      <c r="N258">
        <v>1972</v>
      </c>
      <c r="O258">
        <v>1979</v>
      </c>
      <c r="P258">
        <v>1991</v>
      </c>
      <c r="Q258">
        <v>2071</v>
      </c>
      <c r="R258" t="str">
        <f>""</f>
        <v/>
      </c>
      <c r="S258" t="str">
        <f>""</f>
        <v/>
      </c>
      <c r="T258" t="str">
        <f>""</f>
        <v/>
      </c>
      <c r="U258" t="str">
        <f>""</f>
        <v/>
      </c>
      <c r="V258" t="str">
        <f>""</f>
        <v/>
      </c>
      <c r="W258" t="str">
        <f>""</f>
        <v/>
      </c>
      <c r="X258" t="str">
        <f>""</f>
        <v/>
      </c>
      <c r="Y258" t="str">
        <f>""</f>
        <v/>
      </c>
      <c r="Z258" t="str">
        <f>""</f>
        <v/>
      </c>
      <c r="AA258" t="str">
        <f>""</f>
        <v/>
      </c>
      <c r="AB258" t="str">
        <f>""</f>
        <v/>
      </c>
      <c r="AC258" t="str">
        <f>""</f>
        <v/>
      </c>
    </row>
    <row r="259" spans="1:29" x14ac:dyDescent="0.25">
      <c r="A259" t="str">
        <f>$A$103</f>
        <v xml:space="preserve">    DXC Technology Co</v>
      </c>
      <c r="B259" t="str">
        <f>$B$103</f>
        <v>DXC US Equity</v>
      </c>
      <c r="C259" t="str">
        <f>$C$103</f>
        <v>BS051</v>
      </c>
      <c r="D259" t="str">
        <f>$D$103</f>
        <v>BS_LT_BORROW</v>
      </c>
      <c r="E259" t="str">
        <f>$E$103</f>
        <v>Dynamic</v>
      </c>
      <c r="F259">
        <f ca="1">_xll.BDH($B$103,$C$103,$B$163,$B$164,CONCATENATE("Per=",$B$161),"Dts=H","Dir=H",CONCATENATE("Points=",$B$162),"Sort=R","Days=A","Fill=B",CONCATENATE("FX=", $B$160),"cols=12;rows=1")</f>
        <v>9735</v>
      </c>
      <c r="G259">
        <v>8412</v>
      </c>
      <c r="H259">
        <v>8837</v>
      </c>
      <c r="I259">
        <v>9022</v>
      </c>
      <c r="J259">
        <v>5470</v>
      </c>
      <c r="K259">
        <v>5980</v>
      </c>
      <c r="L259">
        <v>5409</v>
      </c>
      <c r="M259">
        <v>4747</v>
      </c>
      <c r="N259">
        <v>6092</v>
      </c>
      <c r="O259">
        <v>6367</v>
      </c>
      <c r="P259">
        <v>6325</v>
      </c>
      <c r="Q259">
        <v>6249</v>
      </c>
      <c r="R259" t="str">
        <f>""</f>
        <v/>
      </c>
      <c r="S259" t="str">
        <f>""</f>
        <v/>
      </c>
      <c r="T259" t="str">
        <f>""</f>
        <v/>
      </c>
      <c r="U259" t="str">
        <f>""</f>
        <v/>
      </c>
      <c r="V259" t="str">
        <f>""</f>
        <v/>
      </c>
      <c r="W259" t="str">
        <f>""</f>
        <v/>
      </c>
      <c r="X259" t="str">
        <f>""</f>
        <v/>
      </c>
      <c r="Y259" t="str">
        <f>""</f>
        <v/>
      </c>
      <c r="Z259" t="str">
        <f>""</f>
        <v/>
      </c>
      <c r="AA259" t="str">
        <f>""</f>
        <v/>
      </c>
      <c r="AB259" t="str">
        <f>""</f>
        <v/>
      </c>
      <c r="AC259" t="str">
        <f>""</f>
        <v/>
      </c>
    </row>
    <row r="260" spans="1:29" x14ac:dyDescent="0.25">
      <c r="A260" t="str">
        <f>$A$104</f>
        <v xml:space="preserve">    EPAM Systems Inc</v>
      </c>
      <c r="B260" t="str">
        <f>$B$104</f>
        <v>EPAM US Equity</v>
      </c>
      <c r="C260" t="str">
        <f>$C$104</f>
        <v>BS051</v>
      </c>
      <c r="D260" t="str">
        <f>$D$104</f>
        <v>BS_LT_BORROW</v>
      </c>
      <c r="E260" t="str">
        <f>$E$104</f>
        <v>Dynamic</v>
      </c>
      <c r="F260">
        <f ca="1">_xll.BDH($B$104,$C$104,$B$163,$B$164,CONCATENATE("Per=",$B$161),"Dts=H","Dir=H",CONCATENATE("Points=",$B$162),"Sort=R","Days=A","Fill=B",CONCATENATE("FX=", $B$160),"cols=12;rows=1")</f>
        <v>214.358</v>
      </c>
      <c r="G260">
        <v>205.922</v>
      </c>
      <c r="H260">
        <v>178.98</v>
      </c>
      <c r="I260">
        <v>183.137</v>
      </c>
      <c r="J260">
        <v>152.935</v>
      </c>
      <c r="K260">
        <v>25.030999999999999</v>
      </c>
      <c r="L260">
        <v>25.027999999999999</v>
      </c>
      <c r="M260">
        <v>25.02</v>
      </c>
      <c r="N260">
        <v>25.024999999999999</v>
      </c>
      <c r="O260">
        <v>25.033000000000001</v>
      </c>
      <c r="P260">
        <v>25.041</v>
      </c>
      <c r="Q260">
        <v>25.033000000000001</v>
      </c>
      <c r="R260" t="str">
        <f>""</f>
        <v/>
      </c>
      <c r="S260" t="str">
        <f>""</f>
        <v/>
      </c>
      <c r="T260" t="str">
        <f>""</f>
        <v/>
      </c>
      <c r="U260" t="str">
        <f>""</f>
        <v/>
      </c>
      <c r="V260" t="str">
        <f>""</f>
        <v/>
      </c>
      <c r="W260" t="str">
        <f>""</f>
        <v/>
      </c>
      <c r="X260" t="str">
        <f>""</f>
        <v/>
      </c>
      <c r="Y260" t="str">
        <f>""</f>
        <v/>
      </c>
      <c r="Z260" t="str">
        <f>""</f>
        <v/>
      </c>
      <c r="AA260" t="str">
        <f>""</f>
        <v/>
      </c>
      <c r="AB260" t="str">
        <f>""</f>
        <v/>
      </c>
      <c r="AC260" t="str">
        <f>""</f>
        <v/>
      </c>
    </row>
    <row r="261" spans="1:29" x14ac:dyDescent="0.25">
      <c r="A261" t="str">
        <f>$A$105</f>
        <v xml:space="preserve">    Genpact Ltd</v>
      </c>
      <c r="B261" t="str">
        <f>$B$105</f>
        <v>G US Equity</v>
      </c>
      <c r="C261" t="str">
        <f>$C$105</f>
        <v>BS051</v>
      </c>
      <c r="D261" t="str">
        <f>$D$105</f>
        <v>BS_LT_BORROW</v>
      </c>
      <c r="E261" t="str">
        <f>$E$105</f>
        <v>Dynamic</v>
      </c>
      <c r="F261">
        <f ca="1">_xll.BDH($B$105,$C$105,$B$163,$B$164,CONCATENATE("Per=",$B$161),"Dts=H","Dir=H",CONCATENATE("Points=",$B$162),"Sort=R","Days=A","Fill=B",CONCATENATE("FX=", $B$160),"cols=12;rows=1")</f>
        <v>1668.386</v>
      </c>
      <c r="G261">
        <v>1662.6210000000001</v>
      </c>
      <c r="H261">
        <v>1250.319</v>
      </c>
      <c r="I261">
        <v>1265.2629999999999</v>
      </c>
      <c r="J261">
        <v>1243.5419999999999</v>
      </c>
      <c r="K261">
        <v>975.64499999999998</v>
      </c>
      <c r="L261">
        <v>983.88400000000001</v>
      </c>
      <c r="M261">
        <v>987.31399999999996</v>
      </c>
      <c r="N261">
        <v>996.99900000000002</v>
      </c>
      <c r="O261">
        <v>1006.687</v>
      </c>
      <c r="P261">
        <v>1016.371</v>
      </c>
      <c r="Q261">
        <v>1026.047</v>
      </c>
      <c r="R261" t="str">
        <f>""</f>
        <v/>
      </c>
      <c r="S261" t="str">
        <f>""</f>
        <v/>
      </c>
      <c r="T261" t="str">
        <f>""</f>
        <v/>
      </c>
      <c r="U261" t="str">
        <f>""</f>
        <v/>
      </c>
      <c r="V261" t="str">
        <f>""</f>
        <v/>
      </c>
      <c r="W261" t="str">
        <f>""</f>
        <v/>
      </c>
      <c r="X261" t="str">
        <f>""</f>
        <v/>
      </c>
      <c r="Y261" t="str">
        <f>""</f>
        <v/>
      </c>
      <c r="Z261" t="str">
        <f>""</f>
        <v/>
      </c>
      <c r="AA261" t="str">
        <f>""</f>
        <v/>
      </c>
      <c r="AB261" t="str">
        <f>""</f>
        <v/>
      </c>
      <c r="AC261" t="str">
        <f>""</f>
        <v/>
      </c>
    </row>
    <row r="262" spans="1:29" x14ac:dyDescent="0.25">
      <c r="A262" t="str">
        <f>$A$106</f>
        <v xml:space="preserve">    HCL Technologies Ltd</v>
      </c>
      <c r="B262" t="str">
        <f>$B$106</f>
        <v>HCLT IN Equity</v>
      </c>
      <c r="C262" t="str">
        <f>$C$106</f>
        <v>BS051</v>
      </c>
      <c r="D262" t="str">
        <f>$D$106</f>
        <v>BS_LT_BORROW</v>
      </c>
      <c r="E262" t="str">
        <f>$E$106</f>
        <v>Dynamic</v>
      </c>
      <c r="F262">
        <f ca="1">_xll.BDH($B$106,$C$106,$B$163,$B$164,CONCATENATE("Per=",$B$161),"Dts=H","Dir=H",CONCATENATE("Points=",$B$162),"Sort=R","Days=A","Fill=B",CONCATENATE("FX=", $B$160),"cols=12;rows=1")</f>
        <v>664.45</v>
      </c>
      <c r="G262">
        <v>894.8</v>
      </c>
      <c r="H262">
        <v>915.6</v>
      </c>
      <c r="I262">
        <v>576.70000000000005</v>
      </c>
      <c r="J262">
        <v>430.67899999999997</v>
      </c>
      <c r="K262">
        <v>557</v>
      </c>
      <c r="L262">
        <v>424.1</v>
      </c>
      <c r="M262">
        <v>52.3</v>
      </c>
      <c r="N262">
        <v>69.846900000000005</v>
      </c>
      <c r="O262">
        <v>79.900000000000006</v>
      </c>
      <c r="P262">
        <v>111.4</v>
      </c>
      <c r="Q262">
        <v>88.2</v>
      </c>
      <c r="R262" t="str">
        <f>""</f>
        <v/>
      </c>
      <c r="S262" t="str">
        <f>""</f>
        <v/>
      </c>
      <c r="T262" t="str">
        <f>""</f>
        <v/>
      </c>
      <c r="U262" t="str">
        <f>""</f>
        <v/>
      </c>
      <c r="V262" t="str">
        <f>""</f>
        <v/>
      </c>
      <c r="W262" t="str">
        <f>""</f>
        <v/>
      </c>
      <c r="X262" t="str">
        <f>""</f>
        <v/>
      </c>
      <c r="Y262" t="str">
        <f>""</f>
        <v/>
      </c>
      <c r="Z262" t="str">
        <f>""</f>
        <v/>
      </c>
      <c r="AA262" t="str">
        <f>""</f>
        <v/>
      </c>
      <c r="AB262" t="str">
        <f>""</f>
        <v/>
      </c>
      <c r="AC262" t="str">
        <f>""</f>
        <v/>
      </c>
    </row>
    <row r="263" spans="1:29" x14ac:dyDescent="0.25">
      <c r="A263" t="str">
        <f>$A$107</f>
        <v xml:space="preserve">    Indra Sistemas SA</v>
      </c>
      <c r="B263" t="str">
        <f>$B$107</f>
        <v>IDR SM Equity</v>
      </c>
      <c r="C263" t="str">
        <f>$C$107</f>
        <v>BS051</v>
      </c>
      <c r="D263" t="str">
        <f>$D$107</f>
        <v>BS_LT_BORROW</v>
      </c>
      <c r="E263" t="str">
        <f>$E$107</f>
        <v>Dynamic</v>
      </c>
      <c r="F263">
        <f ca="1">_xll.BDH($B$107,$C$107,$B$163,$B$164,CONCATENATE("Per=",$B$161),"Dts=H","Dir=H",CONCATENATE("Points=",$B$162),"Sort=R","Days=A","Fill=B",CONCATENATE("FX=", $B$160),"cols=12;rows=1")</f>
        <v>1481.3044</v>
      </c>
      <c r="G263">
        <v>1664.5554999999999</v>
      </c>
      <c r="H263">
        <v>1566.8701000000001</v>
      </c>
      <c r="I263">
        <v>1752.4779000000001</v>
      </c>
      <c r="J263">
        <v>1572.3987</v>
      </c>
      <c r="K263">
        <v>1555.9248</v>
      </c>
      <c r="L263">
        <v>1553.8371</v>
      </c>
      <c r="M263">
        <v>1567.4550999999999</v>
      </c>
      <c r="N263">
        <v>1275.56</v>
      </c>
      <c r="O263">
        <v>1221.8896</v>
      </c>
      <c r="P263">
        <v>1407.1537000000001</v>
      </c>
      <c r="Q263">
        <v>1432.0907</v>
      </c>
      <c r="R263" t="str">
        <f>""</f>
        <v/>
      </c>
      <c r="S263" t="str">
        <f>""</f>
        <v/>
      </c>
      <c r="T263" t="str">
        <f>""</f>
        <v/>
      </c>
      <c r="U263" t="str">
        <f>""</f>
        <v/>
      </c>
      <c r="V263" t="str">
        <f>""</f>
        <v/>
      </c>
      <c r="W263" t="str">
        <f>""</f>
        <v/>
      </c>
      <c r="X263" t="str">
        <f>""</f>
        <v/>
      </c>
      <c r="Y263" t="str">
        <f>""</f>
        <v/>
      </c>
      <c r="Z263" t="str">
        <f>""</f>
        <v/>
      </c>
      <c r="AA263" t="str">
        <f>""</f>
        <v/>
      </c>
      <c r="AB263" t="str">
        <f>""</f>
        <v/>
      </c>
      <c r="AC263" t="str">
        <f>""</f>
        <v/>
      </c>
    </row>
    <row r="264" spans="1:29" x14ac:dyDescent="0.25">
      <c r="A264" t="str">
        <f>$A$108</f>
        <v xml:space="preserve">    Infosys Ltd</v>
      </c>
      <c r="B264" t="str">
        <f>$B$108</f>
        <v>INFY US Equity</v>
      </c>
      <c r="C264" t="str">
        <f>$C$108</f>
        <v>BS051</v>
      </c>
      <c r="D264" t="str">
        <f>$D$108</f>
        <v>BS_LT_BORROW</v>
      </c>
      <c r="E264" t="str">
        <f>$E$108</f>
        <v>Dynamic</v>
      </c>
      <c r="F264">
        <f ca="1">_xll.BDH($B$108,$C$108,$B$163,$B$164,CONCATENATE("Per=",$B$161),"Dts=H","Dir=H",CONCATENATE("Points=",$B$162),"Sort=R","Days=A","Fill=B",CONCATENATE("FX=", $B$160),"cols=12;rows=1")</f>
        <v>532.54650000000004</v>
      </c>
      <c r="G264">
        <v>501.93400000000003</v>
      </c>
      <c r="H264">
        <v>504.04349999999999</v>
      </c>
      <c r="I264">
        <v>484.28120000000001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tr">
        <f>""</f>
        <v/>
      </c>
      <c r="S264" t="str">
        <f>""</f>
        <v/>
      </c>
      <c r="T264" t="str">
        <f>""</f>
        <v/>
      </c>
      <c r="U264" t="str">
        <f>""</f>
        <v/>
      </c>
      <c r="V264" t="str">
        <f>""</f>
        <v/>
      </c>
      <c r="W264" t="str">
        <f>""</f>
        <v/>
      </c>
      <c r="X264" t="str">
        <f>""</f>
        <v/>
      </c>
      <c r="Y264" t="str">
        <f>""</f>
        <v/>
      </c>
      <c r="Z264" t="str">
        <f>""</f>
        <v/>
      </c>
      <c r="AA264" t="str">
        <f>""</f>
        <v/>
      </c>
      <c r="AB264" t="str">
        <f>""</f>
        <v/>
      </c>
      <c r="AC264" t="str">
        <f>""</f>
        <v/>
      </c>
    </row>
    <row r="265" spans="1:29" x14ac:dyDescent="0.25">
      <c r="A265" t="str">
        <f>$A$109</f>
        <v xml:space="preserve">    International Business Machines Corp</v>
      </c>
      <c r="B265" t="str">
        <f>$B$109</f>
        <v>IBM US Equity</v>
      </c>
      <c r="C265" t="str">
        <f>$C$109</f>
        <v>BS051</v>
      </c>
      <c r="D265" t="str">
        <f>$D$109</f>
        <v>BS_LT_BORROW</v>
      </c>
      <c r="E265" t="str">
        <f>$E$109</f>
        <v>Dynamic</v>
      </c>
      <c r="F265">
        <f ca="1">_xll.BDH($B$109,$C$109,$B$163,$B$164,CONCATENATE("Per=",$B$161),"Dts=H","Dir=H",CONCATENATE("Points=",$B$162),"Sort=R","Days=A","Fill=B",CONCATENATE("FX=", $B$160),"cols=12;rows=1")</f>
        <v>56484</v>
      </c>
      <c r="G265">
        <v>57981</v>
      </c>
      <c r="H265">
        <v>55526</v>
      </c>
      <c r="I265">
        <v>56126</v>
      </c>
      <c r="J265">
        <v>37142</v>
      </c>
      <c r="K265">
        <v>29344</v>
      </c>
      <c r="L265">
        <v>29695</v>
      </c>
      <c r="M265">
        <v>31498</v>
      </c>
      <c r="N265">
        <v>33718</v>
      </c>
      <c r="O265">
        <v>33366</v>
      </c>
      <c r="P265">
        <v>29858</v>
      </c>
      <c r="Q265">
        <v>26929</v>
      </c>
      <c r="R265" t="str">
        <f>""</f>
        <v/>
      </c>
      <c r="S265" t="str">
        <f>""</f>
        <v/>
      </c>
      <c r="T265" t="str">
        <f>""</f>
        <v/>
      </c>
      <c r="U265" t="str">
        <f>""</f>
        <v/>
      </c>
      <c r="V265" t="str">
        <f>""</f>
        <v/>
      </c>
      <c r="W265" t="str">
        <f>""</f>
        <v/>
      </c>
      <c r="X265" t="str">
        <f>""</f>
        <v/>
      </c>
      <c r="Y265" t="str">
        <f>""</f>
        <v/>
      </c>
      <c r="Z265" t="str">
        <f>""</f>
        <v/>
      </c>
      <c r="AA265" t="str">
        <f>""</f>
        <v/>
      </c>
      <c r="AB265" t="str">
        <f>""</f>
        <v/>
      </c>
      <c r="AC265" t="str">
        <f>""</f>
        <v/>
      </c>
    </row>
    <row r="266" spans="1:29" x14ac:dyDescent="0.25">
      <c r="A266" t="str">
        <f>$A$110</f>
        <v xml:space="preserve">    Tata Consultancy Services Ltd</v>
      </c>
      <c r="B266" t="str">
        <f>$B$110</f>
        <v>TCS IN Equity</v>
      </c>
      <c r="C266" t="str">
        <f>$C$110</f>
        <v>BS051</v>
      </c>
      <c r="D266" t="str">
        <f>$D$110</f>
        <v>BS_LT_BORROW</v>
      </c>
      <c r="E266" t="str">
        <f>$E$110</f>
        <v>Dynamic</v>
      </c>
      <c r="F266">
        <f ca="1">_xll.BDH($B$110,$C$110,$B$163,$B$164,CONCATENATE("Per=",$B$161),"Dts=H","Dir=H",CONCATENATE("Points=",$B$162),"Sort=R","Days=A","Fill=B",CONCATENATE("FX=", $B$160),"cols=12;rows=1")</f>
        <v>916.23469999999998</v>
      </c>
      <c r="G266">
        <v>824.85659999999996</v>
      </c>
      <c r="H266">
        <v>799.50760000000002</v>
      </c>
      <c r="I266">
        <v>836.82860000000005</v>
      </c>
      <c r="J266">
        <v>6.3471000000000002</v>
      </c>
      <c r="K266">
        <v>6.6006999999999998</v>
      </c>
      <c r="L266">
        <v>6.3405000000000005</v>
      </c>
      <c r="M266">
        <v>7.1558999999999999</v>
      </c>
      <c r="N266">
        <v>8.2895000000000003</v>
      </c>
      <c r="O266">
        <v>8.9269999999999996</v>
      </c>
      <c r="P266">
        <v>9.0282999999999998</v>
      </c>
      <c r="Q266">
        <v>9.5945999999999998</v>
      </c>
      <c r="R266" t="str">
        <f>""</f>
        <v/>
      </c>
      <c r="S266" t="str">
        <f>""</f>
        <v/>
      </c>
      <c r="T266" t="str">
        <f>""</f>
        <v/>
      </c>
      <c r="U266" t="str">
        <f>""</f>
        <v/>
      </c>
      <c r="V266" t="str">
        <f>""</f>
        <v/>
      </c>
      <c r="W266" t="str">
        <f>""</f>
        <v/>
      </c>
      <c r="X266" t="str">
        <f>""</f>
        <v/>
      </c>
      <c r="Y266" t="str">
        <f>""</f>
        <v/>
      </c>
      <c r="Z266" t="str">
        <f>""</f>
        <v/>
      </c>
      <c r="AA266" t="str">
        <f>""</f>
        <v/>
      </c>
      <c r="AB266" t="str">
        <f>""</f>
        <v/>
      </c>
      <c r="AC266" t="str">
        <f>""</f>
        <v/>
      </c>
    </row>
    <row r="267" spans="1:29" x14ac:dyDescent="0.25">
      <c r="A267" t="str">
        <f>$A$111</f>
        <v xml:space="preserve">    Tech Mahindra Ltd</v>
      </c>
      <c r="B267" t="str">
        <f>$B$111</f>
        <v>TECHM IN Equity</v>
      </c>
      <c r="C267" t="str">
        <f>$C$111</f>
        <v>BS051</v>
      </c>
      <c r="D267" t="str">
        <f>$D$111</f>
        <v>BS_LT_BORROW</v>
      </c>
      <c r="E267" t="str">
        <f>$E$111</f>
        <v>Dynamic</v>
      </c>
      <c r="F267">
        <f ca="1">_xll.BDH($B$111,$C$111,$B$163,$B$164,CONCATENATE("Per=",$B$161),"Dts=H","Dir=H",CONCATENATE("Points=",$B$162),"Sort=R","Days=A","Fill=B",CONCATENATE("FX=", $B$160),"cols=12;rows=1")</f>
        <v>23.708500000000001</v>
      </c>
      <c r="G267">
        <v>135.15010000000001</v>
      </c>
      <c r="H267">
        <v>119.4875</v>
      </c>
      <c r="I267">
        <v>118.5604</v>
      </c>
      <c r="J267">
        <v>30.090900000000001</v>
      </c>
      <c r="K267">
        <v>29.9039</v>
      </c>
      <c r="L267">
        <v>50.094099999999997</v>
      </c>
      <c r="M267">
        <v>113.3844</v>
      </c>
      <c r="N267">
        <v>118.37130000000001</v>
      </c>
      <c r="O267">
        <v>58.260199999999998</v>
      </c>
      <c r="P267">
        <v>64.035200000000003</v>
      </c>
      <c r="Q267">
        <v>64.577600000000004</v>
      </c>
      <c r="R267" t="str">
        <f>""</f>
        <v/>
      </c>
      <c r="S267" t="str">
        <f>""</f>
        <v/>
      </c>
      <c r="T267" t="str">
        <f>""</f>
        <v/>
      </c>
      <c r="U267" t="str">
        <f>""</f>
        <v/>
      </c>
      <c r="V267" t="str">
        <f>""</f>
        <v/>
      </c>
      <c r="W267" t="str">
        <f>""</f>
        <v/>
      </c>
      <c r="X267" t="str">
        <f>""</f>
        <v/>
      </c>
      <c r="Y267" t="str">
        <f>""</f>
        <v/>
      </c>
      <c r="Z267" t="str">
        <f>""</f>
        <v/>
      </c>
      <c r="AA267" t="str">
        <f>""</f>
        <v/>
      </c>
      <c r="AB267" t="str">
        <f>""</f>
        <v/>
      </c>
      <c r="AC267" t="str">
        <f>""</f>
        <v/>
      </c>
    </row>
    <row r="268" spans="1:29" x14ac:dyDescent="0.25">
      <c r="A268" t="str">
        <f>$A$112</f>
        <v xml:space="preserve">    Wipro Ltd</v>
      </c>
      <c r="B268" t="str">
        <f>$B$112</f>
        <v>WIT US Equity</v>
      </c>
      <c r="C268" t="str">
        <f>$C$112</f>
        <v>BS051</v>
      </c>
      <c r="D268" t="str">
        <f>$D$112</f>
        <v>BS_LT_BORROW</v>
      </c>
      <c r="E268" t="str">
        <f>$E$112</f>
        <v>Dynamic</v>
      </c>
      <c r="F268">
        <f ca="1">_xll.BDH($B$112,$C$112,$B$163,$B$164,CONCATENATE("Per=",$B$161),"Dts=H","Dir=H",CONCATENATE("Points=",$B$162),"Sort=R","Days=A","Fill=B",CONCATENATE("FX=", $B$160),"cols=12;rows=1")</f>
        <v>231.88460000000001</v>
      </c>
      <c r="G268">
        <v>462.35489999999999</v>
      </c>
      <c r="H268">
        <v>465.01620000000003</v>
      </c>
      <c r="I268">
        <v>482.0034</v>
      </c>
      <c r="J268">
        <v>409.2131</v>
      </c>
      <c r="K268">
        <v>717.23350000000005</v>
      </c>
      <c r="L268">
        <v>721.28679999999997</v>
      </c>
      <c r="M268">
        <v>687.25810000000001</v>
      </c>
      <c r="N268">
        <v>694.90729999999996</v>
      </c>
      <c r="O268">
        <v>466.19110000000001</v>
      </c>
      <c r="P268">
        <v>476.69470000000001</v>
      </c>
      <c r="Q268">
        <v>502.73989999999998</v>
      </c>
      <c r="R268" t="str">
        <f>""</f>
        <v/>
      </c>
      <c r="S268" t="str">
        <f>""</f>
        <v/>
      </c>
      <c r="T268" t="str">
        <f>""</f>
        <v/>
      </c>
      <c r="U268" t="str">
        <f>""</f>
        <v/>
      </c>
      <c r="V268" t="str">
        <f>""</f>
        <v/>
      </c>
      <c r="W268" t="str">
        <f>""</f>
        <v/>
      </c>
      <c r="X268" t="str">
        <f>""</f>
        <v/>
      </c>
      <c r="Y268" t="str">
        <f>""</f>
        <v/>
      </c>
      <c r="Z268" t="str">
        <f>""</f>
        <v/>
      </c>
      <c r="AA268" t="str">
        <f>""</f>
        <v/>
      </c>
      <c r="AB268" t="str">
        <f>""</f>
        <v/>
      </c>
      <c r="AC268" t="str">
        <f>""</f>
        <v/>
      </c>
    </row>
    <row r="269" spans="1:29" x14ac:dyDescent="0.25">
      <c r="A269" t="str">
        <f>$A$114</f>
        <v xml:space="preserve">    Accenture PLC</v>
      </c>
      <c r="B269" t="str">
        <f>$B$114</f>
        <v>ACN US Equity</v>
      </c>
      <c r="C269" t="str">
        <f>$C$114</f>
        <v>RR005</v>
      </c>
      <c r="D269" t="str">
        <f>$D$114</f>
        <v>BS_TOT_LIAB2</v>
      </c>
      <c r="E269" t="str">
        <f>$E$114</f>
        <v>Dynamic</v>
      </c>
      <c r="F269">
        <f ca="1">_xll.BDH($B$114,$C$114,$B$163,$B$164,CONCATENATE("Per=",$B$161),"Dts=H","Dir=H",CONCATENATE("Points=",$B$162),"Sort=R","Days=A","Fill=B",CONCATENATE("FX=", $B$160),"cols=12;rows=1")</f>
        <v>17582.624</v>
      </c>
      <c r="G269">
        <v>17569.504000000001</v>
      </c>
      <c r="H269">
        <v>14962.189</v>
      </c>
      <c r="I269">
        <v>14013.402</v>
      </c>
      <c r="J269">
        <v>13661.663</v>
      </c>
      <c r="K269">
        <v>13650.843999999999</v>
      </c>
      <c r="L269">
        <v>13724.495000000001</v>
      </c>
      <c r="M269">
        <v>13098.057000000001</v>
      </c>
      <c r="N269">
        <v>12694.553</v>
      </c>
      <c r="O269">
        <v>13080.716</v>
      </c>
      <c r="P269">
        <v>12979.69</v>
      </c>
      <c r="Q269">
        <v>12258.932000000001</v>
      </c>
      <c r="R269" t="str">
        <f>""</f>
        <v/>
      </c>
      <c r="S269" t="str">
        <f>""</f>
        <v/>
      </c>
      <c r="T269" t="str">
        <f>""</f>
        <v/>
      </c>
      <c r="U269" t="str">
        <f>""</f>
        <v/>
      </c>
      <c r="V269" t="str">
        <f>""</f>
        <v/>
      </c>
      <c r="W269" t="str">
        <f>""</f>
        <v/>
      </c>
      <c r="X269" t="str">
        <f>""</f>
        <v/>
      </c>
      <c r="Y269" t="str">
        <f>""</f>
        <v/>
      </c>
      <c r="Z269" t="str">
        <f>""</f>
        <v/>
      </c>
      <c r="AA269" t="str">
        <f>""</f>
        <v/>
      </c>
      <c r="AB269" t="str">
        <f>""</f>
        <v/>
      </c>
      <c r="AC269" t="str">
        <f>""</f>
        <v/>
      </c>
    </row>
    <row r="270" spans="1:29" x14ac:dyDescent="0.25">
      <c r="A270" t="str">
        <f>$A$115</f>
        <v xml:space="preserve">    Amdocs Ltd</v>
      </c>
      <c r="B270" t="str">
        <f>$B$115</f>
        <v>DOX US Equity</v>
      </c>
      <c r="C270" t="str">
        <f>$C$115</f>
        <v>RR005</v>
      </c>
      <c r="D270" t="str">
        <f>$D$115</f>
        <v>BS_TOT_LIAB2</v>
      </c>
      <c r="E270" t="str">
        <f>$E$115</f>
        <v>Dynamic</v>
      </c>
      <c r="F270">
        <f ca="1">_xll.BDH($B$115,$C$115,$B$163,$B$164,CONCATENATE("Per=",$B$161),"Dts=H","Dir=H",CONCATENATE("Points=",$B$162),"Sort=R","Days=A","Fill=B",CONCATENATE("FX=", $B$160),"cols=12;rows=1")</f>
        <v>2326.7660000000001</v>
      </c>
      <c r="G270">
        <v>2050.471</v>
      </c>
      <c r="H270">
        <v>1750.36</v>
      </c>
      <c r="I270">
        <v>1706.934</v>
      </c>
      <c r="J270">
        <v>1740.9269999999999</v>
      </c>
      <c r="K270">
        <v>1796.8689999999999</v>
      </c>
      <c r="L270">
        <v>1855.7729999999999</v>
      </c>
      <c r="M270">
        <v>1880.5989999999999</v>
      </c>
      <c r="N270">
        <v>1972.7739999999999</v>
      </c>
      <c r="O270">
        <v>1773.9770000000001</v>
      </c>
      <c r="P270">
        <v>1705.31</v>
      </c>
      <c r="Q270">
        <v>1711.9280000000001</v>
      </c>
      <c r="R270" t="str">
        <f>""</f>
        <v/>
      </c>
      <c r="S270" t="str">
        <f>""</f>
        <v/>
      </c>
      <c r="T270" t="str">
        <f>""</f>
        <v/>
      </c>
      <c r="U270" t="str">
        <f>""</f>
        <v/>
      </c>
      <c r="V270" t="str">
        <f>""</f>
        <v/>
      </c>
      <c r="W270" t="str">
        <f>""</f>
        <v/>
      </c>
      <c r="X270" t="str">
        <f>""</f>
        <v/>
      </c>
      <c r="Y270" t="str">
        <f>""</f>
        <v/>
      </c>
      <c r="Z270" t="str">
        <f>""</f>
        <v/>
      </c>
      <c r="AA270" t="str">
        <f>""</f>
        <v/>
      </c>
      <c r="AB270" t="str">
        <f>""</f>
        <v/>
      </c>
      <c r="AC270" t="str">
        <f>""</f>
        <v/>
      </c>
    </row>
    <row r="271" spans="1:29" x14ac:dyDescent="0.25">
      <c r="A271" t="str">
        <f>$A$116</f>
        <v xml:space="preserve">    Atos SE</v>
      </c>
      <c r="B271" t="str">
        <f>$B$116</f>
        <v>ATO FP Equity</v>
      </c>
      <c r="C271" t="str">
        <f>$C$116</f>
        <v>RR005</v>
      </c>
      <c r="D271" t="str">
        <f>$D$116</f>
        <v>BS_TOT_LIAB2</v>
      </c>
      <c r="E271" t="str">
        <f>$E$116</f>
        <v>Dynamic</v>
      </c>
      <c r="F271" t="str">
        <f ca="1">_xll.BDH($B$116,$C$116,$B$163,$B$164,CONCATENATE("Per=",$B$161),"Dts=H","Dir=H",CONCATENATE("Points=",$B$162),"Sort=R","Days=A","Fill=B",CONCATENATE("FX=", $B$160) )</f>
        <v/>
      </c>
      <c r="R271" t="str">
        <f>""</f>
        <v/>
      </c>
      <c r="S271" t="str">
        <f>""</f>
        <v/>
      </c>
      <c r="T271" t="str">
        <f>""</f>
        <v/>
      </c>
      <c r="U271" t="str">
        <f>""</f>
        <v/>
      </c>
      <c r="V271" t="str">
        <f>""</f>
        <v/>
      </c>
      <c r="W271" t="str">
        <f>""</f>
        <v/>
      </c>
      <c r="X271" t="str">
        <f>""</f>
        <v/>
      </c>
      <c r="Y271" t="str">
        <f>""</f>
        <v/>
      </c>
      <c r="Z271" t="str">
        <f>""</f>
        <v/>
      </c>
      <c r="AA271" t="str">
        <f>""</f>
        <v/>
      </c>
      <c r="AB271" t="str">
        <f>""</f>
        <v/>
      </c>
      <c r="AC271" t="str">
        <f>""</f>
        <v/>
      </c>
    </row>
    <row r="272" spans="1:29" x14ac:dyDescent="0.25">
      <c r="A272" t="str">
        <f>$A$117</f>
        <v xml:space="preserve">    Capgemini SE</v>
      </c>
      <c r="B272" t="str">
        <f>$B$117</f>
        <v>CAP FP Equity</v>
      </c>
      <c r="C272" t="str">
        <f>$C$117</f>
        <v>RR005</v>
      </c>
      <c r="D272" t="str">
        <f>$D$117</f>
        <v>BS_TOT_LIAB2</v>
      </c>
      <c r="E272" t="str">
        <f>$E$117</f>
        <v>Dynamic</v>
      </c>
      <c r="F272" t="str">
        <f ca="1">_xll.BDH($B$117,$C$117,$B$163,$B$164,CONCATENATE("Per=",$B$161),"Dts=H","Dir=H",CONCATENATE("Points=",$B$162),"Sort=R","Days=A","Fill=B",CONCATENATE("FX=", $B$160),"cols=12;rows=1")</f>
        <v/>
      </c>
      <c r="G272">
        <v>10910.0964</v>
      </c>
      <c r="R272" t="str">
        <f>""</f>
        <v/>
      </c>
      <c r="S272" t="str">
        <f>""</f>
        <v/>
      </c>
      <c r="T272" t="str">
        <f>""</f>
        <v/>
      </c>
      <c r="U272" t="str">
        <f>""</f>
        <v/>
      </c>
      <c r="V272" t="str">
        <f>""</f>
        <v/>
      </c>
      <c r="W272" t="str">
        <f>""</f>
        <v/>
      </c>
      <c r="X272" t="str">
        <f>""</f>
        <v/>
      </c>
      <c r="Y272" t="str">
        <f>""</f>
        <v/>
      </c>
      <c r="Z272" t="str">
        <f>""</f>
        <v/>
      </c>
      <c r="AA272" t="str">
        <f>""</f>
        <v/>
      </c>
      <c r="AB272" t="str">
        <f>""</f>
        <v/>
      </c>
      <c r="AC272" t="str">
        <f>""</f>
        <v/>
      </c>
    </row>
    <row r="273" spans="1:29" x14ac:dyDescent="0.25">
      <c r="A273" t="str">
        <f>$A$118</f>
        <v xml:space="preserve">    CGI Inc</v>
      </c>
      <c r="B273" t="str">
        <f>$B$118</f>
        <v>GIB US Equity</v>
      </c>
      <c r="C273" t="str">
        <f>$C$118</f>
        <v>RR005</v>
      </c>
      <c r="D273" t="str">
        <f>$D$118</f>
        <v>BS_TOT_LIAB2</v>
      </c>
      <c r="E273" t="str">
        <f>$E$118</f>
        <v>Dynamic</v>
      </c>
      <c r="F273">
        <f ca="1">_xll.BDH($B$118,$C$118,$B$163,$B$164,CONCATENATE("Per=",$B$161),"Dts=H","Dir=H",CONCATENATE("Points=",$B$162),"Sort=R","Days=A","Fill=B",CONCATENATE("FX=", $B$160),"cols=12;rows=1")</f>
        <v>5524.9386999999997</v>
      </c>
      <c r="G273">
        <v>5223.3179</v>
      </c>
      <c r="H273">
        <v>4333.2398999999996</v>
      </c>
      <c r="I273">
        <v>4691.9192999999996</v>
      </c>
      <c r="J273">
        <v>4284.5776999999998</v>
      </c>
      <c r="K273">
        <v>4360.2973000000002</v>
      </c>
      <c r="L273">
        <v>4045.335</v>
      </c>
      <c r="M273">
        <v>4127.4538000000002</v>
      </c>
      <c r="N273">
        <v>4265.7146000000002</v>
      </c>
      <c r="O273">
        <v>4314.2205000000004</v>
      </c>
      <c r="P273">
        <v>4160.1938</v>
      </c>
      <c r="Q273">
        <v>3995.6122999999998</v>
      </c>
      <c r="R273" t="str">
        <f>""</f>
        <v/>
      </c>
      <c r="S273" t="str">
        <f>""</f>
        <v/>
      </c>
      <c r="T273" t="str">
        <f>""</f>
        <v/>
      </c>
      <c r="U273" t="str">
        <f>""</f>
        <v/>
      </c>
      <c r="V273" t="str">
        <f>""</f>
        <v/>
      </c>
      <c r="W273" t="str">
        <f>""</f>
        <v/>
      </c>
      <c r="X273" t="str">
        <f>""</f>
        <v/>
      </c>
      <c r="Y273" t="str">
        <f>""</f>
        <v/>
      </c>
      <c r="Z273" t="str">
        <f>""</f>
        <v/>
      </c>
      <c r="AA273" t="str">
        <f>""</f>
        <v/>
      </c>
      <c r="AB273" t="str">
        <f>""</f>
        <v/>
      </c>
      <c r="AC273" t="str">
        <f>""</f>
        <v/>
      </c>
    </row>
    <row r="274" spans="1:29" x14ac:dyDescent="0.25">
      <c r="A274" t="str">
        <f>$A$119</f>
        <v xml:space="preserve">    Cognizant Technology Solutions Corp</v>
      </c>
      <c r="B274" t="str">
        <f>$B$119</f>
        <v>CTSH US Equity</v>
      </c>
      <c r="C274" t="str">
        <f>$C$119</f>
        <v>RR005</v>
      </c>
      <c r="D274" t="str">
        <f>$D$119</f>
        <v>BS_TOT_LIAB2</v>
      </c>
      <c r="E274" t="str">
        <f>$E$119</f>
        <v>Dynamic</v>
      </c>
      <c r="F274">
        <f ca="1">_xll.BDH($B$119,$C$119,$B$163,$B$164,CONCATENATE("Per=",$B$161),"Dts=H","Dir=H",CONCATENATE("Points=",$B$162),"Sort=R","Days=A","Fill=B",CONCATENATE("FX=", $B$160),"cols=12;rows=1")</f>
        <v>6816</v>
      </c>
      <c r="G274">
        <v>5182</v>
      </c>
      <c r="H274">
        <v>5142</v>
      </c>
      <c r="I274">
        <v>4960</v>
      </c>
      <c r="J274">
        <v>4960</v>
      </c>
      <c r="K274">
        <v>4422</v>
      </c>
      <c r="L274">
        <v>4296</v>
      </c>
      <c r="M274">
        <v>4158</v>
      </c>
      <c r="N274">
        <v>4057</v>
      </c>
      <c r="O274">
        <v>4552</v>
      </c>
      <c r="P274">
        <v>3601</v>
      </c>
      <c r="Q274">
        <v>3455</v>
      </c>
      <c r="R274" t="str">
        <f>""</f>
        <v/>
      </c>
      <c r="S274" t="str">
        <f>""</f>
        <v/>
      </c>
      <c r="T274" t="str">
        <f>""</f>
        <v/>
      </c>
      <c r="U274" t="str">
        <f>""</f>
        <v/>
      </c>
      <c r="V274" t="str">
        <f>""</f>
        <v/>
      </c>
      <c r="W274" t="str">
        <f>""</f>
        <v/>
      </c>
      <c r="X274" t="str">
        <f>""</f>
        <v/>
      </c>
      <c r="Y274" t="str">
        <f>""</f>
        <v/>
      </c>
      <c r="Z274" t="str">
        <f>""</f>
        <v/>
      </c>
      <c r="AA274" t="str">
        <f>""</f>
        <v/>
      </c>
      <c r="AB274" t="str">
        <f>""</f>
        <v/>
      </c>
      <c r="AC274" t="str">
        <f>""</f>
        <v/>
      </c>
    </row>
    <row r="275" spans="1:29" x14ac:dyDescent="0.25">
      <c r="A275" t="str">
        <f>$A$120</f>
        <v xml:space="preserve">    Conduent Inc</v>
      </c>
      <c r="B275" t="str">
        <f>$B$120</f>
        <v>CNDT US Equity</v>
      </c>
      <c r="C275" t="str">
        <f>$C$120</f>
        <v>RR005</v>
      </c>
      <c r="D275" t="str">
        <f>$D$120</f>
        <v>BS_TOT_LIAB2</v>
      </c>
      <c r="E275" t="str">
        <f>$E$120</f>
        <v>Dynamic</v>
      </c>
      <c r="F275">
        <f ca="1">_xll.BDH($B$120,$C$120,$B$163,$B$164,CONCATENATE("Per=",$B$161),"Dts=H","Dir=H",CONCATENATE("Points=",$B$162),"Sort=R","Days=A","Fill=B",CONCATENATE("FX=", $B$160),"cols=12;rows=1")</f>
        <v>3032</v>
      </c>
      <c r="G275">
        <v>3072</v>
      </c>
      <c r="H275">
        <v>3104</v>
      </c>
      <c r="I275">
        <v>3260</v>
      </c>
      <c r="J275">
        <v>3594</v>
      </c>
      <c r="K275">
        <v>3316</v>
      </c>
      <c r="L275">
        <v>3229</v>
      </c>
      <c r="M275">
        <v>3795</v>
      </c>
      <c r="N275">
        <v>3859</v>
      </c>
      <c r="O275">
        <v>3877</v>
      </c>
      <c r="P275">
        <v>4093</v>
      </c>
      <c r="Q275">
        <v>4189</v>
      </c>
      <c r="R275" t="str">
        <f>""</f>
        <v/>
      </c>
      <c r="S275" t="str">
        <f>""</f>
        <v/>
      </c>
      <c r="T275" t="str">
        <f>""</f>
        <v/>
      </c>
      <c r="U275" t="str">
        <f>""</f>
        <v/>
      </c>
      <c r="V275" t="str">
        <f>""</f>
        <v/>
      </c>
      <c r="W275" t="str">
        <f>""</f>
        <v/>
      </c>
      <c r="X275" t="str">
        <f>""</f>
        <v/>
      </c>
      <c r="Y275" t="str">
        <f>""</f>
        <v/>
      </c>
      <c r="Z275" t="str">
        <f>""</f>
        <v/>
      </c>
      <c r="AA275" t="str">
        <f>""</f>
        <v/>
      </c>
      <c r="AB275" t="str">
        <f>""</f>
        <v/>
      </c>
      <c r="AC275" t="str">
        <f>""</f>
        <v/>
      </c>
    </row>
    <row r="276" spans="1:29" x14ac:dyDescent="0.25">
      <c r="A276" t="str">
        <f>$A$121</f>
        <v xml:space="preserve">    DXC Technology Co</v>
      </c>
      <c r="B276" t="str">
        <f>$B$121</f>
        <v>DXC US Equity</v>
      </c>
      <c r="C276" t="str">
        <f>$C$121</f>
        <v>RR005</v>
      </c>
      <c r="D276" t="str">
        <f>$D$121</f>
        <v>BS_TOT_LIAB2</v>
      </c>
      <c r="E276" t="str">
        <f>$E$121</f>
        <v>Dynamic</v>
      </c>
      <c r="F276">
        <f ca="1">_xll.BDH($B$121,$C$121,$B$163,$B$164,CONCATENATE("Per=",$B$161),"Dts=H","Dir=H",CONCATENATE("Points=",$B$162),"Sort=R","Days=A","Fill=B",CONCATENATE("FX=", $B$160),"cols=12;rows=1")</f>
        <v>20877</v>
      </c>
      <c r="G276">
        <v>20498</v>
      </c>
      <c r="H276">
        <v>20646</v>
      </c>
      <c r="I276">
        <v>21360</v>
      </c>
      <c r="J276">
        <v>17849</v>
      </c>
      <c r="K276">
        <v>17515</v>
      </c>
      <c r="L276">
        <v>17045</v>
      </c>
      <c r="M276">
        <v>17312</v>
      </c>
      <c r="N276">
        <v>20084</v>
      </c>
      <c r="O276">
        <v>20380</v>
      </c>
      <c r="P276">
        <v>20669</v>
      </c>
      <c r="Q276">
        <v>18871</v>
      </c>
      <c r="R276" t="str">
        <f>""</f>
        <v/>
      </c>
      <c r="S276" t="str">
        <f>""</f>
        <v/>
      </c>
      <c r="T276" t="str">
        <f>""</f>
        <v/>
      </c>
      <c r="U276" t="str">
        <f>""</f>
        <v/>
      </c>
      <c r="V276" t="str">
        <f>""</f>
        <v/>
      </c>
      <c r="W276" t="str">
        <f>""</f>
        <v/>
      </c>
      <c r="X276" t="str">
        <f>""</f>
        <v/>
      </c>
      <c r="Y276" t="str">
        <f>""</f>
        <v/>
      </c>
      <c r="Z276" t="str">
        <f>""</f>
        <v/>
      </c>
      <c r="AA276" t="str">
        <f>""</f>
        <v/>
      </c>
      <c r="AB276" t="str">
        <f>""</f>
        <v/>
      </c>
      <c r="AC276" t="str">
        <f>""</f>
        <v/>
      </c>
    </row>
    <row r="277" spans="1:29" x14ac:dyDescent="0.25">
      <c r="A277" t="str">
        <f>$A$122</f>
        <v xml:space="preserve">    EPAM Systems Inc</v>
      </c>
      <c r="B277" t="str">
        <f>$B$122</f>
        <v>EPAM US Equity</v>
      </c>
      <c r="C277" t="str">
        <f>$C$122</f>
        <v>RR005</v>
      </c>
      <c r="D277" t="str">
        <f>$D$122</f>
        <v>BS_TOT_LIAB2</v>
      </c>
      <c r="E277" t="str">
        <f>$E$122</f>
        <v>Dynamic</v>
      </c>
      <c r="F277">
        <f ca="1">_xll.BDH($B$122,$C$122,$B$163,$B$164,CONCATENATE("Per=",$B$161),"Dts=H","Dir=H",CONCATENATE("Points=",$B$162),"Sort=R","Days=A","Fill=B",CONCATENATE("FX=", $B$160),"cols=12;rows=1")</f>
        <v>664.399</v>
      </c>
      <c r="G277">
        <v>648.06299999999999</v>
      </c>
      <c r="H277">
        <v>548.04600000000005</v>
      </c>
      <c r="I277">
        <v>509.20400000000001</v>
      </c>
      <c r="J277">
        <v>493.21</v>
      </c>
      <c r="K277">
        <v>349.20600000000002</v>
      </c>
      <c r="L277">
        <v>308.04700000000003</v>
      </c>
      <c r="M277">
        <v>279.392</v>
      </c>
      <c r="N277">
        <v>288.05399999999997</v>
      </c>
      <c r="O277">
        <v>275.30900000000003</v>
      </c>
      <c r="P277">
        <v>187.86099999999999</v>
      </c>
      <c r="Q277">
        <v>159.67699999999999</v>
      </c>
      <c r="R277" t="str">
        <f>""</f>
        <v/>
      </c>
      <c r="S277" t="str">
        <f>""</f>
        <v/>
      </c>
      <c r="T277" t="str">
        <f>""</f>
        <v/>
      </c>
      <c r="U277" t="str">
        <f>""</f>
        <v/>
      </c>
      <c r="V277" t="str">
        <f>""</f>
        <v/>
      </c>
      <c r="W277" t="str">
        <f>""</f>
        <v/>
      </c>
      <c r="X277" t="str">
        <f>""</f>
        <v/>
      </c>
      <c r="Y277" t="str">
        <f>""</f>
        <v/>
      </c>
      <c r="Z277" t="str">
        <f>""</f>
        <v/>
      </c>
      <c r="AA277" t="str">
        <f>""</f>
        <v/>
      </c>
      <c r="AB277" t="str">
        <f>""</f>
        <v/>
      </c>
      <c r="AC277" t="str">
        <f>""</f>
        <v/>
      </c>
    </row>
    <row r="278" spans="1:29" x14ac:dyDescent="0.25">
      <c r="A278" t="str">
        <f>$A$123</f>
        <v xml:space="preserve">    Genpact Ltd</v>
      </c>
      <c r="B278" t="str">
        <f>$B$123</f>
        <v>G US Equity</v>
      </c>
      <c r="C278" t="str">
        <f>$C$123</f>
        <v>RR005</v>
      </c>
      <c r="D278" t="str">
        <f>$D$123</f>
        <v>BS_TOT_LIAB2</v>
      </c>
      <c r="E278" t="str">
        <f>$E$123</f>
        <v>Dynamic</v>
      </c>
      <c r="F278">
        <f ca="1">_xll.BDH($B$123,$C$123,$B$163,$B$164,CONCATENATE("Per=",$B$161),"Dts=H","Dir=H",CONCATENATE("Points=",$B$162),"Sort=R","Days=A","Fill=B",CONCATENATE("FX=", $B$160),"cols=12;rows=1")</f>
        <v>2829.701</v>
      </c>
      <c r="G278">
        <v>2765.0129999999999</v>
      </c>
      <c r="H278">
        <v>2492.0770000000002</v>
      </c>
      <c r="I278">
        <v>2429.3870000000002</v>
      </c>
      <c r="J278">
        <v>2409.645</v>
      </c>
      <c r="K278">
        <v>2125.2629999999999</v>
      </c>
      <c r="L278">
        <v>2171.6109999999999</v>
      </c>
      <c r="M278">
        <v>1969.653</v>
      </c>
      <c r="N278">
        <v>2031.13</v>
      </c>
      <c r="O278">
        <v>2020.827</v>
      </c>
      <c r="P278">
        <v>2031.6990000000001</v>
      </c>
      <c r="Q278">
        <v>1976.3340000000001</v>
      </c>
      <c r="R278" t="str">
        <f>""</f>
        <v/>
      </c>
      <c r="S278" t="str">
        <f>""</f>
        <v/>
      </c>
      <c r="T278" t="str">
        <f>""</f>
        <v/>
      </c>
      <c r="U278" t="str">
        <f>""</f>
        <v/>
      </c>
      <c r="V278" t="str">
        <f>""</f>
        <v/>
      </c>
      <c r="W278" t="str">
        <f>""</f>
        <v/>
      </c>
      <c r="X278" t="str">
        <f>""</f>
        <v/>
      </c>
      <c r="Y278" t="str">
        <f>""</f>
        <v/>
      </c>
      <c r="Z278" t="str">
        <f>""</f>
        <v/>
      </c>
      <c r="AA278" t="str">
        <f>""</f>
        <v/>
      </c>
      <c r="AB278" t="str">
        <f>""</f>
        <v/>
      </c>
      <c r="AC278" t="str">
        <f>""</f>
        <v/>
      </c>
    </row>
    <row r="279" spans="1:29" x14ac:dyDescent="0.25">
      <c r="A279" t="str">
        <f>$A$124</f>
        <v xml:space="preserve">    HCL Technologies Ltd</v>
      </c>
      <c r="B279" t="str">
        <f>$B$124</f>
        <v>HCLT IN Equity</v>
      </c>
      <c r="C279" t="str">
        <f>$C$124</f>
        <v>RR005</v>
      </c>
      <c r="D279" t="str">
        <f>$D$124</f>
        <v>BS_TOT_LIAB2</v>
      </c>
      <c r="E279" t="str">
        <f>$E$124</f>
        <v>Dynamic</v>
      </c>
      <c r="F279">
        <f ca="1">_xll.BDH($B$124,$C$124,$B$163,$B$164,CONCATENATE("Per=",$B$161),"Dts=H","Dir=H",CONCATENATE("Points=",$B$162),"Sort=R","Days=A","Fill=B",CONCATENATE("FX=", $B$160),"cols=12;rows=1")</f>
        <v>4097.4520000000002</v>
      </c>
      <c r="G279">
        <v>3970.8</v>
      </c>
      <c r="H279">
        <v>4091.1</v>
      </c>
      <c r="I279">
        <v>2412.1</v>
      </c>
      <c r="J279">
        <v>2412.0509999999999</v>
      </c>
      <c r="K279">
        <v>2273.6</v>
      </c>
      <c r="L279">
        <v>2230.5</v>
      </c>
      <c r="M279">
        <v>1852.2</v>
      </c>
      <c r="N279">
        <v>1786.3914</v>
      </c>
      <c r="O279">
        <v>1807.4</v>
      </c>
      <c r="P279">
        <v>1924.9</v>
      </c>
      <c r="Q279">
        <v>2020.7</v>
      </c>
      <c r="R279" t="str">
        <f>""</f>
        <v/>
      </c>
      <c r="S279" t="str">
        <f>""</f>
        <v/>
      </c>
      <c r="T279" t="str">
        <f>""</f>
        <v/>
      </c>
      <c r="U279" t="str">
        <f>""</f>
        <v/>
      </c>
      <c r="V279" t="str">
        <f>""</f>
        <v/>
      </c>
      <c r="W279" t="str">
        <f>""</f>
        <v/>
      </c>
      <c r="X279" t="str">
        <f>""</f>
        <v/>
      </c>
      <c r="Y279" t="str">
        <f>""</f>
        <v/>
      </c>
      <c r="Z279" t="str">
        <f>""</f>
        <v/>
      </c>
      <c r="AA279" t="str">
        <f>""</f>
        <v/>
      </c>
      <c r="AB279" t="str">
        <f>""</f>
        <v/>
      </c>
      <c r="AC279" t="str">
        <f>""</f>
        <v/>
      </c>
    </row>
    <row r="280" spans="1:29" x14ac:dyDescent="0.25">
      <c r="A280" t="str">
        <f>$A$125</f>
        <v xml:space="preserve">    Indra Sistemas SA</v>
      </c>
      <c r="B280" t="str">
        <f>$B$125</f>
        <v>IDR SM Equity</v>
      </c>
      <c r="C280" t="str">
        <f>$C$125</f>
        <v>RR005</v>
      </c>
      <c r="D280" t="str">
        <f>$D$125</f>
        <v>BS_TOT_LIAB2</v>
      </c>
      <c r="E280" t="str">
        <f>$E$125</f>
        <v>Dynamic</v>
      </c>
      <c r="F280">
        <f ca="1">_xll.BDH($B$125,$C$125,$B$163,$B$164,CONCATENATE("Per=",$B$161),"Dts=H","Dir=H",CONCATENATE("Points=",$B$162),"Sort=R","Days=A","Fill=B",CONCATENATE("FX=", $B$160),"cols=12;rows=1")</f>
        <v>3800.5738000000001</v>
      </c>
      <c r="G280">
        <v>3947.7986000000001</v>
      </c>
      <c r="H280">
        <v>3762.2982000000002</v>
      </c>
      <c r="I280">
        <v>3940.8154</v>
      </c>
      <c r="J280">
        <v>3870.5717</v>
      </c>
      <c r="K280">
        <v>3851.9638</v>
      </c>
      <c r="L280">
        <v>3921.8155000000002</v>
      </c>
      <c r="M280">
        <v>4037.6064999999999</v>
      </c>
      <c r="N280">
        <v>3936.8072999999999</v>
      </c>
      <c r="O280">
        <v>3868.2745</v>
      </c>
      <c r="P280">
        <v>3722.076</v>
      </c>
      <c r="Q280">
        <v>3575.6313</v>
      </c>
      <c r="R280" t="str">
        <f>""</f>
        <v/>
      </c>
      <c r="S280" t="str">
        <f>""</f>
        <v/>
      </c>
      <c r="T280" t="str">
        <f>""</f>
        <v/>
      </c>
      <c r="U280" t="str">
        <f>""</f>
        <v/>
      </c>
      <c r="V280" t="str">
        <f>""</f>
        <v/>
      </c>
      <c r="W280" t="str">
        <f>""</f>
        <v/>
      </c>
      <c r="X280" t="str">
        <f>""</f>
        <v/>
      </c>
      <c r="Y280" t="str">
        <f>""</f>
        <v/>
      </c>
      <c r="Z280" t="str">
        <f>""</f>
        <v/>
      </c>
      <c r="AA280" t="str">
        <f>""</f>
        <v/>
      </c>
      <c r="AB280" t="str">
        <f>""</f>
        <v/>
      </c>
      <c r="AC280" t="str">
        <f>""</f>
        <v/>
      </c>
    </row>
    <row r="281" spans="1:29" x14ac:dyDescent="0.25">
      <c r="A281" t="str">
        <f>$A$126</f>
        <v xml:space="preserve">    Infosys Ltd</v>
      </c>
      <c r="B281" t="str">
        <f>$B$126</f>
        <v>INFY US Equity</v>
      </c>
      <c r="C281" t="str">
        <f>$C$126</f>
        <v>RR005</v>
      </c>
      <c r="D281" t="str">
        <f>$D$126</f>
        <v>BS_TOT_LIAB2</v>
      </c>
      <c r="E281" t="str">
        <f>$E$126</f>
        <v>Dynamic</v>
      </c>
      <c r="F281">
        <f ca="1">_xll.BDH($B$126,$C$126,$B$163,$B$164,CONCATENATE("Per=",$B$161),"Dts=H","Dir=H",CONCATENATE("Points=",$B$162),"Sort=R","Days=A","Fill=B",CONCATENATE("FX=", $B$160),"cols=12;rows=1")</f>
        <v>3572.0682000000002</v>
      </c>
      <c r="G281">
        <v>3540.6356000000001</v>
      </c>
      <c r="H281">
        <v>3442.8352</v>
      </c>
      <c r="I281">
        <v>4185.0133999999998</v>
      </c>
      <c r="J281">
        <v>2846.3733999999999</v>
      </c>
      <c r="K281">
        <v>2555.8904000000002</v>
      </c>
      <c r="L281">
        <v>2298.5686000000001</v>
      </c>
      <c r="M281">
        <v>2543.556</v>
      </c>
      <c r="N281">
        <v>2297.4249</v>
      </c>
      <c r="O281">
        <v>2346.2251999999999</v>
      </c>
      <c r="P281">
        <v>2464.8814000000002</v>
      </c>
      <c r="Q281">
        <v>2570.5704000000001</v>
      </c>
      <c r="R281" t="str">
        <f>""</f>
        <v/>
      </c>
      <c r="S281" t="str">
        <f>""</f>
        <v/>
      </c>
      <c r="T281" t="str">
        <f>""</f>
        <v/>
      </c>
      <c r="U281" t="str">
        <f>""</f>
        <v/>
      </c>
      <c r="V281" t="str">
        <f>""</f>
        <v/>
      </c>
      <c r="W281" t="str">
        <f>""</f>
        <v/>
      </c>
      <c r="X281" t="str">
        <f>""</f>
        <v/>
      </c>
      <c r="Y281" t="str">
        <f>""</f>
        <v/>
      </c>
      <c r="Z281" t="str">
        <f>""</f>
        <v/>
      </c>
      <c r="AA281" t="str">
        <f>""</f>
        <v/>
      </c>
      <c r="AB281" t="str">
        <f>""</f>
        <v/>
      </c>
      <c r="AC281" t="str">
        <f>""</f>
        <v/>
      </c>
    </row>
    <row r="282" spans="1:29" x14ac:dyDescent="0.25">
      <c r="A282" t="str">
        <f>$A$127</f>
        <v xml:space="preserve">    International Business Machines Corp</v>
      </c>
      <c r="B282" t="str">
        <f>$B$127</f>
        <v>IBM US Equity</v>
      </c>
      <c r="C282" t="str">
        <f>$C$127</f>
        <v>RR005</v>
      </c>
      <c r="D282" t="str">
        <f>$D$127</f>
        <v>BS_TOT_LIAB2</v>
      </c>
      <c r="E282" t="str">
        <f>$E$127</f>
        <v>Dynamic</v>
      </c>
      <c r="F282">
        <f ca="1">_xll.BDH($B$127,$C$127,$B$163,$B$164,CONCATENATE("Per=",$B$161),"Dts=H","Dir=H",CONCATENATE("Points=",$B$162),"Sort=R","Days=A","Fill=B",CONCATENATE("FX=", $B$160),"cols=12;rows=1")</f>
        <v>133275</v>
      </c>
      <c r="G282">
        <v>131202</v>
      </c>
      <c r="H282">
        <v>131524</v>
      </c>
      <c r="I282">
        <v>136876</v>
      </c>
      <c r="J282">
        <v>114320</v>
      </c>
      <c r="K282">
        <v>106452</v>
      </c>
      <c r="L282">
        <v>102071</v>
      </c>
      <c r="M282">
        <v>102974</v>
      </c>
      <c r="N282">
        <v>106995</v>
      </c>
      <c r="O282">
        <v>107631</v>
      </c>
      <c r="P282">
        <v>101879</v>
      </c>
      <c r="Q282">
        <v>101951</v>
      </c>
      <c r="R282" t="str">
        <f>""</f>
        <v/>
      </c>
      <c r="S282" t="str">
        <f>""</f>
        <v/>
      </c>
      <c r="T282" t="str">
        <f>""</f>
        <v/>
      </c>
      <c r="U282" t="str">
        <f>""</f>
        <v/>
      </c>
      <c r="V282" t="str">
        <f>""</f>
        <v/>
      </c>
      <c r="W282" t="str">
        <f>""</f>
        <v/>
      </c>
      <c r="X282" t="str">
        <f>""</f>
        <v/>
      </c>
      <c r="Y282" t="str">
        <f>""</f>
        <v/>
      </c>
      <c r="Z282" t="str">
        <f>""</f>
        <v/>
      </c>
      <c r="AA282" t="str">
        <f>""</f>
        <v/>
      </c>
      <c r="AB282" t="str">
        <f>""</f>
        <v/>
      </c>
      <c r="AC282" t="str">
        <f>""</f>
        <v/>
      </c>
    </row>
    <row r="283" spans="1:29" x14ac:dyDescent="0.25">
      <c r="A283" t="str">
        <f>$A$128</f>
        <v xml:space="preserve">    Tata Consultancy Services Ltd</v>
      </c>
      <c r="B283" t="str">
        <f>$B$128</f>
        <v>TCS IN Equity</v>
      </c>
      <c r="C283" t="str">
        <f>$C$128</f>
        <v>RR005</v>
      </c>
      <c r="D283" t="str">
        <f>$D$128</f>
        <v>BS_TOT_LIAB2</v>
      </c>
      <c r="E283" t="str">
        <f>$E$128</f>
        <v>Dynamic</v>
      </c>
      <c r="F283">
        <f ca="1">_xll.BDH($B$128,$C$128,$B$163,$B$164,CONCATENATE("Per=",$B$161),"Dts=H","Dir=H",CONCATENATE("Points=",$B$162),"Sort=R","Days=A","Fill=B",CONCATENATE("FX=", $B$160),"cols=12;rows=1")</f>
        <v>4796.1026000000002</v>
      </c>
      <c r="G283">
        <v>4671.9879000000001</v>
      </c>
      <c r="H283">
        <v>4496.4871000000003</v>
      </c>
      <c r="I283">
        <v>4684.3829999999998</v>
      </c>
      <c r="J283">
        <v>3612.6381999999999</v>
      </c>
      <c r="K283">
        <v>3440.5223000000001</v>
      </c>
      <c r="L283">
        <v>3499.8173999999999</v>
      </c>
      <c r="M283">
        <v>3427.0902000000001</v>
      </c>
      <c r="N283">
        <v>3187.7806</v>
      </c>
      <c r="O283">
        <v>2884.8186999999998</v>
      </c>
      <c r="P283">
        <v>2838.4086000000002</v>
      </c>
      <c r="Q283">
        <v>2671.4681</v>
      </c>
      <c r="R283" t="str">
        <f>""</f>
        <v/>
      </c>
      <c r="S283" t="str">
        <f>""</f>
        <v/>
      </c>
      <c r="T283" t="str">
        <f>""</f>
        <v/>
      </c>
      <c r="U283" t="str">
        <f>""</f>
        <v/>
      </c>
      <c r="V283" t="str">
        <f>""</f>
        <v/>
      </c>
      <c r="W283" t="str">
        <f>""</f>
        <v/>
      </c>
      <c r="X283" t="str">
        <f>""</f>
        <v/>
      </c>
      <c r="Y283" t="str">
        <f>""</f>
        <v/>
      </c>
      <c r="Z283" t="str">
        <f>""</f>
        <v/>
      </c>
      <c r="AA283" t="str">
        <f>""</f>
        <v/>
      </c>
      <c r="AB283" t="str">
        <f>""</f>
        <v/>
      </c>
      <c r="AC283" t="str">
        <f>""</f>
        <v/>
      </c>
    </row>
    <row r="284" spans="1:29" x14ac:dyDescent="0.25">
      <c r="A284" t="str">
        <f>$A$129</f>
        <v xml:space="preserve">    Tech Mahindra Ltd</v>
      </c>
      <c r="B284" t="str">
        <f>$B$129</f>
        <v>TECHM IN Equity</v>
      </c>
      <c r="C284" t="str">
        <f>$C$129</f>
        <v>RR005</v>
      </c>
      <c r="D284" t="str">
        <f>$D$129</f>
        <v>BS_TOT_LIAB2</v>
      </c>
      <c r="E284" t="str">
        <f>$E$129</f>
        <v>Dynamic</v>
      </c>
      <c r="F284">
        <f ca="1">_xll.BDH($B$129,$C$129,$B$163,$B$164,CONCATENATE("Per=",$B$161),"Dts=H","Dir=H",CONCATENATE("Points=",$B$162),"Sort=R","Days=A","Fill=B",CONCATENATE("FX=", $B$160),"cols=12;rows=1")</f>
        <v>2009.605</v>
      </c>
      <c r="G284">
        <v>1844.6180999999999</v>
      </c>
      <c r="H284">
        <v>1755.6478</v>
      </c>
      <c r="I284">
        <v>1739.5821000000001</v>
      </c>
      <c r="J284">
        <v>1829.8033</v>
      </c>
      <c r="K284">
        <v>1623.1741</v>
      </c>
      <c r="L284">
        <v>1705.9373000000001</v>
      </c>
      <c r="M284">
        <v>1657.0718999999999</v>
      </c>
      <c r="N284">
        <v>1701.7001</v>
      </c>
      <c r="O284">
        <v>1669.8276000000001</v>
      </c>
      <c r="P284">
        <v>1539.0619999999999</v>
      </c>
      <c r="Q284">
        <v>1592.0018</v>
      </c>
      <c r="R284" t="str">
        <f>""</f>
        <v/>
      </c>
      <c r="S284" t="str">
        <f>""</f>
        <v/>
      </c>
      <c r="T284" t="str">
        <f>""</f>
        <v/>
      </c>
      <c r="U284" t="str">
        <f>""</f>
        <v/>
      </c>
      <c r="V284" t="str">
        <f>""</f>
        <v/>
      </c>
      <c r="W284" t="str">
        <f>""</f>
        <v/>
      </c>
      <c r="X284" t="str">
        <f>""</f>
        <v/>
      </c>
      <c r="Y284" t="str">
        <f>""</f>
        <v/>
      </c>
      <c r="Z284" t="str">
        <f>""</f>
        <v/>
      </c>
      <c r="AA284" t="str">
        <f>""</f>
        <v/>
      </c>
      <c r="AB284" t="str">
        <f>""</f>
        <v/>
      </c>
      <c r="AC284" t="str">
        <f>""</f>
        <v/>
      </c>
    </row>
    <row r="285" spans="1:29" x14ac:dyDescent="0.25">
      <c r="A285" t="str">
        <f>$A$130</f>
        <v xml:space="preserve">    Wipro Ltd</v>
      </c>
      <c r="B285" t="str">
        <f>$B$130</f>
        <v>WIT US Equity</v>
      </c>
      <c r="C285" t="str">
        <f>$C$130</f>
        <v>RR005</v>
      </c>
      <c r="D285" t="str">
        <f>$D$130</f>
        <v>BS_TOT_LIAB2</v>
      </c>
      <c r="E285" t="str">
        <f>$E$130</f>
        <v>Dynamic</v>
      </c>
      <c r="F285">
        <f ca="1">_xll.BDH($B$130,$C$130,$B$163,$B$164,CONCATENATE("Per=",$B$161),"Dts=H","Dir=H",CONCATENATE("Points=",$B$162),"Sort=R","Days=A","Fill=B",CONCATENATE("FX=", $B$160),"cols=12;rows=1")</f>
        <v>3419.3492000000001</v>
      </c>
      <c r="G285">
        <v>3790.9708000000001</v>
      </c>
      <c r="H285">
        <v>3767.1381000000001</v>
      </c>
      <c r="I285">
        <v>4069.2676000000001</v>
      </c>
      <c r="J285">
        <v>3785.4227999999998</v>
      </c>
      <c r="K285">
        <v>3716.5016999999998</v>
      </c>
      <c r="L285">
        <v>3840.1367</v>
      </c>
      <c r="M285">
        <v>3817.5976999999998</v>
      </c>
      <c r="N285">
        <v>4226.0276000000003</v>
      </c>
      <c r="O285">
        <v>4207.3717999999999</v>
      </c>
      <c r="P285">
        <v>4259.1431000000002</v>
      </c>
      <c r="Q285">
        <v>4448.1652999999997</v>
      </c>
      <c r="R285" t="str">
        <f>""</f>
        <v/>
      </c>
      <c r="S285" t="str">
        <f>""</f>
        <v/>
      </c>
      <c r="T285" t="str">
        <f>""</f>
        <v/>
      </c>
      <c r="U285" t="str">
        <f>""</f>
        <v/>
      </c>
      <c r="V285" t="str">
        <f>""</f>
        <v/>
      </c>
      <c r="W285" t="str">
        <f>""</f>
        <v/>
      </c>
      <c r="X285" t="str">
        <f>""</f>
        <v/>
      </c>
      <c r="Y285" t="str">
        <f>""</f>
        <v/>
      </c>
      <c r="Z285" t="str">
        <f>""</f>
        <v/>
      </c>
      <c r="AA285" t="str">
        <f>""</f>
        <v/>
      </c>
      <c r="AB285" t="str">
        <f>""</f>
        <v/>
      </c>
      <c r="AC285" t="str">
        <f>""</f>
        <v/>
      </c>
    </row>
    <row r="286" spans="1:29" x14ac:dyDescent="0.25">
      <c r="A286" t="str">
        <f>$A$132</f>
        <v xml:space="preserve">    Accenture PLC</v>
      </c>
      <c r="B286" t="str">
        <f>$B$132</f>
        <v>ACN US Equity</v>
      </c>
      <c r="C286" t="str">
        <f>$C$132</f>
        <v>RR007</v>
      </c>
      <c r="D286" t="str">
        <f>$D$132</f>
        <v>TOTAL_EQUITY</v>
      </c>
      <c r="E286" t="str">
        <f>$E$132</f>
        <v>Dynamic</v>
      </c>
      <c r="F286">
        <f ca="1">_xll.BDH($B$132,$C$132,$B$163,$B$164,CONCATENATE("Per=",$B$161),"Dts=H","Dir=H",CONCATENATE("Points=",$B$162),"Sort=R","Days=A","Fill=B",CONCATENATE("FX=", $B$160),"cols=12;rows=1")</f>
        <v>15920.806</v>
      </c>
      <c r="G286">
        <v>15601.208000000001</v>
      </c>
      <c r="H286">
        <v>14827.691000000001</v>
      </c>
      <c r="I286">
        <v>14142.958000000001</v>
      </c>
      <c r="J286">
        <v>13728.545</v>
      </c>
      <c r="K286">
        <v>13055.567999999999</v>
      </c>
      <c r="L286">
        <v>10724.588</v>
      </c>
      <c r="M286">
        <v>10152.736000000001</v>
      </c>
      <c r="N286">
        <v>10438.425999999999</v>
      </c>
      <c r="O286">
        <v>9893.4369999999999</v>
      </c>
      <c r="P286">
        <v>9710.2000000000007</v>
      </c>
      <c r="Q286">
        <v>8876.66</v>
      </c>
      <c r="R286" t="str">
        <f>""</f>
        <v/>
      </c>
      <c r="S286" t="str">
        <f>""</f>
        <v/>
      </c>
      <c r="T286" t="str">
        <f>""</f>
        <v/>
      </c>
      <c r="U286" t="str">
        <f>""</f>
        <v/>
      </c>
      <c r="V286" t="str">
        <f>""</f>
        <v/>
      </c>
      <c r="W286" t="str">
        <f>""</f>
        <v/>
      </c>
      <c r="X286" t="str">
        <f>""</f>
        <v/>
      </c>
      <c r="Y286" t="str">
        <f>""</f>
        <v/>
      </c>
      <c r="Z286" t="str">
        <f>""</f>
        <v/>
      </c>
      <c r="AA286" t="str">
        <f>""</f>
        <v/>
      </c>
      <c r="AB286" t="str">
        <f>""</f>
        <v/>
      </c>
      <c r="AC286" t="str">
        <f>""</f>
        <v/>
      </c>
    </row>
    <row r="287" spans="1:29" x14ac:dyDescent="0.25">
      <c r="A287" t="str">
        <f>$A$133</f>
        <v xml:space="preserve">    Amdocs Ltd</v>
      </c>
      <c r="B287" t="str">
        <f>$B$133</f>
        <v>DOX US Equity</v>
      </c>
      <c r="C287" t="str">
        <f>$C$133</f>
        <v>RR007</v>
      </c>
      <c r="D287" t="str">
        <f>$D$133</f>
        <v>TOTAL_EQUITY</v>
      </c>
      <c r="E287" t="str">
        <f>$E$133</f>
        <v>Dynamic</v>
      </c>
      <c r="F287">
        <f ca="1">_xll.BDH($B$133,$C$133,$B$163,$B$164,CONCATENATE("Per=",$B$161),"Dts=H","Dir=H",CONCATENATE("Points=",$B$162),"Sort=R","Days=A","Fill=B",CONCATENATE("FX=", $B$160),"cols=12;rows=1")</f>
        <v>3578.8119999999999</v>
      </c>
      <c r="G287">
        <v>3581.8040000000001</v>
      </c>
      <c r="H287">
        <v>3542.4659999999999</v>
      </c>
      <c r="I287">
        <v>3527.6849999999999</v>
      </c>
      <c r="J287">
        <v>3492.7869999999998</v>
      </c>
      <c r="K287">
        <v>3499.16</v>
      </c>
      <c r="L287">
        <v>3492.0419999999999</v>
      </c>
      <c r="M287">
        <v>3562.8690000000001</v>
      </c>
      <c r="N287">
        <v>3606.2170000000001</v>
      </c>
      <c r="O287">
        <v>3627.8919999999998</v>
      </c>
      <c r="P287">
        <v>3574.07</v>
      </c>
      <c r="Q287">
        <v>3581.6889999999999</v>
      </c>
      <c r="R287" t="str">
        <f>""</f>
        <v/>
      </c>
      <c r="S287" t="str">
        <f>""</f>
        <v/>
      </c>
      <c r="T287" t="str">
        <f>""</f>
        <v/>
      </c>
      <c r="U287" t="str">
        <f>""</f>
        <v/>
      </c>
      <c r="V287" t="str">
        <f>""</f>
        <v/>
      </c>
      <c r="W287" t="str">
        <f>""</f>
        <v/>
      </c>
      <c r="X287" t="str">
        <f>""</f>
        <v/>
      </c>
      <c r="Y287" t="str">
        <f>""</f>
        <v/>
      </c>
      <c r="Z287" t="str">
        <f>""</f>
        <v/>
      </c>
      <c r="AA287" t="str">
        <f>""</f>
        <v/>
      </c>
      <c r="AB287" t="str">
        <f>""</f>
        <v/>
      </c>
      <c r="AC287" t="str">
        <f>""</f>
        <v/>
      </c>
    </row>
    <row r="288" spans="1:29" x14ac:dyDescent="0.25">
      <c r="A288" t="str">
        <f>$A$134</f>
        <v xml:space="preserve">    Atos SE</v>
      </c>
      <c r="B288" t="str">
        <f>$B$134</f>
        <v>ATO FP Equity</v>
      </c>
      <c r="C288" t="str">
        <f>$C$134</f>
        <v>RR007</v>
      </c>
      <c r="D288" t="str">
        <f>$D$134</f>
        <v>TOTAL_EQUITY</v>
      </c>
      <c r="E288" t="str">
        <f>$E$134</f>
        <v>Dynamic</v>
      </c>
      <c r="F288" t="str">
        <f ca="1">_xll.BDH($B$134,$C$134,$B$163,$B$164,CONCATENATE("Per=",$B$161),"Dts=H","Dir=H",CONCATENATE("Points=",$B$162),"Sort=R","Days=A","Fill=B",CONCATENATE("FX=", $B$160) )</f>
        <v/>
      </c>
      <c r="R288" t="str">
        <f>""</f>
        <v/>
      </c>
      <c r="S288" t="str">
        <f>""</f>
        <v/>
      </c>
      <c r="T288" t="str">
        <f>""</f>
        <v/>
      </c>
      <c r="U288" t="str">
        <f>""</f>
        <v/>
      </c>
      <c r="V288" t="str">
        <f>""</f>
        <v/>
      </c>
      <c r="W288" t="str">
        <f>""</f>
        <v/>
      </c>
      <c r="X288" t="str">
        <f>""</f>
        <v/>
      </c>
      <c r="Y288" t="str">
        <f>""</f>
        <v/>
      </c>
      <c r="Z288" t="str">
        <f>""</f>
        <v/>
      </c>
      <c r="AA288" t="str">
        <f>""</f>
        <v/>
      </c>
      <c r="AB288" t="str">
        <f>""</f>
        <v/>
      </c>
      <c r="AC288" t="str">
        <f>""</f>
        <v/>
      </c>
    </row>
    <row r="289" spans="1:29" x14ac:dyDescent="0.25">
      <c r="A289" t="str">
        <f>$A$135</f>
        <v xml:space="preserve">    Capgemini SE</v>
      </c>
      <c r="B289" t="str">
        <f>$B$135</f>
        <v>CAP FP Equity</v>
      </c>
      <c r="C289" t="str">
        <f>$C$135</f>
        <v>RR007</v>
      </c>
      <c r="D289" t="str">
        <f>$D$135</f>
        <v>TOTAL_EQUITY</v>
      </c>
      <c r="E289" t="str">
        <f>$E$135</f>
        <v>Dynamic</v>
      </c>
      <c r="F289" t="str">
        <f ca="1">_xll.BDH($B$135,$C$135,$B$163,$B$164,CONCATENATE("Per=",$B$161),"Dts=H","Dir=H",CONCATENATE("Points=",$B$162),"Sort=R","Days=A","Fill=B",CONCATENATE("FX=", $B$160),"cols=12;rows=1")</f>
        <v/>
      </c>
      <c r="G289">
        <v>9453.6951000000008</v>
      </c>
      <c r="R289" t="str">
        <f>""</f>
        <v/>
      </c>
      <c r="S289" t="str">
        <f>""</f>
        <v/>
      </c>
      <c r="T289" t="str">
        <f>""</f>
        <v/>
      </c>
      <c r="U289" t="str">
        <f>""</f>
        <v/>
      </c>
      <c r="V289" t="str">
        <f>""</f>
        <v/>
      </c>
      <c r="W289" t="str">
        <f>""</f>
        <v/>
      </c>
      <c r="X289" t="str">
        <f>""</f>
        <v/>
      </c>
      <c r="Y289" t="str">
        <f>""</f>
        <v/>
      </c>
      <c r="Z289" t="str">
        <f>""</f>
        <v/>
      </c>
      <c r="AA289" t="str">
        <f>""</f>
        <v/>
      </c>
      <c r="AB289" t="str">
        <f>""</f>
        <v/>
      </c>
      <c r="AC289" t="str">
        <f>""</f>
        <v/>
      </c>
    </row>
    <row r="290" spans="1:29" x14ac:dyDescent="0.25">
      <c r="A290" t="str">
        <f>$A$136</f>
        <v xml:space="preserve">    CGI Inc</v>
      </c>
      <c r="B290" t="str">
        <f>$B$136</f>
        <v>GIB US Equity</v>
      </c>
      <c r="C290" t="str">
        <f>$C$136</f>
        <v>RR007</v>
      </c>
      <c r="D290" t="str">
        <f>$D$136</f>
        <v>TOTAL_EQUITY</v>
      </c>
      <c r="E290" t="str">
        <f>$E$136</f>
        <v>Dynamic</v>
      </c>
      <c r="F290">
        <f ca="1">_xll.BDH($B$136,$C$136,$B$163,$B$164,CONCATENATE("Per=",$B$161),"Dts=H","Dir=H",CONCATENATE("Points=",$B$162),"Sort=R","Days=A","Fill=B",CONCATENATE("FX=", $B$160),"cols=12;rows=1")</f>
        <v>4764.9521000000004</v>
      </c>
      <c r="G290">
        <v>5459.0807999999997</v>
      </c>
      <c r="H290">
        <v>5199.0808999999999</v>
      </c>
      <c r="I290">
        <v>5094.9315999999999</v>
      </c>
      <c r="J290">
        <v>5223.4772000000003</v>
      </c>
      <c r="K290">
        <v>5088.0673999999999</v>
      </c>
      <c r="L290">
        <v>5166.4016000000001</v>
      </c>
      <c r="M290">
        <v>5119.4264000000003</v>
      </c>
      <c r="N290">
        <v>5317.0307000000003</v>
      </c>
      <c r="O290">
        <v>5231.1647000000003</v>
      </c>
      <c r="P290">
        <v>4968.4603999999999</v>
      </c>
      <c r="Q290">
        <v>5112.7287999999999</v>
      </c>
      <c r="R290" t="str">
        <f>""</f>
        <v/>
      </c>
      <c r="S290" t="str">
        <f>""</f>
        <v/>
      </c>
      <c r="T290" t="str">
        <f>""</f>
        <v/>
      </c>
      <c r="U290" t="str">
        <f>""</f>
        <v/>
      </c>
      <c r="V290" t="str">
        <f>""</f>
        <v/>
      </c>
      <c r="W290" t="str">
        <f>""</f>
        <v/>
      </c>
      <c r="X290" t="str">
        <f>""</f>
        <v/>
      </c>
      <c r="Y290" t="str">
        <f>""</f>
        <v/>
      </c>
      <c r="Z290" t="str">
        <f>""</f>
        <v/>
      </c>
      <c r="AA290" t="str">
        <f>""</f>
        <v/>
      </c>
      <c r="AB290" t="str">
        <f>""</f>
        <v/>
      </c>
      <c r="AC290" t="str">
        <f>""</f>
        <v/>
      </c>
    </row>
    <row r="291" spans="1:29" x14ac:dyDescent="0.25">
      <c r="A291" t="str">
        <f>$A$137</f>
        <v xml:space="preserve">    Cognizant Technology Solutions Corp</v>
      </c>
      <c r="B291" t="str">
        <f>$B$137</f>
        <v>CTSH US Equity</v>
      </c>
      <c r="C291" t="str">
        <f>$C$137</f>
        <v>RR007</v>
      </c>
      <c r="D291" t="str">
        <f>$D$137</f>
        <v>TOTAL_EQUITY</v>
      </c>
      <c r="E291" t="str">
        <f>$E$137</f>
        <v>Dynamic</v>
      </c>
      <c r="F291">
        <f ca="1">_xll.BDH($B$137,$C$137,$B$163,$B$164,CONCATENATE("Per=",$B$161),"Dts=H","Dir=H",CONCATENATE("Points=",$B$162),"Sort=R","Days=A","Fill=B",CONCATENATE("FX=", $B$160),"cols=12;rows=1")</f>
        <v>10613</v>
      </c>
      <c r="G291">
        <v>11022</v>
      </c>
      <c r="H291">
        <v>10702</v>
      </c>
      <c r="I291">
        <v>10557</v>
      </c>
      <c r="J291">
        <v>11136</v>
      </c>
      <c r="K291">
        <v>11424</v>
      </c>
      <c r="L291">
        <v>10978</v>
      </c>
      <c r="M291">
        <v>10648</v>
      </c>
      <c r="N291">
        <v>10988</v>
      </c>
      <c r="O291">
        <v>10669</v>
      </c>
      <c r="P291">
        <v>10979</v>
      </c>
      <c r="Q291">
        <v>10483</v>
      </c>
      <c r="R291" t="str">
        <f>""</f>
        <v/>
      </c>
      <c r="S291" t="str">
        <f>""</f>
        <v/>
      </c>
      <c r="T291" t="str">
        <f>""</f>
        <v/>
      </c>
      <c r="U291" t="str">
        <f>""</f>
        <v/>
      </c>
      <c r="V291" t="str">
        <f>""</f>
        <v/>
      </c>
      <c r="W291" t="str">
        <f>""</f>
        <v/>
      </c>
      <c r="X291" t="str">
        <f>""</f>
        <v/>
      </c>
      <c r="Y291" t="str">
        <f>""</f>
        <v/>
      </c>
      <c r="Z291" t="str">
        <f>""</f>
        <v/>
      </c>
      <c r="AA291" t="str">
        <f>""</f>
        <v/>
      </c>
      <c r="AB291" t="str">
        <f>""</f>
        <v/>
      </c>
      <c r="AC291" t="str">
        <f>""</f>
        <v/>
      </c>
    </row>
    <row r="292" spans="1:29" x14ac:dyDescent="0.25">
      <c r="A292" t="str">
        <f>$A$138</f>
        <v xml:space="preserve">    Conduent Inc</v>
      </c>
      <c r="B292" t="str">
        <f>$B$138</f>
        <v>CNDT US Equity</v>
      </c>
      <c r="C292" t="str">
        <f>$C$138</f>
        <v>RR007</v>
      </c>
      <c r="D292" t="str">
        <f>$D$138</f>
        <v>TOTAL_EQUITY</v>
      </c>
      <c r="E292" t="str">
        <f>$E$138</f>
        <v>Dynamic</v>
      </c>
      <c r="F292">
        <f ca="1">_xll.BDH($B$138,$C$138,$B$163,$B$164,CONCATENATE("Per=",$B$161),"Dts=H","Dir=H",CONCATENATE("Points=",$B$162),"Sort=R","Days=A","Fill=B",CONCATENATE("FX=", $B$160),"cols=12;rows=1")</f>
        <v>1362</v>
      </c>
      <c r="G292">
        <v>1442</v>
      </c>
      <c r="H292">
        <v>2010</v>
      </c>
      <c r="I292">
        <v>2043</v>
      </c>
      <c r="J292">
        <v>3069</v>
      </c>
      <c r="K292">
        <v>3364</v>
      </c>
      <c r="L292">
        <v>3501</v>
      </c>
      <c r="M292">
        <v>3641</v>
      </c>
      <c r="N292">
        <v>3652</v>
      </c>
      <c r="O292">
        <v>3671</v>
      </c>
      <c r="P292">
        <v>3454</v>
      </c>
      <c r="Q292">
        <v>3459</v>
      </c>
      <c r="R292" t="str">
        <f>""</f>
        <v/>
      </c>
      <c r="S292" t="str">
        <f>""</f>
        <v/>
      </c>
      <c r="T292" t="str">
        <f>""</f>
        <v/>
      </c>
      <c r="U292" t="str">
        <f>""</f>
        <v/>
      </c>
      <c r="V292" t="str">
        <f>""</f>
        <v/>
      </c>
      <c r="W292" t="str">
        <f>""</f>
        <v/>
      </c>
      <c r="X292" t="str">
        <f>""</f>
        <v/>
      </c>
      <c r="Y292" t="str">
        <f>""</f>
        <v/>
      </c>
      <c r="Z292" t="str">
        <f>""</f>
        <v/>
      </c>
      <c r="AA292" t="str">
        <f>""</f>
        <v/>
      </c>
      <c r="AB292" t="str">
        <f>""</f>
        <v/>
      </c>
      <c r="AC292" t="str">
        <f>""</f>
        <v/>
      </c>
    </row>
    <row r="293" spans="1:29" x14ac:dyDescent="0.25">
      <c r="A293" t="str">
        <f>$A$139</f>
        <v xml:space="preserve">    DXC Technology Co</v>
      </c>
      <c r="B293" t="str">
        <f>$B$139</f>
        <v>DXC US Equity</v>
      </c>
      <c r="C293" t="str">
        <f>$C$139</f>
        <v>RR007</v>
      </c>
      <c r="D293" t="str">
        <f>$D$139</f>
        <v>TOTAL_EQUITY</v>
      </c>
      <c r="E293" t="str">
        <f>$E$139</f>
        <v>Dynamic</v>
      </c>
      <c r="F293">
        <f ca="1">_xll.BDH($B$139,$C$139,$B$163,$B$164,CONCATENATE("Per=",$B$161),"Dts=H","Dir=H",CONCATENATE("Points=",$B$162),"Sort=R","Days=A","Fill=B",CONCATENATE("FX=", $B$160),"cols=12;rows=1")</f>
        <v>5129</v>
      </c>
      <c r="G293">
        <v>9101</v>
      </c>
      <c r="H293">
        <v>8870</v>
      </c>
      <c r="I293">
        <v>11217</v>
      </c>
      <c r="J293">
        <v>11725</v>
      </c>
      <c r="K293">
        <v>11356</v>
      </c>
      <c r="L293">
        <v>11837</v>
      </c>
      <c r="M293">
        <v>11814</v>
      </c>
      <c r="N293">
        <v>13837</v>
      </c>
      <c r="O293">
        <v>13202</v>
      </c>
      <c r="P293">
        <v>12507</v>
      </c>
      <c r="Q293">
        <v>12345</v>
      </c>
      <c r="R293" t="str">
        <f>""</f>
        <v/>
      </c>
      <c r="S293" t="str">
        <f>""</f>
        <v/>
      </c>
      <c r="T293" t="str">
        <f>""</f>
        <v/>
      </c>
      <c r="U293" t="str">
        <f>""</f>
        <v/>
      </c>
      <c r="V293" t="str">
        <f>""</f>
        <v/>
      </c>
      <c r="W293" t="str">
        <f>""</f>
        <v/>
      </c>
      <c r="X293" t="str">
        <f>""</f>
        <v/>
      </c>
      <c r="Y293" t="str">
        <f>""</f>
        <v/>
      </c>
      <c r="Z293" t="str">
        <f>""</f>
        <v/>
      </c>
      <c r="AA293" t="str">
        <f>""</f>
        <v/>
      </c>
      <c r="AB293" t="str">
        <f>""</f>
        <v/>
      </c>
      <c r="AC293" t="str">
        <f>""</f>
        <v/>
      </c>
    </row>
    <row r="294" spans="1:29" x14ac:dyDescent="0.25">
      <c r="A294" t="str">
        <f>$A$140</f>
        <v xml:space="preserve">    EPAM Systems Inc</v>
      </c>
      <c r="B294" t="str">
        <f>$B$140</f>
        <v>EPAM US Equity</v>
      </c>
      <c r="C294" t="str">
        <f>$C$140</f>
        <v>RR007</v>
      </c>
      <c r="D294" t="str">
        <f>$D$140</f>
        <v>TOTAL_EQUITY</v>
      </c>
      <c r="E294" t="str">
        <f>$E$140</f>
        <v>Dynamic</v>
      </c>
      <c r="F294">
        <f ca="1">_xll.BDH($B$140,$C$140,$B$163,$B$164,CONCATENATE("Per=",$B$161),"Dts=H","Dir=H",CONCATENATE("Points=",$B$162),"Sort=R","Days=A","Fill=B",CONCATENATE("FX=", $B$160),"cols=12;rows=1")</f>
        <v>1647.482</v>
      </c>
      <c r="G294">
        <v>1596.145</v>
      </c>
      <c r="H294">
        <v>1492.117</v>
      </c>
      <c r="I294">
        <v>1422.2470000000001</v>
      </c>
      <c r="J294">
        <v>1338.2249999999999</v>
      </c>
      <c r="K294">
        <v>1262.596</v>
      </c>
      <c r="L294">
        <v>1195.9349999999999</v>
      </c>
      <c r="M294">
        <v>1112.8030000000001</v>
      </c>
      <c r="N294">
        <v>1055.348</v>
      </c>
      <c r="O294">
        <v>974.947</v>
      </c>
      <c r="P294">
        <v>985.14499999999998</v>
      </c>
      <c r="Q294">
        <v>919.70600000000002</v>
      </c>
      <c r="R294" t="str">
        <f>""</f>
        <v/>
      </c>
      <c r="S294" t="str">
        <f>""</f>
        <v/>
      </c>
      <c r="T294" t="str">
        <f>""</f>
        <v/>
      </c>
      <c r="U294" t="str">
        <f>""</f>
        <v/>
      </c>
      <c r="V294" t="str">
        <f>""</f>
        <v/>
      </c>
      <c r="W294" t="str">
        <f>""</f>
        <v/>
      </c>
      <c r="X294" t="str">
        <f>""</f>
        <v/>
      </c>
      <c r="Y294" t="str">
        <f>""</f>
        <v/>
      </c>
      <c r="Z294" t="str">
        <f>""</f>
        <v/>
      </c>
      <c r="AA294" t="str">
        <f>""</f>
        <v/>
      </c>
      <c r="AB294" t="str">
        <f>""</f>
        <v/>
      </c>
      <c r="AC294" t="str">
        <f>""</f>
        <v/>
      </c>
    </row>
    <row r="295" spans="1:29" x14ac:dyDescent="0.25">
      <c r="A295" t="str">
        <f>$A$141</f>
        <v xml:space="preserve">    Genpact Ltd</v>
      </c>
      <c r="B295" t="str">
        <f>$B$141</f>
        <v>G US Equity</v>
      </c>
      <c r="C295" t="str">
        <f>$C$141</f>
        <v>RR007</v>
      </c>
      <c r="D295" t="str">
        <f>$D$141</f>
        <v>TOTAL_EQUITY</v>
      </c>
      <c r="E295" t="str">
        <f>$E$141</f>
        <v>Dynamic</v>
      </c>
      <c r="F295">
        <f ca="1">_xll.BDH($B$141,$C$141,$B$163,$B$164,CONCATENATE("Per=",$B$161),"Dts=H","Dir=H",CONCATENATE("Points=",$B$162),"Sort=R","Days=A","Fill=B",CONCATENATE("FX=", $B$160),"cols=12;rows=1")</f>
        <v>1573.079</v>
      </c>
      <c r="G295">
        <v>1689.171</v>
      </c>
      <c r="H295">
        <v>1605.684</v>
      </c>
      <c r="I295">
        <v>1583.37</v>
      </c>
      <c r="J295">
        <v>1495.1690000000001</v>
      </c>
      <c r="K295">
        <v>1404.182</v>
      </c>
      <c r="L295">
        <v>1285.018</v>
      </c>
      <c r="M295">
        <v>1296.425</v>
      </c>
      <c r="N295">
        <v>1365.9970000000001</v>
      </c>
      <c r="O295">
        <v>1428.7940000000001</v>
      </c>
      <c r="P295">
        <v>1318.192</v>
      </c>
      <c r="Q295">
        <v>1263.0999999999999</v>
      </c>
      <c r="R295" t="str">
        <f>""</f>
        <v/>
      </c>
      <c r="S295" t="str">
        <f>""</f>
        <v/>
      </c>
      <c r="T295" t="str">
        <f>""</f>
        <v/>
      </c>
      <c r="U295" t="str">
        <f>""</f>
        <v/>
      </c>
      <c r="V295" t="str">
        <f>""</f>
        <v/>
      </c>
      <c r="W295" t="str">
        <f>""</f>
        <v/>
      </c>
      <c r="X295" t="str">
        <f>""</f>
        <v/>
      </c>
      <c r="Y295" t="str">
        <f>""</f>
        <v/>
      </c>
      <c r="Z295" t="str">
        <f>""</f>
        <v/>
      </c>
      <c r="AA295" t="str">
        <f>""</f>
        <v/>
      </c>
      <c r="AB295" t="str">
        <f>""</f>
        <v/>
      </c>
      <c r="AC295" t="str">
        <f>""</f>
        <v/>
      </c>
    </row>
    <row r="296" spans="1:29" x14ac:dyDescent="0.25">
      <c r="A296" t="str">
        <f>$A$142</f>
        <v xml:space="preserve">    HCL Technologies Ltd</v>
      </c>
      <c r="B296" t="str">
        <f>$B$142</f>
        <v>HCLT IN Equity</v>
      </c>
      <c r="C296" t="str">
        <f>$C$142</f>
        <v>RR007</v>
      </c>
      <c r="D296" t="str">
        <f>$D$142</f>
        <v>TOTAL_EQUITY</v>
      </c>
      <c r="E296" t="str">
        <f>$E$142</f>
        <v>Dynamic</v>
      </c>
      <c r="F296">
        <f ca="1">_xll.BDH($B$142,$C$142,$B$163,$B$164,CONCATENATE("Per=",$B$161),"Dts=H","Dir=H",CONCATENATE("Points=",$B$162),"Sort=R","Days=A","Fill=B",CONCATENATE("FX=", $B$160),"cols=12;rows=1")</f>
        <v>6900.7160000000003</v>
      </c>
      <c r="G296">
        <v>6944</v>
      </c>
      <c r="H296">
        <v>6563.7</v>
      </c>
      <c r="I296">
        <v>6109.1</v>
      </c>
      <c r="J296">
        <v>6109.1189999999997</v>
      </c>
      <c r="K296">
        <v>5720.4</v>
      </c>
      <c r="L296">
        <v>5774.5</v>
      </c>
      <c r="M296">
        <v>5677.8</v>
      </c>
      <c r="N296">
        <v>5585.6008000000002</v>
      </c>
      <c r="O296">
        <v>5437.8</v>
      </c>
      <c r="P296">
        <v>5056</v>
      </c>
      <c r="Q296">
        <v>5374.9</v>
      </c>
      <c r="R296" t="str">
        <f>""</f>
        <v/>
      </c>
      <c r="S296" t="str">
        <f>""</f>
        <v/>
      </c>
      <c r="T296" t="str">
        <f>""</f>
        <v/>
      </c>
      <c r="U296" t="str">
        <f>""</f>
        <v/>
      </c>
      <c r="V296" t="str">
        <f>""</f>
        <v/>
      </c>
      <c r="W296" t="str">
        <f>""</f>
        <v/>
      </c>
      <c r="X296" t="str">
        <f>""</f>
        <v/>
      </c>
      <c r="Y296" t="str">
        <f>""</f>
        <v/>
      </c>
      <c r="Z296" t="str">
        <f>""</f>
        <v/>
      </c>
      <c r="AA296" t="str">
        <f>""</f>
        <v/>
      </c>
      <c r="AB296" t="str">
        <f>""</f>
        <v/>
      </c>
      <c r="AC296" t="str">
        <f>""</f>
        <v/>
      </c>
    </row>
    <row r="297" spans="1:29" x14ac:dyDescent="0.25">
      <c r="A297" t="str">
        <f>$A$143</f>
        <v xml:space="preserve">    Indra Sistemas SA</v>
      </c>
      <c r="B297" t="str">
        <f>$B$143</f>
        <v>IDR SM Equity</v>
      </c>
      <c r="C297" t="str">
        <f>$C$143</f>
        <v>RR007</v>
      </c>
      <c r="D297" t="str">
        <f>$D$143</f>
        <v>TOTAL_EQUITY</v>
      </c>
      <c r="E297" t="str">
        <f>$E$143</f>
        <v>Dynamic</v>
      </c>
      <c r="F297">
        <f ca="1">_xll.BDH($B$143,$C$143,$B$163,$B$164,CONCATENATE("Per=",$B$161),"Dts=H","Dir=H",CONCATENATE("Points=",$B$162),"Sort=R","Days=A","Fill=B",CONCATENATE("FX=", $B$160),"cols=12;rows=1")</f>
        <v>848.38739999999996</v>
      </c>
      <c r="G297">
        <v>899.16549999999995</v>
      </c>
      <c r="H297">
        <v>807.58519999999999</v>
      </c>
      <c r="I297">
        <v>817.33460000000002</v>
      </c>
      <c r="J297">
        <v>788.72410000000002</v>
      </c>
      <c r="K297">
        <v>776.08720000000005</v>
      </c>
      <c r="L297">
        <v>717.28060000000005</v>
      </c>
      <c r="M297">
        <v>705.07939999999996</v>
      </c>
      <c r="N297">
        <v>724.80029999999999</v>
      </c>
      <c r="O297">
        <v>780.13760000000002</v>
      </c>
      <c r="P297">
        <v>706.40949999999998</v>
      </c>
      <c r="Q297">
        <v>633.69309999999996</v>
      </c>
      <c r="R297" t="str">
        <f>""</f>
        <v/>
      </c>
      <c r="S297" t="str">
        <f>""</f>
        <v/>
      </c>
      <c r="T297" t="str">
        <f>""</f>
        <v/>
      </c>
      <c r="U297" t="str">
        <f>""</f>
        <v/>
      </c>
      <c r="V297" t="str">
        <f>""</f>
        <v/>
      </c>
      <c r="W297" t="str">
        <f>""</f>
        <v/>
      </c>
      <c r="X297" t="str">
        <f>""</f>
        <v/>
      </c>
      <c r="Y297" t="str">
        <f>""</f>
        <v/>
      </c>
      <c r="Z297" t="str">
        <f>""</f>
        <v/>
      </c>
      <c r="AA297" t="str">
        <f>""</f>
        <v/>
      </c>
      <c r="AB297" t="str">
        <f>""</f>
        <v/>
      </c>
      <c r="AC297" t="str">
        <f>""</f>
        <v/>
      </c>
    </row>
    <row r="298" spans="1:29" x14ac:dyDescent="0.25">
      <c r="A298" t="str">
        <f>$A$144</f>
        <v xml:space="preserve">    Infosys Ltd</v>
      </c>
      <c r="B298" t="str">
        <f>$B$144</f>
        <v>INFY US Equity</v>
      </c>
      <c r="C298" t="str">
        <f>$C$144</f>
        <v>RR007</v>
      </c>
      <c r="D298" t="str">
        <f>$D$144</f>
        <v>TOTAL_EQUITY</v>
      </c>
      <c r="E298" t="str">
        <f>$E$144</f>
        <v>Dynamic</v>
      </c>
      <c r="F298">
        <f ca="1">_xll.BDH($B$144,$C$144,$B$163,$B$164,CONCATENATE("Per=",$B$161),"Dts=H","Dir=H",CONCATENATE("Points=",$B$162),"Sort=R","Days=A","Fill=B",CONCATENATE("FX=", $B$160),"cols=12;rows=1")</f>
        <v>8735.6731</v>
      </c>
      <c r="G298">
        <v>8596.9012999999995</v>
      </c>
      <c r="H298">
        <v>8615.0123000000003</v>
      </c>
      <c r="I298">
        <v>8248.7389000000003</v>
      </c>
      <c r="J298">
        <v>9377.2224000000006</v>
      </c>
      <c r="K298">
        <v>9332.3289000000004</v>
      </c>
      <c r="L298">
        <v>8979.9377999999997</v>
      </c>
      <c r="M298">
        <v>8862.5046000000002</v>
      </c>
      <c r="N298">
        <v>9966.4580999999998</v>
      </c>
      <c r="O298">
        <v>9549.3449999999993</v>
      </c>
      <c r="P298">
        <v>11074.2158</v>
      </c>
      <c r="Q298">
        <v>10602.6162</v>
      </c>
      <c r="R298" t="str">
        <f>""</f>
        <v/>
      </c>
      <c r="S298" t="str">
        <f>""</f>
        <v/>
      </c>
      <c r="T298" t="str">
        <f>""</f>
        <v/>
      </c>
      <c r="U298" t="str">
        <f>""</f>
        <v/>
      </c>
      <c r="V298" t="str">
        <f>""</f>
        <v/>
      </c>
      <c r="W298" t="str">
        <f>""</f>
        <v/>
      </c>
      <c r="X298" t="str">
        <f>""</f>
        <v/>
      </c>
      <c r="Y298" t="str">
        <f>""</f>
        <v/>
      </c>
      <c r="Z298" t="str">
        <f>""</f>
        <v/>
      </c>
      <c r="AA298" t="str">
        <f>""</f>
        <v/>
      </c>
      <c r="AB298" t="str">
        <f>""</f>
        <v/>
      </c>
      <c r="AC298" t="str">
        <f>""</f>
        <v/>
      </c>
    </row>
    <row r="299" spans="1:29" x14ac:dyDescent="0.25">
      <c r="A299" t="str">
        <f>$A$145</f>
        <v xml:space="preserve">    International Business Machines Corp</v>
      </c>
      <c r="B299" t="str">
        <f>$B$145</f>
        <v>IBM US Equity</v>
      </c>
      <c r="C299" t="str">
        <f>$C$145</f>
        <v>RR007</v>
      </c>
      <c r="D299" t="str">
        <f>$D$145</f>
        <v>TOTAL_EQUITY</v>
      </c>
      <c r="E299" t="str">
        <f>$E$145</f>
        <v>Dynamic</v>
      </c>
      <c r="F299">
        <f ca="1">_xll.BDH($B$145,$C$145,$B$163,$B$164,CONCATENATE("Per=",$B$161),"Dts=H","Dir=H",CONCATENATE("Points=",$B$162),"Sort=R","Days=A","Fill=B",CONCATENATE("FX=", $B$160),"cols=12;rows=1")</f>
        <v>20128</v>
      </c>
      <c r="G299">
        <v>20984</v>
      </c>
      <c r="H299">
        <v>18096</v>
      </c>
      <c r="I299">
        <v>17776</v>
      </c>
      <c r="J299">
        <v>16606</v>
      </c>
      <c r="K299">
        <v>16930</v>
      </c>
      <c r="L299">
        <v>19919</v>
      </c>
      <c r="M299">
        <v>18648</v>
      </c>
      <c r="N299">
        <v>18290</v>
      </c>
      <c r="O299">
        <v>17725</v>
      </c>
      <c r="P299">
        <v>19757</v>
      </c>
      <c r="Q299">
        <v>18544</v>
      </c>
      <c r="R299" t="str">
        <f>""</f>
        <v/>
      </c>
      <c r="S299" t="str">
        <f>""</f>
        <v/>
      </c>
      <c r="T299" t="str">
        <f>""</f>
        <v/>
      </c>
      <c r="U299" t="str">
        <f>""</f>
        <v/>
      </c>
      <c r="V299" t="str">
        <f>""</f>
        <v/>
      </c>
      <c r="W299" t="str">
        <f>""</f>
        <v/>
      </c>
      <c r="X299" t="str">
        <f>""</f>
        <v/>
      </c>
      <c r="Y299" t="str">
        <f>""</f>
        <v/>
      </c>
      <c r="Z299" t="str">
        <f>""</f>
        <v/>
      </c>
      <c r="AA299" t="str">
        <f>""</f>
        <v/>
      </c>
      <c r="AB299" t="str">
        <f>""</f>
        <v/>
      </c>
      <c r="AC299" t="str">
        <f>""</f>
        <v/>
      </c>
    </row>
    <row r="300" spans="1:29" x14ac:dyDescent="0.25">
      <c r="A300" t="str">
        <f>$A$146</f>
        <v xml:space="preserve">    Tata Consultancy Services Ltd</v>
      </c>
      <c r="B300" t="str">
        <f>$B$146</f>
        <v>TCS IN Equity</v>
      </c>
      <c r="C300" t="str">
        <f>$C$146</f>
        <v>RR007</v>
      </c>
      <c r="D300" t="str">
        <f>$D$146</f>
        <v>TOTAL_EQUITY</v>
      </c>
      <c r="E300" t="str">
        <f>$E$146</f>
        <v>Dynamic</v>
      </c>
      <c r="F300">
        <f ca="1">_xll.BDH($B$146,$C$146,$B$163,$B$164,CONCATENATE("Per=",$B$161),"Dts=H","Dir=H",CONCATENATE("Points=",$B$162),"Sort=R","Days=A","Fill=B",CONCATENATE("FX=", $B$160),"cols=12;rows=1")</f>
        <v>11524.3115</v>
      </c>
      <c r="G300">
        <v>12038.975399999999</v>
      </c>
      <c r="H300">
        <v>13820.301799999999</v>
      </c>
      <c r="I300">
        <v>13338.3338</v>
      </c>
      <c r="J300">
        <v>13272.449500000001</v>
      </c>
      <c r="K300">
        <v>12304.7783</v>
      </c>
      <c r="L300">
        <v>10845.6985</v>
      </c>
      <c r="M300">
        <v>12878.714900000001</v>
      </c>
      <c r="N300">
        <v>13454.043100000001</v>
      </c>
      <c r="O300">
        <v>12834.624100000001</v>
      </c>
      <c r="P300">
        <v>11862.28</v>
      </c>
      <c r="Q300">
        <v>11246.0713</v>
      </c>
      <c r="R300" t="str">
        <f>""</f>
        <v/>
      </c>
      <c r="S300" t="str">
        <f>""</f>
        <v/>
      </c>
      <c r="T300" t="str">
        <f>""</f>
        <v/>
      </c>
      <c r="U300" t="str">
        <f>""</f>
        <v/>
      </c>
      <c r="V300" t="str">
        <f>""</f>
        <v/>
      </c>
      <c r="W300" t="str">
        <f>""</f>
        <v/>
      </c>
      <c r="X300" t="str">
        <f>""</f>
        <v/>
      </c>
      <c r="Y300" t="str">
        <f>""</f>
        <v/>
      </c>
      <c r="Z300" t="str">
        <f>""</f>
        <v/>
      </c>
      <c r="AA300" t="str">
        <f>""</f>
        <v/>
      </c>
      <c r="AB300" t="str">
        <f>""</f>
        <v/>
      </c>
      <c r="AC300" t="str">
        <f>""</f>
        <v/>
      </c>
    </row>
    <row r="301" spans="1:29" x14ac:dyDescent="0.25">
      <c r="A301" t="str">
        <f>$A$147</f>
        <v xml:space="preserve">    Tech Mahindra Ltd</v>
      </c>
      <c r="B301" t="str">
        <f>$B$147</f>
        <v>TECHM IN Equity</v>
      </c>
      <c r="C301" t="str">
        <f>$C$147</f>
        <v>RR007</v>
      </c>
      <c r="D301" t="str">
        <f>$D$147</f>
        <v>TOTAL_EQUITY</v>
      </c>
      <c r="E301" t="str">
        <f>$E$147</f>
        <v>Dynamic</v>
      </c>
      <c r="F301">
        <f ca="1">_xll.BDH($B$147,$C$147,$B$163,$B$164,CONCATENATE("Per=",$B$161),"Dts=H","Dir=H",CONCATENATE("Points=",$B$162),"Sort=R","Days=A","Fill=B",CONCATENATE("FX=", $B$160),"cols=12;rows=1")</f>
        <v>2946.1700999999998</v>
      </c>
      <c r="G301">
        <v>3160.6118999999999</v>
      </c>
      <c r="H301">
        <v>3026.9286999999999</v>
      </c>
      <c r="I301">
        <v>3142.7498000000001</v>
      </c>
      <c r="J301">
        <v>2994.9670999999998</v>
      </c>
      <c r="K301">
        <v>3057.2536</v>
      </c>
      <c r="L301">
        <v>2732.1772999999998</v>
      </c>
      <c r="M301">
        <v>2961.4749999999999</v>
      </c>
      <c r="N301">
        <v>2970.7026999999998</v>
      </c>
      <c r="O301">
        <v>2844.4751000000001</v>
      </c>
      <c r="P301">
        <v>2699.7658999999999</v>
      </c>
      <c r="Q301">
        <v>2758.0203999999999</v>
      </c>
      <c r="R301" t="str">
        <f>""</f>
        <v/>
      </c>
      <c r="S301" t="str">
        <f>""</f>
        <v/>
      </c>
      <c r="T301" t="str">
        <f>""</f>
        <v/>
      </c>
      <c r="U301" t="str">
        <f>""</f>
        <v/>
      </c>
      <c r="V301" t="str">
        <f>""</f>
        <v/>
      </c>
      <c r="W301" t="str">
        <f>""</f>
        <v/>
      </c>
      <c r="X301" t="str">
        <f>""</f>
        <v/>
      </c>
      <c r="Y301" t="str">
        <f>""</f>
        <v/>
      </c>
      <c r="Z301" t="str">
        <f>""</f>
        <v/>
      </c>
      <c r="AA301" t="str">
        <f>""</f>
        <v/>
      </c>
      <c r="AB301" t="str">
        <f>""</f>
        <v/>
      </c>
      <c r="AC301" t="str">
        <f>""</f>
        <v/>
      </c>
    </row>
    <row r="302" spans="1:29" x14ac:dyDescent="0.25">
      <c r="A302" t="str">
        <f>$A$148</f>
        <v xml:space="preserve">    Wipro Ltd</v>
      </c>
      <c r="B302" t="str">
        <f>$B$148</f>
        <v>WIT US Equity</v>
      </c>
      <c r="C302" t="str">
        <f>$C$148</f>
        <v>RR007</v>
      </c>
      <c r="D302" t="str">
        <f>$D$148</f>
        <v>TOTAL_EQUITY</v>
      </c>
      <c r="E302" t="str">
        <f>$E$148</f>
        <v>Dynamic</v>
      </c>
      <c r="F302">
        <f ca="1">_xll.BDH($B$148,$C$148,$B$163,$B$164,CONCATENATE("Per=",$B$161),"Dts=H","Dir=H",CONCATENATE("Points=",$B$162),"Sort=R","Days=A","Fill=B",CONCATENATE("FX=", $B$160),"cols=12;rows=1")</f>
        <v>7420.7979999999998</v>
      </c>
      <c r="G302">
        <v>7598.9862999999996</v>
      </c>
      <c r="H302">
        <v>7306.0415999999996</v>
      </c>
      <c r="I302">
        <v>8642.1267000000007</v>
      </c>
      <c r="J302">
        <v>8233.2059000000008</v>
      </c>
      <c r="K302">
        <v>7887.4874</v>
      </c>
      <c r="L302">
        <v>7213.1993000000002</v>
      </c>
      <c r="M302">
        <v>7328.5870999999997</v>
      </c>
      <c r="N302">
        <v>7450.5276999999996</v>
      </c>
      <c r="O302">
        <v>7405.3859000000002</v>
      </c>
      <c r="P302">
        <v>8644.1468999999997</v>
      </c>
      <c r="Q302">
        <v>8405.3829000000005</v>
      </c>
      <c r="R302" t="str">
        <f>""</f>
        <v/>
      </c>
      <c r="S302" t="str">
        <f>""</f>
        <v/>
      </c>
      <c r="T302" t="str">
        <f>""</f>
        <v/>
      </c>
      <c r="U302" t="str">
        <f>""</f>
        <v/>
      </c>
      <c r="V302" t="str">
        <f>""</f>
        <v/>
      </c>
      <c r="W302" t="str">
        <f>""</f>
        <v/>
      </c>
      <c r="X302" t="str">
        <f>""</f>
        <v/>
      </c>
      <c r="Y302" t="str">
        <f>""</f>
        <v/>
      </c>
      <c r="Z302" t="str">
        <f>""</f>
        <v/>
      </c>
      <c r="AA302" t="str">
        <f>""</f>
        <v/>
      </c>
      <c r="AB302" t="str">
        <f>""</f>
        <v/>
      </c>
      <c r="AC302" t="str">
        <f>""</f>
        <v/>
      </c>
    </row>
    <row r="303" spans="1:29" x14ac:dyDescent="0.25">
      <c r="A303" t="str">
        <f>""</f>
        <v/>
      </c>
      <c r="B303" t="str">
        <f>""</f>
        <v/>
      </c>
      <c r="C303" t="str">
        <f>""</f>
        <v/>
      </c>
      <c r="D303" t="str">
        <f>""</f>
        <v/>
      </c>
      <c r="E303" t="str">
        <f>""</f>
        <v/>
      </c>
      <c r="R303" t="str">
        <f>""</f>
        <v/>
      </c>
      <c r="S303" t="str">
        <f>""</f>
        <v/>
      </c>
      <c r="T303" t="str">
        <f>""</f>
        <v/>
      </c>
      <c r="U303" t="str">
        <f>""</f>
        <v/>
      </c>
      <c r="V303" t="str">
        <f>""</f>
        <v/>
      </c>
      <c r="W303" t="str">
        <f>""</f>
        <v/>
      </c>
      <c r="X303" t="str">
        <f>""</f>
        <v/>
      </c>
      <c r="Y303" t="str">
        <f>""</f>
        <v/>
      </c>
      <c r="Z303" t="str">
        <f>""</f>
        <v/>
      </c>
      <c r="AA303" t="str">
        <f>""</f>
        <v/>
      </c>
      <c r="AB303" t="str">
        <f>""</f>
        <v/>
      </c>
      <c r="AC303" t="str">
        <f>""</f>
        <v/>
      </c>
    </row>
    <row r="304" spans="1:29" x14ac:dyDescent="0.25">
      <c r="A304" t="str">
        <f>""</f>
        <v/>
      </c>
      <c r="B304" t="str">
        <f>""</f>
        <v/>
      </c>
      <c r="C304" t="str">
        <f>""</f>
        <v/>
      </c>
      <c r="D304" t="str">
        <f>""</f>
        <v/>
      </c>
      <c r="E304" t="str">
        <f>""</f>
        <v/>
      </c>
      <c r="R304" t="str">
        <f>""</f>
        <v/>
      </c>
      <c r="S304" t="str">
        <f>""</f>
        <v/>
      </c>
      <c r="T304" t="str">
        <f>""</f>
        <v/>
      </c>
      <c r="U304" t="str">
        <f>""</f>
        <v/>
      </c>
      <c r="V304" t="str">
        <f>""</f>
        <v/>
      </c>
      <c r="W304" t="str">
        <f>""</f>
        <v/>
      </c>
      <c r="X304" t="str">
        <f>""</f>
        <v/>
      </c>
      <c r="Y304" t="str">
        <f>""</f>
        <v/>
      </c>
      <c r="Z304" t="str">
        <f>""</f>
        <v/>
      </c>
      <c r="AA304" t="str">
        <f>""</f>
        <v/>
      </c>
      <c r="AB304" t="str">
        <f>""</f>
        <v/>
      </c>
      <c r="AC304" t="str">
        <f>""</f>
        <v/>
      </c>
    </row>
    <row r="305" spans="1:29" x14ac:dyDescent="0.25">
      <c r="A305" t="str">
        <f>""</f>
        <v/>
      </c>
      <c r="B305" t="str">
        <f>""</f>
        <v/>
      </c>
      <c r="C305" t="str">
        <f>""</f>
        <v/>
      </c>
      <c r="D305" t="str">
        <f>""</f>
        <v/>
      </c>
      <c r="E305" t="str">
        <f>""</f>
        <v/>
      </c>
      <c r="R305" t="str">
        <f>""</f>
        <v/>
      </c>
      <c r="S305" t="str">
        <f>""</f>
        <v/>
      </c>
      <c r="T305" t="str">
        <f>""</f>
        <v/>
      </c>
      <c r="U305" t="str">
        <f>""</f>
        <v/>
      </c>
      <c r="V305" t="str">
        <f>""</f>
        <v/>
      </c>
      <c r="W305" t="str">
        <f>""</f>
        <v/>
      </c>
      <c r="X305" t="str">
        <f>""</f>
        <v/>
      </c>
      <c r="Y305" t="str">
        <f>""</f>
        <v/>
      </c>
      <c r="Z305" t="str">
        <f>""</f>
        <v/>
      </c>
      <c r="AA305" t="str">
        <f>""</f>
        <v/>
      </c>
      <c r="AB305" t="str">
        <f>""</f>
        <v/>
      </c>
      <c r="AC305" t="str">
        <f>""</f>
        <v/>
      </c>
    </row>
    <row r="306" spans="1:29" x14ac:dyDescent="0.25">
      <c r="A306" t="str">
        <f>""</f>
        <v/>
      </c>
      <c r="B306" t="str">
        <f>""</f>
        <v/>
      </c>
      <c r="C306" t="str">
        <f>""</f>
        <v/>
      </c>
      <c r="D306" t="str">
        <f>""</f>
        <v/>
      </c>
      <c r="E306" t="str">
        <f>""</f>
        <v/>
      </c>
      <c r="R306" t="str">
        <f>""</f>
        <v/>
      </c>
      <c r="S306" t="str">
        <f>""</f>
        <v/>
      </c>
      <c r="T306" t="str">
        <f>""</f>
        <v/>
      </c>
      <c r="U306" t="str">
        <f>""</f>
        <v/>
      </c>
      <c r="V306" t="str">
        <f>""</f>
        <v/>
      </c>
      <c r="W306" t="str">
        <f>""</f>
        <v/>
      </c>
      <c r="X306" t="str">
        <f>""</f>
        <v/>
      </c>
      <c r="Y306" t="str">
        <f>""</f>
        <v/>
      </c>
      <c r="Z306" t="str">
        <f>""</f>
        <v/>
      </c>
      <c r="AA306" t="str">
        <f>""</f>
        <v/>
      </c>
      <c r="AB306" t="str">
        <f>""</f>
        <v/>
      </c>
      <c r="AC306" t="str">
        <f>""</f>
        <v/>
      </c>
    </row>
    <row r="307" spans="1:29" x14ac:dyDescent="0.25">
      <c r="A307" t="str">
        <f>""</f>
        <v/>
      </c>
      <c r="B307" t="str">
        <f>""</f>
        <v/>
      </c>
      <c r="C307" t="str">
        <f>""</f>
        <v/>
      </c>
      <c r="D307" t="str">
        <f>""</f>
        <v/>
      </c>
      <c r="E307" t="str">
        <f>""</f>
        <v/>
      </c>
      <c r="R307" t="str">
        <f>""</f>
        <v/>
      </c>
      <c r="S307" t="str">
        <f>""</f>
        <v/>
      </c>
      <c r="T307" t="str">
        <f>""</f>
        <v/>
      </c>
      <c r="U307" t="str">
        <f>""</f>
        <v/>
      </c>
      <c r="V307" t="str">
        <f>""</f>
        <v/>
      </c>
      <c r="W307" t="str">
        <f>""</f>
        <v/>
      </c>
      <c r="X307" t="str">
        <f>""</f>
        <v/>
      </c>
      <c r="Y307" t="str">
        <f>""</f>
        <v/>
      </c>
      <c r="Z307" t="str">
        <f>""</f>
        <v/>
      </c>
      <c r="AA307" t="str">
        <f>""</f>
        <v/>
      </c>
      <c r="AB307" t="str">
        <f>""</f>
        <v/>
      </c>
      <c r="AC307" t="str">
        <f>""</f>
        <v/>
      </c>
    </row>
    <row r="308" spans="1:29" x14ac:dyDescent="0.25">
      <c r="A308" t="str">
        <f>"~~~~~~~~~~~~~~~~~~~~~"</f>
        <v>~~~~~~~~~~~~~~~~~~~~~</v>
      </c>
      <c r="B308" t="str">
        <f>"~~~~~~~~~~~~~~~~~~~~~"</f>
        <v>~~~~~~~~~~~~~~~~~~~~~</v>
      </c>
      <c r="C308" t="str">
        <f>"~~~~~~~~~~~~~~~~~~~~~"</f>
        <v>~~~~~~~~~~~~~~~~~~~~~</v>
      </c>
      <c r="D308" t="str">
        <f>"~~~~~~~~~~~~~~~~~~~~~"</f>
        <v>~~~~~~~~~~~~~~~~~~~~~</v>
      </c>
      <c r="E308" t="str">
        <f>"~~~~~~~~~~~~~~~~~~~~~"</f>
        <v>~~~~~~~~~~~~~~~~~~~~~</v>
      </c>
      <c r="R308" t="str">
        <f>""</f>
        <v/>
      </c>
      <c r="S308" t="str">
        <f>""</f>
        <v/>
      </c>
      <c r="T308" t="str">
        <f>""</f>
        <v/>
      </c>
      <c r="U308" t="str">
        <f>""</f>
        <v/>
      </c>
      <c r="V308" t="str">
        <f>""</f>
        <v/>
      </c>
      <c r="W308" t="str">
        <f>""</f>
        <v/>
      </c>
      <c r="X308" t="str">
        <f>""</f>
        <v/>
      </c>
      <c r="Y308" t="str">
        <f>""</f>
        <v/>
      </c>
      <c r="Z308" t="str">
        <f>""</f>
        <v/>
      </c>
      <c r="AA308" t="str">
        <f>""</f>
        <v/>
      </c>
      <c r="AB308" t="str">
        <f>""</f>
        <v/>
      </c>
      <c r="AC308" t="str">
        <f>""</f>
        <v/>
      </c>
    </row>
    <row r="309" spans="1:29" x14ac:dyDescent="0.25">
      <c r="A309" t="str">
        <f>"Rows below for column date calculation"</f>
        <v>Rows below for column date calculation</v>
      </c>
      <c r="R309" t="str">
        <f>""</f>
        <v/>
      </c>
      <c r="S309" t="str">
        <f>""</f>
        <v/>
      </c>
      <c r="T309" t="str">
        <f>""</f>
        <v/>
      </c>
      <c r="U309" t="str">
        <f>""</f>
        <v/>
      </c>
      <c r="V309" t="str">
        <f>""</f>
        <v/>
      </c>
      <c r="W309" t="str">
        <f>""</f>
        <v/>
      </c>
      <c r="X309" t="str">
        <f>""</f>
        <v/>
      </c>
      <c r="Y309" t="str">
        <f>""</f>
        <v/>
      </c>
      <c r="Z309" t="str">
        <f>""</f>
        <v/>
      </c>
      <c r="AA309" t="str">
        <f>""</f>
        <v/>
      </c>
      <c r="AB309" t="str">
        <f>""</f>
        <v/>
      </c>
      <c r="AC309" t="str">
        <f>""</f>
        <v/>
      </c>
    </row>
    <row r="310" spans="1:29" x14ac:dyDescent="0.25">
      <c r="A310" t="str">
        <f>"Downloaded at"</f>
        <v>Downloaded at</v>
      </c>
      <c r="B310">
        <f>DATE(2020, 6,17)</f>
        <v>43999</v>
      </c>
      <c r="C310" t="str">
        <f>""</f>
        <v/>
      </c>
      <c r="D310" t="str">
        <f>""</f>
        <v/>
      </c>
      <c r="E310" t="str">
        <f>""</f>
        <v/>
      </c>
      <c r="R310" t="str">
        <f>""</f>
        <v/>
      </c>
      <c r="S310" t="str">
        <f>""</f>
        <v/>
      </c>
      <c r="T310" t="str">
        <f>""</f>
        <v/>
      </c>
      <c r="U310" t="str">
        <f>""</f>
        <v/>
      </c>
      <c r="V310" t="str">
        <f>""</f>
        <v/>
      </c>
      <c r="W310" t="str">
        <f>""</f>
        <v/>
      </c>
      <c r="X310" t="str">
        <f>""</f>
        <v/>
      </c>
      <c r="Y310" t="str">
        <f>""</f>
        <v/>
      </c>
      <c r="Z310" t="str">
        <f>""</f>
        <v/>
      </c>
      <c r="AA310" t="str">
        <f>""</f>
        <v/>
      </c>
      <c r="AB310" t="str">
        <f>""</f>
        <v/>
      </c>
      <c r="AC310" t="str">
        <f>""</f>
        <v/>
      </c>
    </row>
    <row r="311" spans="1:29" x14ac:dyDescent="0.25">
      <c r="A311" t="str">
        <f>"This is End Date"</f>
        <v>This is End Date</v>
      </c>
      <c r="B311">
        <f ca="1">$B$164</f>
        <v>43999</v>
      </c>
      <c r="C311" t="str">
        <f>""</f>
        <v/>
      </c>
      <c r="D311" t="str">
        <f>""</f>
        <v/>
      </c>
      <c r="E311" t="str">
        <f>""</f>
        <v/>
      </c>
      <c r="R311" t="str">
        <f>""</f>
        <v/>
      </c>
      <c r="S311" t="str">
        <f>""</f>
        <v/>
      </c>
      <c r="T311" t="str">
        <f>""</f>
        <v/>
      </c>
      <c r="U311" t="str">
        <f>""</f>
        <v/>
      </c>
      <c r="V311" t="str">
        <f>""</f>
        <v/>
      </c>
      <c r="W311" t="str">
        <f>""</f>
        <v/>
      </c>
      <c r="X311" t="str">
        <f>""</f>
        <v/>
      </c>
      <c r="Y311" t="str">
        <f>""</f>
        <v/>
      </c>
      <c r="Z311" t="str">
        <f>""</f>
        <v/>
      </c>
      <c r="AA311" t="str">
        <f>""</f>
        <v/>
      </c>
      <c r="AB311" t="str">
        <f>""</f>
        <v/>
      </c>
      <c r="AC311" t="str">
        <f>""</f>
        <v/>
      </c>
    </row>
    <row r="312" spans="1:29" x14ac:dyDescent="0.25">
      <c r="A312" t="str">
        <f>"Description"</f>
        <v>Description</v>
      </c>
      <c r="B312" t="str">
        <f>"Ticker"</f>
        <v>Ticker</v>
      </c>
      <c r="C312" t="str">
        <f>"Field ID"</f>
        <v>Field ID</v>
      </c>
      <c r="D312" t="str">
        <f>"Field Mnemonic"</f>
        <v>Field Mnemonic</v>
      </c>
      <c r="E312" t="str">
        <f>"Data State"</f>
        <v>Data State</v>
      </c>
      <c r="R312" t="str">
        <f>""</f>
        <v/>
      </c>
      <c r="S312" t="str">
        <f>""</f>
        <v/>
      </c>
      <c r="T312" t="str">
        <f>""</f>
        <v/>
      </c>
      <c r="U312" t="str">
        <f>""</f>
        <v/>
      </c>
      <c r="V312" t="str">
        <f>""</f>
        <v/>
      </c>
      <c r="W312" t="str">
        <f>""</f>
        <v/>
      </c>
      <c r="X312" t="str">
        <f>""</f>
        <v/>
      </c>
      <c r="Y312" t="str">
        <f>""</f>
        <v/>
      </c>
      <c r="Z312" t="str">
        <f>""</f>
        <v/>
      </c>
      <c r="AA312" t="str">
        <f>""</f>
        <v/>
      </c>
      <c r="AB312" t="str">
        <f>""</f>
        <v/>
      </c>
      <c r="AC312" t="str">
        <f>""</f>
        <v/>
      </c>
    </row>
    <row r="313" spans="1:29" x14ac:dyDescent="0.25">
      <c r="A313" t="str">
        <f>"Snapshot Date"</f>
        <v>Snapshot Date</v>
      </c>
      <c r="B313">
        <f>DATE(2020, 6,17)</f>
        <v>43999</v>
      </c>
      <c r="C313" t="str">
        <f>""</f>
        <v/>
      </c>
      <c r="D313" t="str">
        <f>""</f>
        <v/>
      </c>
      <c r="E313" t="str">
        <f>""</f>
        <v/>
      </c>
      <c r="R313" t="str">
        <f>""</f>
        <v/>
      </c>
      <c r="S313" t="str">
        <f>""</f>
        <v/>
      </c>
      <c r="T313" t="str">
        <f>""</f>
        <v/>
      </c>
      <c r="U313" t="str">
        <f>""</f>
        <v/>
      </c>
      <c r="V313" t="str">
        <f>""</f>
        <v/>
      </c>
      <c r="W313" t="str">
        <f>""</f>
        <v/>
      </c>
      <c r="X313" t="str">
        <f>""</f>
        <v/>
      </c>
      <c r="Y313" t="str">
        <f>""</f>
        <v/>
      </c>
      <c r="Z313" t="str">
        <f>""</f>
        <v/>
      </c>
      <c r="AA313" t="str">
        <f>""</f>
        <v/>
      </c>
      <c r="AB313" t="str">
        <f>""</f>
        <v/>
      </c>
      <c r="AC313" t="str">
        <f>""</f>
        <v/>
      </c>
    </row>
    <row r="314" spans="1:29" x14ac:dyDescent="0.25">
      <c r="A314" t="str">
        <f>"Snapshot header"</f>
        <v>Snapshot header</v>
      </c>
      <c r="B314">
        <f>2</f>
        <v>2</v>
      </c>
      <c r="C314" t="str">
        <f>"2020 Q1"</f>
        <v>2020 Q1</v>
      </c>
      <c r="D314" t="str">
        <f>"2019 Q4"</f>
        <v>2019 Q4</v>
      </c>
      <c r="E314" t="str">
        <f>"2019 Q3"</f>
        <v>2019 Q3</v>
      </c>
      <c r="F314" t="str">
        <f>"2019 Q2"</f>
        <v>2019 Q2</v>
      </c>
      <c r="G314" t="str">
        <f>"2019 Q1"</f>
        <v>2019 Q1</v>
      </c>
      <c r="H314" t="str">
        <f>"2018 Q4"</f>
        <v>2018 Q4</v>
      </c>
      <c r="I314" t="str">
        <f>"2018 Q3"</f>
        <v>2018 Q3</v>
      </c>
      <c r="J314" t="str">
        <f>"2018 Q2"</f>
        <v>2018 Q2</v>
      </c>
      <c r="K314" t="str">
        <f>"2018 Q1"</f>
        <v>2018 Q1</v>
      </c>
      <c r="L314" t="str">
        <f>"2017 Q4"</f>
        <v>2017 Q4</v>
      </c>
      <c r="M314" t="str">
        <f>"2017 Q3"</f>
        <v>2017 Q3</v>
      </c>
      <c r="N314" t="str">
        <f>"2017 Q2"</f>
        <v>2017 Q2</v>
      </c>
      <c r="R314" t="str">
        <f>""</f>
        <v/>
      </c>
      <c r="S314" t="str">
        <f>""</f>
        <v/>
      </c>
      <c r="T314" t="str">
        <f>""</f>
        <v/>
      </c>
      <c r="U314" t="str">
        <f>""</f>
        <v/>
      </c>
      <c r="V314" t="str">
        <f>""</f>
        <v/>
      </c>
      <c r="W314" t="str">
        <f>""</f>
        <v/>
      </c>
      <c r="X314" t="str">
        <f>""</f>
        <v/>
      </c>
      <c r="Y314" t="str">
        <f>""</f>
        <v/>
      </c>
      <c r="Z314" t="str">
        <f>""</f>
        <v/>
      </c>
      <c r="AA314" t="str">
        <f>""</f>
        <v/>
      </c>
      <c r="AB314" t="str">
        <f>""</f>
        <v/>
      </c>
      <c r="AC314" t="str">
        <f>""</f>
        <v/>
      </c>
    </row>
    <row r="315" spans="1:29" x14ac:dyDescent="0.25">
      <c r="A315" t="str">
        <f>"BDH snapshot header0"</f>
        <v>BDH snapshot header0</v>
      </c>
      <c r="B315">
        <f>IF(OR(ISERROR($C$315),ISBLANK($C$315),ISNUMBER(SEARCH("N/A",$C$315) ),ISERROR($C$316),ISBLANK($C$316)),0,1)</f>
        <v>0</v>
      </c>
      <c r="C315" t="str">
        <f>_xll.BDH($B$5,$C$5,$B$163,$B$313,"PER=CQ","Dts=S","DtFmt=FI", "rows=2","Dir=H","Points=12","Sort=R","Days=A","Fill=B","FX=USD" )</f>
        <v>#N/A Invalid Parameter: Invalid override field id specified</v>
      </c>
      <c r="R315" t="str">
        <f>""</f>
        <v/>
      </c>
      <c r="S315" t="str">
        <f>""</f>
        <v/>
      </c>
      <c r="T315" t="str">
        <f>""</f>
        <v/>
      </c>
      <c r="U315" t="str">
        <f>""</f>
        <v/>
      </c>
      <c r="V315" t="str">
        <f>""</f>
        <v/>
      </c>
      <c r="W315" t="str">
        <f>""</f>
        <v/>
      </c>
      <c r="X315" t="str">
        <f>""</f>
        <v/>
      </c>
      <c r="Y315" t="str">
        <f>""</f>
        <v/>
      </c>
      <c r="Z315" t="str">
        <f>""</f>
        <v/>
      </c>
      <c r="AA315" t="str">
        <f>""</f>
        <v/>
      </c>
      <c r="AB315" t="str">
        <f>""</f>
        <v/>
      </c>
      <c r="AC315" t="str">
        <f>""</f>
        <v/>
      </c>
    </row>
    <row r="316" spans="1:29" x14ac:dyDescent="0.25">
      <c r="A316" t="str">
        <f>"BDH snapshot result0"</f>
        <v>BDH snapshot result0</v>
      </c>
      <c r="R316" t="str">
        <f>""</f>
        <v/>
      </c>
      <c r="S316" t="str">
        <f>""</f>
        <v/>
      </c>
      <c r="T316" t="str">
        <f>""</f>
        <v/>
      </c>
      <c r="U316" t="str">
        <f>""</f>
        <v/>
      </c>
      <c r="V316" t="str">
        <f>""</f>
        <v/>
      </c>
      <c r="W316" t="str">
        <f>""</f>
        <v/>
      </c>
      <c r="X316" t="str">
        <f>""</f>
        <v/>
      </c>
      <c r="Y316" t="str">
        <f>""</f>
        <v/>
      </c>
      <c r="Z316" t="str">
        <f>""</f>
        <v/>
      </c>
      <c r="AA316" t="str">
        <f>""</f>
        <v/>
      </c>
      <c r="AB316" t="str">
        <f>""</f>
        <v/>
      </c>
      <c r="AC316" t="str">
        <f>""</f>
        <v/>
      </c>
    </row>
    <row r="317" spans="1:29" x14ac:dyDescent="0.25">
      <c r="A317" t="str">
        <f>"BDH snapshot header1"</f>
        <v>BDH snapshot header1</v>
      </c>
      <c r="B317">
        <f>IF(OR(ISERROR($C$317),ISBLANK($C$317),ISNUMBER(SEARCH("N/A",$C$317) ),ISERROR($C$318),ISBLANK($C$318)),0,1)</f>
        <v>0</v>
      </c>
      <c r="C317" t="str">
        <f>_xll.BDH($B$6,$C$6,$B$163,$B$313,"PER=CQ","Dts=S","DtFmt=FI", "rows=2","Dir=H","Points=12","Sort=R","Days=A","Fill=B","FX=USD" )</f>
        <v>#N/A Invalid Parameter: Invalid override field id specified</v>
      </c>
      <c r="R317" t="str">
        <f>""</f>
        <v/>
      </c>
      <c r="S317" t="str">
        <f>""</f>
        <v/>
      </c>
      <c r="T317" t="str">
        <f>""</f>
        <v/>
      </c>
      <c r="U317" t="str">
        <f>""</f>
        <v/>
      </c>
      <c r="V317" t="str">
        <f>""</f>
        <v/>
      </c>
      <c r="W317" t="str">
        <f>""</f>
        <v/>
      </c>
      <c r="X317" t="str">
        <f>""</f>
        <v/>
      </c>
      <c r="Y317" t="str">
        <f>""</f>
        <v/>
      </c>
      <c r="Z317" t="str">
        <f>""</f>
        <v/>
      </c>
      <c r="AA317" t="str">
        <f>""</f>
        <v/>
      </c>
      <c r="AB317" t="str">
        <f>""</f>
        <v/>
      </c>
      <c r="AC317" t="str">
        <f>""</f>
        <v/>
      </c>
    </row>
    <row r="318" spans="1:29" x14ac:dyDescent="0.25">
      <c r="A318" t="str">
        <f>"BDH snapshot result1"</f>
        <v>BDH snapshot result1</v>
      </c>
      <c r="R318" t="str">
        <f>""</f>
        <v/>
      </c>
      <c r="S318" t="str">
        <f>""</f>
        <v/>
      </c>
      <c r="T318" t="str">
        <f>""</f>
        <v/>
      </c>
      <c r="U318" t="str">
        <f>""</f>
        <v/>
      </c>
      <c r="V318" t="str">
        <f>""</f>
        <v/>
      </c>
      <c r="W318" t="str">
        <f>""</f>
        <v/>
      </c>
      <c r="X318" t="str">
        <f>""</f>
        <v/>
      </c>
      <c r="Y318" t="str">
        <f>""</f>
        <v/>
      </c>
      <c r="Z318" t="str">
        <f>""</f>
        <v/>
      </c>
      <c r="AA318" t="str">
        <f>""</f>
        <v/>
      </c>
      <c r="AB318" t="str">
        <f>""</f>
        <v/>
      </c>
      <c r="AC318" t="str">
        <f>""</f>
        <v/>
      </c>
    </row>
    <row r="319" spans="1:29" x14ac:dyDescent="0.25">
      <c r="A319" t="str">
        <f>"BDH snapshot header2"</f>
        <v>BDH snapshot header2</v>
      </c>
      <c r="B319">
        <f>IF(OR(ISERROR($C$319),ISBLANK($C$319),ISNUMBER(SEARCH("N/A",$C$319) ),ISERROR($C$320),ISBLANK($C$320)),0,1)</f>
        <v>0</v>
      </c>
      <c r="C319" t="str">
        <f>_xll.BDH($B$7,$C$7,$B$163,$B$313,"PER=CQ","Dts=S","DtFmt=FI", "rows=2","Dir=H","Points=12","Sort=R","Days=A","Fill=B","FX=USD" )</f>
        <v>#N/A Invalid Parameter: Invalid override field id specified</v>
      </c>
      <c r="R319" t="str">
        <f>""</f>
        <v/>
      </c>
      <c r="S319" t="str">
        <f>""</f>
        <v/>
      </c>
      <c r="T319" t="str">
        <f>""</f>
        <v/>
      </c>
      <c r="U319" t="str">
        <f>""</f>
        <v/>
      </c>
      <c r="V319" t="str">
        <f>""</f>
        <v/>
      </c>
      <c r="W319" t="str">
        <f>""</f>
        <v/>
      </c>
      <c r="X319" t="str">
        <f>""</f>
        <v/>
      </c>
      <c r="Y319" t="str">
        <f>""</f>
        <v/>
      </c>
      <c r="Z319" t="str">
        <f>""</f>
        <v/>
      </c>
      <c r="AA319" t="str">
        <f>""</f>
        <v/>
      </c>
      <c r="AB319" t="str">
        <f>""</f>
        <v/>
      </c>
      <c r="AC319" t="str">
        <f>""</f>
        <v/>
      </c>
    </row>
    <row r="320" spans="1:29" x14ac:dyDescent="0.25">
      <c r="A320" t="str">
        <f>"BDH snapshot result2"</f>
        <v>BDH snapshot result2</v>
      </c>
      <c r="R320" t="str">
        <f>""</f>
        <v/>
      </c>
      <c r="S320" t="str">
        <f>""</f>
        <v/>
      </c>
      <c r="T320" t="str">
        <f>""</f>
        <v/>
      </c>
      <c r="U320" t="str">
        <f>""</f>
        <v/>
      </c>
      <c r="V320" t="str">
        <f>""</f>
        <v/>
      </c>
      <c r="W320" t="str">
        <f>""</f>
        <v/>
      </c>
      <c r="X320" t="str">
        <f>""</f>
        <v/>
      </c>
      <c r="Y320" t="str">
        <f>""</f>
        <v/>
      </c>
      <c r="Z320" t="str">
        <f>""</f>
        <v/>
      </c>
      <c r="AA320" t="str">
        <f>""</f>
        <v/>
      </c>
      <c r="AB320" t="str">
        <f>""</f>
        <v/>
      </c>
      <c r="AC320" t="str">
        <f>""</f>
        <v/>
      </c>
    </row>
    <row r="321" spans="1:29" x14ac:dyDescent="0.25">
      <c r="A321" t="str">
        <f>"BDH snapshot"</f>
        <v>BDH snapshot</v>
      </c>
      <c r="B321">
        <f>IF($B$315&gt;=1,$B$315,IF($B$317&gt;=1,$B$317,IF($B$319&gt;=1,$B$319,$B$314)))</f>
        <v>2</v>
      </c>
      <c r="C321" t="str">
        <f>IF($B$315&gt;=1,$C$315,IF($B$317&gt;=1,$C$317,IF($B$319&gt;=1,$C$319,$C$314)))</f>
        <v>2020 Q1</v>
      </c>
      <c r="D321" t="str">
        <f>IF($B$315&gt;=1,$D$315,IF($B$317&gt;=1,$D$317,IF($B$319&gt;=1,$D$319,$D$314)))</f>
        <v>2019 Q4</v>
      </c>
      <c r="E321" t="str">
        <f>IF($B$315&gt;=1,$E$315,IF($B$317&gt;=1,$E$317,IF($B$319&gt;=1,$E$319,$E$314)))</f>
        <v>2019 Q3</v>
      </c>
      <c r="F321" t="str">
        <f>IF($B$315&gt;=1,$F$315,IF($B$317&gt;=1,$F$317,IF($B$319&gt;=1,$F$319,$F$314)))</f>
        <v>2019 Q2</v>
      </c>
      <c r="G321" t="str">
        <f>IF($B$315&gt;=1,$G$315,IF($B$317&gt;=1,$G$317,IF($B$319&gt;=1,$G$319,$G$314)))</f>
        <v>2019 Q1</v>
      </c>
      <c r="H321" t="str">
        <f>IF($B$315&gt;=1,$H$315,IF($B$317&gt;=1,$H$317,IF($B$319&gt;=1,$H$319,$H$314)))</f>
        <v>2018 Q4</v>
      </c>
      <c r="I321" t="str">
        <f>IF($B$315&gt;=1,$I$315,IF($B$317&gt;=1,$I$317,IF($B$319&gt;=1,$I$319,$I$314)))</f>
        <v>2018 Q3</v>
      </c>
      <c r="J321" t="str">
        <f>IF($B$315&gt;=1,$J$315,IF($B$317&gt;=1,$J$317,IF($B$319&gt;=1,$J$319,$J$314)))</f>
        <v>2018 Q2</v>
      </c>
      <c r="K321" t="str">
        <f>IF($B$315&gt;=1,$K$315,IF($B$317&gt;=1,$K$317,IF($B$319&gt;=1,$K$319,$K$314)))</f>
        <v>2018 Q1</v>
      </c>
      <c r="L321" t="str">
        <f>IF($B$315&gt;=1,$L$315,IF($B$317&gt;=1,$L$317,IF($B$319&gt;=1,$L$319,$L$314)))</f>
        <v>2017 Q4</v>
      </c>
      <c r="M321" t="str">
        <f>IF($B$315&gt;=1,$M$315,IF($B$317&gt;=1,$M$317,IF($B$319&gt;=1,$M$319,$M$314)))</f>
        <v>2017 Q3</v>
      </c>
      <c r="N321" t="str">
        <f>IF($B$315&gt;=1,$N$315,IF($B$317&gt;=1,$N$317,IF($B$319&gt;=1,$N$319,$N$314)))</f>
        <v>2017 Q2</v>
      </c>
      <c r="R321" t="str">
        <f>""</f>
        <v/>
      </c>
      <c r="S321" t="str">
        <f>""</f>
        <v/>
      </c>
      <c r="T321" t="str">
        <f>""</f>
        <v/>
      </c>
      <c r="U321" t="str">
        <f>""</f>
        <v/>
      </c>
      <c r="V321" t="str">
        <f>""</f>
        <v/>
      </c>
      <c r="W321" t="str">
        <f>""</f>
        <v/>
      </c>
      <c r="X321" t="str">
        <f>""</f>
        <v/>
      </c>
      <c r="Y321" t="str">
        <f>""</f>
        <v/>
      </c>
      <c r="Z321" t="str">
        <f>""</f>
        <v/>
      </c>
      <c r="AA321" t="str">
        <f>""</f>
        <v/>
      </c>
      <c r="AB321" t="str">
        <f>""</f>
        <v/>
      </c>
      <c r="AC321" t="str">
        <f>""</f>
        <v/>
      </c>
    </row>
    <row r="322" spans="1:29" x14ac:dyDescent="0.25">
      <c r="A322" t="str">
        <f>"BDH snapshot title"</f>
        <v>BDH snapshot title</v>
      </c>
      <c r="B322">
        <f>$B$321</f>
        <v>2</v>
      </c>
      <c r="C322" t="str">
        <f>IF(LEN($C$321)&lt;&gt;8,$C$321,RIGHT($C$321,4)&amp;" "&amp;MID($C$321,3,1)&amp;LEFT($C$321,1))</f>
        <v>2020 Q1</v>
      </c>
      <c r="D322" t="str">
        <f>IF(LEN($D$321)&lt;&gt;8,$D$321,RIGHT($D$321,4)&amp;" "&amp;MID($D$321,3,1)&amp;LEFT($D$321,1))</f>
        <v>2019 Q4</v>
      </c>
      <c r="E322" t="str">
        <f>IF(LEN($E$321)&lt;&gt;8,$E$321,RIGHT($E$321,4)&amp;" "&amp;MID($E$321,3,1)&amp;LEFT($E$321,1))</f>
        <v>2019 Q3</v>
      </c>
      <c r="F322" t="str">
        <f>IF(LEN($F$321)&lt;&gt;8,$F$321,RIGHT($F$321,4)&amp;" "&amp;MID($F$321,3,1)&amp;LEFT($F$321,1))</f>
        <v>2019 Q2</v>
      </c>
      <c r="G322" t="str">
        <f>IF(LEN($G$321)&lt;&gt;8,$G$321,RIGHT($G$321,4)&amp;" "&amp;MID($G$321,3,1)&amp;LEFT($G$321,1))</f>
        <v>2019 Q1</v>
      </c>
      <c r="H322" t="str">
        <f>IF(LEN($H$321)&lt;&gt;8,$H$321,RIGHT($H$321,4)&amp;" "&amp;MID($H$321,3,1)&amp;LEFT($H$321,1))</f>
        <v>2018 Q4</v>
      </c>
      <c r="I322" t="str">
        <f>IF(LEN($I$321)&lt;&gt;8,$I$321,RIGHT($I$321,4)&amp;" "&amp;MID($I$321,3,1)&amp;LEFT($I$321,1))</f>
        <v>2018 Q3</v>
      </c>
      <c r="J322" t="str">
        <f>IF(LEN($J$321)&lt;&gt;8,$J$321,RIGHT($J$321,4)&amp;" "&amp;MID($J$321,3,1)&amp;LEFT($J$321,1))</f>
        <v>2018 Q2</v>
      </c>
      <c r="K322" t="str">
        <f>IF(LEN($K$321)&lt;&gt;8,$K$321,RIGHT($K$321,4)&amp;" "&amp;MID($K$321,3,1)&amp;LEFT($K$321,1))</f>
        <v>2018 Q1</v>
      </c>
      <c r="L322" t="str">
        <f>IF(LEN($L$321)&lt;&gt;8,$L$321,RIGHT($L$321,4)&amp;" "&amp;MID($L$321,3,1)&amp;LEFT($L$321,1))</f>
        <v>2017 Q4</v>
      </c>
      <c r="M322" t="str">
        <f>IF(LEN($M$321)&lt;&gt;8,$M$321,RIGHT($M$321,4)&amp;" "&amp;MID($M$321,3,1)&amp;LEFT($M$321,1))</f>
        <v>2017 Q3</v>
      </c>
      <c r="N322" t="str">
        <f>IF(LEN($N$321)&lt;&gt;8,$N$321,RIGHT($N$321,4)&amp;" "&amp;MID($N$321,3,1)&amp;LEFT($N$321,1))</f>
        <v>2017 Q2</v>
      </c>
      <c r="R322" t="str">
        <f>""</f>
        <v/>
      </c>
      <c r="S322" t="str">
        <f>""</f>
        <v/>
      </c>
      <c r="T322" t="str">
        <f>""</f>
        <v/>
      </c>
      <c r="U322" t="str">
        <f>""</f>
        <v/>
      </c>
      <c r="V322" t="str">
        <f>""</f>
        <v/>
      </c>
      <c r="W322" t="str">
        <f>""</f>
        <v/>
      </c>
      <c r="X322" t="str">
        <f>""</f>
        <v/>
      </c>
      <c r="Y322" t="str">
        <f>""</f>
        <v/>
      </c>
      <c r="Z322" t="str">
        <f>""</f>
        <v/>
      </c>
      <c r="AA322" t="str">
        <f>""</f>
        <v/>
      </c>
      <c r="AB322" t="str">
        <f>""</f>
        <v/>
      </c>
      <c r="AC322" t="str">
        <f>""</f>
        <v/>
      </c>
    </row>
    <row r="323" spans="1:29" x14ac:dyDescent="0.25">
      <c r="A323" t="str">
        <f>"BDH dynamic header0"</f>
        <v>BDH dynamic header0</v>
      </c>
      <c r="B323">
        <f ca="1">IF(OR(ISERROR($C$323),ISBLANK($C$323),ISNUMBER(SEARCH("N/A",$C$323) ),ISERROR($C$324),ISBLANK($C$324)),0,1)</f>
        <v>0</v>
      </c>
      <c r="C323" t="str">
        <f ca="1">_xll.BDH($B$5,$C$5,$B$163,$B$164,"PER=CQ","Dts=S","DtFmt=FI", "rows=2","Dir=H","Points=12","Sort=R","Days=A","Fill=B","FX=USD" )</f>
        <v>#N/A Invalid Parameter: Invalid override field id specified</v>
      </c>
      <c r="R323" t="str">
        <f>""</f>
        <v/>
      </c>
      <c r="S323" t="str">
        <f>""</f>
        <v/>
      </c>
      <c r="T323" t="str">
        <f>""</f>
        <v/>
      </c>
      <c r="U323" t="str">
        <f>""</f>
        <v/>
      </c>
      <c r="V323" t="str">
        <f>""</f>
        <v/>
      </c>
      <c r="W323" t="str">
        <f>""</f>
        <v/>
      </c>
      <c r="X323" t="str">
        <f>""</f>
        <v/>
      </c>
      <c r="Y323" t="str">
        <f>""</f>
        <v/>
      </c>
      <c r="Z323" t="str">
        <f>""</f>
        <v/>
      </c>
      <c r="AA323" t="str">
        <f>""</f>
        <v/>
      </c>
      <c r="AB323" t="str">
        <f>""</f>
        <v/>
      </c>
      <c r="AC323" t="str">
        <f>""</f>
        <v/>
      </c>
    </row>
    <row r="324" spans="1:29" x14ac:dyDescent="0.25">
      <c r="A324" t="str">
        <f>"BDH dynamic result0"</f>
        <v>BDH dynamic result0</v>
      </c>
      <c r="R324" t="str">
        <f>""</f>
        <v/>
      </c>
      <c r="S324" t="str">
        <f>""</f>
        <v/>
      </c>
      <c r="T324" t="str">
        <f>""</f>
        <v/>
      </c>
      <c r="U324" t="str">
        <f>""</f>
        <v/>
      </c>
      <c r="V324" t="str">
        <f>""</f>
        <v/>
      </c>
      <c r="W324" t="str">
        <f>""</f>
        <v/>
      </c>
      <c r="X324" t="str">
        <f>""</f>
        <v/>
      </c>
      <c r="Y324" t="str">
        <f>""</f>
        <v/>
      </c>
      <c r="Z324" t="str">
        <f>""</f>
        <v/>
      </c>
      <c r="AA324" t="str">
        <f>""</f>
        <v/>
      </c>
      <c r="AB324" t="str">
        <f>""</f>
        <v/>
      </c>
      <c r="AC324" t="str">
        <f>""</f>
        <v/>
      </c>
    </row>
    <row r="325" spans="1:29" x14ac:dyDescent="0.25">
      <c r="A325" t="str">
        <f>"BDH dynamic header1"</f>
        <v>BDH dynamic header1</v>
      </c>
      <c r="B325">
        <f ca="1">IF(OR(ISERROR($C$325),ISBLANK($C$325),ISNUMBER(SEARCH("N/A",$C$325) ),ISERROR($C$326),ISBLANK($C$326)),0,1)</f>
        <v>0</v>
      </c>
      <c r="C325" t="str">
        <f ca="1">_xll.BDH($B$6,$C$6,$B$163,$B$164,"PER=CQ","Dts=S","DtFmt=FI", "rows=2","Dir=H","Points=12","Sort=R","Days=A","Fill=B","FX=USD" )</f>
        <v>#N/A Invalid Parameter: Invalid override field id specified</v>
      </c>
      <c r="R325" t="str">
        <f>""</f>
        <v/>
      </c>
      <c r="S325" t="str">
        <f>""</f>
        <v/>
      </c>
      <c r="T325" t="str">
        <f>""</f>
        <v/>
      </c>
      <c r="U325" t="str">
        <f>""</f>
        <v/>
      </c>
      <c r="V325" t="str">
        <f>""</f>
        <v/>
      </c>
      <c r="W325" t="str">
        <f>""</f>
        <v/>
      </c>
      <c r="X325" t="str">
        <f>""</f>
        <v/>
      </c>
      <c r="Y325" t="str">
        <f>""</f>
        <v/>
      </c>
      <c r="Z325" t="str">
        <f>""</f>
        <v/>
      </c>
      <c r="AA325" t="str">
        <f>""</f>
        <v/>
      </c>
      <c r="AB325" t="str">
        <f>""</f>
        <v/>
      </c>
      <c r="AC325" t="str">
        <f>""</f>
        <v/>
      </c>
    </row>
    <row r="326" spans="1:29" x14ac:dyDescent="0.25">
      <c r="A326" t="str">
        <f>"BDH dynamic result1"</f>
        <v>BDH dynamic result1</v>
      </c>
      <c r="R326" t="str">
        <f>""</f>
        <v/>
      </c>
      <c r="S326" t="str">
        <f>""</f>
        <v/>
      </c>
      <c r="T326" t="str">
        <f>""</f>
        <v/>
      </c>
      <c r="U326" t="str">
        <f>""</f>
        <v/>
      </c>
      <c r="V326" t="str">
        <f>""</f>
        <v/>
      </c>
      <c r="W326" t="str">
        <f>""</f>
        <v/>
      </c>
      <c r="X326" t="str">
        <f>""</f>
        <v/>
      </c>
      <c r="Y326" t="str">
        <f>""</f>
        <v/>
      </c>
      <c r="Z326" t="str">
        <f>""</f>
        <v/>
      </c>
      <c r="AA326" t="str">
        <f>""</f>
        <v/>
      </c>
      <c r="AB326" t="str">
        <f>""</f>
        <v/>
      </c>
      <c r="AC326" t="str">
        <f>""</f>
        <v/>
      </c>
    </row>
    <row r="327" spans="1:29" x14ac:dyDescent="0.25">
      <c r="A327" t="str">
        <f>"BDH dynamic header2"</f>
        <v>BDH dynamic header2</v>
      </c>
      <c r="B327">
        <f ca="1">IF(OR(ISERROR($C$327),ISBLANK($C$327),ISNUMBER(SEARCH("N/A",$C$327) ),ISERROR($C$328),ISBLANK($C$328)),0,1)</f>
        <v>0</v>
      </c>
      <c r="C327" t="str">
        <f ca="1">_xll.BDH($B$7,$C$7,$B$163,$B$164,"PER=CQ","Dts=S","DtFmt=FI", "rows=2","Dir=H","Points=12","Sort=R","Days=A","Fill=B","FX=USD" )</f>
        <v>#N/A Invalid Parameter: Invalid override field id specified</v>
      </c>
      <c r="R327" t="str">
        <f>""</f>
        <v/>
      </c>
      <c r="S327" t="str">
        <f>""</f>
        <v/>
      </c>
      <c r="T327" t="str">
        <f>""</f>
        <v/>
      </c>
      <c r="U327" t="str">
        <f>""</f>
        <v/>
      </c>
      <c r="V327" t="str">
        <f>""</f>
        <v/>
      </c>
      <c r="W327" t="str">
        <f>""</f>
        <v/>
      </c>
      <c r="X327" t="str">
        <f>""</f>
        <v/>
      </c>
      <c r="Y327" t="str">
        <f>""</f>
        <v/>
      </c>
      <c r="Z327" t="str">
        <f>""</f>
        <v/>
      </c>
      <c r="AA327" t="str">
        <f>""</f>
        <v/>
      </c>
      <c r="AB327" t="str">
        <f>""</f>
        <v/>
      </c>
      <c r="AC327" t="str">
        <f>""</f>
        <v/>
      </c>
    </row>
    <row r="328" spans="1:29" x14ac:dyDescent="0.25">
      <c r="A328" t="str">
        <f>"BDH dynamic result2"</f>
        <v>BDH dynamic result2</v>
      </c>
      <c r="R328" t="str">
        <f>""</f>
        <v/>
      </c>
      <c r="S328" t="str">
        <f>""</f>
        <v/>
      </c>
      <c r="T328" t="str">
        <f>""</f>
        <v/>
      </c>
      <c r="U328" t="str">
        <f>""</f>
        <v/>
      </c>
      <c r="V328" t="str">
        <f>""</f>
        <v/>
      </c>
      <c r="W328" t="str">
        <f>""</f>
        <v/>
      </c>
      <c r="X328" t="str">
        <f>""</f>
        <v/>
      </c>
      <c r="Y328" t="str">
        <f>""</f>
        <v/>
      </c>
      <c r="Z328" t="str">
        <f>""</f>
        <v/>
      </c>
      <c r="AA328" t="str">
        <f>""</f>
        <v/>
      </c>
      <c r="AB328" t="str">
        <f>""</f>
        <v/>
      </c>
      <c r="AC328" t="str">
        <f>""</f>
        <v/>
      </c>
    </row>
    <row r="329" spans="1:29" x14ac:dyDescent="0.25">
      <c r="A329" t="str">
        <f>"BDH dynamic"</f>
        <v>BDH dynamic</v>
      </c>
      <c r="B329">
        <f ca="1">IF($B$323&gt;=1,$B$323,IF($B$325&gt;=1,$B$325,IF($B$327&gt;=1,$B$327,$B$314)))</f>
        <v>2</v>
      </c>
      <c r="C329" t="str">
        <f ca="1">IF($B$323&gt;=1,$C$323,IF($B$325&gt;=1,$C$325,IF($B$327&gt;=1,$C$327,$C$314)))</f>
        <v>2020 Q1</v>
      </c>
      <c r="D329" t="str">
        <f ca="1">IF($B$323&gt;=1,$D$323,IF($B$325&gt;=1,$D$325,IF($B$327&gt;=1,$D$327,$D$314)))</f>
        <v>2019 Q4</v>
      </c>
      <c r="E329" t="str">
        <f ca="1">IF($B$323&gt;=1,$E$323,IF($B$325&gt;=1,$E$325,IF($B$327&gt;=1,$E$327,$E$314)))</f>
        <v>2019 Q3</v>
      </c>
      <c r="F329" t="str">
        <f ca="1">IF($B$323&gt;=1,$F$323,IF($B$325&gt;=1,$F$325,IF($B$327&gt;=1,$F$327,$F$314)))</f>
        <v>2019 Q2</v>
      </c>
      <c r="G329" t="str">
        <f ca="1">IF($B$323&gt;=1,$G$323,IF($B$325&gt;=1,$G$325,IF($B$327&gt;=1,$G$327,$G$314)))</f>
        <v>2019 Q1</v>
      </c>
      <c r="H329" t="str">
        <f ca="1">IF($B$323&gt;=1,$H$323,IF($B$325&gt;=1,$H$325,IF($B$327&gt;=1,$H$327,$H$314)))</f>
        <v>2018 Q4</v>
      </c>
      <c r="I329" t="str">
        <f ca="1">IF($B$323&gt;=1,$I$323,IF($B$325&gt;=1,$I$325,IF($B$327&gt;=1,$I$327,$I$314)))</f>
        <v>2018 Q3</v>
      </c>
      <c r="J329" t="str">
        <f ca="1">IF($B$323&gt;=1,$J$323,IF($B$325&gt;=1,$J$325,IF($B$327&gt;=1,$J$327,$J$314)))</f>
        <v>2018 Q2</v>
      </c>
      <c r="K329" t="str">
        <f ca="1">IF($B$323&gt;=1,$K$323,IF($B$325&gt;=1,$K$325,IF($B$327&gt;=1,$K$327,$K$314)))</f>
        <v>2018 Q1</v>
      </c>
      <c r="L329" t="str">
        <f ca="1">IF($B$323&gt;=1,$L$323,IF($B$325&gt;=1,$L$325,IF($B$327&gt;=1,$L$327,$L$314)))</f>
        <v>2017 Q4</v>
      </c>
      <c r="M329" t="str">
        <f ca="1">IF($B$323&gt;=1,$M$323,IF($B$325&gt;=1,$M$325,IF($B$327&gt;=1,$M$327,$M$314)))</f>
        <v>2017 Q3</v>
      </c>
      <c r="N329" t="str">
        <f ca="1">IF($B$323&gt;=1,$N$323,IF($B$325&gt;=1,$N$325,IF($B$327&gt;=1,$N$327,$N$314)))</f>
        <v>2017 Q2</v>
      </c>
      <c r="R329" t="str">
        <f>""</f>
        <v/>
      </c>
      <c r="S329" t="str">
        <f>""</f>
        <v/>
      </c>
      <c r="T329" t="str">
        <f>""</f>
        <v/>
      </c>
      <c r="U329" t="str">
        <f>""</f>
        <v/>
      </c>
      <c r="V329" t="str">
        <f>""</f>
        <v/>
      </c>
      <c r="W329" t="str">
        <f>""</f>
        <v/>
      </c>
      <c r="X329" t="str">
        <f>""</f>
        <v/>
      </c>
      <c r="Y329" t="str">
        <f>""</f>
        <v/>
      </c>
      <c r="Z329" t="str">
        <f>""</f>
        <v/>
      </c>
      <c r="AA329" t="str">
        <f>""</f>
        <v/>
      </c>
      <c r="AB329" t="str">
        <f>""</f>
        <v/>
      </c>
      <c r="AC329" t="str">
        <f>""</f>
        <v/>
      </c>
    </row>
    <row r="330" spans="1:29" x14ac:dyDescent="0.25">
      <c r="A330" t="str">
        <f>"BDH dynamic title"</f>
        <v>BDH dynamic title</v>
      </c>
      <c r="B330">
        <f ca="1">$B$329</f>
        <v>2</v>
      </c>
      <c r="C330" t="str">
        <f ca="1">IF(LEN($C$329)&lt;&gt;8,$C$329,RIGHT($C$329,4)&amp;" "&amp;MID($C$329,3,1)&amp;LEFT($C$329,1))</f>
        <v>2020 Q1</v>
      </c>
      <c r="D330" t="str">
        <f ca="1">IF(LEN($D$329)&lt;&gt;8,$D$329,RIGHT($D$329,4)&amp;" "&amp;MID($D$329,3,1)&amp;LEFT($D$329,1))</f>
        <v>2019 Q4</v>
      </c>
      <c r="E330" t="str">
        <f ca="1">IF(LEN($E$329)&lt;&gt;8,$E$329,RIGHT($E$329,4)&amp;" "&amp;MID($E$329,3,1)&amp;LEFT($E$329,1))</f>
        <v>2019 Q3</v>
      </c>
      <c r="F330" t="str">
        <f ca="1">IF(LEN($F$329)&lt;&gt;8,$F$329,RIGHT($F$329,4)&amp;" "&amp;MID($F$329,3,1)&amp;LEFT($F$329,1))</f>
        <v>2019 Q2</v>
      </c>
      <c r="G330" t="str">
        <f ca="1">IF(LEN($G$329)&lt;&gt;8,$G$329,RIGHT($G$329,4)&amp;" "&amp;MID($G$329,3,1)&amp;LEFT($G$329,1))</f>
        <v>2019 Q1</v>
      </c>
      <c r="H330" t="str">
        <f ca="1">IF(LEN($H$329)&lt;&gt;8,$H$329,RIGHT($H$329,4)&amp;" "&amp;MID($H$329,3,1)&amp;LEFT($H$329,1))</f>
        <v>2018 Q4</v>
      </c>
      <c r="I330" t="str">
        <f ca="1">IF(LEN($I$329)&lt;&gt;8,$I$329,RIGHT($I$329,4)&amp;" "&amp;MID($I$329,3,1)&amp;LEFT($I$329,1))</f>
        <v>2018 Q3</v>
      </c>
      <c r="J330" t="str">
        <f ca="1">IF(LEN($J$329)&lt;&gt;8,$J$329,RIGHT($J$329,4)&amp;" "&amp;MID($J$329,3,1)&amp;LEFT($J$329,1))</f>
        <v>2018 Q2</v>
      </c>
      <c r="K330" t="str">
        <f ca="1">IF(LEN($K$329)&lt;&gt;8,$K$329,RIGHT($K$329,4)&amp;" "&amp;MID($K$329,3,1)&amp;LEFT($K$329,1))</f>
        <v>2018 Q1</v>
      </c>
      <c r="L330" t="str">
        <f ca="1">IF(LEN($L$329)&lt;&gt;8,$L$329,RIGHT($L$329,4)&amp;" "&amp;MID($L$329,3,1)&amp;LEFT($L$329,1))</f>
        <v>2017 Q4</v>
      </c>
      <c r="M330" t="str">
        <f ca="1">IF(LEN($M$329)&lt;&gt;8,$M$329,RIGHT($M$329,4)&amp;" "&amp;MID($M$329,3,1)&amp;LEFT($M$329,1))</f>
        <v>2017 Q3</v>
      </c>
      <c r="N330" t="str">
        <f ca="1">IF(LEN($N$329)&lt;&gt;8,$N$329,RIGHT($N$329,4)&amp;" "&amp;MID($N$329,3,1)&amp;LEFT($N$329,1))</f>
        <v>2017 Q2</v>
      </c>
      <c r="R330" t="str">
        <f>""</f>
        <v/>
      </c>
      <c r="S330" t="str">
        <f>""</f>
        <v/>
      </c>
      <c r="T330" t="str">
        <f>""</f>
        <v/>
      </c>
      <c r="U330" t="str">
        <f>""</f>
        <v/>
      </c>
      <c r="V330" t="str">
        <f>""</f>
        <v/>
      </c>
      <c r="W330" t="str">
        <f>""</f>
        <v/>
      </c>
      <c r="X330" t="str">
        <f>""</f>
        <v/>
      </c>
      <c r="Y330" t="str">
        <f>""</f>
        <v/>
      </c>
      <c r="Z330" t="str">
        <f>""</f>
        <v/>
      </c>
      <c r="AA330" t="str">
        <f>""</f>
        <v/>
      </c>
      <c r="AB330" t="str">
        <f>""</f>
        <v/>
      </c>
      <c r="AC330" t="str">
        <f>""</f>
        <v/>
      </c>
    </row>
    <row r="331" spans="1:29" x14ac:dyDescent="0.25">
      <c r="A331" t="str">
        <f>"No error found"</f>
        <v>No error found</v>
      </c>
      <c r="B331" t="str">
        <f>""</f>
        <v/>
      </c>
      <c r="C331" t="str">
        <f>""</f>
        <v/>
      </c>
      <c r="D331" t="str">
        <f>""</f>
        <v/>
      </c>
      <c r="E331" t="str">
        <f>""</f>
        <v/>
      </c>
      <c r="R331" t="str">
        <f>""</f>
        <v/>
      </c>
      <c r="S331" t="str">
        <f>""</f>
        <v/>
      </c>
      <c r="T331" t="str">
        <f>""</f>
        <v/>
      </c>
      <c r="U331" t="str">
        <f>""</f>
        <v/>
      </c>
      <c r="V331" t="str">
        <f>""</f>
        <v/>
      </c>
      <c r="W331" t="str">
        <f>""</f>
        <v/>
      </c>
      <c r="X331" t="str">
        <f>""</f>
        <v/>
      </c>
      <c r="Y331" t="str">
        <f>""</f>
        <v/>
      </c>
      <c r="Z331" t="str">
        <f>""</f>
        <v/>
      </c>
      <c r="AA331" t="str">
        <f>""</f>
        <v/>
      </c>
      <c r="AB331" t="str">
        <f>""</f>
        <v/>
      </c>
      <c r="AC331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4DB8-69BB-429D-9551-B79F92FA262D}">
  <dimension ref="A2:AC331"/>
  <sheetViews>
    <sheetView tabSelected="1" workbookViewId="0">
      <selection activeCell="J21" sqref="J21"/>
    </sheetView>
  </sheetViews>
  <sheetFormatPr defaultRowHeight="15" x14ac:dyDescent="0.25"/>
  <sheetData>
    <row r="2" spans="1:2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44</v>
      </c>
      <c r="G2" t="s">
        <v>43</v>
      </c>
      <c r="H2" t="s">
        <v>42</v>
      </c>
      <c r="I2" t="s">
        <v>41</v>
      </c>
      <c r="J2" t="s">
        <v>40</v>
      </c>
      <c r="K2" t="s">
        <v>39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  <c r="R2" t="s">
        <v>44</v>
      </c>
      <c r="S2" t="s">
        <v>43</v>
      </c>
      <c r="T2" t="s">
        <v>42</v>
      </c>
      <c r="U2" t="s">
        <v>41</v>
      </c>
      <c r="V2" t="s">
        <v>40</v>
      </c>
      <c r="W2" t="s">
        <v>39</v>
      </c>
      <c r="X2" t="s">
        <v>38</v>
      </c>
      <c r="Y2" t="s">
        <v>37</v>
      </c>
      <c r="Z2" t="s">
        <v>36</v>
      </c>
      <c r="AA2" t="s">
        <v>35</v>
      </c>
      <c r="AB2" t="s">
        <v>34</v>
      </c>
      <c r="AC2" t="s">
        <v>33</v>
      </c>
    </row>
    <row r="3" spans="1:29" x14ac:dyDescent="0.25">
      <c r="A3" t="s">
        <v>45</v>
      </c>
      <c r="B3" t="s">
        <v>46</v>
      </c>
      <c r="E3" t="s">
        <v>47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</row>
    <row r="4" spans="1:29" x14ac:dyDescent="0.25">
      <c r="A4" t="s">
        <v>48</v>
      </c>
      <c r="B4" t="s">
        <v>49</v>
      </c>
      <c r="E4" t="s">
        <v>50</v>
      </c>
      <c r="F4">
        <v>44295.5007721</v>
      </c>
      <c r="G4">
        <v>42973.641259800002</v>
      </c>
      <c r="H4">
        <v>42078.284508199999</v>
      </c>
      <c r="I4">
        <v>76948.2729272</v>
      </c>
      <c r="J4">
        <v>50618.185729999997</v>
      </c>
      <c r="K4">
        <v>43413.318614999996</v>
      </c>
      <c r="L4">
        <v>45332.222559099995</v>
      </c>
      <c r="M4">
        <v>42387.0882643</v>
      </c>
      <c r="N4">
        <v>44248.887874700005</v>
      </c>
      <c r="O4">
        <v>44139.915891800003</v>
      </c>
      <c r="P4">
        <v>45158.117290999995</v>
      </c>
      <c r="Q4">
        <v>44196.454791600001</v>
      </c>
      <c r="R4">
        <v>44295.500769999999</v>
      </c>
      <c r="S4">
        <v>42973.641259999997</v>
      </c>
      <c r="T4">
        <v>42078.284509999998</v>
      </c>
      <c r="U4">
        <v>76948.272930000006</v>
      </c>
      <c r="V4">
        <v>50618.185729999997</v>
      </c>
      <c r="W4">
        <v>43413.318619999998</v>
      </c>
      <c r="X4">
        <v>45332.222560000002</v>
      </c>
      <c r="Y4">
        <v>42387.088259999997</v>
      </c>
      <c r="Z4">
        <v>44248.887880000002</v>
      </c>
      <c r="AA4">
        <v>44139.915889999997</v>
      </c>
      <c r="AB4">
        <v>45158.117290000002</v>
      </c>
      <c r="AC4">
        <v>44196.454790000003</v>
      </c>
    </row>
    <row r="5" spans="1:29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>
        <v>5440.0990000000002</v>
      </c>
      <c r="G5">
        <v>5813.84</v>
      </c>
      <c r="H5">
        <v>6130.1660000000002</v>
      </c>
      <c r="I5">
        <v>4772.4960000000001</v>
      </c>
      <c r="J5">
        <v>4468</v>
      </c>
      <c r="K5">
        <v>4366.9059999999999</v>
      </c>
      <c r="L5">
        <v>5064.5519999999997</v>
      </c>
      <c r="M5">
        <v>3932.1060000000002</v>
      </c>
      <c r="N5">
        <v>3598.4969999999998</v>
      </c>
      <c r="O5">
        <v>3682.393</v>
      </c>
      <c r="P5">
        <v>4129.8710000000001</v>
      </c>
      <c r="Q5">
        <v>3384.8470000000002</v>
      </c>
      <c r="R5">
        <v>5440.0990000000002</v>
      </c>
      <c r="S5">
        <v>5813.84</v>
      </c>
      <c r="T5">
        <v>6130.1660000000002</v>
      </c>
      <c r="U5">
        <v>4772.4960000000001</v>
      </c>
      <c r="V5">
        <v>4468</v>
      </c>
      <c r="W5">
        <v>4366.9059999999999</v>
      </c>
      <c r="X5">
        <v>5064.5519999999997</v>
      </c>
      <c r="Y5">
        <v>3932.1060000000002</v>
      </c>
      <c r="Z5">
        <v>3598.4969999999998</v>
      </c>
      <c r="AA5">
        <v>3682.393</v>
      </c>
      <c r="AB5">
        <v>4129.8710000000001</v>
      </c>
      <c r="AC5">
        <v>3384.8470000000002</v>
      </c>
    </row>
    <row r="6" spans="1:29" x14ac:dyDescent="0.25">
      <c r="A6" t="s">
        <v>56</v>
      </c>
      <c r="B6" t="s">
        <v>57</v>
      </c>
      <c r="C6" t="s">
        <v>53</v>
      </c>
      <c r="D6" t="s">
        <v>54</v>
      </c>
      <c r="E6" t="s">
        <v>55</v>
      </c>
      <c r="F6">
        <v>762.60199999999998</v>
      </c>
      <c r="G6">
        <v>485.875</v>
      </c>
      <c r="H6">
        <v>471.63200000000001</v>
      </c>
      <c r="I6">
        <v>457.70699999999999</v>
      </c>
      <c r="J6">
        <v>449.69600000000003</v>
      </c>
      <c r="K6">
        <v>458.65</v>
      </c>
      <c r="L6">
        <v>519.21600000000001</v>
      </c>
      <c r="M6">
        <v>561.04100000000005</v>
      </c>
      <c r="N6">
        <v>666.84299999999996</v>
      </c>
      <c r="O6">
        <v>965.93799999999999</v>
      </c>
      <c r="P6">
        <v>979.60799999999995</v>
      </c>
      <c r="Q6">
        <v>963.03899999999999</v>
      </c>
      <c r="R6">
        <v>762.60199999999998</v>
      </c>
      <c r="S6">
        <v>485.875</v>
      </c>
      <c r="T6">
        <v>471.63200000000001</v>
      </c>
      <c r="U6">
        <v>457.70699999999999</v>
      </c>
      <c r="V6">
        <v>449.69600000000003</v>
      </c>
      <c r="W6">
        <v>458.65</v>
      </c>
      <c r="X6">
        <v>519.21600000000001</v>
      </c>
      <c r="Y6">
        <v>561.04100000000005</v>
      </c>
      <c r="Z6">
        <v>666.84299999999996</v>
      </c>
      <c r="AA6">
        <v>965.93799999999999</v>
      </c>
      <c r="AB6">
        <v>979.60799999999995</v>
      </c>
      <c r="AC6">
        <v>963.03899999999999</v>
      </c>
    </row>
    <row r="7" spans="1:29" x14ac:dyDescent="0.25">
      <c r="A7" t="s">
        <v>58</v>
      </c>
      <c r="B7" t="s">
        <v>59</v>
      </c>
      <c r="C7" t="s">
        <v>53</v>
      </c>
      <c r="D7" t="s">
        <v>54</v>
      </c>
      <c r="E7" t="s">
        <v>55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</row>
    <row r="8" spans="1:29" x14ac:dyDescent="0.25">
      <c r="A8" t="s">
        <v>60</v>
      </c>
      <c r="B8" t="s">
        <v>61</v>
      </c>
      <c r="C8" t="s">
        <v>53</v>
      </c>
      <c r="D8" t="s">
        <v>54</v>
      </c>
      <c r="E8" t="s">
        <v>55</v>
      </c>
      <c r="F8" t="s">
        <v>46</v>
      </c>
      <c r="G8">
        <v>3002.6345999999999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>
        <v>3002.6345999999999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</row>
    <row r="9" spans="1:29" x14ac:dyDescent="0.25">
      <c r="A9" t="s">
        <v>62</v>
      </c>
      <c r="B9" t="s">
        <v>63</v>
      </c>
      <c r="C9" t="s">
        <v>53</v>
      </c>
      <c r="D9" t="s">
        <v>54</v>
      </c>
      <c r="E9" t="s">
        <v>55</v>
      </c>
      <c r="F9">
        <v>213.2292401</v>
      </c>
      <c r="G9">
        <v>164.18400370000001</v>
      </c>
      <c r="H9">
        <v>161.49157919999999</v>
      </c>
      <c r="I9">
        <v>171.96288089999999</v>
      </c>
      <c r="J9">
        <v>406.94097399999998</v>
      </c>
      <c r="K9">
        <v>298.10041100000001</v>
      </c>
      <c r="L9">
        <v>142.27606460000001</v>
      </c>
      <c r="M9">
        <v>130.16051730000001</v>
      </c>
      <c r="N9">
        <v>223.09411130000001</v>
      </c>
      <c r="O9">
        <v>190.7415981</v>
      </c>
      <c r="P9">
        <v>132.8676706</v>
      </c>
      <c r="Q9">
        <v>233.18990070000001</v>
      </c>
      <c r="R9">
        <v>213.2292401</v>
      </c>
      <c r="S9">
        <v>164.18400370000001</v>
      </c>
      <c r="T9">
        <v>161.49157919999999</v>
      </c>
      <c r="U9">
        <v>171.96288089999999</v>
      </c>
      <c r="V9">
        <v>406.94097399999998</v>
      </c>
      <c r="W9">
        <v>298.10041100000001</v>
      </c>
      <c r="X9">
        <v>142.27606460000001</v>
      </c>
      <c r="Y9">
        <v>130.16051730000001</v>
      </c>
      <c r="Z9">
        <v>223.09411130000001</v>
      </c>
      <c r="AA9">
        <v>190.7415981</v>
      </c>
      <c r="AB9">
        <v>132.8676706</v>
      </c>
      <c r="AC9">
        <v>233.18990070000001</v>
      </c>
    </row>
    <row r="10" spans="1:29" x14ac:dyDescent="0.25">
      <c r="A10" t="s">
        <v>64</v>
      </c>
      <c r="B10" t="s">
        <v>65</v>
      </c>
      <c r="C10" t="s">
        <v>53</v>
      </c>
      <c r="D10" t="s">
        <v>54</v>
      </c>
      <c r="E10" t="s">
        <v>55</v>
      </c>
      <c r="F10">
        <v>4282</v>
      </c>
      <c r="G10">
        <v>3424</v>
      </c>
      <c r="H10">
        <v>3077</v>
      </c>
      <c r="I10">
        <v>3003</v>
      </c>
      <c r="J10">
        <v>3668</v>
      </c>
      <c r="K10">
        <v>4511</v>
      </c>
      <c r="L10">
        <v>4763</v>
      </c>
      <c r="M10">
        <v>4247</v>
      </c>
      <c r="N10">
        <v>4830</v>
      </c>
      <c r="O10">
        <v>5056</v>
      </c>
      <c r="P10">
        <v>4713</v>
      </c>
      <c r="Q10">
        <v>4378</v>
      </c>
      <c r="R10">
        <v>4282</v>
      </c>
      <c r="S10">
        <v>3424</v>
      </c>
      <c r="T10">
        <v>3077</v>
      </c>
      <c r="U10">
        <v>3003</v>
      </c>
      <c r="V10">
        <v>3668</v>
      </c>
      <c r="W10">
        <v>4511</v>
      </c>
      <c r="X10">
        <v>4763</v>
      </c>
      <c r="Y10">
        <v>4247</v>
      </c>
      <c r="Z10">
        <v>4830</v>
      </c>
      <c r="AA10">
        <v>5056</v>
      </c>
      <c r="AB10">
        <v>4713</v>
      </c>
      <c r="AC10">
        <v>4378</v>
      </c>
    </row>
    <row r="11" spans="1:29" x14ac:dyDescent="0.25">
      <c r="A11" t="s">
        <v>66</v>
      </c>
      <c r="B11" t="s">
        <v>67</v>
      </c>
      <c r="C11" t="s">
        <v>53</v>
      </c>
      <c r="D11" t="s">
        <v>54</v>
      </c>
      <c r="E11" t="s">
        <v>55</v>
      </c>
      <c r="F11">
        <v>395</v>
      </c>
      <c r="G11">
        <v>496</v>
      </c>
      <c r="H11">
        <v>228</v>
      </c>
      <c r="I11">
        <v>276</v>
      </c>
      <c r="J11">
        <v>520</v>
      </c>
      <c r="K11">
        <v>756</v>
      </c>
      <c r="L11">
        <v>586</v>
      </c>
      <c r="M11">
        <v>993</v>
      </c>
      <c r="N11">
        <v>553</v>
      </c>
      <c r="O11">
        <v>658</v>
      </c>
      <c r="P11">
        <v>468</v>
      </c>
      <c r="Q11">
        <v>309</v>
      </c>
      <c r="R11">
        <v>395</v>
      </c>
      <c r="S11">
        <v>496</v>
      </c>
      <c r="T11">
        <v>228</v>
      </c>
      <c r="U11">
        <v>276</v>
      </c>
      <c r="V11">
        <v>520</v>
      </c>
      <c r="W11">
        <v>756</v>
      </c>
      <c r="X11">
        <v>586</v>
      </c>
      <c r="Y11">
        <v>993</v>
      </c>
      <c r="Z11">
        <v>553</v>
      </c>
      <c r="AA11">
        <v>658</v>
      </c>
      <c r="AB11">
        <v>468</v>
      </c>
      <c r="AC11">
        <v>309</v>
      </c>
    </row>
    <row r="12" spans="1:29" x14ac:dyDescent="0.25">
      <c r="A12" t="s">
        <v>68</v>
      </c>
      <c r="B12" t="s">
        <v>69</v>
      </c>
      <c r="C12" t="s">
        <v>53</v>
      </c>
      <c r="D12" t="s">
        <v>54</v>
      </c>
      <c r="E12" t="s">
        <v>55</v>
      </c>
      <c r="F12">
        <v>3679</v>
      </c>
      <c r="G12">
        <v>2560</v>
      </c>
      <c r="H12">
        <v>2880</v>
      </c>
      <c r="I12">
        <v>1868</v>
      </c>
      <c r="J12">
        <v>2899</v>
      </c>
      <c r="K12">
        <v>2475</v>
      </c>
      <c r="L12">
        <v>2780</v>
      </c>
      <c r="M12">
        <v>2579</v>
      </c>
      <c r="N12">
        <v>2593</v>
      </c>
      <c r="O12">
        <v>2926</v>
      </c>
      <c r="P12">
        <v>2671</v>
      </c>
      <c r="Q12">
        <v>2517</v>
      </c>
      <c r="R12">
        <v>3679</v>
      </c>
      <c r="S12">
        <v>2560</v>
      </c>
      <c r="T12">
        <v>2880</v>
      </c>
      <c r="U12">
        <v>1868</v>
      </c>
      <c r="V12">
        <v>2899</v>
      </c>
      <c r="W12">
        <v>2475</v>
      </c>
      <c r="X12">
        <v>2780</v>
      </c>
      <c r="Y12">
        <v>2579</v>
      </c>
      <c r="Z12">
        <v>2593</v>
      </c>
      <c r="AA12">
        <v>2926</v>
      </c>
      <c r="AB12">
        <v>2671</v>
      </c>
      <c r="AC12">
        <v>2517</v>
      </c>
    </row>
    <row r="13" spans="1:29" x14ac:dyDescent="0.25">
      <c r="A13" t="s">
        <v>70</v>
      </c>
      <c r="B13" t="s">
        <v>71</v>
      </c>
      <c r="C13" t="s">
        <v>53</v>
      </c>
      <c r="D13" t="s">
        <v>54</v>
      </c>
      <c r="E13" t="s">
        <v>55</v>
      </c>
      <c r="F13">
        <v>916.25300000000004</v>
      </c>
      <c r="G13">
        <v>936.55200000000002</v>
      </c>
      <c r="H13">
        <v>853.24099999999999</v>
      </c>
      <c r="I13">
        <v>777.36500000000001</v>
      </c>
      <c r="J13">
        <v>762.529</v>
      </c>
      <c r="K13">
        <v>770.56</v>
      </c>
      <c r="L13">
        <v>685.10799999999995</v>
      </c>
      <c r="M13">
        <v>584.08100000000002</v>
      </c>
      <c r="N13">
        <v>535.85699999999997</v>
      </c>
      <c r="O13">
        <v>582.58500000000004</v>
      </c>
      <c r="P13">
        <v>512.49300000000005</v>
      </c>
      <c r="Q13">
        <v>443.50099999999998</v>
      </c>
      <c r="R13">
        <v>916.25300000000004</v>
      </c>
      <c r="S13">
        <v>936.55200000000002</v>
      </c>
      <c r="T13">
        <v>853.24099999999999</v>
      </c>
      <c r="U13">
        <v>777.36500000000001</v>
      </c>
      <c r="V13">
        <v>762.529</v>
      </c>
      <c r="W13">
        <v>770.56</v>
      </c>
      <c r="X13">
        <v>685.10799999999995</v>
      </c>
      <c r="Y13">
        <v>584.08100000000002</v>
      </c>
      <c r="Z13">
        <v>535.85699999999997</v>
      </c>
      <c r="AA13">
        <v>582.58500000000004</v>
      </c>
      <c r="AB13">
        <v>512.49300000000005</v>
      </c>
      <c r="AC13">
        <v>443.50099999999998</v>
      </c>
    </row>
    <row r="14" spans="1:29" x14ac:dyDescent="0.25">
      <c r="A14" t="s">
        <v>72</v>
      </c>
      <c r="B14" t="s">
        <v>73</v>
      </c>
      <c r="C14" t="s">
        <v>53</v>
      </c>
      <c r="D14" t="s">
        <v>54</v>
      </c>
      <c r="E14" t="s">
        <v>55</v>
      </c>
      <c r="F14">
        <v>401.62400000000002</v>
      </c>
      <c r="G14">
        <v>467.096</v>
      </c>
      <c r="H14">
        <v>456.87200000000001</v>
      </c>
      <c r="I14">
        <v>378.03</v>
      </c>
      <c r="J14">
        <v>325.37700000000001</v>
      </c>
      <c r="K14">
        <v>368.39600000000002</v>
      </c>
      <c r="L14">
        <v>401.23</v>
      </c>
      <c r="M14">
        <v>333.90300000000002</v>
      </c>
      <c r="N14">
        <v>424.226</v>
      </c>
      <c r="O14">
        <v>504.46800000000002</v>
      </c>
      <c r="P14">
        <v>440.05500000000001</v>
      </c>
      <c r="Q14">
        <v>441.06400000000002</v>
      </c>
      <c r="R14">
        <v>401.62400000000002</v>
      </c>
      <c r="S14">
        <v>467.096</v>
      </c>
      <c r="T14">
        <v>456.87200000000001</v>
      </c>
      <c r="U14">
        <v>378.03</v>
      </c>
      <c r="V14">
        <v>325.37700000000001</v>
      </c>
      <c r="W14">
        <v>368.39600000000002</v>
      </c>
      <c r="X14">
        <v>401.23</v>
      </c>
      <c r="Y14">
        <v>333.90300000000002</v>
      </c>
      <c r="Z14">
        <v>424.226</v>
      </c>
      <c r="AA14">
        <v>504.46800000000002</v>
      </c>
      <c r="AB14">
        <v>440.05500000000001</v>
      </c>
      <c r="AC14">
        <v>441.06400000000002</v>
      </c>
    </row>
    <row r="15" spans="1:29" x14ac:dyDescent="0.25">
      <c r="A15" t="s">
        <v>74</v>
      </c>
      <c r="B15" t="s">
        <v>75</v>
      </c>
      <c r="C15" t="s">
        <v>53</v>
      </c>
      <c r="D15" t="s">
        <v>54</v>
      </c>
      <c r="E15" t="s">
        <v>55</v>
      </c>
      <c r="F15">
        <v>2031.9079999999999</v>
      </c>
      <c r="G15">
        <v>1673.6</v>
      </c>
      <c r="H15">
        <v>1096.9000000000001</v>
      </c>
      <c r="I15">
        <v>1648.2</v>
      </c>
      <c r="J15">
        <v>1648.1110000000001</v>
      </c>
      <c r="K15">
        <v>1360.9</v>
      </c>
      <c r="L15">
        <v>1318.6</v>
      </c>
      <c r="M15">
        <v>1457.2</v>
      </c>
      <c r="N15">
        <v>977.89376730000004</v>
      </c>
      <c r="O15">
        <v>1300.5999999999999</v>
      </c>
      <c r="P15">
        <v>1488.8</v>
      </c>
      <c r="Q15">
        <v>1808.3</v>
      </c>
      <c r="R15">
        <v>2031.9079999999999</v>
      </c>
      <c r="S15">
        <v>1673.6</v>
      </c>
      <c r="T15">
        <v>1096.9000000000001</v>
      </c>
      <c r="U15">
        <v>1648.2</v>
      </c>
      <c r="V15">
        <v>1648.1110000000001</v>
      </c>
      <c r="W15">
        <v>1360.9</v>
      </c>
      <c r="X15">
        <v>1318.6</v>
      </c>
      <c r="Y15">
        <v>1457.2</v>
      </c>
      <c r="Z15">
        <v>977.89376730000004</v>
      </c>
      <c r="AA15">
        <v>1300.5999999999999</v>
      </c>
      <c r="AB15">
        <v>1488.8</v>
      </c>
      <c r="AC15">
        <v>1808.3</v>
      </c>
    </row>
    <row r="16" spans="1:29" x14ac:dyDescent="0.25">
      <c r="A16" t="s">
        <v>76</v>
      </c>
      <c r="B16" t="s">
        <v>77</v>
      </c>
      <c r="C16" t="s">
        <v>53</v>
      </c>
      <c r="D16" t="s">
        <v>54</v>
      </c>
      <c r="E16" t="s">
        <v>55</v>
      </c>
      <c r="F16">
        <v>899.73171000000002</v>
      </c>
      <c r="G16">
        <v>959.52815610000005</v>
      </c>
      <c r="H16">
        <v>823.83068000000003</v>
      </c>
      <c r="I16">
        <v>841.57354329999998</v>
      </c>
      <c r="J16">
        <v>941.89074000000005</v>
      </c>
      <c r="K16">
        <v>1051.09319</v>
      </c>
      <c r="L16">
        <v>996.01664000000005</v>
      </c>
      <c r="M16">
        <v>1104.626685</v>
      </c>
      <c r="N16">
        <v>928.96271999999999</v>
      </c>
      <c r="O16">
        <v>842.15312200000005</v>
      </c>
      <c r="P16">
        <v>753.62154999999996</v>
      </c>
      <c r="Q16">
        <v>614.93015739999998</v>
      </c>
      <c r="R16">
        <v>899.73171000000002</v>
      </c>
      <c r="S16">
        <v>959.52815610000005</v>
      </c>
      <c r="T16">
        <v>823.83068000000003</v>
      </c>
      <c r="U16">
        <v>841.57354329999998</v>
      </c>
      <c r="V16">
        <v>941.89074000000005</v>
      </c>
      <c r="W16">
        <v>1051.09319</v>
      </c>
      <c r="X16">
        <v>996.01664000000005</v>
      </c>
      <c r="Y16">
        <v>1104.626685</v>
      </c>
      <c r="Z16">
        <v>928.96271999999999</v>
      </c>
      <c r="AA16">
        <v>842.15312200000005</v>
      </c>
      <c r="AB16">
        <v>753.62154999999996</v>
      </c>
      <c r="AC16">
        <v>614.93015739999998</v>
      </c>
    </row>
    <row r="17" spans="1:29" x14ac:dyDescent="0.25">
      <c r="A17" t="s">
        <v>78</v>
      </c>
      <c r="B17" t="s">
        <v>79</v>
      </c>
      <c r="C17" t="s">
        <v>53</v>
      </c>
      <c r="D17" t="s">
        <v>54</v>
      </c>
      <c r="E17" t="s">
        <v>55</v>
      </c>
      <c r="F17">
        <v>3091.7946179999999</v>
      </c>
      <c r="G17">
        <v>2859.4093320000002</v>
      </c>
      <c r="H17">
        <v>2828.8417049999998</v>
      </c>
      <c r="I17">
        <v>3048.8822220000002</v>
      </c>
      <c r="J17">
        <v>3778.6718169999999</v>
      </c>
      <c r="K17">
        <v>3769.12039</v>
      </c>
      <c r="L17">
        <v>3505.3308430000002</v>
      </c>
      <c r="M17">
        <v>3414.6768889999998</v>
      </c>
      <c r="N17">
        <v>4025.9441200000001</v>
      </c>
      <c r="O17">
        <v>3616.5164479999999</v>
      </c>
      <c r="P17">
        <v>5426.3198160000002</v>
      </c>
      <c r="Q17">
        <v>5184.9352909999998</v>
      </c>
      <c r="R17">
        <v>3091.7946179999999</v>
      </c>
      <c r="S17">
        <v>2859.4093320000002</v>
      </c>
      <c r="T17">
        <v>2828.8417049999998</v>
      </c>
      <c r="U17">
        <v>3048.8822220000002</v>
      </c>
      <c r="V17">
        <v>3778.6718169999999</v>
      </c>
      <c r="W17">
        <v>3769.12039</v>
      </c>
      <c r="X17">
        <v>3505.3308430000002</v>
      </c>
      <c r="Y17">
        <v>3414.6768889999998</v>
      </c>
      <c r="Z17">
        <v>4025.9441200000001</v>
      </c>
      <c r="AA17">
        <v>3616.5164479999999</v>
      </c>
      <c r="AB17">
        <v>5426.3198160000002</v>
      </c>
      <c r="AC17">
        <v>5184.9352909999998</v>
      </c>
    </row>
    <row r="18" spans="1:29" x14ac:dyDescent="0.25">
      <c r="A18" t="s">
        <v>80</v>
      </c>
      <c r="B18" t="s">
        <v>81</v>
      </c>
      <c r="C18" t="s">
        <v>53</v>
      </c>
      <c r="D18" t="s">
        <v>54</v>
      </c>
      <c r="E18" t="s">
        <v>55</v>
      </c>
      <c r="F18">
        <v>11865</v>
      </c>
      <c r="G18">
        <v>8868</v>
      </c>
      <c r="H18">
        <v>10820</v>
      </c>
      <c r="I18">
        <v>46273</v>
      </c>
      <c r="J18">
        <v>18006</v>
      </c>
      <c r="K18">
        <v>11997</v>
      </c>
      <c r="L18">
        <v>14495</v>
      </c>
      <c r="M18">
        <v>11707</v>
      </c>
      <c r="N18">
        <v>12842</v>
      </c>
      <c r="O18">
        <v>12580</v>
      </c>
      <c r="P18">
        <v>11515</v>
      </c>
      <c r="Q18">
        <v>12295</v>
      </c>
      <c r="R18">
        <v>11865</v>
      </c>
      <c r="S18">
        <v>8868</v>
      </c>
      <c r="T18">
        <v>10820</v>
      </c>
      <c r="U18">
        <v>46273</v>
      </c>
      <c r="V18">
        <v>18006</v>
      </c>
      <c r="W18">
        <v>11997</v>
      </c>
      <c r="X18">
        <v>14495</v>
      </c>
      <c r="Y18">
        <v>11707</v>
      </c>
      <c r="Z18">
        <v>12842</v>
      </c>
      <c r="AA18">
        <v>12580</v>
      </c>
      <c r="AB18">
        <v>11515</v>
      </c>
      <c r="AC18">
        <v>12295</v>
      </c>
    </row>
    <row r="19" spans="1:29" x14ac:dyDescent="0.25">
      <c r="A19" t="s">
        <v>82</v>
      </c>
      <c r="B19" t="s">
        <v>83</v>
      </c>
      <c r="C19" t="s">
        <v>53</v>
      </c>
      <c r="D19" t="s">
        <v>54</v>
      </c>
      <c r="E19" t="s">
        <v>55</v>
      </c>
      <c r="F19">
        <v>4721.9388200000003</v>
      </c>
      <c r="G19">
        <v>5187.5408040000002</v>
      </c>
      <c r="H19">
        <v>6573.2256950000001</v>
      </c>
      <c r="I19">
        <v>6155.2166139999999</v>
      </c>
      <c r="J19">
        <v>6021.4963799999996</v>
      </c>
      <c r="K19">
        <v>5176.9263879999999</v>
      </c>
      <c r="L19">
        <v>4669.6393500000004</v>
      </c>
      <c r="M19">
        <v>5601.6064260000003</v>
      </c>
      <c r="N19">
        <v>6546.8222290000003</v>
      </c>
      <c r="O19">
        <v>5752.5665019999997</v>
      </c>
      <c r="P19">
        <v>5132.0581480000001</v>
      </c>
      <c r="Q19">
        <v>4935.321782</v>
      </c>
      <c r="R19">
        <v>4721.9388200000003</v>
      </c>
      <c r="S19">
        <v>5187.5408040000002</v>
      </c>
      <c r="T19">
        <v>6573.2256950000001</v>
      </c>
      <c r="U19">
        <v>6155.2166139999999</v>
      </c>
      <c r="V19">
        <v>6021.4963799999996</v>
      </c>
      <c r="W19">
        <v>5176.9263879999999</v>
      </c>
      <c r="X19">
        <v>4669.6393500000004</v>
      </c>
      <c r="Y19">
        <v>5601.6064260000003</v>
      </c>
      <c r="Z19">
        <v>6546.8222290000003</v>
      </c>
      <c r="AA19">
        <v>5752.5665019999997</v>
      </c>
      <c r="AB19">
        <v>5132.0581480000001</v>
      </c>
      <c r="AC19">
        <v>4935.321782</v>
      </c>
    </row>
    <row r="20" spans="1:29" x14ac:dyDescent="0.25">
      <c r="A20" t="s">
        <v>84</v>
      </c>
      <c r="B20" t="s">
        <v>85</v>
      </c>
      <c r="C20" t="s">
        <v>53</v>
      </c>
      <c r="D20" t="s">
        <v>54</v>
      </c>
      <c r="E20" t="s">
        <v>55</v>
      </c>
      <c r="F20">
        <v>1162.2887029999999</v>
      </c>
      <c r="G20">
        <v>1148.8041330000001</v>
      </c>
      <c r="H20">
        <v>1061.76019</v>
      </c>
      <c r="I20">
        <v>1128.978672</v>
      </c>
      <c r="J20">
        <v>1251.801342</v>
      </c>
      <c r="K20">
        <v>961.51528199999996</v>
      </c>
      <c r="L20">
        <v>876.47743949999995</v>
      </c>
      <c r="M20">
        <v>1047.7984670000001</v>
      </c>
      <c r="N20">
        <v>989.1003991</v>
      </c>
      <c r="O20">
        <v>950.37704670000005</v>
      </c>
      <c r="P20">
        <v>912.20964040000001</v>
      </c>
      <c r="Q20">
        <v>931.04446150000001</v>
      </c>
      <c r="R20">
        <v>1162.2887029999999</v>
      </c>
      <c r="S20">
        <v>1148.8041330000001</v>
      </c>
      <c r="T20">
        <v>1061.76019</v>
      </c>
      <c r="U20">
        <v>1128.978672</v>
      </c>
      <c r="V20">
        <v>1251.801342</v>
      </c>
      <c r="W20">
        <v>961.51528199999996</v>
      </c>
      <c r="X20">
        <v>876.47743949999995</v>
      </c>
      <c r="Y20">
        <v>1047.7984670000001</v>
      </c>
      <c r="Z20">
        <v>989.1003991</v>
      </c>
      <c r="AA20">
        <v>950.37704670000005</v>
      </c>
      <c r="AB20">
        <v>912.20964040000001</v>
      </c>
      <c r="AC20">
        <v>931.04446150000001</v>
      </c>
    </row>
    <row r="21" spans="1:29" x14ac:dyDescent="0.25">
      <c r="A21" t="s">
        <v>86</v>
      </c>
      <c r="B21" t="s">
        <v>87</v>
      </c>
      <c r="C21" t="s">
        <v>53</v>
      </c>
      <c r="D21" t="s">
        <v>54</v>
      </c>
      <c r="E21" t="s">
        <v>55</v>
      </c>
      <c r="F21">
        <v>4433.0316810000004</v>
      </c>
      <c r="G21">
        <v>4926.5772310000002</v>
      </c>
      <c r="H21">
        <v>4615.3236589999997</v>
      </c>
      <c r="I21">
        <v>6147.860995</v>
      </c>
      <c r="J21">
        <v>5470.6714769999999</v>
      </c>
      <c r="K21">
        <v>5092.1509539999997</v>
      </c>
      <c r="L21">
        <v>4529.7762220000004</v>
      </c>
      <c r="M21">
        <v>4693.8882800000001</v>
      </c>
      <c r="N21">
        <v>4513.6475280000004</v>
      </c>
      <c r="O21">
        <v>4531.5771750000004</v>
      </c>
      <c r="P21">
        <v>5883.2134660000002</v>
      </c>
      <c r="Q21">
        <v>5757.2821990000002</v>
      </c>
      <c r="R21">
        <v>4433.0316810000004</v>
      </c>
      <c r="S21">
        <v>4926.5772310000002</v>
      </c>
      <c r="T21">
        <v>4615.3236589999997</v>
      </c>
      <c r="U21">
        <v>6147.860995</v>
      </c>
      <c r="V21">
        <v>5470.6714769999999</v>
      </c>
      <c r="W21">
        <v>5092.1509539999997</v>
      </c>
      <c r="X21">
        <v>4529.7762220000004</v>
      </c>
      <c r="Y21">
        <v>4693.8882800000001</v>
      </c>
      <c r="Z21">
        <v>4513.6475280000004</v>
      </c>
      <c r="AA21">
        <v>4531.5771750000004</v>
      </c>
      <c r="AB21">
        <v>5883.2134660000002</v>
      </c>
      <c r="AC21">
        <v>5757.2821990000002</v>
      </c>
    </row>
    <row r="22" spans="1:29" x14ac:dyDescent="0.25">
      <c r="A22" t="s">
        <v>88</v>
      </c>
      <c r="B22" t="s">
        <v>46</v>
      </c>
      <c r="E22" t="s">
        <v>50</v>
      </c>
      <c r="F22">
        <v>47597.111195999998</v>
      </c>
      <c r="G22">
        <v>57321.641279999989</v>
      </c>
      <c r="H22">
        <v>49534.368897599998</v>
      </c>
      <c r="I22">
        <v>55494.539212800002</v>
      </c>
      <c r="J22">
        <v>55365.718109999994</v>
      </c>
      <c r="K22">
        <v>61385.236367000005</v>
      </c>
      <c r="L22">
        <v>52886.319763300009</v>
      </c>
      <c r="M22">
        <v>54362.891580900003</v>
      </c>
      <c r="N22">
        <v>52937.842565400002</v>
      </c>
      <c r="O22">
        <v>59361.469650999999</v>
      </c>
      <c r="P22">
        <v>54363.704775700004</v>
      </c>
      <c r="Q22">
        <v>53600.0539307</v>
      </c>
      <c r="R22">
        <v>47597.111199999999</v>
      </c>
      <c r="S22">
        <v>57321.641280000003</v>
      </c>
      <c r="T22">
        <v>49534.368900000001</v>
      </c>
      <c r="U22">
        <v>55494.539210000003</v>
      </c>
      <c r="V22">
        <v>55365.718110000002</v>
      </c>
      <c r="W22">
        <v>61385.236369999999</v>
      </c>
      <c r="X22">
        <v>52886.319759999998</v>
      </c>
      <c r="Y22">
        <v>54362.891580000003</v>
      </c>
      <c r="Z22">
        <v>52937.842570000001</v>
      </c>
      <c r="AA22">
        <v>59361.469649999999</v>
      </c>
      <c r="AB22">
        <v>54363.70478</v>
      </c>
      <c r="AC22">
        <v>53600.053930000002</v>
      </c>
    </row>
    <row r="23" spans="1:29" x14ac:dyDescent="0.25">
      <c r="A23" t="s">
        <v>51</v>
      </c>
      <c r="B23" t="s">
        <v>52</v>
      </c>
      <c r="C23" t="s">
        <v>89</v>
      </c>
      <c r="D23" t="s">
        <v>90</v>
      </c>
      <c r="E23" t="s">
        <v>55</v>
      </c>
      <c r="F23">
        <v>8517.9490000000005</v>
      </c>
      <c r="G23">
        <v>8577.3860000000004</v>
      </c>
      <c r="H23">
        <v>8095.0709999999999</v>
      </c>
      <c r="I23">
        <v>8134.1469999999999</v>
      </c>
      <c r="J23">
        <v>8151.4110000000001</v>
      </c>
      <c r="K23">
        <v>8023.0569999999998</v>
      </c>
      <c r="L23">
        <v>4996.4539999999997</v>
      </c>
      <c r="M23">
        <v>4986.652</v>
      </c>
      <c r="N23">
        <v>5030.6980000000003</v>
      </c>
      <c r="O23">
        <v>4981.0839999999998</v>
      </c>
      <c r="P23">
        <v>4569.2139999999999</v>
      </c>
      <c r="Q23">
        <v>4474.415</v>
      </c>
      <c r="R23">
        <v>8517.9490000000005</v>
      </c>
      <c r="S23">
        <v>8577.3860000000004</v>
      </c>
      <c r="T23">
        <v>8095.0709999999999</v>
      </c>
      <c r="U23">
        <v>8134.1469999999999</v>
      </c>
      <c r="V23">
        <v>8151.4110000000001</v>
      </c>
      <c r="W23">
        <v>8023.0569999999998</v>
      </c>
      <c r="X23">
        <v>4996.4539999999997</v>
      </c>
      <c r="Y23">
        <v>4986.652</v>
      </c>
      <c r="Z23">
        <v>5030.6980000000003</v>
      </c>
      <c r="AA23">
        <v>4981.0839999999998</v>
      </c>
      <c r="AB23">
        <v>4569.2139999999999</v>
      </c>
      <c r="AC23">
        <v>4474.415</v>
      </c>
    </row>
    <row r="24" spans="1:29" x14ac:dyDescent="0.25">
      <c r="A24" t="s">
        <v>56</v>
      </c>
      <c r="B24" t="s">
        <v>57</v>
      </c>
      <c r="C24" t="s">
        <v>89</v>
      </c>
      <c r="D24" t="s">
        <v>90</v>
      </c>
      <c r="E24" t="s">
        <v>55</v>
      </c>
      <c r="F24">
        <v>755.39300000000003</v>
      </c>
      <c r="G24">
        <v>1002.264</v>
      </c>
      <c r="H24">
        <v>987.85799999999995</v>
      </c>
      <c r="I24">
        <v>952.89099999999996</v>
      </c>
      <c r="J24">
        <v>764.928</v>
      </c>
      <c r="K24">
        <v>1008.748</v>
      </c>
      <c r="L24">
        <v>707.505</v>
      </c>
      <c r="M24">
        <v>733.27499999999998</v>
      </c>
      <c r="N24">
        <v>722.90200000000004</v>
      </c>
      <c r="O24">
        <v>681.63300000000004</v>
      </c>
      <c r="P24">
        <v>635.37300000000005</v>
      </c>
      <c r="Q24">
        <v>718.48800000000006</v>
      </c>
      <c r="R24">
        <v>755.39300000000003</v>
      </c>
      <c r="S24">
        <v>1002.264</v>
      </c>
      <c r="T24">
        <v>987.85799999999995</v>
      </c>
      <c r="U24">
        <v>952.89099999999996</v>
      </c>
      <c r="V24">
        <v>764.928</v>
      </c>
      <c r="W24">
        <v>1008.748</v>
      </c>
      <c r="X24">
        <v>707.505</v>
      </c>
      <c r="Y24">
        <v>733.27499999999998</v>
      </c>
      <c r="Z24">
        <v>722.90200000000004</v>
      </c>
      <c r="AA24">
        <v>681.63300000000004</v>
      </c>
      <c r="AB24">
        <v>635.37300000000005</v>
      </c>
      <c r="AC24">
        <v>718.48800000000006</v>
      </c>
    </row>
    <row r="25" spans="1:29" x14ac:dyDescent="0.25">
      <c r="A25" t="s">
        <v>58</v>
      </c>
      <c r="B25" t="s">
        <v>59</v>
      </c>
      <c r="C25" t="s">
        <v>89</v>
      </c>
      <c r="D25" t="s">
        <v>90</v>
      </c>
      <c r="E25" t="s">
        <v>55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</row>
    <row r="26" spans="1:29" x14ac:dyDescent="0.25">
      <c r="A26" t="s">
        <v>60</v>
      </c>
      <c r="B26" t="s">
        <v>61</v>
      </c>
      <c r="C26" t="s">
        <v>89</v>
      </c>
      <c r="D26" t="s">
        <v>90</v>
      </c>
      <c r="E26" t="s">
        <v>55</v>
      </c>
      <c r="F26" t="s">
        <v>46</v>
      </c>
      <c r="G26">
        <v>2381.6709000000001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>
        <v>2381.6709000000001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</row>
    <row r="27" spans="1:29" x14ac:dyDescent="0.25">
      <c r="A27" t="s">
        <v>62</v>
      </c>
      <c r="B27" t="s">
        <v>63</v>
      </c>
      <c r="C27" t="s">
        <v>89</v>
      </c>
      <c r="D27" t="s">
        <v>90</v>
      </c>
      <c r="E27" t="s">
        <v>55</v>
      </c>
      <c r="F27">
        <v>1050.296771</v>
      </c>
      <c r="G27">
        <v>1201.526429</v>
      </c>
      <c r="H27">
        <v>739.91994560000001</v>
      </c>
      <c r="I27">
        <v>1129.4730010000001</v>
      </c>
      <c r="J27">
        <v>1093.7876859999999</v>
      </c>
      <c r="K27">
        <v>1118.5298</v>
      </c>
      <c r="L27">
        <v>870.83391300000005</v>
      </c>
      <c r="M27" t="s">
        <v>46</v>
      </c>
      <c r="N27">
        <v>1040.626115</v>
      </c>
      <c r="O27">
        <v>1146.1818470000001</v>
      </c>
      <c r="P27">
        <v>746.17910930000005</v>
      </c>
      <c r="Q27">
        <v>971.27318909999997</v>
      </c>
      <c r="R27">
        <v>1050.296771</v>
      </c>
      <c r="S27">
        <v>1201.526429</v>
      </c>
      <c r="T27">
        <v>739.91994560000001</v>
      </c>
      <c r="U27">
        <v>1129.4730010000001</v>
      </c>
      <c r="V27">
        <v>1093.7876859999999</v>
      </c>
      <c r="W27">
        <v>1118.5298</v>
      </c>
      <c r="X27">
        <v>870.83391300000005</v>
      </c>
      <c r="Y27" t="s">
        <v>46</v>
      </c>
      <c r="Z27">
        <v>1040.626115</v>
      </c>
      <c r="AA27">
        <v>1146.1818470000001</v>
      </c>
      <c r="AB27">
        <v>746.17910930000005</v>
      </c>
      <c r="AC27">
        <v>971.27318909999997</v>
      </c>
    </row>
    <row r="28" spans="1:29" x14ac:dyDescent="0.25">
      <c r="A28" t="s">
        <v>64</v>
      </c>
      <c r="B28" t="s">
        <v>65</v>
      </c>
      <c r="C28" t="s">
        <v>89</v>
      </c>
      <c r="D28" t="s">
        <v>90</v>
      </c>
      <c r="E28" t="s">
        <v>55</v>
      </c>
      <c r="F28">
        <v>3220</v>
      </c>
      <c r="G28">
        <v>3256</v>
      </c>
      <c r="H28">
        <v>3438</v>
      </c>
      <c r="I28">
        <v>3386</v>
      </c>
      <c r="J28">
        <v>3377</v>
      </c>
      <c r="K28">
        <v>3190</v>
      </c>
      <c r="L28">
        <v>3187</v>
      </c>
      <c r="M28">
        <v>3204</v>
      </c>
      <c r="N28">
        <v>3145</v>
      </c>
      <c r="O28">
        <v>2865</v>
      </c>
      <c r="P28">
        <v>2889</v>
      </c>
      <c r="Q28">
        <v>2680</v>
      </c>
      <c r="R28">
        <v>3220</v>
      </c>
      <c r="S28">
        <v>3256</v>
      </c>
      <c r="T28">
        <v>3438</v>
      </c>
      <c r="U28">
        <v>3386</v>
      </c>
      <c r="V28">
        <v>3377</v>
      </c>
      <c r="W28">
        <v>3190</v>
      </c>
      <c r="X28">
        <v>3187</v>
      </c>
      <c r="Y28">
        <v>3204</v>
      </c>
      <c r="Z28">
        <v>3145</v>
      </c>
      <c r="AA28">
        <v>2865</v>
      </c>
      <c r="AB28">
        <v>2889</v>
      </c>
      <c r="AC28">
        <v>2680</v>
      </c>
    </row>
    <row r="29" spans="1:29" x14ac:dyDescent="0.25">
      <c r="A29" t="s">
        <v>66</v>
      </c>
      <c r="B29" t="s">
        <v>67</v>
      </c>
      <c r="C29" t="s">
        <v>89</v>
      </c>
      <c r="D29" t="s">
        <v>90</v>
      </c>
      <c r="E29" t="s">
        <v>55</v>
      </c>
      <c r="F29">
        <v>690</v>
      </c>
      <c r="G29">
        <v>652</v>
      </c>
      <c r="H29">
        <v>840</v>
      </c>
      <c r="I29">
        <v>824</v>
      </c>
      <c r="J29">
        <v>820</v>
      </c>
      <c r="K29">
        <v>782</v>
      </c>
      <c r="L29">
        <v>951</v>
      </c>
      <c r="M29">
        <v>930</v>
      </c>
      <c r="N29">
        <v>1026</v>
      </c>
      <c r="O29">
        <v>1115</v>
      </c>
      <c r="P29">
        <v>1411</v>
      </c>
      <c r="Q29">
        <v>1413</v>
      </c>
      <c r="R29">
        <v>690</v>
      </c>
      <c r="S29">
        <v>652</v>
      </c>
      <c r="T29">
        <v>840</v>
      </c>
      <c r="U29">
        <v>824</v>
      </c>
      <c r="V29">
        <v>820</v>
      </c>
      <c r="W29">
        <v>782</v>
      </c>
      <c r="X29">
        <v>951</v>
      </c>
      <c r="Y29">
        <v>930</v>
      </c>
      <c r="Z29">
        <v>1026</v>
      </c>
      <c r="AA29">
        <v>1115</v>
      </c>
      <c r="AB29">
        <v>1411</v>
      </c>
      <c r="AC29">
        <v>1413</v>
      </c>
    </row>
    <row r="30" spans="1:29" x14ac:dyDescent="0.25">
      <c r="A30" t="s">
        <v>68</v>
      </c>
      <c r="B30" t="s">
        <v>69</v>
      </c>
      <c r="C30" t="s">
        <v>89</v>
      </c>
      <c r="D30" t="s">
        <v>90</v>
      </c>
      <c r="E30" t="s">
        <v>55</v>
      </c>
      <c r="F30">
        <v>2094</v>
      </c>
      <c r="G30">
        <v>4619</v>
      </c>
      <c r="H30">
        <v>4611</v>
      </c>
      <c r="I30">
        <v>5234</v>
      </c>
      <c r="J30">
        <v>2508</v>
      </c>
      <c r="K30">
        <v>5096</v>
      </c>
      <c r="L30">
        <v>4928</v>
      </c>
      <c r="M30">
        <v>5271</v>
      </c>
      <c r="N30">
        <v>3110</v>
      </c>
      <c r="O30">
        <v>5611</v>
      </c>
      <c r="P30">
        <v>5676</v>
      </c>
      <c r="Q30">
        <v>5776</v>
      </c>
      <c r="R30">
        <v>2094</v>
      </c>
      <c r="S30">
        <v>4619</v>
      </c>
      <c r="T30">
        <v>4611</v>
      </c>
      <c r="U30">
        <v>5234</v>
      </c>
      <c r="V30">
        <v>2508</v>
      </c>
      <c r="W30">
        <v>5096</v>
      </c>
      <c r="X30">
        <v>4928</v>
      </c>
      <c r="Y30">
        <v>5271</v>
      </c>
      <c r="Z30">
        <v>3110</v>
      </c>
      <c r="AA30">
        <v>5611</v>
      </c>
      <c r="AB30">
        <v>5676</v>
      </c>
      <c r="AC30">
        <v>5776</v>
      </c>
    </row>
    <row r="31" spans="1:29" x14ac:dyDescent="0.25">
      <c r="A31" t="s">
        <v>70</v>
      </c>
      <c r="B31" t="s">
        <v>71</v>
      </c>
      <c r="C31" t="s">
        <v>89</v>
      </c>
      <c r="D31" t="s">
        <v>90</v>
      </c>
      <c r="E31" t="s">
        <v>55</v>
      </c>
      <c r="F31">
        <v>542.69799999999998</v>
      </c>
      <c r="G31">
        <v>497.71600000000001</v>
      </c>
      <c r="H31">
        <v>339.11200000000002</v>
      </c>
      <c r="I31">
        <v>343.86399999999998</v>
      </c>
      <c r="J31">
        <v>307.202</v>
      </c>
      <c r="K31">
        <v>297.685</v>
      </c>
      <c r="L31">
        <v>282.27600000000001</v>
      </c>
      <c r="M31">
        <v>283.00099999999998</v>
      </c>
      <c r="N31">
        <v>262.29500000000002</v>
      </c>
      <c r="O31">
        <v>265.63900000000001</v>
      </c>
      <c r="P31">
        <v>230.119</v>
      </c>
      <c r="Q31">
        <v>208.273</v>
      </c>
      <c r="R31">
        <v>542.69799999999998</v>
      </c>
      <c r="S31">
        <v>497.71600000000001</v>
      </c>
      <c r="T31">
        <v>339.11200000000002</v>
      </c>
      <c r="U31">
        <v>343.86399999999998</v>
      </c>
      <c r="V31">
        <v>307.202</v>
      </c>
      <c r="W31">
        <v>297.685</v>
      </c>
      <c r="X31">
        <v>282.27600000000001</v>
      </c>
      <c r="Y31">
        <v>283.00099999999998</v>
      </c>
      <c r="Z31">
        <v>262.29500000000002</v>
      </c>
      <c r="AA31">
        <v>265.63900000000001</v>
      </c>
      <c r="AB31">
        <v>230.119</v>
      </c>
      <c r="AC31">
        <v>208.273</v>
      </c>
    </row>
    <row r="32" spans="1:29" x14ac:dyDescent="0.25">
      <c r="A32" t="s">
        <v>72</v>
      </c>
      <c r="B32" t="s">
        <v>73</v>
      </c>
      <c r="C32" t="s">
        <v>89</v>
      </c>
      <c r="D32" t="s">
        <v>90</v>
      </c>
      <c r="E32" t="s">
        <v>55</v>
      </c>
      <c r="F32">
        <v>910.95500000000004</v>
      </c>
      <c r="G32">
        <v>914.255</v>
      </c>
      <c r="H32">
        <v>863.23199999999997</v>
      </c>
      <c r="I32">
        <v>856.60199999999998</v>
      </c>
      <c r="J32">
        <v>838.99199999999996</v>
      </c>
      <c r="K32">
        <v>774.18399999999997</v>
      </c>
      <c r="L32">
        <v>710.04499999999996</v>
      </c>
      <c r="M32">
        <v>691.34699999999998</v>
      </c>
      <c r="N32">
        <v>703.06600000000003</v>
      </c>
      <c r="O32">
        <v>693.08500000000004</v>
      </c>
      <c r="P32">
        <v>670.69200000000001</v>
      </c>
      <c r="Q32">
        <v>637.61300000000006</v>
      </c>
      <c r="R32">
        <v>910.95500000000004</v>
      </c>
      <c r="S32">
        <v>914.255</v>
      </c>
      <c r="T32">
        <v>863.23199999999997</v>
      </c>
      <c r="U32">
        <v>856.60199999999998</v>
      </c>
      <c r="V32">
        <v>838.99199999999996</v>
      </c>
      <c r="W32">
        <v>774.18399999999997</v>
      </c>
      <c r="X32">
        <v>710.04499999999996</v>
      </c>
      <c r="Y32">
        <v>691.34699999999998</v>
      </c>
      <c r="Z32">
        <v>703.06600000000003</v>
      </c>
      <c r="AA32">
        <v>693.08500000000004</v>
      </c>
      <c r="AB32">
        <v>670.69200000000001</v>
      </c>
      <c r="AC32">
        <v>637.61300000000006</v>
      </c>
    </row>
    <row r="33" spans="1:29" x14ac:dyDescent="0.25">
      <c r="A33" t="s">
        <v>74</v>
      </c>
      <c r="B33" t="s">
        <v>75</v>
      </c>
      <c r="C33" t="s">
        <v>89</v>
      </c>
      <c r="D33" t="s">
        <v>90</v>
      </c>
      <c r="E33" t="s">
        <v>55</v>
      </c>
      <c r="F33">
        <v>1867.9970000000001</v>
      </c>
      <c r="G33">
        <v>1859.2</v>
      </c>
      <c r="H33">
        <v>1944.8</v>
      </c>
      <c r="I33">
        <v>1693.5</v>
      </c>
      <c r="J33">
        <v>1693.5129999999999</v>
      </c>
      <c r="K33">
        <v>1601.3</v>
      </c>
      <c r="L33">
        <v>1494.3</v>
      </c>
      <c r="M33">
        <v>1504.9</v>
      </c>
      <c r="N33">
        <v>1479.7359530000001</v>
      </c>
      <c r="O33">
        <v>1463.1</v>
      </c>
      <c r="P33">
        <v>1362.5</v>
      </c>
      <c r="Q33">
        <v>1321.4</v>
      </c>
      <c r="R33">
        <v>1867.9970000000001</v>
      </c>
      <c r="S33">
        <v>1859.2</v>
      </c>
      <c r="T33">
        <v>1944.8</v>
      </c>
      <c r="U33">
        <v>1693.5</v>
      </c>
      <c r="V33">
        <v>1693.5129999999999</v>
      </c>
      <c r="W33">
        <v>1601.3</v>
      </c>
      <c r="X33">
        <v>1494.3</v>
      </c>
      <c r="Y33">
        <v>1504.9</v>
      </c>
      <c r="Z33">
        <v>1479.7359530000001</v>
      </c>
      <c r="AA33">
        <v>1463.1</v>
      </c>
      <c r="AB33">
        <v>1362.5</v>
      </c>
      <c r="AC33">
        <v>1321.4</v>
      </c>
    </row>
    <row r="34" spans="1:29" x14ac:dyDescent="0.25">
      <c r="A34" t="s">
        <v>76</v>
      </c>
      <c r="B34" t="s">
        <v>77</v>
      </c>
      <c r="C34" t="s">
        <v>89</v>
      </c>
      <c r="D34" t="s">
        <v>90</v>
      </c>
      <c r="E34" t="s">
        <v>55</v>
      </c>
      <c r="F34" t="s">
        <v>46</v>
      </c>
      <c r="G34">
        <v>1151.5036319999999</v>
      </c>
      <c r="H34" t="s">
        <v>46</v>
      </c>
      <c r="I34">
        <v>1259.2257990000001</v>
      </c>
      <c r="J34" t="s">
        <v>46</v>
      </c>
      <c r="K34">
        <v>1095.830428</v>
      </c>
      <c r="L34" t="s">
        <v>46</v>
      </c>
      <c r="M34">
        <v>1133.1419189999999</v>
      </c>
      <c r="N34" t="s">
        <v>46</v>
      </c>
      <c r="O34">
        <v>1460.0129919999999</v>
      </c>
      <c r="P34">
        <v>1661.5083099999999</v>
      </c>
      <c r="Q34">
        <v>1564.657246</v>
      </c>
      <c r="R34" t="s">
        <v>46</v>
      </c>
      <c r="S34">
        <v>1151.5036319999999</v>
      </c>
      <c r="T34" t="s">
        <v>46</v>
      </c>
      <c r="U34">
        <v>1259.2257990000001</v>
      </c>
      <c r="V34" t="s">
        <v>46</v>
      </c>
      <c r="W34">
        <v>1095.830428</v>
      </c>
      <c r="X34" t="s">
        <v>46</v>
      </c>
      <c r="Y34">
        <v>1133.1419189999999</v>
      </c>
      <c r="Z34" t="s">
        <v>46</v>
      </c>
      <c r="AA34">
        <v>1460.0129919999999</v>
      </c>
      <c r="AB34">
        <v>1661.5083099999999</v>
      </c>
      <c r="AC34">
        <v>1564.657246</v>
      </c>
    </row>
    <row r="35" spans="1:29" x14ac:dyDescent="0.25">
      <c r="A35" t="s">
        <v>78</v>
      </c>
      <c r="B35" t="s">
        <v>79</v>
      </c>
      <c r="C35" t="s">
        <v>89</v>
      </c>
      <c r="D35" t="s">
        <v>90</v>
      </c>
      <c r="E35" t="s">
        <v>55</v>
      </c>
      <c r="F35">
        <v>2452.7122859999999</v>
      </c>
      <c r="G35">
        <v>2534.9423299999999</v>
      </c>
      <c r="H35">
        <v>2271.8750220000002</v>
      </c>
      <c r="I35">
        <v>2292.7188080000001</v>
      </c>
      <c r="J35">
        <v>2138.8191270000002</v>
      </c>
      <c r="K35">
        <v>2132.443679</v>
      </c>
      <c r="L35">
        <v>2037.3675900000001</v>
      </c>
      <c r="M35">
        <v>2000.584155</v>
      </c>
      <c r="N35">
        <v>2017.5007680000001</v>
      </c>
      <c r="O35">
        <v>2058.369811</v>
      </c>
      <c r="P35">
        <v>2054.0168319999998</v>
      </c>
      <c r="Q35">
        <v>1932.53162</v>
      </c>
      <c r="R35">
        <v>2452.7122859999999</v>
      </c>
      <c r="S35">
        <v>2534.9423299999999</v>
      </c>
      <c r="T35">
        <v>2271.8750220000002</v>
      </c>
      <c r="U35">
        <v>2292.7188080000001</v>
      </c>
      <c r="V35">
        <v>2138.8191270000002</v>
      </c>
      <c r="W35">
        <v>2132.443679</v>
      </c>
      <c r="X35">
        <v>2037.3675900000001</v>
      </c>
      <c r="Y35">
        <v>2000.584155</v>
      </c>
      <c r="Z35">
        <v>2017.5007680000001</v>
      </c>
      <c r="AA35">
        <v>2058.369811</v>
      </c>
      <c r="AB35">
        <v>2054.0168319999998</v>
      </c>
      <c r="AC35">
        <v>1932.53162</v>
      </c>
    </row>
    <row r="36" spans="1:29" x14ac:dyDescent="0.25">
      <c r="A36" t="s">
        <v>80</v>
      </c>
      <c r="B36" t="s">
        <v>81</v>
      </c>
      <c r="C36" t="s">
        <v>89</v>
      </c>
      <c r="D36" t="s">
        <v>90</v>
      </c>
      <c r="E36" t="s">
        <v>55</v>
      </c>
      <c r="F36">
        <v>19053</v>
      </c>
      <c r="G36">
        <v>22062</v>
      </c>
      <c r="H36">
        <v>19083</v>
      </c>
      <c r="I36">
        <v>22957</v>
      </c>
      <c r="J36">
        <v>27274</v>
      </c>
      <c r="K36">
        <v>29820</v>
      </c>
      <c r="L36">
        <v>26320</v>
      </c>
      <c r="M36">
        <v>27251</v>
      </c>
      <c r="N36">
        <v>28023</v>
      </c>
      <c r="O36">
        <v>30649</v>
      </c>
      <c r="P36">
        <v>26200</v>
      </c>
      <c r="Q36">
        <v>25964</v>
      </c>
      <c r="R36">
        <v>19053</v>
      </c>
      <c r="S36">
        <v>22062</v>
      </c>
      <c r="T36">
        <v>19083</v>
      </c>
      <c r="U36">
        <v>22957</v>
      </c>
      <c r="V36">
        <v>27274</v>
      </c>
      <c r="W36">
        <v>29820</v>
      </c>
      <c r="X36">
        <v>26320</v>
      </c>
      <c r="Y36">
        <v>27251</v>
      </c>
      <c r="Z36">
        <v>28023</v>
      </c>
      <c r="AA36">
        <v>30649</v>
      </c>
      <c r="AB36">
        <v>26200</v>
      </c>
      <c r="AC36">
        <v>25964</v>
      </c>
    </row>
    <row r="37" spans="1:29" x14ac:dyDescent="0.25">
      <c r="A37" t="s">
        <v>82</v>
      </c>
      <c r="B37" t="s">
        <v>83</v>
      </c>
      <c r="C37" t="s">
        <v>89</v>
      </c>
      <c r="D37" t="s">
        <v>90</v>
      </c>
      <c r="E37" t="s">
        <v>55</v>
      </c>
      <c r="F37">
        <v>4050.7497969999999</v>
      </c>
      <c r="G37">
        <v>4090.306004</v>
      </c>
      <c r="H37">
        <v>3913.0588590000002</v>
      </c>
      <c r="I37">
        <v>4070.2541390000001</v>
      </c>
      <c r="J37">
        <v>3944.7054600000001</v>
      </c>
      <c r="K37">
        <v>3914.0479270000001</v>
      </c>
      <c r="L37">
        <v>3944.0657759999999</v>
      </c>
      <c r="M37">
        <v>3977.5100400000001</v>
      </c>
      <c r="N37">
        <v>3829.1372430000001</v>
      </c>
      <c r="O37">
        <v>3796.9350760000002</v>
      </c>
      <c r="P37">
        <v>3786.2280030000002</v>
      </c>
      <c r="Q37">
        <v>3512.0760009999999</v>
      </c>
      <c r="R37">
        <v>4050.7497969999999</v>
      </c>
      <c r="S37">
        <v>4090.306004</v>
      </c>
      <c r="T37">
        <v>3913.0588590000002</v>
      </c>
      <c r="U37">
        <v>4070.2541390000001</v>
      </c>
      <c r="V37">
        <v>3944.7054600000001</v>
      </c>
      <c r="W37">
        <v>3914.0479270000001</v>
      </c>
      <c r="X37">
        <v>3944.0657759999999</v>
      </c>
      <c r="Y37">
        <v>3977.5100400000001</v>
      </c>
      <c r="Z37">
        <v>3829.1372430000001</v>
      </c>
      <c r="AA37">
        <v>3796.9350760000002</v>
      </c>
      <c r="AB37">
        <v>3786.2280030000002</v>
      </c>
      <c r="AC37">
        <v>3512.0760009999999</v>
      </c>
    </row>
    <row r="38" spans="1:29" x14ac:dyDescent="0.25">
      <c r="A38" t="s">
        <v>84</v>
      </c>
      <c r="B38" t="s">
        <v>85</v>
      </c>
      <c r="C38" t="s">
        <v>89</v>
      </c>
      <c r="D38" t="s">
        <v>90</v>
      </c>
      <c r="E38" t="s">
        <v>55</v>
      </c>
      <c r="F38">
        <v>1005.280051</v>
      </c>
      <c r="G38">
        <v>1109.126775</v>
      </c>
      <c r="H38">
        <v>1036.6615959999999</v>
      </c>
      <c r="I38">
        <v>970.70954879999999</v>
      </c>
      <c r="J38">
        <v>1003.789491</v>
      </c>
      <c r="K38">
        <v>1095.8530639999999</v>
      </c>
      <c r="L38">
        <v>991.13570730000004</v>
      </c>
      <c r="M38">
        <v>971.02592189999996</v>
      </c>
      <c r="N38">
        <v>997.52840040000001</v>
      </c>
      <c r="O38">
        <v>1009.2950049999999</v>
      </c>
      <c r="P38">
        <v>943.3817904</v>
      </c>
      <c r="Q38">
        <v>910.47804159999998</v>
      </c>
      <c r="R38">
        <v>1005.280051</v>
      </c>
      <c r="S38">
        <v>1109.126775</v>
      </c>
      <c r="T38">
        <v>1036.6615959999999</v>
      </c>
      <c r="U38">
        <v>970.70954879999999</v>
      </c>
      <c r="V38">
        <v>1003.789491</v>
      </c>
      <c r="W38">
        <v>1095.8530639999999</v>
      </c>
      <c r="X38">
        <v>991.13570730000004</v>
      </c>
      <c r="Y38">
        <v>971.02592189999996</v>
      </c>
      <c r="Z38">
        <v>997.52840040000001</v>
      </c>
      <c r="AA38">
        <v>1009.2950049999999</v>
      </c>
      <c r="AB38">
        <v>943.3817904</v>
      </c>
      <c r="AC38">
        <v>910.47804159999998</v>
      </c>
    </row>
    <row r="39" spans="1:29" x14ac:dyDescent="0.25">
      <c r="A39" t="s">
        <v>86</v>
      </c>
      <c r="B39" t="s">
        <v>87</v>
      </c>
      <c r="C39" t="s">
        <v>89</v>
      </c>
      <c r="D39" t="s">
        <v>90</v>
      </c>
      <c r="E39" t="s">
        <v>55</v>
      </c>
      <c r="F39">
        <v>1386.080291</v>
      </c>
      <c r="G39">
        <v>1412.7442100000001</v>
      </c>
      <c r="H39">
        <v>1370.780475</v>
      </c>
      <c r="I39">
        <v>1390.1539170000001</v>
      </c>
      <c r="J39">
        <v>1449.570346</v>
      </c>
      <c r="K39">
        <v>1435.5574690000001</v>
      </c>
      <c r="L39">
        <v>1466.336777</v>
      </c>
      <c r="M39">
        <v>1425.4545450000001</v>
      </c>
      <c r="N39">
        <v>1550.3530860000001</v>
      </c>
      <c r="O39">
        <v>1566.13392</v>
      </c>
      <c r="P39">
        <v>1528.492731</v>
      </c>
      <c r="Q39">
        <v>1515.848833</v>
      </c>
      <c r="R39">
        <v>1386.080291</v>
      </c>
      <c r="S39">
        <v>1412.7442100000001</v>
      </c>
      <c r="T39">
        <v>1370.780475</v>
      </c>
      <c r="U39">
        <v>1390.1539170000001</v>
      </c>
      <c r="V39">
        <v>1449.570346</v>
      </c>
      <c r="W39">
        <v>1435.5574690000001</v>
      </c>
      <c r="X39">
        <v>1466.336777</v>
      </c>
      <c r="Y39">
        <v>1425.4545450000001</v>
      </c>
      <c r="Z39">
        <v>1550.3530860000001</v>
      </c>
      <c r="AA39">
        <v>1566.13392</v>
      </c>
      <c r="AB39">
        <v>1528.492731</v>
      </c>
      <c r="AC39">
        <v>1515.848833</v>
      </c>
    </row>
    <row r="40" spans="1:29" x14ac:dyDescent="0.25">
      <c r="A40" t="s">
        <v>91</v>
      </c>
      <c r="B40" t="s">
        <v>46</v>
      </c>
      <c r="E40" t="s">
        <v>50</v>
      </c>
      <c r="F40">
        <v>317716.76662800001</v>
      </c>
      <c r="G40">
        <v>340056.02054499998</v>
      </c>
      <c r="H40">
        <v>312302.02705599996</v>
      </c>
      <c r="I40">
        <v>318500.58312899998</v>
      </c>
      <c r="J40">
        <v>290259.77423599997</v>
      </c>
      <c r="K40">
        <v>277911.04018100002</v>
      </c>
      <c r="L40">
        <v>270604.81465700001</v>
      </c>
      <c r="M40">
        <v>271338.69743500004</v>
      </c>
      <c r="N40">
        <v>282110.84757400001</v>
      </c>
      <c r="O40">
        <v>279963.96967000002</v>
      </c>
      <c r="P40">
        <v>275351.11047699995</v>
      </c>
      <c r="Q40">
        <v>269052.587895</v>
      </c>
      <c r="R40">
        <v>317716.76659999997</v>
      </c>
      <c r="S40">
        <v>340056.02059999999</v>
      </c>
      <c r="T40">
        <v>312302.027</v>
      </c>
      <c r="U40">
        <v>318500.58309999999</v>
      </c>
      <c r="V40">
        <v>290259.77419999999</v>
      </c>
      <c r="W40">
        <v>277911.04019999999</v>
      </c>
      <c r="X40">
        <v>270604.81469999999</v>
      </c>
      <c r="Y40">
        <v>271338.6974</v>
      </c>
      <c r="Z40">
        <v>282110.84759999998</v>
      </c>
      <c r="AA40">
        <v>279963.96970000002</v>
      </c>
      <c r="AB40">
        <v>275351.11050000001</v>
      </c>
      <c r="AC40">
        <v>269052.58789999998</v>
      </c>
    </row>
    <row r="41" spans="1:29" x14ac:dyDescent="0.25">
      <c r="A41" t="s">
        <v>51</v>
      </c>
      <c r="B41" t="s">
        <v>52</v>
      </c>
      <c r="C41" t="s">
        <v>92</v>
      </c>
      <c r="D41" t="s">
        <v>93</v>
      </c>
      <c r="E41" t="s">
        <v>55</v>
      </c>
      <c r="F41">
        <v>33503.43</v>
      </c>
      <c r="G41">
        <v>33170.712</v>
      </c>
      <c r="H41">
        <v>29789.88</v>
      </c>
      <c r="I41">
        <v>28156.36</v>
      </c>
      <c r="J41">
        <v>27390.207999999999</v>
      </c>
      <c r="K41">
        <v>26706.412</v>
      </c>
      <c r="L41">
        <v>24449.082999999999</v>
      </c>
      <c r="M41">
        <v>23250.793000000001</v>
      </c>
      <c r="N41">
        <v>23132.978999999999</v>
      </c>
      <c r="O41">
        <v>22974.152999999998</v>
      </c>
      <c r="P41">
        <v>22689.89</v>
      </c>
      <c r="Q41">
        <v>21135.592000000001</v>
      </c>
      <c r="R41">
        <v>33503.43</v>
      </c>
      <c r="S41">
        <v>33170.712</v>
      </c>
      <c r="T41">
        <v>29789.88</v>
      </c>
      <c r="U41">
        <v>28156.36</v>
      </c>
      <c r="V41">
        <v>27390.207999999999</v>
      </c>
      <c r="W41">
        <v>26706.412</v>
      </c>
      <c r="X41">
        <v>24449.082999999999</v>
      </c>
      <c r="Y41">
        <v>23250.793000000001</v>
      </c>
      <c r="Z41">
        <v>23132.978999999999</v>
      </c>
      <c r="AA41">
        <v>22974.152999999998</v>
      </c>
      <c r="AB41">
        <v>22689.89</v>
      </c>
      <c r="AC41">
        <v>21135.592000000001</v>
      </c>
    </row>
    <row r="42" spans="1:29" x14ac:dyDescent="0.25">
      <c r="A42" t="s">
        <v>56</v>
      </c>
      <c r="B42" t="s">
        <v>57</v>
      </c>
      <c r="C42" t="s">
        <v>92</v>
      </c>
      <c r="D42" t="s">
        <v>93</v>
      </c>
      <c r="E42" t="s">
        <v>55</v>
      </c>
      <c r="F42">
        <v>5905.5780000000004</v>
      </c>
      <c r="G42">
        <v>5632.2749999999996</v>
      </c>
      <c r="H42">
        <v>5292.826</v>
      </c>
      <c r="I42">
        <v>5234.6189999999997</v>
      </c>
      <c r="J42">
        <v>5233.7139999999999</v>
      </c>
      <c r="K42">
        <v>5296.0290000000005</v>
      </c>
      <c r="L42">
        <v>5347.8149999999996</v>
      </c>
      <c r="M42">
        <v>5443.4679999999998</v>
      </c>
      <c r="N42">
        <v>5578.991</v>
      </c>
      <c r="O42">
        <v>5401.8689999999997</v>
      </c>
      <c r="P42">
        <v>5279.38</v>
      </c>
      <c r="Q42">
        <v>5293.6170000000002</v>
      </c>
      <c r="R42">
        <v>5905.5780000000004</v>
      </c>
      <c r="S42">
        <v>5632.2749999999996</v>
      </c>
      <c r="T42">
        <v>5292.826</v>
      </c>
      <c r="U42">
        <v>5234.6189999999997</v>
      </c>
      <c r="V42">
        <v>5233.7139999999999</v>
      </c>
      <c r="W42">
        <v>5296.0290000000005</v>
      </c>
      <c r="X42">
        <v>5347.8149999999996</v>
      </c>
      <c r="Y42">
        <v>5443.4679999999998</v>
      </c>
      <c r="Z42">
        <v>5578.991</v>
      </c>
      <c r="AA42">
        <v>5401.8689999999997</v>
      </c>
      <c r="AB42">
        <v>5279.38</v>
      </c>
      <c r="AC42">
        <v>5293.6170000000002</v>
      </c>
    </row>
    <row r="43" spans="1:29" x14ac:dyDescent="0.25">
      <c r="A43" t="s">
        <v>58</v>
      </c>
      <c r="B43" t="s">
        <v>59</v>
      </c>
      <c r="C43" t="s">
        <v>92</v>
      </c>
      <c r="D43" t="s">
        <v>93</v>
      </c>
      <c r="E43" t="s">
        <v>55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</row>
    <row r="44" spans="1:29" x14ac:dyDescent="0.25">
      <c r="A44" t="s">
        <v>60</v>
      </c>
      <c r="B44" t="s">
        <v>61</v>
      </c>
      <c r="C44" t="s">
        <v>92</v>
      </c>
      <c r="D44" t="s">
        <v>93</v>
      </c>
      <c r="E44" t="s">
        <v>55</v>
      </c>
      <c r="F44" t="s">
        <v>46</v>
      </c>
      <c r="G44">
        <v>20363.791499999999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>
        <v>20363.791499999999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</row>
    <row r="45" spans="1:29" x14ac:dyDescent="0.25">
      <c r="A45" t="s">
        <v>62</v>
      </c>
      <c r="B45" t="s">
        <v>63</v>
      </c>
      <c r="C45" t="s">
        <v>92</v>
      </c>
      <c r="D45" t="s">
        <v>93</v>
      </c>
      <c r="E45" t="s">
        <v>55</v>
      </c>
      <c r="F45">
        <v>10289.890740000001</v>
      </c>
      <c r="G45">
        <v>10682.39867</v>
      </c>
      <c r="H45">
        <v>9532.3208219999997</v>
      </c>
      <c r="I45">
        <v>9786.8509890000005</v>
      </c>
      <c r="J45">
        <v>9508.0549109999993</v>
      </c>
      <c r="K45">
        <v>9448.3646509999999</v>
      </c>
      <c r="L45">
        <v>9211.7366099999999</v>
      </c>
      <c r="M45">
        <v>9246.8801829999993</v>
      </c>
      <c r="N45">
        <v>9592.4105830000008</v>
      </c>
      <c r="O45">
        <v>9545.3851680000007</v>
      </c>
      <c r="P45">
        <v>9128.6542769999996</v>
      </c>
      <c r="Q45">
        <v>9108.3411589999996</v>
      </c>
      <c r="R45">
        <v>10289.890740000001</v>
      </c>
      <c r="S45">
        <v>10682.39867</v>
      </c>
      <c r="T45">
        <v>9532.3208219999997</v>
      </c>
      <c r="U45">
        <v>9786.8509890000005</v>
      </c>
      <c r="V45">
        <v>9508.0549109999993</v>
      </c>
      <c r="W45">
        <v>9448.3646509999999</v>
      </c>
      <c r="X45">
        <v>9211.7366099999999</v>
      </c>
      <c r="Y45">
        <v>9246.8801829999993</v>
      </c>
      <c r="Z45">
        <v>9592.4105830000008</v>
      </c>
      <c r="AA45">
        <v>9545.3851680000007</v>
      </c>
      <c r="AB45">
        <v>9128.6542769999996</v>
      </c>
      <c r="AC45">
        <v>9108.3411589999996</v>
      </c>
    </row>
    <row r="46" spans="1:29" x14ac:dyDescent="0.25">
      <c r="A46" t="s">
        <v>64</v>
      </c>
      <c r="B46" t="s">
        <v>65</v>
      </c>
      <c r="C46" t="s">
        <v>92</v>
      </c>
      <c r="D46" t="s">
        <v>93</v>
      </c>
      <c r="E46" t="s">
        <v>55</v>
      </c>
      <c r="F46">
        <v>17429</v>
      </c>
      <c r="G46">
        <v>16204</v>
      </c>
      <c r="H46">
        <v>15844</v>
      </c>
      <c r="I46">
        <v>15517</v>
      </c>
      <c r="J46">
        <v>16096</v>
      </c>
      <c r="K46">
        <v>15846</v>
      </c>
      <c r="L46">
        <v>15274</v>
      </c>
      <c r="M46">
        <v>14806</v>
      </c>
      <c r="N46">
        <v>15045</v>
      </c>
      <c r="O46">
        <v>15221</v>
      </c>
      <c r="P46">
        <v>14580</v>
      </c>
      <c r="Q46">
        <v>13938</v>
      </c>
      <c r="R46">
        <v>17429</v>
      </c>
      <c r="S46">
        <v>16204</v>
      </c>
      <c r="T46">
        <v>15844</v>
      </c>
      <c r="U46">
        <v>15517</v>
      </c>
      <c r="V46">
        <v>16096</v>
      </c>
      <c r="W46">
        <v>15846</v>
      </c>
      <c r="X46">
        <v>15274</v>
      </c>
      <c r="Y46">
        <v>14806</v>
      </c>
      <c r="Z46">
        <v>15045</v>
      </c>
      <c r="AA46">
        <v>15221</v>
      </c>
      <c r="AB46">
        <v>14580</v>
      </c>
      <c r="AC46">
        <v>13938</v>
      </c>
    </row>
    <row r="47" spans="1:29" x14ac:dyDescent="0.25">
      <c r="A47" t="s">
        <v>66</v>
      </c>
      <c r="B47" t="s">
        <v>67</v>
      </c>
      <c r="C47" t="s">
        <v>92</v>
      </c>
      <c r="D47" t="s">
        <v>93</v>
      </c>
      <c r="E47" t="s">
        <v>55</v>
      </c>
      <c r="F47">
        <v>4394</v>
      </c>
      <c r="G47">
        <v>4514</v>
      </c>
      <c r="H47">
        <v>5114</v>
      </c>
      <c r="I47">
        <v>5303</v>
      </c>
      <c r="J47">
        <v>6663</v>
      </c>
      <c r="K47">
        <v>6680</v>
      </c>
      <c r="L47">
        <v>6730</v>
      </c>
      <c r="M47">
        <v>7436</v>
      </c>
      <c r="N47">
        <v>7511</v>
      </c>
      <c r="O47">
        <v>7548</v>
      </c>
      <c r="P47">
        <v>7547</v>
      </c>
      <c r="Q47">
        <v>7648</v>
      </c>
      <c r="R47">
        <v>4394</v>
      </c>
      <c r="S47">
        <v>4514</v>
      </c>
      <c r="T47">
        <v>5114</v>
      </c>
      <c r="U47">
        <v>5303</v>
      </c>
      <c r="V47">
        <v>6663</v>
      </c>
      <c r="W47">
        <v>6680</v>
      </c>
      <c r="X47">
        <v>6730</v>
      </c>
      <c r="Y47">
        <v>7436</v>
      </c>
      <c r="Z47">
        <v>7511</v>
      </c>
      <c r="AA47">
        <v>7548</v>
      </c>
      <c r="AB47">
        <v>7547</v>
      </c>
      <c r="AC47">
        <v>7648</v>
      </c>
    </row>
    <row r="48" spans="1:29" x14ac:dyDescent="0.25">
      <c r="A48" t="s">
        <v>68</v>
      </c>
      <c r="B48" t="s">
        <v>69</v>
      </c>
      <c r="C48" t="s">
        <v>92</v>
      </c>
      <c r="D48" t="s">
        <v>93</v>
      </c>
      <c r="E48" t="s">
        <v>55</v>
      </c>
      <c r="F48">
        <v>26006</v>
      </c>
      <c r="G48">
        <v>29599</v>
      </c>
      <c r="H48">
        <v>29516</v>
      </c>
      <c r="I48">
        <v>32577</v>
      </c>
      <c r="J48">
        <v>29574</v>
      </c>
      <c r="K48">
        <v>28871</v>
      </c>
      <c r="L48">
        <v>28882</v>
      </c>
      <c r="M48">
        <v>29126</v>
      </c>
      <c r="N48">
        <v>33921</v>
      </c>
      <c r="O48">
        <v>33582</v>
      </c>
      <c r="P48">
        <v>33176</v>
      </c>
      <c r="Q48">
        <v>31216</v>
      </c>
      <c r="R48">
        <v>26006</v>
      </c>
      <c r="S48">
        <v>29599</v>
      </c>
      <c r="T48">
        <v>29516</v>
      </c>
      <c r="U48">
        <v>32577</v>
      </c>
      <c r="V48">
        <v>29574</v>
      </c>
      <c r="W48">
        <v>28871</v>
      </c>
      <c r="X48">
        <v>28882</v>
      </c>
      <c r="Y48">
        <v>29126</v>
      </c>
      <c r="Z48">
        <v>33921</v>
      </c>
      <c r="AA48">
        <v>33582</v>
      </c>
      <c r="AB48">
        <v>33176</v>
      </c>
      <c r="AC48">
        <v>31216</v>
      </c>
    </row>
    <row r="49" spans="1:29" x14ac:dyDescent="0.25">
      <c r="A49" t="s">
        <v>70</v>
      </c>
      <c r="B49" t="s">
        <v>71</v>
      </c>
      <c r="C49" t="s">
        <v>92</v>
      </c>
      <c r="D49" t="s">
        <v>93</v>
      </c>
      <c r="E49" t="s">
        <v>55</v>
      </c>
      <c r="F49">
        <v>2311.8809999999999</v>
      </c>
      <c r="G49">
        <v>2244.2080000000001</v>
      </c>
      <c r="H49">
        <v>2040.163</v>
      </c>
      <c r="I49">
        <v>1931.451</v>
      </c>
      <c r="J49">
        <v>1831.4349999999999</v>
      </c>
      <c r="K49">
        <v>1611.8019999999999</v>
      </c>
      <c r="L49">
        <v>1503.982</v>
      </c>
      <c r="M49">
        <v>1392.1949999999999</v>
      </c>
      <c r="N49">
        <v>1343.402</v>
      </c>
      <c r="O49">
        <v>1250.2560000000001</v>
      </c>
      <c r="P49">
        <v>1173.0060000000001</v>
      </c>
      <c r="Q49">
        <v>1079.383</v>
      </c>
      <c r="R49">
        <v>2311.8809999999999</v>
      </c>
      <c r="S49">
        <v>2244.2080000000001</v>
      </c>
      <c r="T49">
        <v>2040.163</v>
      </c>
      <c r="U49">
        <v>1931.451</v>
      </c>
      <c r="V49">
        <v>1831.4349999999999</v>
      </c>
      <c r="W49">
        <v>1611.8019999999999</v>
      </c>
      <c r="X49">
        <v>1503.982</v>
      </c>
      <c r="Y49">
        <v>1392.1949999999999</v>
      </c>
      <c r="Z49">
        <v>1343.402</v>
      </c>
      <c r="AA49">
        <v>1250.2560000000001</v>
      </c>
      <c r="AB49">
        <v>1173.0060000000001</v>
      </c>
      <c r="AC49">
        <v>1079.383</v>
      </c>
    </row>
    <row r="50" spans="1:29" x14ac:dyDescent="0.25">
      <c r="A50" t="s">
        <v>72</v>
      </c>
      <c r="B50" t="s">
        <v>73</v>
      </c>
      <c r="C50" t="s">
        <v>92</v>
      </c>
      <c r="D50" t="s">
        <v>93</v>
      </c>
      <c r="E50" t="s">
        <v>55</v>
      </c>
      <c r="F50">
        <v>4402.78</v>
      </c>
      <c r="G50">
        <v>4454.1840000000002</v>
      </c>
      <c r="H50">
        <v>4097.7610000000004</v>
      </c>
      <c r="I50">
        <v>4012.7570000000001</v>
      </c>
      <c r="J50">
        <v>3904.8139999999999</v>
      </c>
      <c r="K50">
        <v>3529.4450000000002</v>
      </c>
      <c r="L50">
        <v>3456.6289999999999</v>
      </c>
      <c r="M50">
        <v>3266.078</v>
      </c>
      <c r="N50">
        <v>3397.127</v>
      </c>
      <c r="O50">
        <v>3449.6210000000001</v>
      </c>
      <c r="P50">
        <v>3349.8910000000001</v>
      </c>
      <c r="Q50">
        <v>3239.4340000000002</v>
      </c>
      <c r="R50">
        <v>4402.78</v>
      </c>
      <c r="S50">
        <v>4454.1840000000002</v>
      </c>
      <c r="T50">
        <v>4097.7610000000004</v>
      </c>
      <c r="U50">
        <v>4012.7570000000001</v>
      </c>
      <c r="V50">
        <v>3904.8139999999999</v>
      </c>
      <c r="W50">
        <v>3529.4450000000002</v>
      </c>
      <c r="X50">
        <v>3456.6289999999999</v>
      </c>
      <c r="Y50">
        <v>3266.078</v>
      </c>
      <c r="Z50">
        <v>3397.127</v>
      </c>
      <c r="AA50">
        <v>3449.6210000000001</v>
      </c>
      <c r="AB50">
        <v>3349.8910000000001</v>
      </c>
      <c r="AC50">
        <v>3239.4340000000002</v>
      </c>
    </row>
    <row r="51" spans="1:29" x14ac:dyDescent="0.25">
      <c r="A51" t="s">
        <v>74</v>
      </c>
      <c r="B51" t="s">
        <v>75</v>
      </c>
      <c r="C51" t="s">
        <v>92</v>
      </c>
      <c r="D51" t="s">
        <v>93</v>
      </c>
      <c r="E51" t="s">
        <v>55</v>
      </c>
      <c r="F51">
        <v>10998.168</v>
      </c>
      <c r="G51">
        <v>10914.8</v>
      </c>
      <c r="H51">
        <v>10654.8</v>
      </c>
      <c r="I51">
        <v>8521.2000000000007</v>
      </c>
      <c r="J51">
        <v>8521.17</v>
      </c>
      <c r="K51">
        <v>7994</v>
      </c>
      <c r="L51">
        <v>8005</v>
      </c>
      <c r="M51">
        <v>7530</v>
      </c>
      <c r="N51">
        <v>7372.2750999999998</v>
      </c>
      <c r="O51">
        <v>7245.2</v>
      </c>
      <c r="P51">
        <v>6980.9</v>
      </c>
      <c r="Q51">
        <v>7395.6</v>
      </c>
      <c r="R51">
        <v>10998.168</v>
      </c>
      <c r="S51">
        <v>10914.8</v>
      </c>
      <c r="T51">
        <v>10654.8</v>
      </c>
      <c r="U51">
        <v>8521.2000000000007</v>
      </c>
      <c r="V51">
        <v>8521.17</v>
      </c>
      <c r="W51">
        <v>7994</v>
      </c>
      <c r="X51">
        <v>8005</v>
      </c>
      <c r="Y51">
        <v>7530</v>
      </c>
      <c r="Z51">
        <v>7372.2750999999998</v>
      </c>
      <c r="AA51">
        <v>7245.2</v>
      </c>
      <c r="AB51">
        <v>6980.9</v>
      </c>
      <c r="AC51">
        <v>7395.6</v>
      </c>
    </row>
    <row r="52" spans="1:29" x14ac:dyDescent="0.25">
      <c r="A52" t="s">
        <v>76</v>
      </c>
      <c r="B52" t="s">
        <v>77</v>
      </c>
      <c r="C52" t="s">
        <v>92</v>
      </c>
      <c r="D52" t="s">
        <v>93</v>
      </c>
      <c r="E52" t="s">
        <v>55</v>
      </c>
      <c r="F52">
        <v>4648.9612500000003</v>
      </c>
      <c r="G52">
        <v>4846.9641629999996</v>
      </c>
      <c r="H52">
        <v>4569.8834200000001</v>
      </c>
      <c r="I52">
        <v>4758.1499279999998</v>
      </c>
      <c r="J52">
        <v>4659.29583</v>
      </c>
      <c r="K52">
        <v>4628.0509519999996</v>
      </c>
      <c r="L52">
        <v>4639.0961600000001</v>
      </c>
      <c r="M52">
        <v>4742.6859469999999</v>
      </c>
      <c r="N52">
        <v>4675.2612900000004</v>
      </c>
      <c r="O52">
        <v>4648.4120940000003</v>
      </c>
      <c r="P52">
        <v>4428.4856</v>
      </c>
      <c r="Q52">
        <v>4209.3243990000001</v>
      </c>
      <c r="R52">
        <v>4648.9612500000003</v>
      </c>
      <c r="S52">
        <v>4846.9641629999996</v>
      </c>
      <c r="T52">
        <v>4569.8834200000001</v>
      </c>
      <c r="U52">
        <v>4758.1499279999998</v>
      </c>
      <c r="V52">
        <v>4659.29583</v>
      </c>
      <c r="W52">
        <v>4628.0509519999996</v>
      </c>
      <c r="X52">
        <v>4639.0961600000001</v>
      </c>
      <c r="Y52">
        <v>4742.6859469999999</v>
      </c>
      <c r="Z52">
        <v>4675.2612900000004</v>
      </c>
      <c r="AA52">
        <v>4648.4120940000003</v>
      </c>
      <c r="AB52">
        <v>4428.4856</v>
      </c>
      <c r="AC52">
        <v>4209.3243990000001</v>
      </c>
    </row>
    <row r="53" spans="1:29" x14ac:dyDescent="0.25">
      <c r="A53" t="s">
        <v>78</v>
      </c>
      <c r="B53" t="s">
        <v>79</v>
      </c>
      <c r="C53" t="s">
        <v>92</v>
      </c>
      <c r="D53" t="s">
        <v>93</v>
      </c>
      <c r="E53" t="s">
        <v>55</v>
      </c>
      <c r="F53">
        <v>12307.74129</v>
      </c>
      <c r="G53">
        <v>12137.53694</v>
      </c>
      <c r="H53">
        <v>12057.84756</v>
      </c>
      <c r="I53">
        <v>12433.752280000001</v>
      </c>
      <c r="J53">
        <v>12223.59582</v>
      </c>
      <c r="K53">
        <v>11888.21926</v>
      </c>
      <c r="L53">
        <v>11278.5064</v>
      </c>
      <c r="M53">
        <v>11406.06061</v>
      </c>
      <c r="N53">
        <v>12264.3537</v>
      </c>
      <c r="O53">
        <v>11895.57019</v>
      </c>
      <c r="P53">
        <v>13539.097169999999</v>
      </c>
      <c r="Q53">
        <v>13173.186589999999</v>
      </c>
      <c r="R53">
        <v>12307.74129</v>
      </c>
      <c r="S53">
        <v>12137.53694</v>
      </c>
      <c r="T53">
        <v>12057.84756</v>
      </c>
      <c r="U53">
        <v>12433.752280000001</v>
      </c>
      <c r="V53">
        <v>12223.59582</v>
      </c>
      <c r="W53">
        <v>11888.21926</v>
      </c>
      <c r="X53">
        <v>11278.5064</v>
      </c>
      <c r="Y53">
        <v>11406.06061</v>
      </c>
      <c r="Z53">
        <v>12264.3537</v>
      </c>
      <c r="AA53">
        <v>11895.57019</v>
      </c>
      <c r="AB53">
        <v>13539.097169999999</v>
      </c>
      <c r="AC53">
        <v>13173.186589999999</v>
      </c>
    </row>
    <row r="54" spans="1:29" x14ac:dyDescent="0.25">
      <c r="A54" t="s">
        <v>80</v>
      </c>
      <c r="B54" t="s">
        <v>81</v>
      </c>
      <c r="C54" t="s">
        <v>92</v>
      </c>
      <c r="D54" t="s">
        <v>93</v>
      </c>
      <c r="E54" t="s">
        <v>55</v>
      </c>
      <c r="F54">
        <v>153403</v>
      </c>
      <c r="G54">
        <v>152186</v>
      </c>
      <c r="H54">
        <v>149620</v>
      </c>
      <c r="I54">
        <v>154652</v>
      </c>
      <c r="J54">
        <v>130926</v>
      </c>
      <c r="K54">
        <v>123382</v>
      </c>
      <c r="L54">
        <v>121990</v>
      </c>
      <c r="M54">
        <v>121622</v>
      </c>
      <c r="N54">
        <v>125285</v>
      </c>
      <c r="O54">
        <v>125356</v>
      </c>
      <c r="P54">
        <v>121636</v>
      </c>
      <c r="Q54">
        <v>120495</v>
      </c>
      <c r="R54">
        <v>153403</v>
      </c>
      <c r="S54">
        <v>152186</v>
      </c>
      <c r="T54">
        <v>149620</v>
      </c>
      <c r="U54">
        <v>154652</v>
      </c>
      <c r="V54">
        <v>130926</v>
      </c>
      <c r="W54">
        <v>123382</v>
      </c>
      <c r="X54">
        <v>121990</v>
      </c>
      <c r="Y54">
        <v>121622</v>
      </c>
      <c r="Z54">
        <v>125285</v>
      </c>
      <c r="AA54">
        <v>125356</v>
      </c>
      <c r="AB54">
        <v>121636</v>
      </c>
      <c r="AC54">
        <v>120495</v>
      </c>
    </row>
    <row r="55" spans="1:29" x14ac:dyDescent="0.25">
      <c r="A55" t="s">
        <v>82</v>
      </c>
      <c r="B55" t="s">
        <v>83</v>
      </c>
      <c r="C55" t="s">
        <v>92</v>
      </c>
      <c r="D55" t="s">
        <v>93</v>
      </c>
      <c r="E55" t="s">
        <v>55</v>
      </c>
      <c r="F55">
        <v>16320.414150000001</v>
      </c>
      <c r="G55">
        <v>16710.963220000001</v>
      </c>
      <c r="H55">
        <v>18316.788949999998</v>
      </c>
      <c r="I55">
        <v>18022.716820000001</v>
      </c>
      <c r="J55">
        <v>16885.0877</v>
      </c>
      <c r="K55">
        <v>15745.30062</v>
      </c>
      <c r="L55">
        <v>14345.515820000001</v>
      </c>
      <c r="M55">
        <v>16305.805039999999</v>
      </c>
      <c r="N55">
        <v>16642.462390000001</v>
      </c>
      <c r="O55">
        <v>15719.44277</v>
      </c>
      <c r="P55">
        <v>14700.688599999999</v>
      </c>
      <c r="Q55">
        <v>13917.53933</v>
      </c>
      <c r="R55">
        <v>16320.414150000001</v>
      </c>
      <c r="S55">
        <v>16710.963220000001</v>
      </c>
      <c r="T55">
        <v>18316.788949999998</v>
      </c>
      <c r="U55">
        <v>18022.716820000001</v>
      </c>
      <c r="V55">
        <v>16885.0877</v>
      </c>
      <c r="W55">
        <v>15745.30062</v>
      </c>
      <c r="X55">
        <v>14345.515820000001</v>
      </c>
      <c r="Y55">
        <v>16305.805039999999</v>
      </c>
      <c r="Z55">
        <v>16642.462390000001</v>
      </c>
      <c r="AA55">
        <v>15719.44277</v>
      </c>
      <c r="AB55">
        <v>14700.688599999999</v>
      </c>
      <c r="AC55">
        <v>13917.53933</v>
      </c>
    </row>
    <row r="56" spans="1:29" x14ac:dyDescent="0.25">
      <c r="A56" t="s">
        <v>84</v>
      </c>
      <c r="B56" t="s">
        <v>85</v>
      </c>
      <c r="C56" t="s">
        <v>92</v>
      </c>
      <c r="D56" t="s">
        <v>93</v>
      </c>
      <c r="E56" t="s">
        <v>55</v>
      </c>
      <c r="F56">
        <v>4955.7750379999998</v>
      </c>
      <c r="G56">
        <v>5005.2299419999999</v>
      </c>
      <c r="H56">
        <v>4782.5765940000001</v>
      </c>
      <c r="I56">
        <v>4882.331862</v>
      </c>
      <c r="J56">
        <v>4824.7703149999998</v>
      </c>
      <c r="K56">
        <v>4680.427608</v>
      </c>
      <c r="L56">
        <v>4438.1146669999998</v>
      </c>
      <c r="M56">
        <v>4618.5469149999999</v>
      </c>
      <c r="N56">
        <v>4672.5821310000001</v>
      </c>
      <c r="O56">
        <v>4514.3027179999999</v>
      </c>
      <c r="P56">
        <v>4238.8278499999997</v>
      </c>
      <c r="Q56">
        <v>4350.022207</v>
      </c>
      <c r="R56">
        <v>4955.7750379999998</v>
      </c>
      <c r="S56">
        <v>5005.2299419999999</v>
      </c>
      <c r="T56">
        <v>4782.5765940000001</v>
      </c>
      <c r="U56">
        <v>4882.331862</v>
      </c>
      <c r="V56">
        <v>4824.7703149999998</v>
      </c>
      <c r="W56">
        <v>4680.427608</v>
      </c>
      <c r="X56">
        <v>4438.1146669999998</v>
      </c>
      <c r="Y56">
        <v>4618.5469149999999</v>
      </c>
      <c r="Z56">
        <v>4672.5821310000001</v>
      </c>
      <c r="AA56">
        <v>4514.3027179999999</v>
      </c>
      <c r="AB56">
        <v>4238.8278499999997</v>
      </c>
      <c r="AC56">
        <v>4350.022207</v>
      </c>
    </row>
    <row r="57" spans="1:29" x14ac:dyDescent="0.25">
      <c r="A57" t="s">
        <v>86</v>
      </c>
      <c r="B57" t="s">
        <v>87</v>
      </c>
      <c r="C57" t="s">
        <v>92</v>
      </c>
      <c r="D57" t="s">
        <v>93</v>
      </c>
      <c r="E57" t="s">
        <v>55</v>
      </c>
      <c r="F57">
        <v>10840.14716</v>
      </c>
      <c r="G57">
        <v>11389.957109999999</v>
      </c>
      <c r="H57">
        <v>11073.17971</v>
      </c>
      <c r="I57">
        <v>12711.394249999999</v>
      </c>
      <c r="J57">
        <v>12018.62866</v>
      </c>
      <c r="K57">
        <v>11603.989089999999</v>
      </c>
      <c r="L57">
        <v>11053.335999999999</v>
      </c>
      <c r="M57">
        <v>11146.184740000001</v>
      </c>
      <c r="N57">
        <v>11677.00338</v>
      </c>
      <c r="O57">
        <v>11612.757729999999</v>
      </c>
      <c r="P57">
        <v>12903.28998</v>
      </c>
      <c r="Q57">
        <v>12853.548210000001</v>
      </c>
      <c r="R57">
        <v>10840.14716</v>
      </c>
      <c r="S57">
        <v>11389.957109999999</v>
      </c>
      <c r="T57">
        <v>11073.17971</v>
      </c>
      <c r="U57">
        <v>12711.394249999999</v>
      </c>
      <c r="V57">
        <v>12018.62866</v>
      </c>
      <c r="W57">
        <v>11603.989089999999</v>
      </c>
      <c r="X57">
        <v>11053.335999999999</v>
      </c>
      <c r="Y57">
        <v>11146.184740000001</v>
      </c>
      <c r="Z57">
        <v>11677.00338</v>
      </c>
      <c r="AA57">
        <v>11612.757729999999</v>
      </c>
      <c r="AB57">
        <v>12903.28998</v>
      </c>
      <c r="AC57">
        <v>12853.548210000001</v>
      </c>
    </row>
    <row r="58" spans="1:29" x14ac:dyDescent="0.25">
      <c r="A58" t="s">
        <v>94</v>
      </c>
      <c r="B58" t="s">
        <v>46</v>
      </c>
      <c r="E58" t="s">
        <v>47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</row>
    <row r="59" spans="1:29" x14ac:dyDescent="0.25">
      <c r="A59" t="s">
        <v>95</v>
      </c>
      <c r="B59" t="s">
        <v>46</v>
      </c>
      <c r="E59" t="s">
        <v>50</v>
      </c>
      <c r="F59">
        <v>10747.9861403</v>
      </c>
      <c r="G59">
        <v>12068.201980299998</v>
      </c>
      <c r="H59">
        <v>9520.3575684999996</v>
      </c>
      <c r="I59">
        <v>11491.101621400001</v>
      </c>
      <c r="J59">
        <v>11632.529098499999</v>
      </c>
      <c r="K59">
        <v>12093.725853099999</v>
      </c>
      <c r="L59">
        <v>11589.181942900001</v>
      </c>
      <c r="M59">
        <v>10791.6361994</v>
      </c>
      <c r="N59">
        <v>11942.373299399998</v>
      </c>
      <c r="O59">
        <v>11710.565123090002</v>
      </c>
      <c r="P59">
        <v>12011.562314460001</v>
      </c>
      <c r="Q59">
        <v>9896.5062641600016</v>
      </c>
      <c r="R59">
        <v>10747.986140000001</v>
      </c>
      <c r="S59">
        <v>12068.20198</v>
      </c>
      <c r="T59">
        <v>9520.3575689999998</v>
      </c>
      <c r="U59">
        <v>11491.101619999999</v>
      </c>
      <c r="V59">
        <v>11632.5291</v>
      </c>
      <c r="W59">
        <v>12093.725850000001</v>
      </c>
      <c r="X59">
        <v>11589.18194</v>
      </c>
      <c r="Y59">
        <v>10791.636200000001</v>
      </c>
      <c r="Z59">
        <v>11942.373299999999</v>
      </c>
      <c r="AA59">
        <v>11710.565119999999</v>
      </c>
      <c r="AB59">
        <v>12011.562309999999</v>
      </c>
      <c r="AC59">
        <v>9896.5062639999996</v>
      </c>
    </row>
    <row r="60" spans="1:29" x14ac:dyDescent="0.25">
      <c r="A60" t="s">
        <v>51</v>
      </c>
      <c r="B60" t="s">
        <v>52</v>
      </c>
      <c r="C60" t="s">
        <v>96</v>
      </c>
      <c r="D60" t="s">
        <v>97</v>
      </c>
      <c r="E60" t="s">
        <v>55</v>
      </c>
      <c r="F60">
        <v>1526.135</v>
      </c>
      <c r="G60">
        <v>1581.1120000000001</v>
      </c>
      <c r="H60">
        <v>1646.6410000000001</v>
      </c>
      <c r="I60">
        <v>1562.9949999999999</v>
      </c>
      <c r="J60">
        <v>1472.13</v>
      </c>
      <c r="K60">
        <v>1355.538</v>
      </c>
      <c r="L60">
        <v>1348.8019999999999</v>
      </c>
      <c r="M60">
        <v>1388.989</v>
      </c>
      <c r="N60">
        <v>1367.4639999999999</v>
      </c>
      <c r="O60">
        <v>1316.93</v>
      </c>
      <c r="P60">
        <v>1525.0650000000001</v>
      </c>
      <c r="Q60">
        <v>1291.1379999999999</v>
      </c>
      <c r="R60">
        <v>1526.135</v>
      </c>
      <c r="S60">
        <v>1581.1120000000001</v>
      </c>
      <c r="T60">
        <v>1646.6410000000001</v>
      </c>
      <c r="U60">
        <v>1562.9949999999999</v>
      </c>
      <c r="V60">
        <v>1472.13</v>
      </c>
      <c r="W60">
        <v>1355.538</v>
      </c>
      <c r="X60">
        <v>1348.8019999999999</v>
      </c>
      <c r="Y60">
        <v>1388.989</v>
      </c>
      <c r="Z60">
        <v>1367.4639999999999</v>
      </c>
      <c r="AA60">
        <v>1316.93</v>
      </c>
      <c r="AB60">
        <v>1525.0650000000001</v>
      </c>
      <c r="AC60">
        <v>1291.1379999999999</v>
      </c>
    </row>
    <row r="61" spans="1:29" x14ac:dyDescent="0.25">
      <c r="A61" t="s">
        <v>56</v>
      </c>
      <c r="B61" t="s">
        <v>57</v>
      </c>
      <c r="C61" t="s">
        <v>96</v>
      </c>
      <c r="D61" t="s">
        <v>97</v>
      </c>
      <c r="E61" t="s">
        <v>55</v>
      </c>
      <c r="F61" t="s">
        <v>46</v>
      </c>
      <c r="G61" t="s">
        <v>46</v>
      </c>
      <c r="H61">
        <v>176.50800000000001</v>
      </c>
      <c r="I61">
        <v>172.09299999999999</v>
      </c>
      <c r="J61" t="s">
        <v>46</v>
      </c>
      <c r="K61">
        <v>168.44</v>
      </c>
      <c r="L61">
        <v>194.738</v>
      </c>
      <c r="M61">
        <v>252.596</v>
      </c>
      <c r="N61">
        <v>1141.799</v>
      </c>
      <c r="O61" t="s">
        <v>46</v>
      </c>
      <c r="P61">
        <v>126.414</v>
      </c>
      <c r="Q61">
        <v>176.39</v>
      </c>
      <c r="R61" t="s">
        <v>46</v>
      </c>
      <c r="S61" t="s">
        <v>46</v>
      </c>
      <c r="T61">
        <v>176.50800000000001</v>
      </c>
      <c r="U61">
        <v>172.09299999999999</v>
      </c>
      <c r="V61" t="s">
        <v>46</v>
      </c>
      <c r="W61">
        <v>168.44</v>
      </c>
      <c r="X61">
        <v>194.738</v>
      </c>
      <c r="Y61">
        <v>252.596</v>
      </c>
      <c r="Z61">
        <v>1141.799</v>
      </c>
      <c r="AA61" t="s">
        <v>46</v>
      </c>
      <c r="AB61">
        <v>126.414</v>
      </c>
      <c r="AC61">
        <v>176.39</v>
      </c>
    </row>
    <row r="62" spans="1:29" x14ac:dyDescent="0.25">
      <c r="A62" t="s">
        <v>58</v>
      </c>
      <c r="B62" t="s">
        <v>59</v>
      </c>
      <c r="C62" t="s">
        <v>96</v>
      </c>
      <c r="D62" t="s">
        <v>97</v>
      </c>
      <c r="E62" t="s">
        <v>55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</row>
    <row r="63" spans="1:29" x14ac:dyDescent="0.25">
      <c r="A63" t="s">
        <v>60</v>
      </c>
      <c r="B63" t="s">
        <v>61</v>
      </c>
      <c r="C63" t="s">
        <v>96</v>
      </c>
      <c r="D63" t="s">
        <v>97</v>
      </c>
      <c r="E63" t="s">
        <v>55</v>
      </c>
      <c r="F63" t="s">
        <v>46</v>
      </c>
      <c r="G63">
        <v>1290.2121</v>
      </c>
      <c r="H63" t="s">
        <v>46</v>
      </c>
      <c r="I63" t="s">
        <v>46</v>
      </c>
      <c r="J63" t="s">
        <v>46</v>
      </c>
      <c r="K63" t="s">
        <v>46</v>
      </c>
      <c r="L63" t="s">
        <v>46</v>
      </c>
      <c r="M63" t="s">
        <v>46</v>
      </c>
      <c r="N63" t="s">
        <v>46</v>
      </c>
      <c r="O63" t="s">
        <v>46</v>
      </c>
      <c r="P63" t="s">
        <v>46</v>
      </c>
      <c r="Q63" t="s">
        <v>46</v>
      </c>
      <c r="R63" t="s">
        <v>46</v>
      </c>
      <c r="S63">
        <v>1290.2121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</row>
    <row r="64" spans="1:29" x14ac:dyDescent="0.25">
      <c r="A64" t="s">
        <v>62</v>
      </c>
      <c r="B64" t="s">
        <v>63</v>
      </c>
      <c r="C64" t="s">
        <v>96</v>
      </c>
      <c r="D64" t="s">
        <v>97</v>
      </c>
      <c r="E64" t="s">
        <v>55</v>
      </c>
      <c r="F64" t="s">
        <v>46</v>
      </c>
      <c r="G64" t="s">
        <v>46</v>
      </c>
      <c r="H64" t="s">
        <v>46</v>
      </c>
      <c r="I64" t="s">
        <v>46</v>
      </c>
      <c r="J64" t="s">
        <v>46</v>
      </c>
      <c r="K64" t="s">
        <v>46</v>
      </c>
      <c r="L64" t="s">
        <v>46</v>
      </c>
      <c r="M64" t="s">
        <v>46</v>
      </c>
      <c r="N64" t="s">
        <v>46</v>
      </c>
      <c r="O64" t="s">
        <v>46</v>
      </c>
      <c r="P64" t="s">
        <v>46</v>
      </c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</row>
    <row r="65" spans="1:29" x14ac:dyDescent="0.25">
      <c r="A65" t="s">
        <v>64</v>
      </c>
      <c r="B65" t="s">
        <v>65</v>
      </c>
      <c r="C65" t="s">
        <v>96</v>
      </c>
      <c r="D65" t="s">
        <v>97</v>
      </c>
      <c r="E65" t="s">
        <v>55</v>
      </c>
      <c r="F65">
        <v>289</v>
      </c>
      <c r="G65">
        <v>239</v>
      </c>
      <c r="H65">
        <v>246</v>
      </c>
      <c r="I65">
        <v>254</v>
      </c>
      <c r="J65">
        <v>262</v>
      </c>
      <c r="K65">
        <v>215</v>
      </c>
      <c r="L65">
        <v>223</v>
      </c>
      <c r="M65">
        <v>217</v>
      </c>
      <c r="N65">
        <v>293</v>
      </c>
      <c r="O65">
        <v>210</v>
      </c>
      <c r="P65">
        <v>186</v>
      </c>
      <c r="Q65">
        <v>179</v>
      </c>
      <c r="R65">
        <v>289</v>
      </c>
      <c r="S65">
        <v>239</v>
      </c>
      <c r="T65">
        <v>246</v>
      </c>
      <c r="U65">
        <v>254</v>
      </c>
      <c r="V65">
        <v>262</v>
      </c>
      <c r="W65">
        <v>215</v>
      </c>
      <c r="X65">
        <v>223</v>
      </c>
      <c r="Y65">
        <v>217</v>
      </c>
      <c r="Z65">
        <v>293</v>
      </c>
      <c r="AA65">
        <v>210</v>
      </c>
      <c r="AB65">
        <v>186</v>
      </c>
      <c r="AC65">
        <v>179</v>
      </c>
    </row>
    <row r="66" spans="1:29" x14ac:dyDescent="0.25">
      <c r="A66" t="s">
        <v>66</v>
      </c>
      <c r="B66" t="s">
        <v>67</v>
      </c>
      <c r="C66" t="s">
        <v>96</v>
      </c>
      <c r="D66" t="s">
        <v>97</v>
      </c>
      <c r="E66" t="s">
        <v>55</v>
      </c>
      <c r="F66">
        <v>168</v>
      </c>
      <c r="G66">
        <v>198</v>
      </c>
      <c r="H66">
        <v>145</v>
      </c>
      <c r="I66">
        <v>161</v>
      </c>
      <c r="J66">
        <v>313</v>
      </c>
      <c r="K66">
        <v>230</v>
      </c>
      <c r="L66">
        <v>216</v>
      </c>
      <c r="M66">
        <v>158</v>
      </c>
      <c r="N66">
        <v>152</v>
      </c>
      <c r="O66">
        <v>138</v>
      </c>
      <c r="P66">
        <v>147</v>
      </c>
      <c r="Q66">
        <v>106</v>
      </c>
      <c r="R66">
        <v>168</v>
      </c>
      <c r="S66">
        <v>198</v>
      </c>
      <c r="T66">
        <v>145</v>
      </c>
      <c r="U66">
        <v>161</v>
      </c>
      <c r="V66">
        <v>313</v>
      </c>
      <c r="W66">
        <v>230</v>
      </c>
      <c r="X66">
        <v>216</v>
      </c>
      <c r="Y66">
        <v>158</v>
      </c>
      <c r="Z66">
        <v>152</v>
      </c>
      <c r="AA66">
        <v>138</v>
      </c>
      <c r="AB66">
        <v>147</v>
      </c>
      <c r="AC66">
        <v>106</v>
      </c>
    </row>
    <row r="67" spans="1:29" x14ac:dyDescent="0.25">
      <c r="A67" t="s">
        <v>68</v>
      </c>
      <c r="B67" t="s">
        <v>69</v>
      </c>
      <c r="C67" t="s">
        <v>96</v>
      </c>
      <c r="D67" t="s">
        <v>97</v>
      </c>
      <c r="E67" t="s">
        <v>55</v>
      </c>
      <c r="F67">
        <v>1598</v>
      </c>
      <c r="G67">
        <v>1576</v>
      </c>
      <c r="H67">
        <v>1603</v>
      </c>
      <c r="I67">
        <v>1517</v>
      </c>
      <c r="J67">
        <v>1666</v>
      </c>
      <c r="K67">
        <v>1345</v>
      </c>
      <c r="L67">
        <v>1358</v>
      </c>
      <c r="M67">
        <v>1326</v>
      </c>
      <c r="N67">
        <v>1513</v>
      </c>
      <c r="O67">
        <v>1510</v>
      </c>
      <c r="P67">
        <v>1666</v>
      </c>
      <c r="Q67">
        <v>1961</v>
      </c>
      <c r="R67">
        <v>1598</v>
      </c>
      <c r="S67">
        <v>1576</v>
      </c>
      <c r="T67">
        <v>1603</v>
      </c>
      <c r="U67">
        <v>1517</v>
      </c>
      <c r="V67">
        <v>1666</v>
      </c>
      <c r="W67">
        <v>1345</v>
      </c>
      <c r="X67">
        <v>1358</v>
      </c>
      <c r="Y67">
        <v>1326</v>
      </c>
      <c r="Z67">
        <v>1513</v>
      </c>
      <c r="AA67">
        <v>1510</v>
      </c>
      <c r="AB67">
        <v>1666</v>
      </c>
      <c r="AC67">
        <v>1961</v>
      </c>
    </row>
    <row r="68" spans="1:29" x14ac:dyDescent="0.25">
      <c r="A68" t="s">
        <v>70</v>
      </c>
      <c r="B68" t="s">
        <v>71</v>
      </c>
      <c r="C68" t="s">
        <v>96</v>
      </c>
      <c r="D68" t="s">
        <v>97</v>
      </c>
      <c r="E68" t="s">
        <v>55</v>
      </c>
      <c r="F68">
        <v>5.2320000000000002</v>
      </c>
      <c r="G68">
        <v>7.8310000000000004</v>
      </c>
      <c r="H68">
        <v>6.8959999999999999</v>
      </c>
      <c r="I68">
        <v>6.0430000000000001</v>
      </c>
      <c r="J68">
        <v>4.3970000000000002</v>
      </c>
      <c r="K68">
        <v>7.444</v>
      </c>
      <c r="L68">
        <v>8.4220000000000006</v>
      </c>
      <c r="M68">
        <v>6.7270000000000003</v>
      </c>
      <c r="N68">
        <v>8.4740000000000002</v>
      </c>
      <c r="O68">
        <v>5.5739999999999998</v>
      </c>
      <c r="P68">
        <v>5.5919999999999996</v>
      </c>
      <c r="Q68">
        <v>4.2530000000000001</v>
      </c>
      <c r="R68">
        <v>5.2320000000000002</v>
      </c>
      <c r="S68">
        <v>7.8310000000000004</v>
      </c>
      <c r="T68">
        <v>6.8959999999999999</v>
      </c>
      <c r="U68">
        <v>6.0430000000000001</v>
      </c>
      <c r="V68">
        <v>4.3970000000000002</v>
      </c>
      <c r="W68">
        <v>7.444</v>
      </c>
      <c r="X68">
        <v>8.4220000000000006</v>
      </c>
      <c r="Y68">
        <v>6.7270000000000003</v>
      </c>
      <c r="Z68">
        <v>8.4740000000000002</v>
      </c>
      <c r="AA68">
        <v>5.5739999999999998</v>
      </c>
      <c r="AB68">
        <v>5.5919999999999996</v>
      </c>
      <c r="AC68">
        <v>4.2530000000000001</v>
      </c>
    </row>
    <row r="69" spans="1:29" x14ac:dyDescent="0.25">
      <c r="A69" t="s">
        <v>72</v>
      </c>
      <c r="B69" t="s">
        <v>73</v>
      </c>
      <c r="C69" t="s">
        <v>96</v>
      </c>
      <c r="D69" t="s">
        <v>97</v>
      </c>
      <c r="E69" t="s">
        <v>55</v>
      </c>
      <c r="F69">
        <v>26.07</v>
      </c>
      <c r="G69">
        <v>21.981000000000002</v>
      </c>
      <c r="H69">
        <v>20.954000000000001</v>
      </c>
      <c r="I69">
        <v>24.398</v>
      </c>
      <c r="J69">
        <v>29.494</v>
      </c>
      <c r="K69">
        <v>42.584000000000003</v>
      </c>
      <c r="L69">
        <v>14.436</v>
      </c>
      <c r="M69">
        <v>20.942</v>
      </c>
      <c r="N69">
        <v>13.811</v>
      </c>
      <c r="O69">
        <v>15.05</v>
      </c>
      <c r="P69">
        <v>16.858000000000001</v>
      </c>
      <c r="Q69">
        <v>18.317</v>
      </c>
      <c r="R69">
        <v>26.07</v>
      </c>
      <c r="S69">
        <v>21.981000000000002</v>
      </c>
      <c r="T69">
        <v>20.954000000000001</v>
      </c>
      <c r="U69">
        <v>24.398</v>
      </c>
      <c r="V69">
        <v>29.494</v>
      </c>
      <c r="W69">
        <v>42.584000000000003</v>
      </c>
      <c r="X69">
        <v>14.436</v>
      </c>
      <c r="Y69">
        <v>20.942</v>
      </c>
      <c r="Z69">
        <v>13.811</v>
      </c>
      <c r="AA69">
        <v>15.05</v>
      </c>
      <c r="AB69">
        <v>16.858000000000001</v>
      </c>
      <c r="AC69">
        <v>18.317</v>
      </c>
    </row>
    <row r="70" spans="1:29" x14ac:dyDescent="0.25">
      <c r="A70" t="s">
        <v>74</v>
      </c>
      <c r="B70" t="s">
        <v>75</v>
      </c>
      <c r="C70" t="s">
        <v>96</v>
      </c>
      <c r="D70" t="s">
        <v>97</v>
      </c>
      <c r="E70" t="s">
        <v>55</v>
      </c>
      <c r="F70">
        <v>222.34100000000001</v>
      </c>
      <c r="G70" t="s">
        <v>46</v>
      </c>
      <c r="H70" t="s">
        <v>46</v>
      </c>
      <c r="I70" t="s">
        <v>46</v>
      </c>
      <c r="J70">
        <v>257.548</v>
      </c>
      <c r="K70" t="s">
        <v>46</v>
      </c>
      <c r="L70" t="s">
        <v>46</v>
      </c>
      <c r="M70" t="s">
        <v>46</v>
      </c>
      <c r="N70">
        <v>140.92723369999999</v>
      </c>
      <c r="O70" t="s">
        <v>46</v>
      </c>
      <c r="P70" t="s">
        <v>46</v>
      </c>
      <c r="Q70" t="s">
        <v>46</v>
      </c>
      <c r="R70">
        <v>222.34100000000001</v>
      </c>
      <c r="S70" t="s">
        <v>46</v>
      </c>
      <c r="T70" t="s">
        <v>46</v>
      </c>
      <c r="U70" t="s">
        <v>46</v>
      </c>
      <c r="V70">
        <v>257.548</v>
      </c>
      <c r="W70" t="s">
        <v>46</v>
      </c>
      <c r="X70" t="s">
        <v>46</v>
      </c>
      <c r="Y70" t="s">
        <v>46</v>
      </c>
      <c r="Z70">
        <v>140.92723369999999</v>
      </c>
      <c r="AA70" t="s">
        <v>46</v>
      </c>
      <c r="AB70" t="s">
        <v>46</v>
      </c>
      <c r="AC70" t="s">
        <v>46</v>
      </c>
    </row>
    <row r="71" spans="1:29" x14ac:dyDescent="0.25">
      <c r="A71" t="s">
        <v>76</v>
      </c>
      <c r="B71" t="s">
        <v>77</v>
      </c>
      <c r="C71" t="s">
        <v>96</v>
      </c>
      <c r="D71" t="s">
        <v>97</v>
      </c>
      <c r="E71" t="s">
        <v>55</v>
      </c>
      <c r="F71" t="s">
        <v>46</v>
      </c>
      <c r="G71">
        <v>699.31853909999995</v>
      </c>
      <c r="H71" t="s">
        <v>46</v>
      </c>
      <c r="I71">
        <v>1419.1139470000001</v>
      </c>
      <c r="J71" t="s">
        <v>46</v>
      </c>
      <c r="K71">
        <v>751.12866359999998</v>
      </c>
      <c r="L71">
        <v>1479.8558800000001</v>
      </c>
      <c r="M71">
        <v>663.09012199999995</v>
      </c>
      <c r="N71" t="s">
        <v>46</v>
      </c>
      <c r="O71">
        <v>785.18447060000005</v>
      </c>
      <c r="P71">
        <v>1619.8437200000001</v>
      </c>
      <c r="Q71">
        <v>610.08077370000001</v>
      </c>
      <c r="R71" t="s">
        <v>46</v>
      </c>
      <c r="S71">
        <v>699.31853909999995</v>
      </c>
      <c r="T71" t="s">
        <v>46</v>
      </c>
      <c r="U71">
        <v>1419.1139470000001</v>
      </c>
      <c r="V71" t="s">
        <v>46</v>
      </c>
      <c r="W71">
        <v>751.12866359999998</v>
      </c>
      <c r="X71">
        <v>1479.8558800000001</v>
      </c>
      <c r="Y71">
        <v>663.09012199999995</v>
      </c>
      <c r="Z71" t="s">
        <v>46</v>
      </c>
      <c r="AA71">
        <v>785.18447060000005</v>
      </c>
      <c r="AB71">
        <v>1619.8437200000001</v>
      </c>
      <c r="AC71">
        <v>610.08077370000001</v>
      </c>
    </row>
    <row r="72" spans="1:29" x14ac:dyDescent="0.25">
      <c r="A72" t="s">
        <v>78</v>
      </c>
      <c r="B72" t="s">
        <v>79</v>
      </c>
      <c r="C72" t="s">
        <v>96</v>
      </c>
      <c r="D72" t="s">
        <v>97</v>
      </c>
      <c r="E72" t="s">
        <v>55</v>
      </c>
      <c r="F72">
        <v>378.38131870000001</v>
      </c>
      <c r="G72">
        <v>263.39251239999999</v>
      </c>
      <c r="H72">
        <v>301.97329789999998</v>
      </c>
      <c r="I72">
        <v>317.00250560000001</v>
      </c>
      <c r="J72">
        <v>238.73647099999999</v>
      </c>
      <c r="K72">
        <v>218.82623039999999</v>
      </c>
      <c r="L72">
        <v>164.43945170000001</v>
      </c>
      <c r="M72">
        <v>116.5388828</v>
      </c>
      <c r="N72">
        <v>106.5397605</v>
      </c>
      <c r="O72">
        <v>78.619922790000004</v>
      </c>
      <c r="P72">
        <v>82.325937260000003</v>
      </c>
      <c r="Q72">
        <v>40.235283559999999</v>
      </c>
      <c r="R72">
        <v>378.38131870000001</v>
      </c>
      <c r="S72">
        <v>263.39251239999999</v>
      </c>
      <c r="T72">
        <v>301.97329789999998</v>
      </c>
      <c r="U72">
        <v>317.00250560000001</v>
      </c>
      <c r="V72">
        <v>238.73647099999999</v>
      </c>
      <c r="W72">
        <v>218.82623039999999</v>
      </c>
      <c r="X72">
        <v>164.43945170000001</v>
      </c>
      <c r="Y72">
        <v>116.5388828</v>
      </c>
      <c r="Z72">
        <v>106.5397605</v>
      </c>
      <c r="AA72">
        <v>78.619922790000004</v>
      </c>
      <c r="AB72">
        <v>82.325937260000003</v>
      </c>
      <c r="AC72">
        <v>40.235283559999999</v>
      </c>
    </row>
    <row r="73" spans="1:29" x14ac:dyDescent="0.25">
      <c r="A73" t="s">
        <v>80</v>
      </c>
      <c r="B73" t="s">
        <v>81</v>
      </c>
      <c r="C73" t="s">
        <v>96</v>
      </c>
      <c r="D73" t="s">
        <v>97</v>
      </c>
      <c r="E73" t="s">
        <v>55</v>
      </c>
      <c r="F73">
        <v>4172</v>
      </c>
      <c r="G73">
        <v>4896</v>
      </c>
      <c r="H73">
        <v>4042</v>
      </c>
      <c r="I73">
        <v>4724</v>
      </c>
      <c r="J73">
        <v>5711</v>
      </c>
      <c r="K73">
        <v>6558</v>
      </c>
      <c r="L73">
        <v>5384</v>
      </c>
      <c r="M73">
        <v>5518</v>
      </c>
      <c r="N73">
        <v>5736</v>
      </c>
      <c r="O73">
        <v>6451</v>
      </c>
      <c r="P73">
        <v>5442</v>
      </c>
      <c r="Q73">
        <v>5126</v>
      </c>
      <c r="R73">
        <v>4172</v>
      </c>
      <c r="S73">
        <v>4896</v>
      </c>
      <c r="T73">
        <v>4042</v>
      </c>
      <c r="U73">
        <v>4724</v>
      </c>
      <c r="V73">
        <v>5711</v>
      </c>
      <c r="W73">
        <v>6558</v>
      </c>
      <c r="X73">
        <v>5384</v>
      </c>
      <c r="Y73">
        <v>5518</v>
      </c>
      <c r="Z73">
        <v>5736</v>
      </c>
      <c r="AA73">
        <v>6451</v>
      </c>
      <c r="AB73">
        <v>5442</v>
      </c>
      <c r="AC73">
        <v>5126</v>
      </c>
    </row>
    <row r="74" spans="1:29" x14ac:dyDescent="0.25">
      <c r="A74" t="s">
        <v>82</v>
      </c>
      <c r="B74" t="s">
        <v>83</v>
      </c>
      <c r="C74" t="s">
        <v>96</v>
      </c>
      <c r="D74" t="s">
        <v>97</v>
      </c>
      <c r="E74" t="s">
        <v>55</v>
      </c>
      <c r="F74">
        <v>894.21111080000003</v>
      </c>
      <c r="G74">
        <v>884.24629170000003</v>
      </c>
      <c r="H74">
        <v>952.89980679999996</v>
      </c>
      <c r="I74">
        <v>967.83694030000004</v>
      </c>
      <c r="J74">
        <v>907.6313447</v>
      </c>
      <c r="K74">
        <v>867.98679870000001</v>
      </c>
      <c r="L74">
        <v>861.75645589999999</v>
      </c>
      <c r="M74">
        <v>812.12121209999998</v>
      </c>
      <c r="N74">
        <v>782.00798280000004</v>
      </c>
      <c r="O74">
        <v>835.53244640000003</v>
      </c>
      <c r="P74">
        <v>829.5332823</v>
      </c>
      <c r="Q74" t="s">
        <v>46</v>
      </c>
      <c r="R74">
        <v>894.21111080000003</v>
      </c>
      <c r="S74">
        <v>884.24629170000003</v>
      </c>
      <c r="T74">
        <v>952.89980679999996</v>
      </c>
      <c r="U74">
        <v>967.83694030000004</v>
      </c>
      <c r="V74">
        <v>907.6313447</v>
      </c>
      <c r="W74">
        <v>867.98679870000001</v>
      </c>
      <c r="X74">
        <v>861.75645589999999</v>
      </c>
      <c r="Y74">
        <v>812.12121209999998</v>
      </c>
      <c r="Z74">
        <v>782.00798280000004</v>
      </c>
      <c r="AA74">
        <v>835.53244640000003</v>
      </c>
      <c r="AB74">
        <v>829.5332823</v>
      </c>
      <c r="AC74" t="s">
        <v>46</v>
      </c>
    </row>
    <row r="75" spans="1:29" x14ac:dyDescent="0.25">
      <c r="A75" t="s">
        <v>84</v>
      </c>
      <c r="B75" t="s">
        <v>85</v>
      </c>
      <c r="C75" t="s">
        <v>96</v>
      </c>
      <c r="D75" t="s">
        <v>97</v>
      </c>
      <c r="E75" t="s">
        <v>55</v>
      </c>
      <c r="F75">
        <v>432.06051980000001</v>
      </c>
      <c r="G75">
        <v>411.10853709999998</v>
      </c>
      <c r="H75">
        <v>378.48546379999999</v>
      </c>
      <c r="I75">
        <v>365.61922850000002</v>
      </c>
      <c r="J75">
        <v>359.0856177</v>
      </c>
      <c r="K75">
        <v>333.77816039999999</v>
      </c>
      <c r="L75">
        <v>335.73215529999999</v>
      </c>
      <c r="M75">
        <v>311.63198249999999</v>
      </c>
      <c r="N75">
        <v>312.6803807</v>
      </c>
      <c r="O75">
        <v>364.67428330000001</v>
      </c>
      <c r="P75">
        <v>364.9303749</v>
      </c>
      <c r="Q75">
        <v>384.09220690000001</v>
      </c>
      <c r="R75">
        <v>432.06051980000001</v>
      </c>
      <c r="S75">
        <v>411.10853709999998</v>
      </c>
      <c r="T75">
        <v>378.48546379999999</v>
      </c>
      <c r="U75">
        <v>365.61922850000002</v>
      </c>
      <c r="V75">
        <v>359.0856177</v>
      </c>
      <c r="W75">
        <v>333.77816039999999</v>
      </c>
      <c r="X75">
        <v>335.73215529999999</v>
      </c>
      <c r="Y75">
        <v>311.63198249999999</v>
      </c>
      <c r="Z75">
        <v>312.6803807</v>
      </c>
      <c r="AA75">
        <v>364.67428330000001</v>
      </c>
      <c r="AB75">
        <v>364.9303749</v>
      </c>
      <c r="AC75">
        <v>384.09220690000001</v>
      </c>
    </row>
    <row r="76" spans="1:29" x14ac:dyDescent="0.25">
      <c r="A76" t="s">
        <v>86</v>
      </c>
      <c r="B76" t="s">
        <v>87</v>
      </c>
      <c r="C76" t="s">
        <v>96</v>
      </c>
      <c r="D76" t="s">
        <v>97</v>
      </c>
      <c r="E76" t="s">
        <v>55</v>
      </c>
      <c r="F76">
        <v>1036.5551909999999</v>
      </c>
      <c r="G76" t="s">
        <v>46</v>
      </c>
      <c r="H76" t="s">
        <v>46</v>
      </c>
      <c r="I76" t="s">
        <v>46</v>
      </c>
      <c r="J76">
        <v>411.50666510000002</v>
      </c>
      <c r="K76" t="s">
        <v>46</v>
      </c>
      <c r="L76" t="s">
        <v>46</v>
      </c>
      <c r="M76" t="s">
        <v>46</v>
      </c>
      <c r="N76">
        <v>374.66994169999998</v>
      </c>
      <c r="O76" t="s">
        <v>46</v>
      </c>
      <c r="P76" t="s">
        <v>46</v>
      </c>
      <c r="Q76" t="s">
        <v>46</v>
      </c>
      <c r="R76">
        <v>1036.5551909999999</v>
      </c>
      <c r="S76" t="s">
        <v>46</v>
      </c>
      <c r="T76" t="s">
        <v>46</v>
      </c>
      <c r="U76" t="s">
        <v>46</v>
      </c>
      <c r="V76">
        <v>411.50666510000002</v>
      </c>
      <c r="W76" t="s">
        <v>46</v>
      </c>
      <c r="X76" t="s">
        <v>46</v>
      </c>
      <c r="Y76" t="s">
        <v>46</v>
      </c>
      <c r="Z76">
        <v>374.66994169999998</v>
      </c>
      <c r="AA76" t="s">
        <v>46</v>
      </c>
      <c r="AB76" t="s">
        <v>46</v>
      </c>
      <c r="AC76" t="s">
        <v>46</v>
      </c>
    </row>
    <row r="77" spans="1:29" x14ac:dyDescent="0.25">
      <c r="A77" t="s">
        <v>98</v>
      </c>
      <c r="B77" t="s">
        <v>46</v>
      </c>
      <c r="E77" t="s">
        <v>50</v>
      </c>
      <c r="F77">
        <v>18992.357201439998</v>
      </c>
      <c r="G77">
        <v>16714.978393380003</v>
      </c>
      <c r="H77">
        <v>14538.502062990001</v>
      </c>
      <c r="I77">
        <v>20817.985920690004</v>
      </c>
      <c r="J77">
        <v>15955.180011794</v>
      </c>
      <c r="K77">
        <v>13335.381231272</v>
      </c>
      <c r="L77">
        <v>14596.686651426999</v>
      </c>
      <c r="M77">
        <v>12066.140550904</v>
      </c>
      <c r="N77">
        <v>10850.522011093</v>
      </c>
      <c r="O77">
        <v>11984.631602148002</v>
      </c>
      <c r="P77">
        <v>9026.0618589940004</v>
      </c>
      <c r="Q77">
        <v>11913.604595553001</v>
      </c>
      <c r="R77">
        <v>18992.357199999999</v>
      </c>
      <c r="S77">
        <v>16714.97839</v>
      </c>
      <c r="T77">
        <v>14538.502060000001</v>
      </c>
      <c r="U77">
        <v>20817.985919999999</v>
      </c>
      <c r="V77">
        <v>15955.18001</v>
      </c>
      <c r="W77">
        <v>13335.381230000001</v>
      </c>
      <c r="X77">
        <v>14596.68665</v>
      </c>
      <c r="Y77">
        <v>12066.14055</v>
      </c>
      <c r="Z77">
        <v>10850.522010000001</v>
      </c>
      <c r="AA77">
        <v>11984.631600000001</v>
      </c>
      <c r="AB77">
        <v>9026.0618589999995</v>
      </c>
      <c r="AC77">
        <v>11913.604600000001</v>
      </c>
    </row>
    <row r="78" spans="1:29" x14ac:dyDescent="0.25">
      <c r="A78" t="s">
        <v>51</v>
      </c>
      <c r="B78" t="s">
        <v>52</v>
      </c>
      <c r="C78" t="s">
        <v>99</v>
      </c>
      <c r="D78" t="s">
        <v>100</v>
      </c>
      <c r="E78" t="s">
        <v>55</v>
      </c>
      <c r="F78">
        <v>744.47799999999995</v>
      </c>
      <c r="G78">
        <v>714.48500000000001</v>
      </c>
      <c r="H78">
        <v>6.4109999999999996</v>
      </c>
      <c r="I78">
        <v>4.1369999999999996</v>
      </c>
      <c r="J78">
        <v>4.3650000000000002</v>
      </c>
      <c r="K78">
        <v>4.7270000000000003</v>
      </c>
      <c r="L78">
        <v>5.3369999999999997</v>
      </c>
      <c r="M78">
        <v>2.84</v>
      </c>
      <c r="N78">
        <v>2.9140000000000001</v>
      </c>
      <c r="O78">
        <v>2.9790000000000001</v>
      </c>
      <c r="P78">
        <v>2.907</v>
      </c>
      <c r="Q78">
        <v>2.9420000000000002</v>
      </c>
      <c r="R78">
        <v>744.47799999999995</v>
      </c>
      <c r="S78">
        <v>714.48500000000001</v>
      </c>
      <c r="T78">
        <v>6.4109999999999996</v>
      </c>
      <c r="U78">
        <v>4.1369999999999996</v>
      </c>
      <c r="V78">
        <v>4.3650000000000002</v>
      </c>
      <c r="W78">
        <v>4.7270000000000003</v>
      </c>
      <c r="X78">
        <v>5.3369999999999997</v>
      </c>
      <c r="Y78">
        <v>2.84</v>
      </c>
      <c r="Z78">
        <v>2.9140000000000001</v>
      </c>
      <c r="AA78">
        <v>2.9790000000000001</v>
      </c>
      <c r="AB78">
        <v>2.907</v>
      </c>
      <c r="AC78">
        <v>2.9420000000000002</v>
      </c>
    </row>
    <row r="79" spans="1:29" x14ac:dyDescent="0.25">
      <c r="A79" t="s">
        <v>56</v>
      </c>
      <c r="B79" t="s">
        <v>57</v>
      </c>
      <c r="C79" t="s">
        <v>99</v>
      </c>
      <c r="D79" t="s">
        <v>100</v>
      </c>
      <c r="E79" t="s">
        <v>55</v>
      </c>
      <c r="F79">
        <v>409.767</v>
      </c>
      <c r="G79">
        <v>57.752000000000002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120</v>
      </c>
      <c r="O79">
        <v>0</v>
      </c>
      <c r="P79">
        <v>0</v>
      </c>
      <c r="Q79">
        <v>0</v>
      </c>
      <c r="R79">
        <v>409.767</v>
      </c>
      <c r="S79">
        <v>57.752000000000002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120</v>
      </c>
      <c r="AA79">
        <v>0</v>
      </c>
      <c r="AB79">
        <v>0</v>
      </c>
      <c r="AC79">
        <v>0</v>
      </c>
    </row>
    <row r="80" spans="1:29" x14ac:dyDescent="0.25">
      <c r="A80" t="s">
        <v>58</v>
      </c>
      <c r="B80" t="s">
        <v>59</v>
      </c>
      <c r="C80" t="s">
        <v>99</v>
      </c>
      <c r="D80" t="s">
        <v>100</v>
      </c>
      <c r="E80" t="s">
        <v>55</v>
      </c>
      <c r="F80" t="s">
        <v>46</v>
      </c>
      <c r="G80" t="s">
        <v>46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</row>
    <row r="81" spans="1:29" x14ac:dyDescent="0.25">
      <c r="A81" t="s">
        <v>60</v>
      </c>
      <c r="B81" t="s">
        <v>61</v>
      </c>
      <c r="C81" t="s">
        <v>99</v>
      </c>
      <c r="D81" t="s">
        <v>100</v>
      </c>
      <c r="E81" t="s">
        <v>55</v>
      </c>
      <c r="F81" t="s">
        <v>46</v>
      </c>
      <c r="G81">
        <v>1053.2801999999999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>
        <v>1053.2801999999999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</row>
    <row r="82" spans="1:29" x14ac:dyDescent="0.25">
      <c r="A82" t="s">
        <v>62</v>
      </c>
      <c r="B82" t="s">
        <v>63</v>
      </c>
      <c r="C82" t="s">
        <v>99</v>
      </c>
      <c r="D82" t="s">
        <v>100</v>
      </c>
      <c r="E82" t="s">
        <v>55</v>
      </c>
      <c r="F82">
        <v>203.65571689999999</v>
      </c>
      <c r="G82">
        <v>212.80166439999999</v>
      </c>
      <c r="H82">
        <v>85.726908839999993</v>
      </c>
      <c r="I82">
        <v>126.6890705</v>
      </c>
      <c r="J82">
        <v>125.4671953</v>
      </c>
      <c r="K82">
        <v>126.9377569</v>
      </c>
      <c r="L82">
        <v>269.40258130000001</v>
      </c>
      <c r="M82">
        <v>227.35717</v>
      </c>
      <c r="N82">
        <v>232.8171309</v>
      </c>
      <c r="O82">
        <v>242.7293047</v>
      </c>
      <c r="P82">
        <v>98.099166929999996</v>
      </c>
      <c r="Q82">
        <v>52.292356249999997</v>
      </c>
      <c r="R82">
        <v>203.65571689999999</v>
      </c>
      <c r="S82">
        <v>212.80166439999999</v>
      </c>
      <c r="T82">
        <v>85.726908839999993</v>
      </c>
      <c r="U82">
        <v>126.6890705</v>
      </c>
      <c r="V82">
        <v>125.4671953</v>
      </c>
      <c r="W82">
        <v>126.9377569</v>
      </c>
      <c r="X82">
        <v>269.40258130000001</v>
      </c>
      <c r="Y82">
        <v>227.35717</v>
      </c>
      <c r="Z82">
        <v>232.8171309</v>
      </c>
      <c r="AA82">
        <v>242.7293047</v>
      </c>
      <c r="AB82">
        <v>98.099166929999996</v>
      </c>
      <c r="AC82">
        <v>52.292356249999997</v>
      </c>
    </row>
    <row r="83" spans="1:29" x14ac:dyDescent="0.25">
      <c r="A83" t="s">
        <v>64</v>
      </c>
      <c r="B83" t="s">
        <v>65</v>
      </c>
      <c r="C83" t="s">
        <v>99</v>
      </c>
      <c r="D83" t="s">
        <v>100</v>
      </c>
      <c r="E83" t="s">
        <v>55</v>
      </c>
      <c r="F83">
        <v>235</v>
      </c>
      <c r="G83">
        <v>251</v>
      </c>
      <c r="H83">
        <v>243</v>
      </c>
      <c r="I83">
        <v>241</v>
      </c>
      <c r="J83">
        <v>216</v>
      </c>
      <c r="K83">
        <v>9</v>
      </c>
      <c r="L83">
        <v>100</v>
      </c>
      <c r="M83">
        <v>100</v>
      </c>
      <c r="N83">
        <v>100</v>
      </c>
      <c r="O83">
        <v>175</v>
      </c>
      <c r="P83">
        <v>100</v>
      </c>
      <c r="Q83">
        <v>244</v>
      </c>
      <c r="R83">
        <v>235</v>
      </c>
      <c r="S83">
        <v>251</v>
      </c>
      <c r="T83">
        <v>243</v>
      </c>
      <c r="U83">
        <v>241</v>
      </c>
      <c r="V83">
        <v>216</v>
      </c>
      <c r="W83">
        <v>9</v>
      </c>
      <c r="X83">
        <v>100</v>
      </c>
      <c r="Y83">
        <v>100</v>
      </c>
      <c r="Z83">
        <v>100</v>
      </c>
      <c r="AA83">
        <v>175</v>
      </c>
      <c r="AB83">
        <v>100</v>
      </c>
      <c r="AC83">
        <v>244</v>
      </c>
    </row>
    <row r="84" spans="1:29" x14ac:dyDescent="0.25">
      <c r="A84" t="s">
        <v>66</v>
      </c>
      <c r="B84" t="s">
        <v>67</v>
      </c>
      <c r="C84" t="s">
        <v>99</v>
      </c>
      <c r="D84" t="s">
        <v>100</v>
      </c>
      <c r="E84" t="s">
        <v>55</v>
      </c>
      <c r="F84">
        <v>147</v>
      </c>
      <c r="G84">
        <v>148</v>
      </c>
      <c r="H84">
        <v>154</v>
      </c>
      <c r="I84">
        <v>158</v>
      </c>
      <c r="J84">
        <v>165</v>
      </c>
      <c r="K84">
        <v>55</v>
      </c>
      <c r="L84">
        <v>49</v>
      </c>
      <c r="M84">
        <v>43</v>
      </c>
      <c r="N84">
        <v>81</v>
      </c>
      <c r="O84">
        <v>82</v>
      </c>
      <c r="P84">
        <v>71</v>
      </c>
      <c r="Q84">
        <v>59</v>
      </c>
      <c r="R84">
        <v>147</v>
      </c>
      <c r="S84">
        <v>148</v>
      </c>
      <c r="T84">
        <v>154</v>
      </c>
      <c r="U84">
        <v>158</v>
      </c>
      <c r="V84">
        <v>165</v>
      </c>
      <c r="W84">
        <v>55</v>
      </c>
      <c r="X84">
        <v>49</v>
      </c>
      <c r="Y84">
        <v>43</v>
      </c>
      <c r="Z84">
        <v>81</v>
      </c>
      <c r="AA84">
        <v>82</v>
      </c>
      <c r="AB84">
        <v>71</v>
      </c>
      <c r="AC84">
        <v>59</v>
      </c>
    </row>
    <row r="85" spans="1:29" x14ac:dyDescent="0.25">
      <c r="A85" t="s">
        <v>68</v>
      </c>
      <c r="B85" t="s">
        <v>69</v>
      </c>
      <c r="C85" t="s">
        <v>99</v>
      </c>
      <c r="D85" t="s">
        <v>100</v>
      </c>
      <c r="E85" t="s">
        <v>55</v>
      </c>
      <c r="F85">
        <v>1758</v>
      </c>
      <c r="G85">
        <v>2079</v>
      </c>
      <c r="H85">
        <v>1960</v>
      </c>
      <c r="I85">
        <v>2097</v>
      </c>
      <c r="J85">
        <v>1942</v>
      </c>
      <c r="K85">
        <v>1580</v>
      </c>
      <c r="L85">
        <v>1618</v>
      </c>
      <c r="M85">
        <v>2307</v>
      </c>
      <c r="N85">
        <v>1918</v>
      </c>
      <c r="O85">
        <v>2173</v>
      </c>
      <c r="P85">
        <v>2200</v>
      </c>
      <c r="Q85">
        <v>1203</v>
      </c>
      <c r="R85">
        <v>1758</v>
      </c>
      <c r="S85">
        <v>2079</v>
      </c>
      <c r="T85">
        <v>1960</v>
      </c>
      <c r="U85">
        <v>2097</v>
      </c>
      <c r="V85">
        <v>1942</v>
      </c>
      <c r="W85">
        <v>1580</v>
      </c>
      <c r="X85">
        <v>1618</v>
      </c>
      <c r="Y85">
        <v>2307</v>
      </c>
      <c r="Z85">
        <v>1918</v>
      </c>
      <c r="AA85">
        <v>2173</v>
      </c>
      <c r="AB85">
        <v>2200</v>
      </c>
      <c r="AC85">
        <v>1203</v>
      </c>
    </row>
    <row r="86" spans="1:29" x14ac:dyDescent="0.25">
      <c r="A86" t="s">
        <v>70</v>
      </c>
      <c r="B86" t="s">
        <v>71</v>
      </c>
      <c r="C86" t="s">
        <v>99</v>
      </c>
      <c r="D86" t="s">
        <v>100</v>
      </c>
      <c r="E86" t="s">
        <v>55</v>
      </c>
      <c r="F86">
        <v>60.107999999999997</v>
      </c>
      <c r="G86">
        <v>57.542000000000002</v>
      </c>
      <c r="H86">
        <v>51.423999999999999</v>
      </c>
      <c r="I86">
        <v>48.429000000000002</v>
      </c>
      <c r="J86">
        <v>39.856000000000002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60.107999999999997</v>
      </c>
      <c r="S86">
        <v>57.542000000000002</v>
      </c>
      <c r="T86">
        <v>51.423999999999999</v>
      </c>
      <c r="U86">
        <v>48.429000000000002</v>
      </c>
      <c r="V86">
        <v>39.856000000000002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t="s">
        <v>72</v>
      </c>
      <c r="B87" t="s">
        <v>73</v>
      </c>
      <c r="C87" t="s">
        <v>99</v>
      </c>
      <c r="D87" t="s">
        <v>100</v>
      </c>
      <c r="E87" t="s">
        <v>55</v>
      </c>
      <c r="F87">
        <v>271.25099999999998</v>
      </c>
      <c r="G87">
        <v>170.91300000000001</v>
      </c>
      <c r="H87">
        <v>337.875</v>
      </c>
      <c r="I87">
        <v>379.37900000000002</v>
      </c>
      <c r="J87">
        <v>403.05099999999999</v>
      </c>
      <c r="K87">
        <v>328.483</v>
      </c>
      <c r="L87">
        <v>363.476</v>
      </c>
      <c r="M87">
        <v>254.249</v>
      </c>
      <c r="N87">
        <v>314.23700000000002</v>
      </c>
      <c r="O87">
        <v>209.226</v>
      </c>
      <c r="P87">
        <v>199.22399999999999</v>
      </c>
      <c r="Q87">
        <v>244.21299999999999</v>
      </c>
      <c r="R87">
        <v>271.25099999999998</v>
      </c>
      <c r="S87">
        <v>170.91300000000001</v>
      </c>
      <c r="T87">
        <v>337.875</v>
      </c>
      <c r="U87">
        <v>379.37900000000002</v>
      </c>
      <c r="V87">
        <v>403.05099999999999</v>
      </c>
      <c r="W87">
        <v>328.483</v>
      </c>
      <c r="X87">
        <v>363.476</v>
      </c>
      <c r="Y87">
        <v>254.249</v>
      </c>
      <c r="Z87">
        <v>314.23700000000002</v>
      </c>
      <c r="AA87">
        <v>209.226</v>
      </c>
      <c r="AB87">
        <v>199.22399999999999</v>
      </c>
      <c r="AC87">
        <v>244.21299999999999</v>
      </c>
    </row>
    <row r="88" spans="1:29" x14ac:dyDescent="0.25">
      <c r="A88" t="s">
        <v>74</v>
      </c>
      <c r="B88" t="s">
        <v>75</v>
      </c>
      <c r="C88" t="s">
        <v>99</v>
      </c>
      <c r="D88" t="s">
        <v>100</v>
      </c>
      <c r="E88" t="s">
        <v>55</v>
      </c>
      <c r="F88">
        <v>391.13600000000002</v>
      </c>
      <c r="G88" t="s">
        <v>46</v>
      </c>
      <c r="H88" t="s">
        <v>46</v>
      </c>
      <c r="I88" t="s">
        <v>46</v>
      </c>
      <c r="J88">
        <v>176.13</v>
      </c>
      <c r="K88" t="s">
        <v>46</v>
      </c>
      <c r="L88" t="s">
        <v>46</v>
      </c>
      <c r="M88">
        <v>0</v>
      </c>
      <c r="N88">
        <v>6.4476512130000003</v>
      </c>
      <c r="O88">
        <v>0</v>
      </c>
      <c r="P88">
        <v>0</v>
      </c>
      <c r="Q88">
        <v>0</v>
      </c>
      <c r="R88">
        <v>391.13600000000002</v>
      </c>
      <c r="S88" t="s">
        <v>46</v>
      </c>
      <c r="T88" t="s">
        <v>46</v>
      </c>
      <c r="U88" t="s">
        <v>46</v>
      </c>
      <c r="V88">
        <v>176.13</v>
      </c>
      <c r="W88" t="s">
        <v>46</v>
      </c>
      <c r="X88" t="s">
        <v>46</v>
      </c>
      <c r="Y88">
        <v>0</v>
      </c>
      <c r="Z88">
        <v>6.4476512130000003</v>
      </c>
      <c r="AA88">
        <v>0</v>
      </c>
      <c r="AB88">
        <v>0</v>
      </c>
      <c r="AC88">
        <v>0</v>
      </c>
    </row>
    <row r="89" spans="1:29" x14ac:dyDescent="0.25">
      <c r="A89" t="s">
        <v>76</v>
      </c>
      <c r="B89" t="s">
        <v>77</v>
      </c>
      <c r="C89" t="s">
        <v>99</v>
      </c>
      <c r="D89" t="s">
        <v>100</v>
      </c>
      <c r="E89" t="s">
        <v>55</v>
      </c>
      <c r="F89">
        <v>195.94206</v>
      </c>
      <c r="G89">
        <v>125.7165153</v>
      </c>
      <c r="H89">
        <v>122.98584</v>
      </c>
      <c r="I89">
        <v>118.110882</v>
      </c>
      <c r="J89">
        <v>34.336260000000003</v>
      </c>
      <c r="K89">
        <v>48.498074799999998</v>
      </c>
      <c r="L89">
        <v>238.55155999999999</v>
      </c>
      <c r="M89">
        <v>303.1606094</v>
      </c>
      <c r="N89">
        <v>391.38225</v>
      </c>
      <c r="O89">
        <v>325.73849439999998</v>
      </c>
      <c r="P89">
        <v>149.54400999999999</v>
      </c>
      <c r="Q89">
        <v>129.5900498</v>
      </c>
      <c r="R89">
        <v>195.94206</v>
      </c>
      <c r="S89">
        <v>125.7165153</v>
      </c>
      <c r="T89">
        <v>122.98584</v>
      </c>
      <c r="U89">
        <v>118.110882</v>
      </c>
      <c r="V89">
        <v>34.336260000000003</v>
      </c>
      <c r="W89">
        <v>48.498074799999998</v>
      </c>
      <c r="X89">
        <v>238.55155999999999</v>
      </c>
      <c r="Y89">
        <v>303.1606094</v>
      </c>
      <c r="Z89">
        <v>391.38225</v>
      </c>
      <c r="AA89">
        <v>325.73849439999998</v>
      </c>
      <c r="AB89">
        <v>149.54400999999999</v>
      </c>
      <c r="AC89">
        <v>129.5900498</v>
      </c>
    </row>
    <row r="90" spans="1:29" x14ac:dyDescent="0.25">
      <c r="A90" t="s">
        <v>78</v>
      </c>
      <c r="B90" t="s">
        <v>79</v>
      </c>
      <c r="C90" t="s">
        <v>99</v>
      </c>
      <c r="D90" t="s">
        <v>100</v>
      </c>
      <c r="E90" t="s">
        <v>55</v>
      </c>
      <c r="F90">
        <v>82.124136140000005</v>
      </c>
      <c r="G90">
        <v>79.747839580000004</v>
      </c>
      <c r="H90">
        <v>72.875467850000007</v>
      </c>
      <c r="I90">
        <v>71.670131690000005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82.124136140000005</v>
      </c>
      <c r="S90">
        <v>79.747839580000004</v>
      </c>
      <c r="T90">
        <v>72.875467850000007</v>
      </c>
      <c r="U90">
        <v>71.670131690000005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t="s">
        <v>80</v>
      </c>
      <c r="B91" t="s">
        <v>81</v>
      </c>
      <c r="C91" t="s">
        <v>99</v>
      </c>
      <c r="D91" t="s">
        <v>100</v>
      </c>
      <c r="E91" t="s">
        <v>55</v>
      </c>
      <c r="F91">
        <v>12969</v>
      </c>
      <c r="G91">
        <v>10177</v>
      </c>
      <c r="H91">
        <v>9907</v>
      </c>
      <c r="I91">
        <v>15913</v>
      </c>
      <c r="J91">
        <v>11563</v>
      </c>
      <c r="K91">
        <v>10207</v>
      </c>
      <c r="L91">
        <v>10932</v>
      </c>
      <c r="M91">
        <v>7646</v>
      </c>
      <c r="N91">
        <v>5977</v>
      </c>
      <c r="O91">
        <v>6987</v>
      </c>
      <c r="P91">
        <v>4299</v>
      </c>
      <c r="Q91">
        <v>8061</v>
      </c>
      <c r="R91">
        <v>12969</v>
      </c>
      <c r="S91">
        <v>10177</v>
      </c>
      <c r="T91">
        <v>9907</v>
      </c>
      <c r="U91">
        <v>15913</v>
      </c>
      <c r="V91">
        <v>11563</v>
      </c>
      <c r="W91">
        <v>10207</v>
      </c>
      <c r="X91">
        <v>10932</v>
      </c>
      <c r="Y91">
        <v>7646</v>
      </c>
      <c r="Z91">
        <v>5977</v>
      </c>
      <c r="AA91">
        <v>6987</v>
      </c>
      <c r="AB91">
        <v>4299</v>
      </c>
      <c r="AC91">
        <v>8061</v>
      </c>
    </row>
    <row r="92" spans="1:29" x14ac:dyDescent="0.25">
      <c r="A92" t="s">
        <v>82</v>
      </c>
      <c r="B92" t="s">
        <v>83</v>
      </c>
      <c r="C92" t="s">
        <v>99</v>
      </c>
      <c r="D92" t="s">
        <v>100</v>
      </c>
      <c r="E92" t="s">
        <v>55</v>
      </c>
      <c r="F92">
        <v>168.22844040000001</v>
      </c>
      <c r="G92">
        <v>167.3581422</v>
      </c>
      <c r="H92">
        <v>160.467535</v>
      </c>
      <c r="I92">
        <v>156.3975748</v>
      </c>
      <c r="J92">
        <v>2.5965295940000002</v>
      </c>
      <c r="K92">
        <v>2.4393743720000001</v>
      </c>
      <c r="L92">
        <v>2.3432277269999999</v>
      </c>
      <c r="M92">
        <v>2.3366192039999998</v>
      </c>
      <c r="N92">
        <v>29.628492479999998</v>
      </c>
      <c r="O92">
        <v>2.9756544479999998</v>
      </c>
      <c r="P92">
        <v>3.060443764</v>
      </c>
      <c r="Q92">
        <v>3.2497729030000002</v>
      </c>
      <c r="R92">
        <v>168.22844040000001</v>
      </c>
      <c r="S92">
        <v>167.3581422</v>
      </c>
      <c r="T92">
        <v>160.467535</v>
      </c>
      <c r="U92">
        <v>156.3975748</v>
      </c>
      <c r="V92">
        <v>2.5965295940000002</v>
      </c>
      <c r="W92">
        <v>2.4393743720000001</v>
      </c>
      <c r="X92">
        <v>2.3432277269999999</v>
      </c>
      <c r="Y92">
        <v>2.3366192039999998</v>
      </c>
      <c r="Z92">
        <v>29.628492479999998</v>
      </c>
      <c r="AA92">
        <v>2.9756544479999998</v>
      </c>
      <c r="AB92">
        <v>3.060443764</v>
      </c>
      <c r="AC92">
        <v>3.2497729030000002</v>
      </c>
    </row>
    <row r="93" spans="1:29" x14ac:dyDescent="0.25">
      <c r="A93" t="s">
        <v>84</v>
      </c>
      <c r="B93" t="s">
        <v>85</v>
      </c>
      <c r="C93" t="s">
        <v>99</v>
      </c>
      <c r="D93" t="s">
        <v>100</v>
      </c>
      <c r="E93" t="s">
        <v>55</v>
      </c>
      <c r="F93">
        <v>298.44627500000001</v>
      </c>
      <c r="G93">
        <v>314.4564019</v>
      </c>
      <c r="H93">
        <v>327.47263629999998</v>
      </c>
      <c r="I93">
        <v>233.01497670000001</v>
      </c>
      <c r="J93">
        <v>257.76326289999997</v>
      </c>
      <c r="K93">
        <v>200.40177929999999</v>
      </c>
      <c r="L93">
        <v>153.98038579999999</v>
      </c>
      <c r="M93">
        <v>148.1708653</v>
      </c>
      <c r="N93">
        <v>249.53945350000001</v>
      </c>
      <c r="O93">
        <v>183.97375160000001</v>
      </c>
      <c r="P93">
        <v>155.5608263</v>
      </c>
      <c r="Q93">
        <v>154.6118146</v>
      </c>
      <c r="R93">
        <v>298.44627500000001</v>
      </c>
      <c r="S93">
        <v>314.4564019</v>
      </c>
      <c r="T93">
        <v>327.47263629999998</v>
      </c>
      <c r="U93">
        <v>233.01497670000001</v>
      </c>
      <c r="V93">
        <v>257.76326289999997</v>
      </c>
      <c r="W93">
        <v>200.40177929999999</v>
      </c>
      <c r="X93">
        <v>153.98038579999999</v>
      </c>
      <c r="Y93">
        <v>148.1708653</v>
      </c>
      <c r="Z93">
        <v>249.53945350000001</v>
      </c>
      <c r="AA93">
        <v>183.97375160000001</v>
      </c>
      <c r="AB93">
        <v>155.5608263</v>
      </c>
      <c r="AC93">
        <v>154.6118146</v>
      </c>
    </row>
    <row r="94" spans="1:29" x14ac:dyDescent="0.25">
      <c r="A94" t="s">
        <v>86</v>
      </c>
      <c r="B94" t="s">
        <v>87</v>
      </c>
      <c r="C94" t="s">
        <v>99</v>
      </c>
      <c r="D94" t="s">
        <v>100</v>
      </c>
      <c r="E94" t="s">
        <v>55</v>
      </c>
      <c r="F94">
        <v>1058.2205730000001</v>
      </c>
      <c r="G94">
        <v>1105.92563</v>
      </c>
      <c r="H94">
        <v>1109.2636749999999</v>
      </c>
      <c r="I94">
        <v>1271.158285</v>
      </c>
      <c r="J94">
        <v>1025.6147639999999</v>
      </c>
      <c r="K94">
        <v>772.89424589999999</v>
      </c>
      <c r="L94">
        <v>864.59589659999995</v>
      </c>
      <c r="M94">
        <v>1032.0262869999999</v>
      </c>
      <c r="N94">
        <v>1427.5560330000001</v>
      </c>
      <c r="O94">
        <v>1600.009397</v>
      </c>
      <c r="P94">
        <v>1747.666412</v>
      </c>
      <c r="Q94">
        <v>1759.705602</v>
      </c>
      <c r="R94">
        <v>1058.2205730000001</v>
      </c>
      <c r="S94">
        <v>1105.92563</v>
      </c>
      <c r="T94">
        <v>1109.2636749999999</v>
      </c>
      <c r="U94">
        <v>1271.158285</v>
      </c>
      <c r="V94">
        <v>1025.6147639999999</v>
      </c>
      <c r="W94">
        <v>772.89424589999999</v>
      </c>
      <c r="X94">
        <v>864.59589659999995</v>
      </c>
      <c r="Y94">
        <v>1032.0262869999999</v>
      </c>
      <c r="Z94">
        <v>1427.5560330000001</v>
      </c>
      <c r="AA94">
        <v>1600.009397</v>
      </c>
      <c r="AB94">
        <v>1747.666412</v>
      </c>
      <c r="AC94">
        <v>1759.705602</v>
      </c>
    </row>
    <row r="95" spans="1:29" x14ac:dyDescent="0.25">
      <c r="A95" t="s">
        <v>101</v>
      </c>
      <c r="B95" t="s">
        <v>46</v>
      </c>
      <c r="E95" t="s">
        <v>50</v>
      </c>
      <c r="F95">
        <v>82553.166194540012</v>
      </c>
      <c r="G95">
        <v>84436.290125899992</v>
      </c>
      <c r="H95">
        <v>75023.941399000003</v>
      </c>
      <c r="I95">
        <v>75839.519542099995</v>
      </c>
      <c r="J95">
        <v>51123.934221301002</v>
      </c>
      <c r="K95">
        <v>49198.042363515997</v>
      </c>
      <c r="L95">
        <v>42162.677113755999</v>
      </c>
      <c r="M95">
        <v>43535.257879613011</v>
      </c>
      <c r="N95">
        <v>46823.139061383998</v>
      </c>
      <c r="O95">
        <v>46511.554988175005</v>
      </c>
      <c r="P95">
        <v>43422.299252904995</v>
      </c>
      <c r="Q95">
        <v>40447.917068827992</v>
      </c>
      <c r="R95">
        <v>82553.166190000004</v>
      </c>
      <c r="S95">
        <v>84436.290129999994</v>
      </c>
      <c r="T95">
        <v>75023.941399999996</v>
      </c>
      <c r="U95">
        <v>75839.519539999994</v>
      </c>
      <c r="V95">
        <v>51123.934220000003</v>
      </c>
      <c r="W95">
        <v>49198.042359999999</v>
      </c>
      <c r="X95">
        <v>42162.677109999997</v>
      </c>
      <c r="Y95">
        <v>43535.257879999997</v>
      </c>
      <c r="Z95">
        <v>46823.139060000001</v>
      </c>
      <c r="AA95">
        <v>46511.554989999997</v>
      </c>
      <c r="AB95">
        <v>43422.299249999996</v>
      </c>
      <c r="AC95">
        <v>40447.917070000003</v>
      </c>
    </row>
    <row r="96" spans="1:29" x14ac:dyDescent="0.25">
      <c r="A96" t="s">
        <v>51</v>
      </c>
      <c r="B96" t="s">
        <v>52</v>
      </c>
      <c r="C96" t="s">
        <v>102</v>
      </c>
      <c r="D96" t="s">
        <v>103</v>
      </c>
      <c r="E96" t="s">
        <v>55</v>
      </c>
      <c r="F96">
        <v>2665.7310000000002</v>
      </c>
      <c r="G96">
        <v>2667.5859999999998</v>
      </c>
      <c r="H96">
        <v>16.247</v>
      </c>
      <c r="I96">
        <v>19.855</v>
      </c>
      <c r="J96">
        <v>19.753</v>
      </c>
      <c r="K96">
        <v>19.896000000000001</v>
      </c>
      <c r="L96">
        <v>19.675999999999998</v>
      </c>
      <c r="M96">
        <v>25.957999999999998</v>
      </c>
      <c r="N96">
        <v>25.922999999999998</v>
      </c>
      <c r="O96">
        <v>22.225999999999999</v>
      </c>
      <c r="P96">
        <v>22.163</v>
      </c>
      <c r="Q96">
        <v>24.731999999999999</v>
      </c>
      <c r="R96">
        <v>2665.7310000000002</v>
      </c>
      <c r="S96">
        <v>2667.5859999999998</v>
      </c>
      <c r="T96">
        <v>16.247</v>
      </c>
      <c r="U96">
        <v>19.855</v>
      </c>
      <c r="V96">
        <v>19.753</v>
      </c>
      <c r="W96">
        <v>19.896000000000001</v>
      </c>
      <c r="X96">
        <v>19.675999999999998</v>
      </c>
      <c r="Y96">
        <v>25.957999999999998</v>
      </c>
      <c r="Z96">
        <v>25.922999999999998</v>
      </c>
      <c r="AA96">
        <v>22.225999999999999</v>
      </c>
      <c r="AB96">
        <v>22.163</v>
      </c>
      <c r="AC96">
        <v>24.731999999999999</v>
      </c>
    </row>
    <row r="97" spans="1:29" x14ac:dyDescent="0.25">
      <c r="A97" t="s">
        <v>56</v>
      </c>
      <c r="B97" t="s">
        <v>57</v>
      </c>
      <c r="C97" t="s">
        <v>102</v>
      </c>
      <c r="D97" t="s">
        <v>103</v>
      </c>
      <c r="E97" t="s">
        <v>55</v>
      </c>
      <c r="F97">
        <v>218.39099999999999</v>
      </c>
      <c r="G97">
        <v>223.66399999999999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218.39099999999999</v>
      </c>
      <c r="S97">
        <v>223.66399999999999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t="s">
        <v>58</v>
      </c>
      <c r="B98" t="s">
        <v>59</v>
      </c>
      <c r="C98" t="s">
        <v>102</v>
      </c>
      <c r="D98" t="s">
        <v>103</v>
      </c>
      <c r="E98" t="s">
        <v>55</v>
      </c>
      <c r="F98" t="s">
        <v>46</v>
      </c>
      <c r="G98" t="s">
        <v>46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</row>
    <row r="99" spans="1:29" x14ac:dyDescent="0.25">
      <c r="A99" t="s">
        <v>60</v>
      </c>
      <c r="B99" t="s">
        <v>61</v>
      </c>
      <c r="C99" t="s">
        <v>102</v>
      </c>
      <c r="D99" t="s">
        <v>103</v>
      </c>
      <c r="E99" t="s">
        <v>55</v>
      </c>
      <c r="F99" t="s">
        <v>46</v>
      </c>
      <c r="G99">
        <v>3543.8724000000002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>
        <v>3543.8724000000002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</row>
    <row r="100" spans="1:29" x14ac:dyDescent="0.25">
      <c r="A100" t="s">
        <v>62</v>
      </c>
      <c r="B100" t="s">
        <v>63</v>
      </c>
      <c r="C100" t="s">
        <v>102</v>
      </c>
      <c r="D100" t="s">
        <v>103</v>
      </c>
      <c r="E100" t="s">
        <v>55</v>
      </c>
      <c r="F100">
        <v>2733.171437</v>
      </c>
      <c r="G100">
        <v>2102.9734939999998</v>
      </c>
      <c r="H100">
        <v>1674.870478</v>
      </c>
      <c r="I100">
        <v>1807.4131219999999</v>
      </c>
      <c r="J100">
        <v>1473.9754620000001</v>
      </c>
      <c r="K100">
        <v>1477.807546</v>
      </c>
      <c r="L100">
        <v>1122.430636</v>
      </c>
      <c r="M100">
        <v>1174.4123239999999</v>
      </c>
      <c r="N100">
        <v>1149.446815</v>
      </c>
      <c r="O100">
        <v>1212.4411270000001</v>
      </c>
      <c r="P100">
        <v>1393.412368</v>
      </c>
      <c r="Q100">
        <v>1278.902317</v>
      </c>
      <c r="R100">
        <v>2733.171437</v>
      </c>
      <c r="S100">
        <v>2102.9734939999998</v>
      </c>
      <c r="T100">
        <v>1674.870478</v>
      </c>
      <c r="U100">
        <v>1807.4131219999999</v>
      </c>
      <c r="V100">
        <v>1473.9754620000001</v>
      </c>
      <c r="W100">
        <v>1477.807546</v>
      </c>
      <c r="X100">
        <v>1122.430636</v>
      </c>
      <c r="Y100">
        <v>1174.4123239999999</v>
      </c>
      <c r="Z100">
        <v>1149.446815</v>
      </c>
      <c r="AA100">
        <v>1212.4411270000001</v>
      </c>
      <c r="AB100">
        <v>1393.412368</v>
      </c>
      <c r="AC100">
        <v>1278.902317</v>
      </c>
    </row>
    <row r="101" spans="1:29" x14ac:dyDescent="0.25">
      <c r="A101" t="s">
        <v>64</v>
      </c>
      <c r="B101" t="s">
        <v>65</v>
      </c>
      <c r="C101" t="s">
        <v>102</v>
      </c>
      <c r="D101" t="s">
        <v>103</v>
      </c>
      <c r="E101" t="s">
        <v>55</v>
      </c>
      <c r="F101">
        <v>3164</v>
      </c>
      <c r="G101">
        <v>1460</v>
      </c>
      <c r="H101">
        <v>1457</v>
      </c>
      <c r="I101">
        <v>1413</v>
      </c>
      <c r="J101">
        <v>1395</v>
      </c>
      <c r="K101">
        <v>736</v>
      </c>
      <c r="L101">
        <v>624</v>
      </c>
      <c r="M101">
        <v>649</v>
      </c>
      <c r="N101">
        <v>673</v>
      </c>
      <c r="O101">
        <v>698</v>
      </c>
      <c r="P101">
        <v>723</v>
      </c>
      <c r="Q101">
        <v>747</v>
      </c>
      <c r="R101">
        <v>3164</v>
      </c>
      <c r="S101">
        <v>1460</v>
      </c>
      <c r="T101">
        <v>1457</v>
      </c>
      <c r="U101">
        <v>1413</v>
      </c>
      <c r="V101">
        <v>1395</v>
      </c>
      <c r="W101">
        <v>736</v>
      </c>
      <c r="X101">
        <v>624</v>
      </c>
      <c r="Y101">
        <v>649</v>
      </c>
      <c r="Z101">
        <v>673</v>
      </c>
      <c r="AA101">
        <v>698</v>
      </c>
      <c r="AB101">
        <v>723</v>
      </c>
      <c r="AC101">
        <v>747</v>
      </c>
    </row>
    <row r="102" spans="1:29" x14ac:dyDescent="0.25">
      <c r="A102" t="s">
        <v>66</v>
      </c>
      <c r="B102" t="s">
        <v>67</v>
      </c>
      <c r="C102" t="s">
        <v>102</v>
      </c>
      <c r="D102" t="s">
        <v>103</v>
      </c>
      <c r="E102" t="s">
        <v>55</v>
      </c>
      <c r="F102">
        <v>1820</v>
      </c>
      <c r="G102">
        <v>1693</v>
      </c>
      <c r="H102">
        <v>1713</v>
      </c>
      <c r="I102">
        <v>1752</v>
      </c>
      <c r="J102">
        <v>1778</v>
      </c>
      <c r="K102">
        <v>1512</v>
      </c>
      <c r="L102">
        <v>1528</v>
      </c>
      <c r="M102">
        <v>2001</v>
      </c>
      <c r="N102">
        <v>1972</v>
      </c>
      <c r="O102">
        <v>1979</v>
      </c>
      <c r="P102">
        <v>1991</v>
      </c>
      <c r="Q102">
        <v>2071</v>
      </c>
      <c r="R102">
        <v>1820</v>
      </c>
      <c r="S102">
        <v>1693</v>
      </c>
      <c r="T102">
        <v>1713</v>
      </c>
      <c r="U102">
        <v>1752</v>
      </c>
      <c r="V102">
        <v>1778</v>
      </c>
      <c r="W102">
        <v>1512</v>
      </c>
      <c r="X102">
        <v>1528</v>
      </c>
      <c r="Y102">
        <v>2001</v>
      </c>
      <c r="Z102">
        <v>1972</v>
      </c>
      <c r="AA102">
        <v>1979</v>
      </c>
      <c r="AB102">
        <v>1991</v>
      </c>
      <c r="AC102">
        <v>2071</v>
      </c>
    </row>
    <row r="103" spans="1:29" x14ac:dyDescent="0.25">
      <c r="A103" t="s">
        <v>68</v>
      </c>
      <c r="B103" t="s">
        <v>69</v>
      </c>
      <c r="C103" t="s">
        <v>102</v>
      </c>
      <c r="D103" t="s">
        <v>103</v>
      </c>
      <c r="E103" t="s">
        <v>55</v>
      </c>
      <c r="F103">
        <v>9735</v>
      </c>
      <c r="G103">
        <v>8412</v>
      </c>
      <c r="H103">
        <v>8837</v>
      </c>
      <c r="I103">
        <v>9022</v>
      </c>
      <c r="J103">
        <v>5470</v>
      </c>
      <c r="K103">
        <v>5980</v>
      </c>
      <c r="L103">
        <v>5409</v>
      </c>
      <c r="M103">
        <v>4747</v>
      </c>
      <c r="N103">
        <v>6092</v>
      </c>
      <c r="O103">
        <v>6367</v>
      </c>
      <c r="P103">
        <v>6325</v>
      </c>
      <c r="Q103">
        <v>6249</v>
      </c>
      <c r="R103">
        <v>9735</v>
      </c>
      <c r="S103">
        <v>8412</v>
      </c>
      <c r="T103">
        <v>8837</v>
      </c>
      <c r="U103">
        <v>9022</v>
      </c>
      <c r="V103">
        <v>5470</v>
      </c>
      <c r="W103">
        <v>5980</v>
      </c>
      <c r="X103">
        <v>5409</v>
      </c>
      <c r="Y103">
        <v>4747</v>
      </c>
      <c r="Z103">
        <v>6092</v>
      </c>
      <c r="AA103">
        <v>6367</v>
      </c>
      <c r="AB103">
        <v>6325</v>
      </c>
      <c r="AC103">
        <v>6249</v>
      </c>
    </row>
    <row r="104" spans="1:29" x14ac:dyDescent="0.25">
      <c r="A104" t="s">
        <v>70</v>
      </c>
      <c r="B104" t="s">
        <v>71</v>
      </c>
      <c r="C104" t="s">
        <v>102</v>
      </c>
      <c r="D104" t="s">
        <v>103</v>
      </c>
      <c r="E104" t="s">
        <v>55</v>
      </c>
      <c r="F104">
        <v>214.358</v>
      </c>
      <c r="G104">
        <v>205.922</v>
      </c>
      <c r="H104">
        <v>178.98</v>
      </c>
      <c r="I104">
        <v>183.137</v>
      </c>
      <c r="J104">
        <v>152.935</v>
      </c>
      <c r="K104">
        <v>25.030999999999999</v>
      </c>
      <c r="L104">
        <v>25.027999999999999</v>
      </c>
      <c r="M104">
        <v>25.02</v>
      </c>
      <c r="N104">
        <v>25.024999999999999</v>
      </c>
      <c r="O104">
        <v>25.033000000000001</v>
      </c>
      <c r="P104">
        <v>25.041</v>
      </c>
      <c r="Q104">
        <v>25.033000000000001</v>
      </c>
      <c r="R104">
        <v>214.358</v>
      </c>
      <c r="S104">
        <v>205.922</v>
      </c>
      <c r="T104">
        <v>178.98</v>
      </c>
      <c r="U104">
        <v>183.137</v>
      </c>
      <c r="V104">
        <v>152.935</v>
      </c>
      <c r="W104">
        <v>25.030999999999999</v>
      </c>
      <c r="X104">
        <v>25.027999999999999</v>
      </c>
      <c r="Y104">
        <v>25.02</v>
      </c>
      <c r="Z104">
        <v>25.024999999999999</v>
      </c>
      <c r="AA104">
        <v>25.033000000000001</v>
      </c>
      <c r="AB104">
        <v>25.041</v>
      </c>
      <c r="AC104">
        <v>25.033000000000001</v>
      </c>
    </row>
    <row r="105" spans="1:29" x14ac:dyDescent="0.25">
      <c r="A105" t="s">
        <v>72</v>
      </c>
      <c r="B105" t="s">
        <v>73</v>
      </c>
      <c r="C105" t="s">
        <v>102</v>
      </c>
      <c r="D105" t="s">
        <v>103</v>
      </c>
      <c r="E105" t="s">
        <v>55</v>
      </c>
      <c r="F105">
        <v>1668.386</v>
      </c>
      <c r="G105">
        <v>1662.6210000000001</v>
      </c>
      <c r="H105">
        <v>1250.319</v>
      </c>
      <c r="I105">
        <v>1265.2629999999999</v>
      </c>
      <c r="J105">
        <v>1243.5419999999999</v>
      </c>
      <c r="K105">
        <v>975.64499999999998</v>
      </c>
      <c r="L105">
        <v>983.88400000000001</v>
      </c>
      <c r="M105">
        <v>987.31399999999996</v>
      </c>
      <c r="N105">
        <v>996.99900000000002</v>
      </c>
      <c r="O105">
        <v>1006.687</v>
      </c>
      <c r="P105">
        <v>1016.371</v>
      </c>
      <c r="Q105">
        <v>1026.047</v>
      </c>
      <c r="R105">
        <v>1668.386</v>
      </c>
      <c r="S105">
        <v>1662.6210000000001</v>
      </c>
      <c r="T105">
        <v>1250.319</v>
      </c>
      <c r="U105">
        <v>1265.2629999999999</v>
      </c>
      <c r="V105">
        <v>1243.5419999999999</v>
      </c>
      <c r="W105">
        <v>975.64499999999998</v>
      </c>
      <c r="X105">
        <v>983.88400000000001</v>
      </c>
      <c r="Y105">
        <v>987.31399999999996</v>
      </c>
      <c r="Z105">
        <v>996.99900000000002</v>
      </c>
      <c r="AA105">
        <v>1006.687</v>
      </c>
      <c r="AB105">
        <v>1016.371</v>
      </c>
      <c r="AC105">
        <v>1026.047</v>
      </c>
    </row>
    <row r="106" spans="1:29" x14ac:dyDescent="0.25">
      <c r="A106" t="s">
        <v>74</v>
      </c>
      <c r="B106" t="s">
        <v>75</v>
      </c>
      <c r="C106" t="s">
        <v>102</v>
      </c>
      <c r="D106" t="s">
        <v>103</v>
      </c>
      <c r="E106" t="s">
        <v>55</v>
      </c>
      <c r="F106">
        <v>664.45</v>
      </c>
      <c r="G106">
        <v>894.8</v>
      </c>
      <c r="H106">
        <v>915.6</v>
      </c>
      <c r="I106">
        <v>576.70000000000005</v>
      </c>
      <c r="J106">
        <v>430.67899999999997</v>
      </c>
      <c r="K106">
        <v>557</v>
      </c>
      <c r="L106">
        <v>424.1</v>
      </c>
      <c r="M106">
        <v>52.3</v>
      </c>
      <c r="N106">
        <v>69.849554810000001</v>
      </c>
      <c r="O106">
        <v>79.900000000000006</v>
      </c>
      <c r="P106">
        <v>111.4</v>
      </c>
      <c r="Q106">
        <v>88.2</v>
      </c>
      <c r="R106">
        <v>664.45</v>
      </c>
      <c r="S106">
        <v>894.8</v>
      </c>
      <c r="T106">
        <v>915.6</v>
      </c>
      <c r="U106">
        <v>576.70000000000005</v>
      </c>
      <c r="V106">
        <v>430.67899999999997</v>
      </c>
      <c r="W106">
        <v>557</v>
      </c>
      <c r="X106">
        <v>424.1</v>
      </c>
      <c r="Y106">
        <v>52.3</v>
      </c>
      <c r="Z106">
        <v>69.849554810000001</v>
      </c>
      <c r="AA106">
        <v>79.900000000000006</v>
      </c>
      <c r="AB106">
        <v>111.4</v>
      </c>
      <c r="AC106">
        <v>88.2</v>
      </c>
    </row>
    <row r="107" spans="1:29" x14ac:dyDescent="0.25">
      <c r="A107" t="s">
        <v>76</v>
      </c>
      <c r="B107" t="s">
        <v>77</v>
      </c>
      <c r="C107" t="s">
        <v>102</v>
      </c>
      <c r="D107" t="s">
        <v>103</v>
      </c>
      <c r="E107" t="s">
        <v>55</v>
      </c>
      <c r="F107">
        <v>1481.3044199999999</v>
      </c>
      <c r="G107">
        <v>1664.555519</v>
      </c>
      <c r="H107">
        <v>1566.87013</v>
      </c>
      <c r="I107">
        <v>1752.477879</v>
      </c>
      <c r="J107">
        <v>1572.3987299999999</v>
      </c>
      <c r="K107">
        <v>1555.924835</v>
      </c>
      <c r="L107">
        <v>1553.8370600000001</v>
      </c>
      <c r="M107">
        <v>1567.455089</v>
      </c>
      <c r="N107">
        <v>1279.2960599999999</v>
      </c>
      <c r="O107">
        <v>1221.8896319999999</v>
      </c>
      <c r="P107">
        <v>1407.1536599999999</v>
      </c>
      <c r="Q107">
        <v>1432.090686</v>
      </c>
      <c r="R107">
        <v>1481.3044199999999</v>
      </c>
      <c r="S107">
        <v>1664.555519</v>
      </c>
      <c r="T107">
        <v>1566.87013</v>
      </c>
      <c r="U107">
        <v>1752.477879</v>
      </c>
      <c r="V107">
        <v>1572.3987299999999</v>
      </c>
      <c r="W107">
        <v>1555.924835</v>
      </c>
      <c r="X107">
        <v>1553.8370600000001</v>
      </c>
      <c r="Y107">
        <v>1567.455089</v>
      </c>
      <c r="Z107">
        <v>1279.2960599999999</v>
      </c>
      <c r="AA107">
        <v>1221.8896319999999</v>
      </c>
      <c r="AB107">
        <v>1407.1536599999999</v>
      </c>
      <c r="AC107">
        <v>1432.090686</v>
      </c>
    </row>
    <row r="108" spans="1:29" x14ac:dyDescent="0.25">
      <c r="A108" t="s">
        <v>78</v>
      </c>
      <c r="B108" t="s">
        <v>79</v>
      </c>
      <c r="C108" t="s">
        <v>102</v>
      </c>
      <c r="D108" t="s">
        <v>103</v>
      </c>
      <c r="E108" t="s">
        <v>55</v>
      </c>
      <c r="F108">
        <v>532.54649830000005</v>
      </c>
      <c r="G108">
        <v>501.93402550000002</v>
      </c>
      <c r="H108">
        <v>504.04352720000003</v>
      </c>
      <c r="I108">
        <v>484.28117320000001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532.54649830000005</v>
      </c>
      <c r="S108">
        <v>501.93402550000002</v>
      </c>
      <c r="T108">
        <v>504.04352720000003</v>
      </c>
      <c r="U108">
        <v>484.28117320000001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t="s">
        <v>80</v>
      </c>
      <c r="B109" t="s">
        <v>81</v>
      </c>
      <c r="C109" t="s">
        <v>102</v>
      </c>
      <c r="D109" t="s">
        <v>103</v>
      </c>
      <c r="E109" t="s">
        <v>55</v>
      </c>
      <c r="F109">
        <v>56484</v>
      </c>
      <c r="G109">
        <v>57981</v>
      </c>
      <c r="H109">
        <v>55526</v>
      </c>
      <c r="I109">
        <v>56126</v>
      </c>
      <c r="J109">
        <v>37142</v>
      </c>
      <c r="K109">
        <v>35605</v>
      </c>
      <c r="L109">
        <v>29695</v>
      </c>
      <c r="M109">
        <v>31498</v>
      </c>
      <c r="N109">
        <v>33718</v>
      </c>
      <c r="O109">
        <v>33366</v>
      </c>
      <c r="P109">
        <v>29858</v>
      </c>
      <c r="Q109">
        <v>26929</v>
      </c>
      <c r="R109">
        <v>56484</v>
      </c>
      <c r="S109">
        <v>57981</v>
      </c>
      <c r="T109">
        <v>55526</v>
      </c>
      <c r="U109">
        <v>56126</v>
      </c>
      <c r="V109">
        <v>37142</v>
      </c>
      <c r="W109">
        <v>35605</v>
      </c>
      <c r="X109">
        <v>29695</v>
      </c>
      <c r="Y109">
        <v>31498</v>
      </c>
      <c r="Z109">
        <v>33718</v>
      </c>
      <c r="AA109">
        <v>33366</v>
      </c>
      <c r="AB109">
        <v>29858</v>
      </c>
      <c r="AC109">
        <v>26929</v>
      </c>
    </row>
    <row r="110" spans="1:29" x14ac:dyDescent="0.25">
      <c r="A110" t="s">
        <v>82</v>
      </c>
      <c r="B110" t="s">
        <v>83</v>
      </c>
      <c r="C110" t="s">
        <v>102</v>
      </c>
      <c r="D110" t="s">
        <v>103</v>
      </c>
      <c r="E110" t="s">
        <v>55</v>
      </c>
      <c r="F110">
        <v>916.23470789999999</v>
      </c>
      <c r="G110">
        <v>824.85661540000001</v>
      </c>
      <c r="H110">
        <v>799.50755990000005</v>
      </c>
      <c r="I110">
        <v>836.82858220000003</v>
      </c>
      <c r="J110">
        <v>6.3470723409999996</v>
      </c>
      <c r="K110">
        <v>6.6006600659999997</v>
      </c>
      <c r="L110">
        <v>6.340498556</v>
      </c>
      <c r="M110">
        <v>7.1558963130000004</v>
      </c>
      <c r="N110">
        <v>8.2898372739999999</v>
      </c>
      <c r="O110">
        <v>8.9269633450000008</v>
      </c>
      <c r="P110">
        <v>9.0283091049999999</v>
      </c>
      <c r="Q110">
        <v>9.5945676179999992</v>
      </c>
      <c r="R110">
        <v>916.23470789999999</v>
      </c>
      <c r="S110">
        <v>824.85661540000001</v>
      </c>
      <c r="T110">
        <v>799.50755990000005</v>
      </c>
      <c r="U110">
        <v>836.82858220000003</v>
      </c>
      <c r="V110">
        <v>6.3470723409999996</v>
      </c>
      <c r="W110">
        <v>6.6006600659999997</v>
      </c>
      <c r="X110">
        <v>6.340498556</v>
      </c>
      <c r="Y110">
        <v>7.1558963130000004</v>
      </c>
      <c r="Z110">
        <v>8.2898372739999999</v>
      </c>
      <c r="AA110">
        <v>8.9269633450000008</v>
      </c>
      <c r="AB110">
        <v>9.0283091049999999</v>
      </c>
      <c r="AC110">
        <v>9.5945676179999992</v>
      </c>
    </row>
    <row r="111" spans="1:29" x14ac:dyDescent="0.25">
      <c r="A111" t="s">
        <v>84</v>
      </c>
      <c r="B111" t="s">
        <v>85</v>
      </c>
      <c r="C111" t="s">
        <v>102</v>
      </c>
      <c r="D111" t="s">
        <v>103</v>
      </c>
      <c r="E111" t="s">
        <v>55</v>
      </c>
      <c r="F111">
        <v>23.70853494</v>
      </c>
      <c r="G111">
        <v>135.15012390000001</v>
      </c>
      <c r="H111">
        <v>119.48746610000001</v>
      </c>
      <c r="I111">
        <v>118.56038789999999</v>
      </c>
      <c r="J111">
        <v>30.090892960000001</v>
      </c>
      <c r="K111">
        <v>29.903859950000001</v>
      </c>
      <c r="L111">
        <v>50.094073700000003</v>
      </c>
      <c r="M111">
        <v>113.3844469</v>
      </c>
      <c r="N111">
        <v>118.375806</v>
      </c>
      <c r="O111">
        <v>58.260181830000001</v>
      </c>
      <c r="P111">
        <v>64.035195099999996</v>
      </c>
      <c r="Q111">
        <v>64.577630110000001</v>
      </c>
      <c r="R111">
        <v>23.70853494</v>
      </c>
      <c r="S111">
        <v>135.15012390000001</v>
      </c>
      <c r="T111">
        <v>119.48746610000001</v>
      </c>
      <c r="U111">
        <v>118.56038789999999</v>
      </c>
      <c r="V111">
        <v>30.090892960000001</v>
      </c>
      <c r="W111">
        <v>29.903859950000001</v>
      </c>
      <c r="X111">
        <v>50.094073700000003</v>
      </c>
      <c r="Y111">
        <v>113.3844469</v>
      </c>
      <c r="Z111">
        <v>118.375806</v>
      </c>
      <c r="AA111">
        <v>58.260181830000001</v>
      </c>
      <c r="AB111">
        <v>64.035195099999996</v>
      </c>
      <c r="AC111">
        <v>64.577630110000001</v>
      </c>
    </row>
    <row r="112" spans="1:29" x14ac:dyDescent="0.25">
      <c r="A112" t="s">
        <v>86</v>
      </c>
      <c r="B112" t="s">
        <v>87</v>
      </c>
      <c r="C112" t="s">
        <v>102</v>
      </c>
      <c r="D112" t="s">
        <v>103</v>
      </c>
      <c r="E112" t="s">
        <v>55</v>
      </c>
      <c r="F112">
        <v>231.88459639999999</v>
      </c>
      <c r="G112">
        <v>462.3549481</v>
      </c>
      <c r="H112">
        <v>465.0162378</v>
      </c>
      <c r="I112">
        <v>482.00339780000002</v>
      </c>
      <c r="J112">
        <v>409.21306399999997</v>
      </c>
      <c r="K112">
        <v>717.23346249999997</v>
      </c>
      <c r="L112">
        <v>721.28684550000003</v>
      </c>
      <c r="M112">
        <v>687.25812340000004</v>
      </c>
      <c r="N112">
        <v>694.93398830000001</v>
      </c>
      <c r="O112">
        <v>466.19108399999999</v>
      </c>
      <c r="P112">
        <v>476.6947207</v>
      </c>
      <c r="Q112">
        <v>502.73986810000002</v>
      </c>
      <c r="R112">
        <v>231.88459639999999</v>
      </c>
      <c r="S112">
        <v>462.3549481</v>
      </c>
      <c r="T112">
        <v>465.0162378</v>
      </c>
      <c r="U112">
        <v>482.00339780000002</v>
      </c>
      <c r="V112">
        <v>409.21306399999997</v>
      </c>
      <c r="W112">
        <v>717.23346249999997</v>
      </c>
      <c r="X112">
        <v>721.28684550000003</v>
      </c>
      <c r="Y112">
        <v>687.25812340000004</v>
      </c>
      <c r="Z112">
        <v>694.93398830000001</v>
      </c>
      <c r="AA112">
        <v>466.19108399999999</v>
      </c>
      <c r="AB112">
        <v>476.6947207</v>
      </c>
      <c r="AC112">
        <v>502.73986810000002</v>
      </c>
    </row>
    <row r="113" spans="1:29" x14ac:dyDescent="0.25">
      <c r="A113" t="s">
        <v>104</v>
      </c>
      <c r="B113" t="s">
        <v>46</v>
      </c>
      <c r="E113" t="s">
        <v>50</v>
      </c>
      <c r="F113">
        <v>214623.579509</v>
      </c>
      <c r="G113">
        <v>220887.27628500003</v>
      </c>
      <c r="H113">
        <v>205817.41844099999</v>
      </c>
      <c r="I113">
        <v>210838.00778400002</v>
      </c>
      <c r="J113">
        <v>181669.88309700001</v>
      </c>
      <c r="K113">
        <v>171449.13146199999</v>
      </c>
      <c r="L113">
        <v>166243.036544</v>
      </c>
      <c r="M113">
        <v>166929.27709399996</v>
      </c>
      <c r="N113">
        <v>173399.69730100001</v>
      </c>
      <c r="O113">
        <v>174688.96728899999</v>
      </c>
      <c r="P113">
        <v>168055.22492500002</v>
      </c>
      <c r="Q113">
        <v>165447.020253</v>
      </c>
      <c r="R113">
        <v>214623.57949999999</v>
      </c>
      <c r="S113">
        <v>220887.2763</v>
      </c>
      <c r="T113">
        <v>205817.4184</v>
      </c>
      <c r="U113">
        <v>210838.00779999999</v>
      </c>
      <c r="V113">
        <v>181669.88310000001</v>
      </c>
      <c r="W113">
        <v>171449.13149999999</v>
      </c>
      <c r="X113">
        <v>166243.03649999999</v>
      </c>
      <c r="Y113">
        <v>166929.27710000001</v>
      </c>
      <c r="Z113">
        <v>173399.6973</v>
      </c>
      <c r="AA113">
        <v>174688.96729999999</v>
      </c>
      <c r="AB113">
        <v>168055.2249</v>
      </c>
      <c r="AC113">
        <v>165447.0203</v>
      </c>
    </row>
    <row r="114" spans="1:29" x14ac:dyDescent="0.25">
      <c r="A114" t="s">
        <v>51</v>
      </c>
      <c r="B114" t="s">
        <v>52</v>
      </c>
      <c r="C114" t="s">
        <v>105</v>
      </c>
      <c r="D114" t="s">
        <v>106</v>
      </c>
      <c r="E114" t="s">
        <v>55</v>
      </c>
      <c r="F114">
        <v>17582.624</v>
      </c>
      <c r="G114">
        <v>17569.504000000001</v>
      </c>
      <c r="H114">
        <v>14962.189</v>
      </c>
      <c r="I114">
        <v>14013.402</v>
      </c>
      <c r="J114">
        <v>13661.663</v>
      </c>
      <c r="K114">
        <v>13650.843999999999</v>
      </c>
      <c r="L114">
        <v>13724.495000000001</v>
      </c>
      <c r="M114">
        <v>13098.057000000001</v>
      </c>
      <c r="N114">
        <v>12694.553</v>
      </c>
      <c r="O114">
        <v>13080.716</v>
      </c>
      <c r="P114">
        <v>12979.69</v>
      </c>
      <c r="Q114">
        <v>12258.932000000001</v>
      </c>
      <c r="R114">
        <v>17582.624</v>
      </c>
      <c r="S114">
        <v>17569.504000000001</v>
      </c>
      <c r="T114">
        <v>14962.189</v>
      </c>
      <c r="U114">
        <v>14013.402</v>
      </c>
      <c r="V114">
        <v>13661.663</v>
      </c>
      <c r="W114">
        <v>13650.843999999999</v>
      </c>
      <c r="X114">
        <v>13724.495000000001</v>
      </c>
      <c r="Y114">
        <v>13098.057000000001</v>
      </c>
      <c r="Z114">
        <v>12694.553</v>
      </c>
      <c r="AA114">
        <v>13080.716</v>
      </c>
      <c r="AB114">
        <v>12979.69</v>
      </c>
      <c r="AC114">
        <v>12258.932000000001</v>
      </c>
    </row>
    <row r="115" spans="1:29" x14ac:dyDescent="0.25">
      <c r="A115" t="s">
        <v>56</v>
      </c>
      <c r="B115" t="s">
        <v>57</v>
      </c>
      <c r="C115" t="s">
        <v>105</v>
      </c>
      <c r="D115" t="s">
        <v>106</v>
      </c>
      <c r="E115" t="s">
        <v>55</v>
      </c>
      <c r="F115">
        <v>2326.7660000000001</v>
      </c>
      <c r="G115">
        <v>2050.471</v>
      </c>
      <c r="H115">
        <v>1750.36</v>
      </c>
      <c r="I115">
        <v>1706.934</v>
      </c>
      <c r="J115">
        <v>1740.9269999999999</v>
      </c>
      <c r="K115">
        <v>1796.8689999999999</v>
      </c>
      <c r="L115">
        <v>1855.7729999999999</v>
      </c>
      <c r="M115">
        <v>1880.5989999999999</v>
      </c>
      <c r="N115">
        <v>1972.7739999999999</v>
      </c>
      <c r="O115">
        <v>1773.9770000000001</v>
      </c>
      <c r="P115">
        <v>1705.31</v>
      </c>
      <c r="Q115">
        <v>1711.9280000000001</v>
      </c>
      <c r="R115">
        <v>2326.7660000000001</v>
      </c>
      <c r="S115">
        <v>2050.471</v>
      </c>
      <c r="T115">
        <v>1750.36</v>
      </c>
      <c r="U115">
        <v>1706.934</v>
      </c>
      <c r="V115">
        <v>1740.9269999999999</v>
      </c>
      <c r="W115">
        <v>1796.8689999999999</v>
      </c>
      <c r="X115">
        <v>1855.7729999999999</v>
      </c>
      <c r="Y115">
        <v>1880.5989999999999</v>
      </c>
      <c r="Z115">
        <v>1972.7739999999999</v>
      </c>
      <c r="AA115">
        <v>1773.9770000000001</v>
      </c>
      <c r="AB115">
        <v>1705.31</v>
      </c>
      <c r="AC115">
        <v>1711.9280000000001</v>
      </c>
    </row>
    <row r="116" spans="1:29" x14ac:dyDescent="0.25">
      <c r="A116" t="s">
        <v>58</v>
      </c>
      <c r="B116" t="s">
        <v>59</v>
      </c>
      <c r="C116" t="s">
        <v>105</v>
      </c>
      <c r="D116" t="s">
        <v>106</v>
      </c>
      <c r="E116" t="s">
        <v>55</v>
      </c>
      <c r="F116" t="s">
        <v>46</v>
      </c>
      <c r="G116" t="s">
        <v>46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</row>
    <row r="117" spans="1:29" x14ac:dyDescent="0.25">
      <c r="A117" t="s">
        <v>60</v>
      </c>
      <c r="B117" t="s">
        <v>61</v>
      </c>
      <c r="C117" t="s">
        <v>105</v>
      </c>
      <c r="D117" t="s">
        <v>106</v>
      </c>
      <c r="E117" t="s">
        <v>55</v>
      </c>
      <c r="F117" t="s">
        <v>46</v>
      </c>
      <c r="G117">
        <v>10910.0964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 t="s">
        <v>46</v>
      </c>
      <c r="Q117" t="s">
        <v>46</v>
      </c>
      <c r="R117" t="s">
        <v>46</v>
      </c>
      <c r="S117">
        <v>10910.0964</v>
      </c>
      <c r="T117" t="s">
        <v>46</v>
      </c>
      <c r="U117" t="s">
        <v>46</v>
      </c>
      <c r="V117" t="s">
        <v>46</v>
      </c>
      <c r="W117" t="s">
        <v>46</v>
      </c>
      <c r="X117" t="s">
        <v>46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</row>
    <row r="118" spans="1:29" x14ac:dyDescent="0.25">
      <c r="A118" t="s">
        <v>62</v>
      </c>
      <c r="B118" t="s">
        <v>63</v>
      </c>
      <c r="C118" t="s">
        <v>105</v>
      </c>
      <c r="D118" t="s">
        <v>106</v>
      </c>
      <c r="E118" t="s">
        <v>55</v>
      </c>
      <c r="F118">
        <v>5524.9386720000002</v>
      </c>
      <c r="G118">
        <v>5223.3179229999996</v>
      </c>
      <c r="H118">
        <v>4333.2399370000003</v>
      </c>
      <c r="I118">
        <v>4691.9193459999997</v>
      </c>
      <c r="J118">
        <v>4284.5776910000004</v>
      </c>
      <c r="K118">
        <v>4360.29727</v>
      </c>
      <c r="L118">
        <v>4045.3350340000002</v>
      </c>
      <c r="M118">
        <v>4127.4537849999997</v>
      </c>
      <c r="N118">
        <v>4270.0170690000004</v>
      </c>
      <c r="O118">
        <v>4314.2204840000004</v>
      </c>
      <c r="P118">
        <v>4160.1938479999999</v>
      </c>
      <c r="Q118">
        <v>3995.6123470000002</v>
      </c>
      <c r="R118">
        <v>5524.9386720000002</v>
      </c>
      <c r="S118">
        <v>5223.3179229999996</v>
      </c>
      <c r="T118">
        <v>4333.2399370000003</v>
      </c>
      <c r="U118">
        <v>4691.9193459999997</v>
      </c>
      <c r="V118">
        <v>4284.5776910000004</v>
      </c>
      <c r="W118">
        <v>4360.29727</v>
      </c>
      <c r="X118">
        <v>4045.3350340000002</v>
      </c>
      <c r="Y118">
        <v>4127.4537849999997</v>
      </c>
      <c r="Z118">
        <v>4270.0170690000004</v>
      </c>
      <c r="AA118">
        <v>4314.2204840000004</v>
      </c>
      <c r="AB118">
        <v>4160.1938479999999</v>
      </c>
      <c r="AC118">
        <v>3995.6123470000002</v>
      </c>
    </row>
    <row r="119" spans="1:29" x14ac:dyDescent="0.25">
      <c r="A119" t="s">
        <v>64</v>
      </c>
      <c r="B119" t="s">
        <v>65</v>
      </c>
      <c r="C119" t="s">
        <v>105</v>
      </c>
      <c r="D119" t="s">
        <v>106</v>
      </c>
      <c r="E119" t="s">
        <v>55</v>
      </c>
      <c r="F119">
        <v>6816</v>
      </c>
      <c r="G119">
        <v>5182</v>
      </c>
      <c r="H119">
        <v>5142</v>
      </c>
      <c r="I119">
        <v>4960</v>
      </c>
      <c r="J119">
        <v>4960</v>
      </c>
      <c r="K119">
        <v>4422</v>
      </c>
      <c r="L119">
        <v>4296</v>
      </c>
      <c r="M119">
        <v>4158</v>
      </c>
      <c r="N119">
        <v>4057</v>
      </c>
      <c r="O119">
        <v>4552</v>
      </c>
      <c r="P119">
        <v>3601</v>
      </c>
      <c r="Q119">
        <v>3455</v>
      </c>
      <c r="R119">
        <v>6816</v>
      </c>
      <c r="S119">
        <v>5182</v>
      </c>
      <c r="T119">
        <v>5142</v>
      </c>
      <c r="U119">
        <v>4960</v>
      </c>
      <c r="V119">
        <v>4960</v>
      </c>
      <c r="W119">
        <v>4422</v>
      </c>
      <c r="X119">
        <v>4296</v>
      </c>
      <c r="Y119">
        <v>4158</v>
      </c>
      <c r="Z119">
        <v>4057</v>
      </c>
      <c r="AA119">
        <v>4552</v>
      </c>
      <c r="AB119">
        <v>3601</v>
      </c>
      <c r="AC119">
        <v>3455</v>
      </c>
    </row>
    <row r="120" spans="1:29" x14ac:dyDescent="0.25">
      <c r="A120" t="s">
        <v>66</v>
      </c>
      <c r="B120" t="s">
        <v>67</v>
      </c>
      <c r="C120" t="s">
        <v>105</v>
      </c>
      <c r="D120" t="s">
        <v>106</v>
      </c>
      <c r="E120" t="s">
        <v>55</v>
      </c>
      <c r="F120">
        <v>3032</v>
      </c>
      <c r="G120">
        <v>3072</v>
      </c>
      <c r="H120">
        <v>3104</v>
      </c>
      <c r="I120">
        <v>3260</v>
      </c>
      <c r="J120">
        <v>3594</v>
      </c>
      <c r="K120">
        <v>3316</v>
      </c>
      <c r="L120">
        <v>3229</v>
      </c>
      <c r="M120">
        <v>3795</v>
      </c>
      <c r="N120">
        <v>3859</v>
      </c>
      <c r="O120">
        <v>3877</v>
      </c>
      <c r="P120">
        <v>4093</v>
      </c>
      <c r="Q120">
        <v>4189</v>
      </c>
      <c r="R120">
        <v>3032</v>
      </c>
      <c r="S120">
        <v>3072</v>
      </c>
      <c r="T120">
        <v>3104</v>
      </c>
      <c r="U120">
        <v>3260</v>
      </c>
      <c r="V120">
        <v>3594</v>
      </c>
      <c r="W120">
        <v>3316</v>
      </c>
      <c r="X120">
        <v>3229</v>
      </c>
      <c r="Y120">
        <v>3795</v>
      </c>
      <c r="Z120">
        <v>3859</v>
      </c>
      <c r="AA120">
        <v>3877</v>
      </c>
      <c r="AB120">
        <v>4093</v>
      </c>
      <c r="AC120">
        <v>4189</v>
      </c>
    </row>
    <row r="121" spans="1:29" x14ac:dyDescent="0.25">
      <c r="A121" t="s">
        <v>68</v>
      </c>
      <c r="B121" t="s">
        <v>69</v>
      </c>
      <c r="C121" t="s">
        <v>105</v>
      </c>
      <c r="D121" t="s">
        <v>106</v>
      </c>
      <c r="E121" t="s">
        <v>55</v>
      </c>
      <c r="F121">
        <v>20877</v>
      </c>
      <c r="G121">
        <v>20498</v>
      </c>
      <c r="H121">
        <v>20646</v>
      </c>
      <c r="I121">
        <v>21360</v>
      </c>
      <c r="J121">
        <v>17849</v>
      </c>
      <c r="K121">
        <v>17515</v>
      </c>
      <c r="L121">
        <v>17045</v>
      </c>
      <c r="M121">
        <v>17312</v>
      </c>
      <c r="N121">
        <v>20084</v>
      </c>
      <c r="O121">
        <v>20380</v>
      </c>
      <c r="P121">
        <v>20669</v>
      </c>
      <c r="Q121">
        <v>18871</v>
      </c>
      <c r="R121">
        <v>20877</v>
      </c>
      <c r="S121">
        <v>20498</v>
      </c>
      <c r="T121">
        <v>20646</v>
      </c>
      <c r="U121">
        <v>21360</v>
      </c>
      <c r="V121">
        <v>17849</v>
      </c>
      <c r="W121">
        <v>17515</v>
      </c>
      <c r="X121">
        <v>17045</v>
      </c>
      <c r="Y121">
        <v>17312</v>
      </c>
      <c r="Z121">
        <v>20084</v>
      </c>
      <c r="AA121">
        <v>20380</v>
      </c>
      <c r="AB121">
        <v>20669</v>
      </c>
      <c r="AC121">
        <v>18871</v>
      </c>
    </row>
    <row r="122" spans="1:29" x14ac:dyDescent="0.25">
      <c r="A122" t="s">
        <v>70</v>
      </c>
      <c r="B122" t="s">
        <v>71</v>
      </c>
      <c r="C122" t="s">
        <v>105</v>
      </c>
      <c r="D122" t="s">
        <v>106</v>
      </c>
      <c r="E122" t="s">
        <v>55</v>
      </c>
      <c r="F122">
        <v>664.399</v>
      </c>
      <c r="G122">
        <v>648.06299999999999</v>
      </c>
      <c r="H122">
        <v>548.04600000000005</v>
      </c>
      <c r="I122">
        <v>509.20400000000001</v>
      </c>
      <c r="J122">
        <v>493.21</v>
      </c>
      <c r="K122">
        <v>349.20600000000002</v>
      </c>
      <c r="L122">
        <v>308.04700000000003</v>
      </c>
      <c r="M122">
        <v>279.392</v>
      </c>
      <c r="N122">
        <v>288.05399999999997</v>
      </c>
      <c r="O122">
        <v>275.30900000000003</v>
      </c>
      <c r="P122">
        <v>187.86099999999999</v>
      </c>
      <c r="Q122">
        <v>159.67699999999999</v>
      </c>
      <c r="R122">
        <v>664.399</v>
      </c>
      <c r="S122">
        <v>648.06299999999999</v>
      </c>
      <c r="T122">
        <v>548.04600000000005</v>
      </c>
      <c r="U122">
        <v>509.20400000000001</v>
      </c>
      <c r="V122">
        <v>493.21</v>
      </c>
      <c r="W122">
        <v>349.20600000000002</v>
      </c>
      <c r="X122">
        <v>308.04700000000003</v>
      </c>
      <c r="Y122">
        <v>279.392</v>
      </c>
      <c r="Z122">
        <v>288.05399999999997</v>
      </c>
      <c r="AA122">
        <v>275.30900000000003</v>
      </c>
      <c r="AB122">
        <v>187.86099999999999</v>
      </c>
      <c r="AC122">
        <v>159.67699999999999</v>
      </c>
    </row>
    <row r="123" spans="1:29" x14ac:dyDescent="0.25">
      <c r="A123" t="s">
        <v>72</v>
      </c>
      <c r="B123" t="s">
        <v>73</v>
      </c>
      <c r="C123" t="s">
        <v>105</v>
      </c>
      <c r="D123" t="s">
        <v>106</v>
      </c>
      <c r="E123" t="s">
        <v>55</v>
      </c>
      <c r="F123">
        <v>2829.701</v>
      </c>
      <c r="G123">
        <v>2765.0129999999999</v>
      </c>
      <c r="H123">
        <v>2492.0770000000002</v>
      </c>
      <c r="I123">
        <v>2429.3870000000002</v>
      </c>
      <c r="J123">
        <v>2409.645</v>
      </c>
      <c r="K123">
        <v>2125.2629999999999</v>
      </c>
      <c r="L123">
        <v>2171.6109999999999</v>
      </c>
      <c r="M123">
        <v>1969.653</v>
      </c>
      <c r="N123">
        <v>2031.13</v>
      </c>
      <c r="O123">
        <v>2020.827</v>
      </c>
      <c r="P123">
        <v>2031.6990000000001</v>
      </c>
      <c r="Q123">
        <v>1976.3340000000001</v>
      </c>
      <c r="R123">
        <v>2829.701</v>
      </c>
      <c r="S123">
        <v>2765.0129999999999</v>
      </c>
      <c r="T123">
        <v>2492.0770000000002</v>
      </c>
      <c r="U123">
        <v>2429.3870000000002</v>
      </c>
      <c r="V123">
        <v>2409.645</v>
      </c>
      <c r="W123">
        <v>2125.2629999999999</v>
      </c>
      <c r="X123">
        <v>2171.6109999999999</v>
      </c>
      <c r="Y123">
        <v>1969.653</v>
      </c>
      <c r="Z123">
        <v>2031.13</v>
      </c>
      <c r="AA123">
        <v>2020.827</v>
      </c>
      <c r="AB123">
        <v>2031.6990000000001</v>
      </c>
      <c r="AC123">
        <v>1976.3340000000001</v>
      </c>
    </row>
    <row r="124" spans="1:29" x14ac:dyDescent="0.25">
      <c r="A124" t="s">
        <v>74</v>
      </c>
      <c r="B124" t="s">
        <v>75</v>
      </c>
      <c r="C124" t="s">
        <v>105</v>
      </c>
      <c r="D124" t="s">
        <v>106</v>
      </c>
      <c r="E124" t="s">
        <v>55</v>
      </c>
      <c r="F124">
        <v>4097.4520000000002</v>
      </c>
      <c r="G124">
        <v>3970.8</v>
      </c>
      <c r="H124">
        <v>4091.1</v>
      </c>
      <c r="I124">
        <v>2412.1</v>
      </c>
      <c r="J124">
        <v>2412.0509999999999</v>
      </c>
      <c r="K124">
        <v>2273.6</v>
      </c>
      <c r="L124">
        <v>2230.5</v>
      </c>
      <c r="M124">
        <v>1852.2</v>
      </c>
      <c r="N124">
        <v>1786.459932</v>
      </c>
      <c r="O124">
        <v>1807.4</v>
      </c>
      <c r="P124">
        <v>1924.9</v>
      </c>
      <c r="Q124">
        <v>2020.7</v>
      </c>
      <c r="R124">
        <v>4097.4520000000002</v>
      </c>
      <c r="S124">
        <v>3970.8</v>
      </c>
      <c r="T124">
        <v>4091.1</v>
      </c>
      <c r="U124">
        <v>2412.1</v>
      </c>
      <c r="V124">
        <v>2412.0509999999999</v>
      </c>
      <c r="W124">
        <v>2273.6</v>
      </c>
      <c r="X124">
        <v>2230.5</v>
      </c>
      <c r="Y124">
        <v>1852.2</v>
      </c>
      <c r="Z124">
        <v>1786.459932</v>
      </c>
      <c r="AA124">
        <v>1807.4</v>
      </c>
      <c r="AB124">
        <v>1924.9</v>
      </c>
      <c r="AC124">
        <v>2020.7</v>
      </c>
    </row>
    <row r="125" spans="1:29" x14ac:dyDescent="0.25">
      <c r="A125" t="s">
        <v>76</v>
      </c>
      <c r="B125" t="s">
        <v>77</v>
      </c>
      <c r="C125" t="s">
        <v>105</v>
      </c>
      <c r="D125" t="s">
        <v>106</v>
      </c>
      <c r="E125" t="s">
        <v>55</v>
      </c>
      <c r="F125">
        <v>3800.5738200000001</v>
      </c>
      <c r="G125">
        <v>3947.7986190000001</v>
      </c>
      <c r="H125">
        <v>3762.2982099999999</v>
      </c>
      <c r="I125">
        <v>3940.8153550000002</v>
      </c>
      <c r="J125">
        <v>3870.5717399999999</v>
      </c>
      <c r="K125">
        <v>3851.9638</v>
      </c>
      <c r="L125">
        <v>3921.8155200000001</v>
      </c>
      <c r="M125">
        <v>4037.6065010000002</v>
      </c>
      <c r="N125">
        <v>3948.3380999999999</v>
      </c>
      <c r="O125">
        <v>3868.2744590000002</v>
      </c>
      <c r="P125">
        <v>3722.0760500000001</v>
      </c>
      <c r="Q125">
        <v>3575.6312699999999</v>
      </c>
      <c r="R125">
        <v>3800.5738200000001</v>
      </c>
      <c r="S125">
        <v>3947.7986190000001</v>
      </c>
      <c r="T125">
        <v>3762.2982099999999</v>
      </c>
      <c r="U125">
        <v>3940.8153550000002</v>
      </c>
      <c r="V125">
        <v>3870.5717399999999</v>
      </c>
      <c r="W125">
        <v>3851.9638</v>
      </c>
      <c r="X125">
        <v>3921.8155200000001</v>
      </c>
      <c r="Y125">
        <v>4037.6065010000002</v>
      </c>
      <c r="Z125">
        <v>3948.3380999999999</v>
      </c>
      <c r="AA125">
        <v>3868.2744590000002</v>
      </c>
      <c r="AB125">
        <v>3722.0760500000001</v>
      </c>
      <c r="AC125">
        <v>3575.6312699999999</v>
      </c>
    </row>
    <row r="126" spans="1:29" x14ac:dyDescent="0.25">
      <c r="A126" t="s">
        <v>78</v>
      </c>
      <c r="B126" t="s">
        <v>79</v>
      </c>
      <c r="C126" t="s">
        <v>105</v>
      </c>
      <c r="D126" t="s">
        <v>106</v>
      </c>
      <c r="E126" t="s">
        <v>55</v>
      </c>
      <c r="F126">
        <v>3572.0682409999999</v>
      </c>
      <c r="G126">
        <v>3540.6355960000001</v>
      </c>
      <c r="H126">
        <v>3442.8352089999998</v>
      </c>
      <c r="I126">
        <v>4185.0133980000001</v>
      </c>
      <c r="J126">
        <v>2846.3734420000001</v>
      </c>
      <c r="K126">
        <v>2555.8903719999998</v>
      </c>
      <c r="L126">
        <v>2298.5685640000002</v>
      </c>
      <c r="M126">
        <v>2543.5560420000002</v>
      </c>
      <c r="N126">
        <v>2297.5130490000001</v>
      </c>
      <c r="O126">
        <v>2346.225226</v>
      </c>
      <c r="P126">
        <v>2464.8814080000002</v>
      </c>
      <c r="Q126">
        <v>2570.5703659999999</v>
      </c>
      <c r="R126">
        <v>3572.0682409999999</v>
      </c>
      <c r="S126">
        <v>3540.6355960000001</v>
      </c>
      <c r="T126">
        <v>3442.8352089999998</v>
      </c>
      <c r="U126">
        <v>4185.0133980000001</v>
      </c>
      <c r="V126">
        <v>2846.3734420000001</v>
      </c>
      <c r="W126">
        <v>2555.8903719999998</v>
      </c>
      <c r="X126">
        <v>2298.5685640000002</v>
      </c>
      <c r="Y126">
        <v>2543.5560420000002</v>
      </c>
      <c r="Z126">
        <v>2297.5130490000001</v>
      </c>
      <c r="AA126">
        <v>2346.225226</v>
      </c>
      <c r="AB126">
        <v>2464.8814080000002</v>
      </c>
      <c r="AC126">
        <v>2570.5703659999999</v>
      </c>
    </row>
    <row r="127" spans="1:29" x14ac:dyDescent="0.25">
      <c r="A127" t="s">
        <v>80</v>
      </c>
      <c r="B127" t="s">
        <v>81</v>
      </c>
      <c r="C127" t="s">
        <v>105</v>
      </c>
      <c r="D127" t="s">
        <v>106</v>
      </c>
      <c r="E127" t="s">
        <v>55</v>
      </c>
      <c r="F127">
        <v>133275</v>
      </c>
      <c r="G127">
        <v>131202</v>
      </c>
      <c r="H127">
        <v>131524</v>
      </c>
      <c r="I127">
        <v>136876</v>
      </c>
      <c r="J127">
        <v>114320</v>
      </c>
      <c r="K127">
        <v>106452</v>
      </c>
      <c r="L127">
        <v>102071</v>
      </c>
      <c r="M127">
        <v>102974</v>
      </c>
      <c r="N127">
        <v>106995</v>
      </c>
      <c r="O127">
        <v>107631</v>
      </c>
      <c r="P127">
        <v>101879</v>
      </c>
      <c r="Q127">
        <v>101951</v>
      </c>
      <c r="R127">
        <v>133275</v>
      </c>
      <c r="S127">
        <v>131202</v>
      </c>
      <c r="T127">
        <v>131524</v>
      </c>
      <c r="U127">
        <v>136876</v>
      </c>
      <c r="V127">
        <v>114320</v>
      </c>
      <c r="W127">
        <v>106452</v>
      </c>
      <c r="X127">
        <v>102071</v>
      </c>
      <c r="Y127">
        <v>102974</v>
      </c>
      <c r="Z127">
        <v>106995</v>
      </c>
      <c r="AA127">
        <v>107631</v>
      </c>
      <c r="AB127">
        <v>101879</v>
      </c>
      <c r="AC127">
        <v>101951</v>
      </c>
    </row>
    <row r="128" spans="1:29" x14ac:dyDescent="0.25">
      <c r="A128" t="s">
        <v>82</v>
      </c>
      <c r="B128" t="s">
        <v>83</v>
      </c>
      <c r="C128" t="s">
        <v>105</v>
      </c>
      <c r="D128" t="s">
        <v>106</v>
      </c>
      <c r="E128" t="s">
        <v>55</v>
      </c>
      <c r="F128">
        <v>4796.1026190000002</v>
      </c>
      <c r="G128">
        <v>4671.9878689999996</v>
      </c>
      <c r="H128">
        <v>4496.4871190000003</v>
      </c>
      <c r="I128">
        <v>4684.3830200000002</v>
      </c>
      <c r="J128">
        <v>3612.638175</v>
      </c>
      <c r="K128">
        <v>3440.5223129999999</v>
      </c>
      <c r="L128">
        <v>3499.8173660000002</v>
      </c>
      <c r="M128">
        <v>3427.0901789999998</v>
      </c>
      <c r="N128">
        <v>3187.9029780000001</v>
      </c>
      <c r="O128">
        <v>2884.8186810000002</v>
      </c>
      <c r="P128">
        <v>2838.4085690000002</v>
      </c>
      <c r="Q128">
        <v>2671.468077</v>
      </c>
      <c r="R128">
        <v>4796.1026190000002</v>
      </c>
      <c r="S128">
        <v>4671.9878689999996</v>
      </c>
      <c r="T128">
        <v>4496.4871190000003</v>
      </c>
      <c r="U128">
        <v>4684.3830200000002</v>
      </c>
      <c r="V128">
        <v>3612.638175</v>
      </c>
      <c r="W128">
        <v>3440.5223129999999</v>
      </c>
      <c r="X128">
        <v>3499.8173660000002</v>
      </c>
      <c r="Y128">
        <v>3427.0901789999998</v>
      </c>
      <c r="Z128">
        <v>3187.9029780000001</v>
      </c>
      <c r="AA128">
        <v>2884.8186810000002</v>
      </c>
      <c r="AB128">
        <v>2838.4085690000002</v>
      </c>
      <c r="AC128">
        <v>2671.468077</v>
      </c>
    </row>
    <row r="129" spans="1:29" x14ac:dyDescent="0.25">
      <c r="A129" t="s">
        <v>84</v>
      </c>
      <c r="B129" t="s">
        <v>85</v>
      </c>
      <c r="C129" t="s">
        <v>105</v>
      </c>
      <c r="D129" t="s">
        <v>106</v>
      </c>
      <c r="E129" t="s">
        <v>55</v>
      </c>
      <c r="F129">
        <v>2009.6049680000001</v>
      </c>
      <c r="G129">
        <v>1844.618074</v>
      </c>
      <c r="H129">
        <v>1755.647849</v>
      </c>
      <c r="I129">
        <v>1739.582079</v>
      </c>
      <c r="J129">
        <v>1829.803255</v>
      </c>
      <c r="K129">
        <v>1623.1740569999999</v>
      </c>
      <c r="L129">
        <v>1705.937326</v>
      </c>
      <c r="M129">
        <v>1657.0719240000001</v>
      </c>
      <c r="N129">
        <v>1701.7654279999999</v>
      </c>
      <c r="O129">
        <v>1669.8276470000001</v>
      </c>
      <c r="P129">
        <v>1539.061974</v>
      </c>
      <c r="Q129">
        <v>1592.001845</v>
      </c>
      <c r="R129">
        <v>2009.6049680000001</v>
      </c>
      <c r="S129">
        <v>1844.618074</v>
      </c>
      <c r="T129">
        <v>1755.647849</v>
      </c>
      <c r="U129">
        <v>1739.582079</v>
      </c>
      <c r="V129">
        <v>1829.803255</v>
      </c>
      <c r="W129">
        <v>1623.1740569999999</v>
      </c>
      <c r="X129">
        <v>1705.937326</v>
      </c>
      <c r="Y129">
        <v>1657.0719240000001</v>
      </c>
      <c r="Z129">
        <v>1701.7654279999999</v>
      </c>
      <c r="AA129">
        <v>1669.8276470000001</v>
      </c>
      <c r="AB129">
        <v>1539.061974</v>
      </c>
      <c r="AC129">
        <v>1592.001845</v>
      </c>
    </row>
    <row r="130" spans="1:29" x14ac:dyDescent="0.25">
      <c r="A130" t="s">
        <v>86</v>
      </c>
      <c r="B130" t="s">
        <v>87</v>
      </c>
      <c r="C130" t="s">
        <v>105</v>
      </c>
      <c r="D130" t="s">
        <v>106</v>
      </c>
      <c r="E130" t="s">
        <v>55</v>
      </c>
      <c r="F130">
        <v>3419.349189</v>
      </c>
      <c r="G130">
        <v>3790.970804</v>
      </c>
      <c r="H130">
        <v>3767.138117</v>
      </c>
      <c r="I130">
        <v>4069.2675859999999</v>
      </c>
      <c r="J130">
        <v>3785.4227940000001</v>
      </c>
      <c r="K130">
        <v>3716.5016500000002</v>
      </c>
      <c r="L130">
        <v>3840.1367340000002</v>
      </c>
      <c r="M130">
        <v>3817.597663</v>
      </c>
      <c r="N130">
        <v>4226.1897449999997</v>
      </c>
      <c r="O130">
        <v>4207.3717919999999</v>
      </c>
      <c r="P130">
        <v>4259.1430760000003</v>
      </c>
      <c r="Q130">
        <v>4448.1653480000004</v>
      </c>
      <c r="R130">
        <v>3419.349189</v>
      </c>
      <c r="S130">
        <v>3790.970804</v>
      </c>
      <c r="T130">
        <v>3767.138117</v>
      </c>
      <c r="U130">
        <v>4069.2675859999999</v>
      </c>
      <c r="V130">
        <v>3785.4227940000001</v>
      </c>
      <c r="W130">
        <v>3716.5016500000002</v>
      </c>
      <c r="X130">
        <v>3840.1367340000002</v>
      </c>
      <c r="Y130">
        <v>3817.597663</v>
      </c>
      <c r="Z130">
        <v>4226.1897449999997</v>
      </c>
      <c r="AA130">
        <v>4207.3717919999999</v>
      </c>
      <c r="AB130">
        <v>4259.1430760000003</v>
      </c>
      <c r="AC130">
        <v>4448.1653480000004</v>
      </c>
    </row>
    <row r="131" spans="1:29" x14ac:dyDescent="0.25">
      <c r="A131" t="s">
        <v>107</v>
      </c>
      <c r="B131" t="s">
        <v>46</v>
      </c>
      <c r="E131" t="s">
        <v>50</v>
      </c>
      <c r="F131">
        <v>103093.18711900001</v>
      </c>
      <c r="G131">
        <v>119168.74426470003</v>
      </c>
      <c r="H131">
        <v>106484.60860499999</v>
      </c>
      <c r="I131">
        <v>107662.5753392</v>
      </c>
      <c r="J131">
        <v>108589.89112999999</v>
      </c>
      <c r="K131">
        <v>106461.90871340001</v>
      </c>
      <c r="L131">
        <v>104361.77810799998</v>
      </c>
      <c r="M131">
        <v>104473.9694403</v>
      </c>
      <c r="N131">
        <v>108711.15026600001</v>
      </c>
      <c r="O131">
        <v>105275.002379</v>
      </c>
      <c r="P131">
        <v>107295.88554599999</v>
      </c>
      <c r="Q131">
        <v>103605.56764539999</v>
      </c>
      <c r="R131">
        <v>103093.1871</v>
      </c>
      <c r="S131">
        <v>119168.74430000001</v>
      </c>
      <c r="T131">
        <v>106484.60860000001</v>
      </c>
      <c r="U131">
        <v>107662.5753</v>
      </c>
      <c r="V131">
        <v>108589.89109999999</v>
      </c>
      <c r="W131">
        <v>106461.9087</v>
      </c>
      <c r="X131">
        <v>104361.7781</v>
      </c>
      <c r="Y131">
        <v>104473.9694</v>
      </c>
      <c r="Z131">
        <v>108711.15029999999</v>
      </c>
      <c r="AA131">
        <v>105275.0024</v>
      </c>
      <c r="AB131">
        <v>107295.8855</v>
      </c>
      <c r="AC131">
        <v>103605.56759999999</v>
      </c>
    </row>
    <row r="132" spans="1:29" x14ac:dyDescent="0.25">
      <c r="A132" t="s">
        <v>51</v>
      </c>
      <c r="B132" t="s">
        <v>52</v>
      </c>
      <c r="C132" t="s">
        <v>108</v>
      </c>
      <c r="D132" t="s">
        <v>109</v>
      </c>
      <c r="E132" t="s">
        <v>55</v>
      </c>
      <c r="F132">
        <v>15920.806</v>
      </c>
      <c r="G132">
        <v>15601.208000000001</v>
      </c>
      <c r="H132">
        <v>14827.691000000001</v>
      </c>
      <c r="I132">
        <v>14142.958000000001</v>
      </c>
      <c r="J132">
        <v>13728.545</v>
      </c>
      <c r="K132">
        <v>13055.567999999999</v>
      </c>
      <c r="L132">
        <v>10724.588</v>
      </c>
      <c r="M132">
        <v>10152.736000000001</v>
      </c>
      <c r="N132">
        <v>10438.425999999999</v>
      </c>
      <c r="O132">
        <v>9893.4369999999999</v>
      </c>
      <c r="P132">
        <v>9710.2000000000007</v>
      </c>
      <c r="Q132">
        <v>8876.66</v>
      </c>
      <c r="R132">
        <v>15920.806</v>
      </c>
      <c r="S132">
        <v>15601.208000000001</v>
      </c>
      <c r="T132">
        <v>14827.691000000001</v>
      </c>
      <c r="U132">
        <v>14142.958000000001</v>
      </c>
      <c r="V132">
        <v>13728.545</v>
      </c>
      <c r="W132">
        <v>13055.567999999999</v>
      </c>
      <c r="X132">
        <v>10724.588</v>
      </c>
      <c r="Y132">
        <v>10152.736000000001</v>
      </c>
      <c r="Z132">
        <v>10438.425999999999</v>
      </c>
      <c r="AA132">
        <v>9893.4369999999999</v>
      </c>
      <c r="AB132">
        <v>9710.2000000000007</v>
      </c>
      <c r="AC132">
        <v>8876.66</v>
      </c>
    </row>
    <row r="133" spans="1:29" x14ac:dyDescent="0.25">
      <c r="A133" t="s">
        <v>56</v>
      </c>
      <c r="B133" t="s">
        <v>57</v>
      </c>
      <c r="C133" t="s">
        <v>108</v>
      </c>
      <c r="D133" t="s">
        <v>109</v>
      </c>
      <c r="E133" t="s">
        <v>55</v>
      </c>
      <c r="F133">
        <v>3578.8119999999999</v>
      </c>
      <c r="G133">
        <v>3581.8040000000001</v>
      </c>
      <c r="H133">
        <v>3542.4659999999999</v>
      </c>
      <c r="I133">
        <v>3527.6849999999999</v>
      </c>
      <c r="J133">
        <v>3492.7869999999998</v>
      </c>
      <c r="K133">
        <v>3499.16</v>
      </c>
      <c r="L133">
        <v>3492.0419999999999</v>
      </c>
      <c r="M133">
        <v>3562.8690000000001</v>
      </c>
      <c r="N133">
        <v>3606.2170000000001</v>
      </c>
      <c r="O133">
        <v>3627.8919999999998</v>
      </c>
      <c r="P133">
        <v>3574.07</v>
      </c>
      <c r="Q133">
        <v>3581.6889999999999</v>
      </c>
      <c r="R133">
        <v>3578.8119999999999</v>
      </c>
      <c r="S133">
        <v>3581.8040000000001</v>
      </c>
      <c r="T133">
        <v>3542.4659999999999</v>
      </c>
      <c r="U133">
        <v>3527.6849999999999</v>
      </c>
      <c r="V133">
        <v>3492.7869999999998</v>
      </c>
      <c r="W133">
        <v>3499.16</v>
      </c>
      <c r="X133">
        <v>3492.0419999999999</v>
      </c>
      <c r="Y133">
        <v>3562.8690000000001</v>
      </c>
      <c r="Z133">
        <v>3606.2170000000001</v>
      </c>
      <c r="AA133">
        <v>3627.8919999999998</v>
      </c>
      <c r="AB133">
        <v>3574.07</v>
      </c>
      <c r="AC133">
        <v>3581.6889999999999</v>
      </c>
    </row>
    <row r="134" spans="1:29" x14ac:dyDescent="0.25">
      <c r="A134" t="s">
        <v>58</v>
      </c>
      <c r="B134" t="s">
        <v>59</v>
      </c>
      <c r="C134" t="s">
        <v>108</v>
      </c>
      <c r="D134" t="s">
        <v>109</v>
      </c>
      <c r="E134" t="s">
        <v>55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</row>
    <row r="135" spans="1:29" x14ac:dyDescent="0.25">
      <c r="A135" t="s">
        <v>60</v>
      </c>
      <c r="B135" t="s">
        <v>61</v>
      </c>
      <c r="C135" t="s">
        <v>108</v>
      </c>
      <c r="D135" t="s">
        <v>109</v>
      </c>
      <c r="E135" t="s">
        <v>55</v>
      </c>
      <c r="F135" t="s">
        <v>46</v>
      </c>
      <c r="G135">
        <v>9453.6951000000008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 t="s">
        <v>46</v>
      </c>
      <c r="Q135" t="s">
        <v>46</v>
      </c>
      <c r="R135" t="s">
        <v>46</v>
      </c>
      <c r="S135">
        <v>9453.6951000000008</v>
      </c>
      <c r="T135" t="s">
        <v>46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46</v>
      </c>
      <c r="AB135" t="s">
        <v>46</v>
      </c>
      <c r="AC135" t="s">
        <v>46</v>
      </c>
    </row>
    <row r="136" spans="1:29" x14ac:dyDescent="0.25">
      <c r="A136" t="s">
        <v>62</v>
      </c>
      <c r="B136" t="s">
        <v>63</v>
      </c>
      <c r="C136" t="s">
        <v>108</v>
      </c>
      <c r="D136" t="s">
        <v>109</v>
      </c>
      <c r="E136" t="s">
        <v>55</v>
      </c>
      <c r="F136">
        <v>4764.9520650000004</v>
      </c>
      <c r="G136">
        <v>5459.0807519999998</v>
      </c>
      <c r="H136">
        <v>5199.0808850000003</v>
      </c>
      <c r="I136">
        <v>5094.9316429999999</v>
      </c>
      <c r="J136">
        <v>5223.4772199999998</v>
      </c>
      <c r="K136">
        <v>5088.0673809999998</v>
      </c>
      <c r="L136">
        <v>5166.4015769999996</v>
      </c>
      <c r="M136">
        <v>5119.4263979999996</v>
      </c>
      <c r="N136">
        <v>5322.3935140000003</v>
      </c>
      <c r="O136">
        <v>5231.1646840000003</v>
      </c>
      <c r="P136">
        <v>4968.4604289999997</v>
      </c>
      <c r="Q136">
        <v>5112.7288120000003</v>
      </c>
      <c r="R136">
        <v>4764.9520650000004</v>
      </c>
      <c r="S136">
        <v>5459.0807519999998</v>
      </c>
      <c r="T136">
        <v>5199.0808850000003</v>
      </c>
      <c r="U136">
        <v>5094.9316429999999</v>
      </c>
      <c r="V136">
        <v>5223.4772199999998</v>
      </c>
      <c r="W136">
        <v>5088.0673809999998</v>
      </c>
      <c r="X136">
        <v>5166.4015769999996</v>
      </c>
      <c r="Y136">
        <v>5119.4263979999996</v>
      </c>
      <c r="Z136">
        <v>5322.3935140000003</v>
      </c>
      <c r="AA136">
        <v>5231.1646840000003</v>
      </c>
      <c r="AB136">
        <v>4968.4604289999997</v>
      </c>
      <c r="AC136">
        <v>5112.7288120000003</v>
      </c>
    </row>
    <row r="137" spans="1:29" x14ac:dyDescent="0.25">
      <c r="A137" t="s">
        <v>64</v>
      </c>
      <c r="B137" t="s">
        <v>65</v>
      </c>
      <c r="C137" t="s">
        <v>108</v>
      </c>
      <c r="D137" t="s">
        <v>109</v>
      </c>
      <c r="E137" t="s">
        <v>55</v>
      </c>
      <c r="F137">
        <v>10613</v>
      </c>
      <c r="G137">
        <v>11022</v>
      </c>
      <c r="H137">
        <v>10702</v>
      </c>
      <c r="I137">
        <v>10557</v>
      </c>
      <c r="J137">
        <v>11136</v>
      </c>
      <c r="K137">
        <v>11424</v>
      </c>
      <c r="L137">
        <v>10978</v>
      </c>
      <c r="M137">
        <v>10648</v>
      </c>
      <c r="N137">
        <v>10988</v>
      </c>
      <c r="O137">
        <v>10669</v>
      </c>
      <c r="P137">
        <v>10979</v>
      </c>
      <c r="Q137">
        <v>10483</v>
      </c>
      <c r="R137">
        <v>10613</v>
      </c>
      <c r="S137">
        <v>11022</v>
      </c>
      <c r="T137">
        <v>10702</v>
      </c>
      <c r="U137">
        <v>10557</v>
      </c>
      <c r="V137">
        <v>11136</v>
      </c>
      <c r="W137">
        <v>11424</v>
      </c>
      <c r="X137">
        <v>10978</v>
      </c>
      <c r="Y137">
        <v>10648</v>
      </c>
      <c r="Z137">
        <v>10988</v>
      </c>
      <c r="AA137">
        <v>10669</v>
      </c>
      <c r="AB137">
        <v>10979</v>
      </c>
      <c r="AC137">
        <v>10483</v>
      </c>
    </row>
    <row r="138" spans="1:29" x14ac:dyDescent="0.25">
      <c r="A138" t="s">
        <v>66</v>
      </c>
      <c r="B138" t="s">
        <v>67</v>
      </c>
      <c r="C138" t="s">
        <v>108</v>
      </c>
      <c r="D138" t="s">
        <v>109</v>
      </c>
      <c r="E138" t="s">
        <v>55</v>
      </c>
      <c r="F138">
        <v>1362</v>
      </c>
      <c r="G138">
        <v>1442</v>
      </c>
      <c r="H138">
        <v>2010</v>
      </c>
      <c r="I138">
        <v>2043</v>
      </c>
      <c r="J138">
        <v>3069</v>
      </c>
      <c r="K138">
        <v>3364</v>
      </c>
      <c r="L138">
        <v>3501</v>
      </c>
      <c r="M138">
        <v>3641</v>
      </c>
      <c r="N138">
        <v>3652</v>
      </c>
      <c r="O138">
        <v>3671</v>
      </c>
      <c r="P138">
        <v>3454</v>
      </c>
      <c r="Q138">
        <v>3459</v>
      </c>
      <c r="R138">
        <v>1362</v>
      </c>
      <c r="S138">
        <v>1442</v>
      </c>
      <c r="T138">
        <v>2010</v>
      </c>
      <c r="U138">
        <v>2043</v>
      </c>
      <c r="V138">
        <v>3069</v>
      </c>
      <c r="W138">
        <v>3364</v>
      </c>
      <c r="X138">
        <v>3501</v>
      </c>
      <c r="Y138">
        <v>3641</v>
      </c>
      <c r="Z138">
        <v>3652</v>
      </c>
      <c r="AA138">
        <v>3671</v>
      </c>
      <c r="AB138">
        <v>3454</v>
      </c>
      <c r="AC138">
        <v>3459</v>
      </c>
    </row>
    <row r="139" spans="1:29" x14ac:dyDescent="0.25">
      <c r="A139" t="s">
        <v>68</v>
      </c>
      <c r="B139" t="s">
        <v>69</v>
      </c>
      <c r="C139" t="s">
        <v>108</v>
      </c>
      <c r="D139" t="s">
        <v>109</v>
      </c>
      <c r="E139" t="s">
        <v>55</v>
      </c>
      <c r="F139">
        <v>5129</v>
      </c>
      <c r="G139">
        <v>9101</v>
      </c>
      <c r="H139">
        <v>8870</v>
      </c>
      <c r="I139">
        <v>11217</v>
      </c>
      <c r="J139">
        <v>11725</v>
      </c>
      <c r="K139">
        <v>11356</v>
      </c>
      <c r="L139">
        <v>11837</v>
      </c>
      <c r="M139">
        <v>11814</v>
      </c>
      <c r="N139">
        <v>13837</v>
      </c>
      <c r="O139">
        <v>13202</v>
      </c>
      <c r="P139">
        <v>12507</v>
      </c>
      <c r="Q139">
        <v>12345</v>
      </c>
      <c r="R139">
        <v>5129</v>
      </c>
      <c r="S139">
        <v>9101</v>
      </c>
      <c r="T139">
        <v>8870</v>
      </c>
      <c r="U139">
        <v>11217</v>
      </c>
      <c r="V139">
        <v>11725</v>
      </c>
      <c r="W139">
        <v>11356</v>
      </c>
      <c r="X139">
        <v>11837</v>
      </c>
      <c r="Y139">
        <v>11814</v>
      </c>
      <c r="Z139">
        <v>13837</v>
      </c>
      <c r="AA139">
        <v>13202</v>
      </c>
      <c r="AB139">
        <v>12507</v>
      </c>
      <c r="AC139">
        <v>12345</v>
      </c>
    </row>
    <row r="140" spans="1:29" x14ac:dyDescent="0.25">
      <c r="A140" t="s">
        <v>70</v>
      </c>
      <c r="B140" t="s">
        <v>71</v>
      </c>
      <c r="C140" t="s">
        <v>108</v>
      </c>
      <c r="D140" t="s">
        <v>109</v>
      </c>
      <c r="E140" t="s">
        <v>55</v>
      </c>
      <c r="F140">
        <v>1647.482</v>
      </c>
      <c r="G140">
        <v>1596.145</v>
      </c>
      <c r="H140">
        <v>1492.117</v>
      </c>
      <c r="I140">
        <v>1422.2470000000001</v>
      </c>
      <c r="J140">
        <v>1338.2249999999999</v>
      </c>
      <c r="K140">
        <v>1262.596</v>
      </c>
      <c r="L140">
        <v>1195.9349999999999</v>
      </c>
      <c r="M140">
        <v>1112.8030000000001</v>
      </c>
      <c r="N140">
        <v>1055.348</v>
      </c>
      <c r="O140">
        <v>974.947</v>
      </c>
      <c r="P140">
        <v>985.14499999999998</v>
      </c>
      <c r="Q140">
        <v>919.70600000000002</v>
      </c>
      <c r="R140">
        <v>1647.482</v>
      </c>
      <c r="S140">
        <v>1596.145</v>
      </c>
      <c r="T140">
        <v>1492.117</v>
      </c>
      <c r="U140">
        <v>1422.2470000000001</v>
      </c>
      <c r="V140">
        <v>1338.2249999999999</v>
      </c>
      <c r="W140">
        <v>1262.596</v>
      </c>
      <c r="X140">
        <v>1195.9349999999999</v>
      </c>
      <c r="Y140">
        <v>1112.8030000000001</v>
      </c>
      <c r="Z140">
        <v>1055.348</v>
      </c>
      <c r="AA140">
        <v>974.947</v>
      </c>
      <c r="AB140">
        <v>985.14499999999998</v>
      </c>
      <c r="AC140">
        <v>919.70600000000002</v>
      </c>
    </row>
    <row r="141" spans="1:29" x14ac:dyDescent="0.25">
      <c r="A141" t="s">
        <v>72</v>
      </c>
      <c r="B141" t="s">
        <v>73</v>
      </c>
      <c r="C141" t="s">
        <v>108</v>
      </c>
      <c r="D141" t="s">
        <v>109</v>
      </c>
      <c r="E141" t="s">
        <v>55</v>
      </c>
      <c r="F141">
        <v>1573.079</v>
      </c>
      <c r="G141">
        <v>1689.171</v>
      </c>
      <c r="H141">
        <v>1605.684</v>
      </c>
      <c r="I141">
        <v>1583.37</v>
      </c>
      <c r="J141">
        <v>1495.1690000000001</v>
      </c>
      <c r="K141">
        <v>1404.182</v>
      </c>
      <c r="L141">
        <v>1285.018</v>
      </c>
      <c r="M141">
        <v>1296.425</v>
      </c>
      <c r="N141">
        <v>1365.9970000000001</v>
      </c>
      <c r="O141">
        <v>1428.7940000000001</v>
      </c>
      <c r="P141">
        <v>1318.192</v>
      </c>
      <c r="Q141">
        <v>1263.0999999999999</v>
      </c>
      <c r="R141">
        <v>1573.079</v>
      </c>
      <c r="S141">
        <v>1689.171</v>
      </c>
      <c r="T141">
        <v>1605.684</v>
      </c>
      <c r="U141">
        <v>1583.37</v>
      </c>
      <c r="V141">
        <v>1495.1690000000001</v>
      </c>
      <c r="W141">
        <v>1404.182</v>
      </c>
      <c r="X141">
        <v>1285.018</v>
      </c>
      <c r="Y141">
        <v>1296.425</v>
      </c>
      <c r="Z141">
        <v>1365.9970000000001</v>
      </c>
      <c r="AA141">
        <v>1428.7940000000001</v>
      </c>
      <c r="AB141">
        <v>1318.192</v>
      </c>
      <c r="AC141">
        <v>1263.0999999999999</v>
      </c>
    </row>
    <row r="142" spans="1:29" x14ac:dyDescent="0.25">
      <c r="A142" t="s">
        <v>74</v>
      </c>
      <c r="B142" t="s">
        <v>75</v>
      </c>
      <c r="C142" t="s">
        <v>108</v>
      </c>
      <c r="D142" t="s">
        <v>109</v>
      </c>
      <c r="E142" t="s">
        <v>55</v>
      </c>
      <c r="F142">
        <v>6900.7160000000003</v>
      </c>
      <c r="G142">
        <v>6944</v>
      </c>
      <c r="H142">
        <v>6563.7</v>
      </c>
      <c r="I142">
        <v>6109.1</v>
      </c>
      <c r="J142">
        <v>6109.1189999999997</v>
      </c>
      <c r="K142">
        <v>5720.4</v>
      </c>
      <c r="L142">
        <v>5774.5</v>
      </c>
      <c r="M142">
        <v>5677.8</v>
      </c>
      <c r="N142">
        <v>5585.8151669999997</v>
      </c>
      <c r="O142">
        <v>5437.8</v>
      </c>
      <c r="P142">
        <v>5056</v>
      </c>
      <c r="Q142">
        <v>5374.9</v>
      </c>
      <c r="R142">
        <v>6900.7160000000003</v>
      </c>
      <c r="S142">
        <v>6944</v>
      </c>
      <c r="T142">
        <v>6563.7</v>
      </c>
      <c r="U142">
        <v>6109.1</v>
      </c>
      <c r="V142">
        <v>6109.1189999999997</v>
      </c>
      <c r="W142">
        <v>5720.4</v>
      </c>
      <c r="X142">
        <v>5774.5</v>
      </c>
      <c r="Y142">
        <v>5677.8</v>
      </c>
      <c r="Z142">
        <v>5585.8151669999997</v>
      </c>
      <c r="AA142">
        <v>5437.8</v>
      </c>
      <c r="AB142">
        <v>5056</v>
      </c>
      <c r="AC142">
        <v>5374.9</v>
      </c>
    </row>
    <row r="143" spans="1:29" x14ac:dyDescent="0.25">
      <c r="A143" t="s">
        <v>76</v>
      </c>
      <c r="B143" t="s">
        <v>77</v>
      </c>
      <c r="C143" t="s">
        <v>108</v>
      </c>
      <c r="D143" t="s">
        <v>109</v>
      </c>
      <c r="E143" t="s">
        <v>55</v>
      </c>
      <c r="F143">
        <v>848.38742999999999</v>
      </c>
      <c r="G143">
        <v>899.16554369999994</v>
      </c>
      <c r="H143">
        <v>807.58520999999996</v>
      </c>
      <c r="I143">
        <v>817.33457320000002</v>
      </c>
      <c r="J143">
        <v>788.72409000000005</v>
      </c>
      <c r="K143">
        <v>776.08715240000004</v>
      </c>
      <c r="L143">
        <v>717.28063999999995</v>
      </c>
      <c r="M143">
        <v>705.07944629999997</v>
      </c>
      <c r="N143">
        <v>726.92318999999998</v>
      </c>
      <c r="O143">
        <v>780.13763500000005</v>
      </c>
      <c r="P143">
        <v>706.40954999999997</v>
      </c>
      <c r="Q143">
        <v>633.69312939999998</v>
      </c>
      <c r="R143">
        <v>848.38742999999999</v>
      </c>
      <c r="S143">
        <v>899.16554369999994</v>
      </c>
      <c r="T143">
        <v>807.58520999999996</v>
      </c>
      <c r="U143">
        <v>817.33457320000002</v>
      </c>
      <c r="V143">
        <v>788.72409000000005</v>
      </c>
      <c r="W143">
        <v>776.08715240000004</v>
      </c>
      <c r="X143">
        <v>717.28063999999995</v>
      </c>
      <c r="Y143">
        <v>705.07944629999997</v>
      </c>
      <c r="Z143">
        <v>726.92318999999998</v>
      </c>
      <c r="AA143">
        <v>780.13763500000005</v>
      </c>
      <c r="AB143">
        <v>706.40954999999997</v>
      </c>
      <c r="AC143">
        <v>633.69312939999998</v>
      </c>
    </row>
    <row r="144" spans="1:29" x14ac:dyDescent="0.25">
      <c r="A144" t="s">
        <v>78</v>
      </c>
      <c r="B144" t="s">
        <v>79</v>
      </c>
      <c r="C144" t="s">
        <v>108</v>
      </c>
      <c r="D144" t="s">
        <v>109</v>
      </c>
      <c r="E144" t="s">
        <v>55</v>
      </c>
      <c r="F144">
        <v>8735.6730530000004</v>
      </c>
      <c r="G144">
        <v>8596.9013470000009</v>
      </c>
      <c r="H144">
        <v>8615.0123459999995</v>
      </c>
      <c r="I144">
        <v>8248.7388809999993</v>
      </c>
      <c r="J144">
        <v>9377.2223770000001</v>
      </c>
      <c r="K144">
        <v>9332.3288850000008</v>
      </c>
      <c r="L144">
        <v>8979.9378359999992</v>
      </c>
      <c r="M144">
        <v>8862.5045640000008</v>
      </c>
      <c r="N144">
        <v>9966.8406510000004</v>
      </c>
      <c r="O144">
        <v>9549.3449639999999</v>
      </c>
      <c r="P144">
        <v>11074.215759999999</v>
      </c>
      <c r="Q144">
        <v>10602.61622</v>
      </c>
      <c r="R144">
        <v>8735.6730530000004</v>
      </c>
      <c r="S144">
        <v>8596.9013470000009</v>
      </c>
      <c r="T144">
        <v>8615.0123459999995</v>
      </c>
      <c r="U144">
        <v>8248.7388809999993</v>
      </c>
      <c r="V144">
        <v>9377.2223770000001</v>
      </c>
      <c r="W144">
        <v>9332.3288850000008</v>
      </c>
      <c r="X144">
        <v>8979.9378359999992</v>
      </c>
      <c r="Y144">
        <v>8862.5045640000008</v>
      </c>
      <c r="Z144">
        <v>9966.8406510000004</v>
      </c>
      <c r="AA144">
        <v>9549.3449639999999</v>
      </c>
      <c r="AB144">
        <v>11074.215759999999</v>
      </c>
      <c r="AC144">
        <v>10602.61622</v>
      </c>
    </row>
    <row r="145" spans="1:29" x14ac:dyDescent="0.25">
      <c r="A145" t="s">
        <v>80</v>
      </c>
      <c r="B145" t="s">
        <v>81</v>
      </c>
      <c r="C145" t="s">
        <v>108</v>
      </c>
      <c r="D145" t="s">
        <v>109</v>
      </c>
      <c r="E145" t="s">
        <v>55</v>
      </c>
      <c r="F145">
        <v>20128</v>
      </c>
      <c r="G145">
        <v>20984</v>
      </c>
      <c r="H145">
        <v>18096</v>
      </c>
      <c r="I145">
        <v>17776</v>
      </c>
      <c r="J145">
        <v>16606</v>
      </c>
      <c r="K145">
        <v>16930</v>
      </c>
      <c r="L145">
        <v>19919</v>
      </c>
      <c r="M145">
        <v>18648</v>
      </c>
      <c r="N145">
        <v>18290</v>
      </c>
      <c r="O145">
        <v>17725</v>
      </c>
      <c r="P145">
        <v>19757</v>
      </c>
      <c r="Q145">
        <v>18544</v>
      </c>
      <c r="R145">
        <v>20128</v>
      </c>
      <c r="S145">
        <v>20984</v>
      </c>
      <c r="T145">
        <v>18096</v>
      </c>
      <c r="U145">
        <v>17776</v>
      </c>
      <c r="V145">
        <v>16606</v>
      </c>
      <c r="W145">
        <v>16930</v>
      </c>
      <c r="X145">
        <v>19919</v>
      </c>
      <c r="Y145">
        <v>18648</v>
      </c>
      <c r="Z145">
        <v>18290</v>
      </c>
      <c r="AA145">
        <v>17725</v>
      </c>
      <c r="AB145">
        <v>19757</v>
      </c>
      <c r="AC145">
        <v>18544</v>
      </c>
    </row>
    <row r="146" spans="1:29" x14ac:dyDescent="0.25">
      <c r="A146" t="s">
        <v>82</v>
      </c>
      <c r="B146" t="s">
        <v>83</v>
      </c>
      <c r="C146" t="s">
        <v>108</v>
      </c>
      <c r="D146" t="s">
        <v>109</v>
      </c>
      <c r="E146" t="s">
        <v>55</v>
      </c>
      <c r="F146">
        <v>11524.311530000001</v>
      </c>
      <c r="G146">
        <v>12038.975350000001</v>
      </c>
      <c r="H146">
        <v>13820.30183</v>
      </c>
      <c r="I146">
        <v>13338.3338</v>
      </c>
      <c r="J146">
        <v>13272.44952</v>
      </c>
      <c r="K146">
        <v>12304.7783</v>
      </c>
      <c r="L146">
        <v>10845.69845</v>
      </c>
      <c r="M146">
        <v>12878.71486</v>
      </c>
      <c r="N146">
        <v>13454.55941</v>
      </c>
      <c r="O146">
        <v>12834.624089999999</v>
      </c>
      <c r="P146">
        <v>11862.28003</v>
      </c>
      <c r="Q146">
        <v>11246.071260000001</v>
      </c>
      <c r="R146">
        <v>11524.311530000001</v>
      </c>
      <c r="S146">
        <v>12038.975350000001</v>
      </c>
      <c r="T146">
        <v>13820.30183</v>
      </c>
      <c r="U146">
        <v>13338.3338</v>
      </c>
      <c r="V146">
        <v>13272.44952</v>
      </c>
      <c r="W146">
        <v>12304.7783</v>
      </c>
      <c r="X146">
        <v>10845.69845</v>
      </c>
      <c r="Y146">
        <v>12878.71486</v>
      </c>
      <c r="Z146">
        <v>13454.55941</v>
      </c>
      <c r="AA146">
        <v>12834.624089999999</v>
      </c>
      <c r="AB146">
        <v>11862.28003</v>
      </c>
      <c r="AC146">
        <v>11246.071260000001</v>
      </c>
    </row>
    <row r="147" spans="1:29" x14ac:dyDescent="0.25">
      <c r="A147" t="s">
        <v>84</v>
      </c>
      <c r="B147" t="s">
        <v>85</v>
      </c>
      <c r="C147" t="s">
        <v>108</v>
      </c>
      <c r="D147" t="s">
        <v>109</v>
      </c>
      <c r="E147" t="s">
        <v>55</v>
      </c>
      <c r="F147">
        <v>2946.1700700000001</v>
      </c>
      <c r="G147">
        <v>3160.611868</v>
      </c>
      <c r="H147">
        <v>3026.9287450000002</v>
      </c>
      <c r="I147">
        <v>3142.7497830000002</v>
      </c>
      <c r="J147">
        <v>2994.9670599999999</v>
      </c>
      <c r="K147">
        <v>3057.2535509999998</v>
      </c>
      <c r="L147">
        <v>2732.1773410000001</v>
      </c>
      <c r="M147">
        <v>3026.0240960000001</v>
      </c>
      <c r="N147">
        <v>2970.8167020000001</v>
      </c>
      <c r="O147">
        <v>2844.4750709999998</v>
      </c>
      <c r="P147">
        <v>2699.7658759999999</v>
      </c>
      <c r="Q147">
        <v>2758.0203620000002</v>
      </c>
      <c r="R147">
        <v>2946.1700700000001</v>
      </c>
      <c r="S147">
        <v>3160.611868</v>
      </c>
      <c r="T147">
        <v>3026.9287450000002</v>
      </c>
      <c r="U147">
        <v>3142.7497830000002</v>
      </c>
      <c r="V147">
        <v>2994.9670599999999</v>
      </c>
      <c r="W147">
        <v>3057.2535509999998</v>
      </c>
      <c r="X147">
        <v>2732.1773410000001</v>
      </c>
      <c r="Y147">
        <v>3026.0240960000001</v>
      </c>
      <c r="Z147">
        <v>2970.8167020000001</v>
      </c>
      <c r="AA147">
        <v>2844.4750709999998</v>
      </c>
      <c r="AB147">
        <v>2699.7658759999999</v>
      </c>
      <c r="AC147">
        <v>2758.0203620000002</v>
      </c>
    </row>
    <row r="148" spans="1:29" x14ac:dyDescent="0.25">
      <c r="A148" t="s">
        <v>86</v>
      </c>
      <c r="B148" t="s">
        <v>87</v>
      </c>
      <c r="C148" t="s">
        <v>108</v>
      </c>
      <c r="D148" t="s">
        <v>109</v>
      </c>
      <c r="E148" t="s">
        <v>55</v>
      </c>
      <c r="F148">
        <v>7420.797971</v>
      </c>
      <c r="G148">
        <v>7598.986304</v>
      </c>
      <c r="H148">
        <v>7306.0415890000004</v>
      </c>
      <c r="I148">
        <v>8642.1266589999996</v>
      </c>
      <c r="J148">
        <v>8233.2058629999992</v>
      </c>
      <c r="K148">
        <v>7887.4874440000003</v>
      </c>
      <c r="L148">
        <v>7213.1992639999999</v>
      </c>
      <c r="M148">
        <v>7328.5870759999998</v>
      </c>
      <c r="N148">
        <v>7450.8136320000003</v>
      </c>
      <c r="O148">
        <v>7405.3859350000002</v>
      </c>
      <c r="P148">
        <v>8644.1469010000001</v>
      </c>
      <c r="Q148">
        <v>8405.3828620000004</v>
      </c>
      <c r="R148">
        <v>7420.797971</v>
      </c>
      <c r="S148">
        <v>7598.986304</v>
      </c>
      <c r="T148">
        <v>7306.0415890000004</v>
      </c>
      <c r="U148">
        <v>8642.1266589999996</v>
      </c>
      <c r="V148">
        <v>8233.2058629999992</v>
      </c>
      <c r="W148">
        <v>7887.4874440000003</v>
      </c>
      <c r="X148">
        <v>7213.1992639999999</v>
      </c>
      <c r="Y148">
        <v>7328.5870759999998</v>
      </c>
      <c r="Z148">
        <v>7450.8136320000003</v>
      </c>
      <c r="AA148">
        <v>7405.3859350000002</v>
      </c>
      <c r="AB148">
        <v>8644.1469010000001</v>
      </c>
      <c r="AC148">
        <v>8405.3828620000004</v>
      </c>
    </row>
    <row r="149" spans="1:29" x14ac:dyDescent="0.25">
      <c r="A149" t="s">
        <v>110</v>
      </c>
      <c r="B149" t="s">
        <v>46</v>
      </c>
      <c r="E149" t="s">
        <v>47</v>
      </c>
      <c r="R149" t="s">
        <v>46</v>
      </c>
      <c r="S149" t="s">
        <v>46</v>
      </c>
      <c r="T149" t="s">
        <v>46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  <c r="Z149" t="s">
        <v>46</v>
      </c>
      <c r="AA149" t="s">
        <v>46</v>
      </c>
      <c r="AB149" t="s">
        <v>46</v>
      </c>
      <c r="AC149" t="s">
        <v>46</v>
      </c>
    </row>
    <row r="150" spans="1:29" x14ac:dyDescent="0.25">
      <c r="R150" t="s">
        <v>46</v>
      </c>
      <c r="S150" t="s">
        <v>46</v>
      </c>
      <c r="T150" t="s">
        <v>46</v>
      </c>
      <c r="U150" t="s">
        <v>46</v>
      </c>
      <c r="V150" t="s">
        <v>46</v>
      </c>
      <c r="W150" t="s">
        <v>46</v>
      </c>
      <c r="X150" t="s">
        <v>46</v>
      </c>
      <c r="Y150" t="s">
        <v>46</v>
      </c>
      <c r="Z150" t="s">
        <v>46</v>
      </c>
      <c r="AA150" t="s">
        <v>46</v>
      </c>
      <c r="AB150" t="s">
        <v>46</v>
      </c>
      <c r="AC150" t="s">
        <v>46</v>
      </c>
    </row>
    <row r="151" spans="1:29" x14ac:dyDescent="0.25">
      <c r="R151" t="s">
        <v>46</v>
      </c>
      <c r="S151" t="s">
        <v>46</v>
      </c>
      <c r="T151" t="s">
        <v>46</v>
      </c>
      <c r="U151" t="s">
        <v>46</v>
      </c>
      <c r="V151" t="s">
        <v>46</v>
      </c>
      <c r="W151" t="s">
        <v>46</v>
      </c>
      <c r="X151" t="s">
        <v>46</v>
      </c>
      <c r="Y151" t="s">
        <v>46</v>
      </c>
      <c r="Z151" t="s">
        <v>46</v>
      </c>
      <c r="AA151" t="s">
        <v>46</v>
      </c>
      <c r="AB151" t="s">
        <v>46</v>
      </c>
      <c r="AC151" t="s">
        <v>46</v>
      </c>
    </row>
    <row r="152" spans="1:29" x14ac:dyDescent="0.25">
      <c r="R152" t="s">
        <v>46</v>
      </c>
      <c r="S152" t="s">
        <v>46</v>
      </c>
      <c r="T152" t="s">
        <v>46</v>
      </c>
      <c r="U152" t="s">
        <v>46</v>
      </c>
      <c r="V152" t="s">
        <v>46</v>
      </c>
      <c r="W152" t="s">
        <v>46</v>
      </c>
      <c r="X152" t="s">
        <v>46</v>
      </c>
      <c r="Y152" t="s">
        <v>46</v>
      </c>
      <c r="Z152" t="s">
        <v>46</v>
      </c>
      <c r="AA152" t="s">
        <v>46</v>
      </c>
      <c r="AB152" t="s">
        <v>46</v>
      </c>
      <c r="AC152" t="s">
        <v>46</v>
      </c>
    </row>
    <row r="153" spans="1:29" x14ac:dyDescent="0.25">
      <c r="R153" t="s">
        <v>46</v>
      </c>
      <c r="S153" t="s">
        <v>46</v>
      </c>
      <c r="T153" t="s">
        <v>46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  <c r="Z153" t="s">
        <v>46</v>
      </c>
      <c r="AA153" t="s">
        <v>46</v>
      </c>
      <c r="AB153" t="s">
        <v>46</v>
      </c>
      <c r="AC153" t="s">
        <v>46</v>
      </c>
    </row>
    <row r="154" spans="1:29" x14ac:dyDescent="0.25">
      <c r="R154" t="s">
        <v>46</v>
      </c>
      <c r="S154" t="s">
        <v>46</v>
      </c>
      <c r="T154" t="s">
        <v>46</v>
      </c>
      <c r="U154" t="s">
        <v>46</v>
      </c>
      <c r="V154" t="s">
        <v>46</v>
      </c>
      <c r="W154" t="s">
        <v>46</v>
      </c>
      <c r="X154" t="s">
        <v>46</v>
      </c>
      <c r="Y154" t="s">
        <v>46</v>
      </c>
      <c r="Z154" t="s">
        <v>46</v>
      </c>
      <c r="AA154" t="s">
        <v>46</v>
      </c>
      <c r="AB154" t="s">
        <v>46</v>
      </c>
      <c r="AC154" t="s">
        <v>46</v>
      </c>
    </row>
    <row r="155" spans="1:29" x14ac:dyDescent="0.25">
      <c r="R155" t="s">
        <v>46</v>
      </c>
      <c r="S155" t="s">
        <v>46</v>
      </c>
      <c r="T155" t="s">
        <v>46</v>
      </c>
      <c r="U155" t="s">
        <v>46</v>
      </c>
      <c r="V155" t="s">
        <v>46</v>
      </c>
      <c r="W155" t="s">
        <v>46</v>
      </c>
      <c r="X155" t="s">
        <v>46</v>
      </c>
      <c r="Y155" t="s">
        <v>46</v>
      </c>
      <c r="Z155" t="s">
        <v>46</v>
      </c>
      <c r="AA155" t="s">
        <v>46</v>
      </c>
      <c r="AB155" t="s">
        <v>46</v>
      </c>
      <c r="AC155" t="s">
        <v>46</v>
      </c>
    </row>
    <row r="156" spans="1:29" x14ac:dyDescent="0.25">
      <c r="R156" t="s">
        <v>46</v>
      </c>
      <c r="S156" t="s">
        <v>46</v>
      </c>
      <c r="T156" t="s">
        <v>46</v>
      </c>
      <c r="U156" t="s">
        <v>46</v>
      </c>
      <c r="V156" t="s">
        <v>46</v>
      </c>
      <c r="W156" t="s">
        <v>46</v>
      </c>
      <c r="X156" t="s">
        <v>46</v>
      </c>
      <c r="Y156" t="s">
        <v>46</v>
      </c>
      <c r="Z156" t="s">
        <v>46</v>
      </c>
      <c r="AA156" t="s">
        <v>46</v>
      </c>
      <c r="AB156" t="s">
        <v>46</v>
      </c>
      <c r="AC156" t="s">
        <v>46</v>
      </c>
    </row>
    <row r="157" spans="1:29" x14ac:dyDescent="0.25">
      <c r="A157" t="s">
        <v>111</v>
      </c>
      <c r="B157" t="s">
        <v>111</v>
      </c>
      <c r="C157" t="s">
        <v>111</v>
      </c>
      <c r="D157" t="s">
        <v>111</v>
      </c>
      <c r="E157" t="s">
        <v>111</v>
      </c>
      <c r="F157" t="s">
        <v>111</v>
      </c>
      <c r="G157" t="s">
        <v>111</v>
      </c>
      <c r="H157" t="s">
        <v>111</v>
      </c>
      <c r="I157" t="s">
        <v>111</v>
      </c>
      <c r="J157" t="s">
        <v>111</v>
      </c>
      <c r="K157" t="s">
        <v>111</v>
      </c>
      <c r="L157" t="s">
        <v>111</v>
      </c>
      <c r="M157" t="s">
        <v>111</v>
      </c>
      <c r="N157" t="s">
        <v>111</v>
      </c>
      <c r="O157" t="s">
        <v>111</v>
      </c>
      <c r="P157" t="s">
        <v>111</v>
      </c>
      <c r="Q157" t="s">
        <v>111</v>
      </c>
      <c r="R157" t="s">
        <v>46</v>
      </c>
      <c r="S157" t="s">
        <v>46</v>
      </c>
      <c r="T157" t="s">
        <v>46</v>
      </c>
      <c r="U157" t="s">
        <v>46</v>
      </c>
      <c r="V157" t="s">
        <v>46</v>
      </c>
      <c r="W157" t="s">
        <v>46</v>
      </c>
      <c r="X157" t="s">
        <v>46</v>
      </c>
      <c r="Y157" t="s">
        <v>46</v>
      </c>
      <c r="Z157" t="s">
        <v>46</v>
      </c>
      <c r="AA157" t="s">
        <v>46</v>
      </c>
      <c r="AB157" t="s">
        <v>46</v>
      </c>
      <c r="AC157" t="s">
        <v>46</v>
      </c>
    </row>
    <row r="158" spans="1:29" x14ac:dyDescent="0.25">
      <c r="A158" t="s">
        <v>112</v>
      </c>
      <c r="R158" t="s">
        <v>46</v>
      </c>
      <c r="S158" t="s">
        <v>46</v>
      </c>
      <c r="T158" t="s">
        <v>46</v>
      </c>
      <c r="U158" t="s">
        <v>46</v>
      </c>
      <c r="V158" t="s">
        <v>46</v>
      </c>
      <c r="W158" t="s">
        <v>46</v>
      </c>
      <c r="X158" t="s">
        <v>46</v>
      </c>
      <c r="Y158" t="s">
        <v>46</v>
      </c>
      <c r="Z158" t="s">
        <v>46</v>
      </c>
      <c r="AA158" t="s">
        <v>46</v>
      </c>
      <c r="AB158" t="s">
        <v>46</v>
      </c>
      <c r="AC158" t="s">
        <v>46</v>
      </c>
    </row>
    <row r="159" spans="1:29" x14ac:dyDescent="0.25">
      <c r="A159">
        <v>0</v>
      </c>
      <c r="R159" t="s">
        <v>46</v>
      </c>
      <c r="S159" t="s">
        <v>46</v>
      </c>
      <c r="T159" t="s">
        <v>46</v>
      </c>
      <c r="U159" t="s">
        <v>46</v>
      </c>
      <c r="V159" t="s">
        <v>46</v>
      </c>
      <c r="W159" t="s">
        <v>46</v>
      </c>
      <c r="X159" t="s">
        <v>46</v>
      </c>
      <c r="Y159" t="s">
        <v>46</v>
      </c>
      <c r="Z159" t="s">
        <v>46</v>
      </c>
      <c r="AA159" t="s">
        <v>46</v>
      </c>
      <c r="AB159" t="s">
        <v>46</v>
      </c>
      <c r="AC159" t="s">
        <v>46</v>
      </c>
    </row>
    <row r="160" spans="1:29" x14ac:dyDescent="0.25">
      <c r="A160" t="s">
        <v>113</v>
      </c>
      <c r="B160" t="s">
        <v>114</v>
      </c>
      <c r="R160" t="s">
        <v>46</v>
      </c>
      <c r="S160" t="s">
        <v>46</v>
      </c>
      <c r="T160" t="s">
        <v>46</v>
      </c>
      <c r="U160" t="s">
        <v>46</v>
      </c>
      <c r="V160" t="s">
        <v>46</v>
      </c>
      <c r="W160" t="s">
        <v>46</v>
      </c>
      <c r="X160" t="s">
        <v>46</v>
      </c>
      <c r="Y160" t="s">
        <v>46</v>
      </c>
      <c r="Z160" t="s">
        <v>46</v>
      </c>
      <c r="AA160" t="s">
        <v>46</v>
      </c>
      <c r="AB160" t="s">
        <v>46</v>
      </c>
      <c r="AC160" t="s">
        <v>46</v>
      </c>
    </row>
    <row r="161" spans="1:29" x14ac:dyDescent="0.25">
      <c r="A161" t="s">
        <v>115</v>
      </c>
      <c r="B161" t="s">
        <v>116</v>
      </c>
      <c r="C161" t="s">
        <v>117</v>
      </c>
      <c r="R161" t="s">
        <v>46</v>
      </c>
      <c r="S161" t="s">
        <v>46</v>
      </c>
      <c r="T161" t="s">
        <v>46</v>
      </c>
      <c r="U161" t="s">
        <v>46</v>
      </c>
      <c r="V161" t="s">
        <v>46</v>
      </c>
      <c r="W161" t="s">
        <v>46</v>
      </c>
      <c r="X161" t="s">
        <v>46</v>
      </c>
      <c r="Y161" t="s">
        <v>46</v>
      </c>
      <c r="Z161" t="s">
        <v>46</v>
      </c>
      <c r="AA161" t="s">
        <v>46</v>
      </c>
      <c r="AB161" t="s">
        <v>46</v>
      </c>
      <c r="AC161" t="s">
        <v>46</v>
      </c>
    </row>
    <row r="162" spans="1:29" x14ac:dyDescent="0.25">
      <c r="A162" t="s">
        <v>118</v>
      </c>
      <c r="B162">
        <v>12</v>
      </c>
      <c r="R162" t="s">
        <v>46</v>
      </c>
      <c r="S162" t="s">
        <v>46</v>
      </c>
      <c r="T162" t="s">
        <v>46</v>
      </c>
      <c r="U162" t="s">
        <v>46</v>
      </c>
      <c r="V162" t="s">
        <v>46</v>
      </c>
      <c r="W162" t="s">
        <v>46</v>
      </c>
      <c r="X162" t="s">
        <v>46</v>
      </c>
      <c r="Y162" t="s">
        <v>46</v>
      </c>
      <c r="Z162" t="s">
        <v>46</v>
      </c>
      <c r="AA162" t="s">
        <v>46</v>
      </c>
      <c r="AB162" t="s">
        <v>46</v>
      </c>
      <c r="AC162" t="s">
        <v>46</v>
      </c>
    </row>
    <row r="163" spans="1:29" x14ac:dyDescent="0.25">
      <c r="A163" t="s">
        <v>119</v>
      </c>
      <c r="B163" t="s">
        <v>120</v>
      </c>
      <c r="C163" t="s">
        <v>121</v>
      </c>
      <c r="R163" t="s">
        <v>46</v>
      </c>
      <c r="S163" t="s">
        <v>46</v>
      </c>
      <c r="T163" t="s">
        <v>46</v>
      </c>
      <c r="U163" t="s">
        <v>46</v>
      </c>
      <c r="V163" t="s">
        <v>46</v>
      </c>
      <c r="W163" t="s">
        <v>46</v>
      </c>
      <c r="X163" t="s">
        <v>46</v>
      </c>
      <c r="Y163" t="s">
        <v>46</v>
      </c>
      <c r="Z163" t="s">
        <v>46</v>
      </c>
      <c r="AA163" t="s">
        <v>46</v>
      </c>
      <c r="AB163" t="s">
        <v>46</v>
      </c>
      <c r="AC163" t="s">
        <v>46</v>
      </c>
    </row>
    <row r="164" spans="1:29" x14ac:dyDescent="0.25">
      <c r="A164" t="s">
        <v>122</v>
      </c>
      <c r="B164">
        <v>43999</v>
      </c>
      <c r="R164" t="s">
        <v>46</v>
      </c>
      <c r="S164" t="s">
        <v>46</v>
      </c>
      <c r="T164" t="s">
        <v>46</v>
      </c>
      <c r="U164" t="s">
        <v>46</v>
      </c>
      <c r="V164" t="s">
        <v>46</v>
      </c>
      <c r="W164" t="s">
        <v>46</v>
      </c>
      <c r="X164" t="s">
        <v>46</v>
      </c>
      <c r="Y164" t="s">
        <v>46</v>
      </c>
      <c r="Z164" t="s">
        <v>46</v>
      </c>
      <c r="AA164" t="s">
        <v>46</v>
      </c>
      <c r="AB164" t="s">
        <v>46</v>
      </c>
      <c r="AC164" t="s">
        <v>46</v>
      </c>
    </row>
    <row r="165" spans="1:29" x14ac:dyDescent="0.25">
      <c r="A165" t="s">
        <v>123</v>
      </c>
      <c r="B165">
        <v>4</v>
      </c>
      <c r="R165" t="s">
        <v>46</v>
      </c>
      <c r="S165" t="s">
        <v>46</v>
      </c>
      <c r="T165" t="s">
        <v>46</v>
      </c>
      <c r="U165" t="s">
        <v>46</v>
      </c>
      <c r="V165" t="s">
        <v>46</v>
      </c>
      <c r="W165" t="s">
        <v>46</v>
      </c>
      <c r="X165" t="s">
        <v>46</v>
      </c>
      <c r="Y165" t="s">
        <v>46</v>
      </c>
      <c r="Z165" t="s">
        <v>46</v>
      </c>
      <c r="AA165" t="s">
        <v>46</v>
      </c>
      <c r="AB165" t="s">
        <v>46</v>
      </c>
      <c r="AC165" t="s">
        <v>46</v>
      </c>
    </row>
    <row r="166" spans="1:29" x14ac:dyDescent="0.25">
      <c r="R166" t="s">
        <v>46</v>
      </c>
      <c r="S166" t="s">
        <v>46</v>
      </c>
      <c r="T166" t="s">
        <v>46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Z166" t="s">
        <v>46</v>
      </c>
      <c r="AA166" t="s">
        <v>46</v>
      </c>
      <c r="AB166" t="s">
        <v>46</v>
      </c>
      <c r="AC166" t="s">
        <v>46</v>
      </c>
    </row>
    <row r="167" spans="1:29" x14ac:dyDescent="0.25">
      <c r="A167" t="s">
        <v>51</v>
      </c>
      <c r="B167" t="s">
        <v>52</v>
      </c>
      <c r="C167" t="s">
        <v>53</v>
      </c>
      <c r="D167" t="s">
        <v>54</v>
      </c>
      <c r="E167" t="s">
        <v>55</v>
      </c>
      <c r="F167">
        <v>5440.0990000000002</v>
      </c>
      <c r="G167">
        <v>5813.84</v>
      </c>
      <c r="H167">
        <v>6130.1660000000002</v>
      </c>
      <c r="I167">
        <v>4772.4960000000001</v>
      </c>
      <c r="J167">
        <v>4468</v>
      </c>
      <c r="K167">
        <v>4366.9059999999999</v>
      </c>
      <c r="L167">
        <v>5064.5519999999997</v>
      </c>
      <c r="M167">
        <v>3932.1060000000002</v>
      </c>
      <c r="N167">
        <v>3598.4969999999998</v>
      </c>
      <c r="O167">
        <v>3682.393</v>
      </c>
      <c r="P167">
        <v>4129.8710000000001</v>
      </c>
      <c r="Q167">
        <v>3384.8470000000002</v>
      </c>
      <c r="R167" t="s">
        <v>46</v>
      </c>
      <c r="S167" t="s">
        <v>46</v>
      </c>
      <c r="T167" t="s">
        <v>46</v>
      </c>
      <c r="U167" t="s">
        <v>46</v>
      </c>
      <c r="V167" t="s">
        <v>46</v>
      </c>
      <c r="W167" t="s">
        <v>46</v>
      </c>
      <c r="X167" t="s">
        <v>46</v>
      </c>
      <c r="Y167" t="s">
        <v>46</v>
      </c>
      <c r="Z167" t="s">
        <v>46</v>
      </c>
      <c r="AA167" t="s">
        <v>46</v>
      </c>
      <c r="AB167" t="s">
        <v>46</v>
      </c>
      <c r="AC167" t="s">
        <v>46</v>
      </c>
    </row>
    <row r="168" spans="1:29" x14ac:dyDescent="0.25">
      <c r="A168" t="s">
        <v>56</v>
      </c>
      <c r="B168" t="s">
        <v>57</v>
      </c>
      <c r="C168" t="s">
        <v>53</v>
      </c>
      <c r="D168" t="s">
        <v>54</v>
      </c>
      <c r="E168" t="s">
        <v>55</v>
      </c>
      <c r="F168">
        <v>762.60199999999998</v>
      </c>
      <c r="G168">
        <v>485.875</v>
      </c>
      <c r="H168">
        <v>471.63200000000001</v>
      </c>
      <c r="I168">
        <v>457.70699999999999</v>
      </c>
      <c r="J168">
        <v>449.69600000000003</v>
      </c>
      <c r="K168">
        <v>458.65</v>
      </c>
      <c r="L168">
        <v>519.21600000000001</v>
      </c>
      <c r="M168">
        <v>561.04100000000005</v>
      </c>
      <c r="N168">
        <v>666.84299999999996</v>
      </c>
      <c r="O168">
        <v>965.93799999999999</v>
      </c>
      <c r="P168">
        <v>979.60799999999995</v>
      </c>
      <c r="Q168">
        <v>963.03899999999999</v>
      </c>
      <c r="R168" t="s">
        <v>46</v>
      </c>
      <c r="S168" t="s">
        <v>46</v>
      </c>
      <c r="T168" t="s">
        <v>46</v>
      </c>
      <c r="U168" t="s">
        <v>46</v>
      </c>
      <c r="V168" t="s">
        <v>46</v>
      </c>
      <c r="W168" t="s">
        <v>46</v>
      </c>
      <c r="X168" t="s">
        <v>46</v>
      </c>
      <c r="Y168" t="s">
        <v>46</v>
      </c>
      <c r="Z168" t="s">
        <v>46</v>
      </c>
      <c r="AA168" t="s">
        <v>46</v>
      </c>
      <c r="AB168" t="s">
        <v>46</v>
      </c>
      <c r="AC168" t="s">
        <v>46</v>
      </c>
    </row>
    <row r="169" spans="1:29" x14ac:dyDescent="0.25">
      <c r="A169" t="s">
        <v>58</v>
      </c>
      <c r="B169" t="s">
        <v>59</v>
      </c>
      <c r="C169" t="s">
        <v>53</v>
      </c>
      <c r="D169" t="s">
        <v>54</v>
      </c>
      <c r="E169" t="s">
        <v>55</v>
      </c>
      <c r="F169" t="s">
        <v>46</v>
      </c>
      <c r="R169" t="s">
        <v>46</v>
      </c>
      <c r="S169" t="s">
        <v>46</v>
      </c>
      <c r="T169" t="s">
        <v>46</v>
      </c>
      <c r="U169" t="s">
        <v>46</v>
      </c>
      <c r="V169" t="s">
        <v>46</v>
      </c>
      <c r="W169" t="s">
        <v>46</v>
      </c>
      <c r="X169" t="s">
        <v>46</v>
      </c>
      <c r="Y169" t="s">
        <v>46</v>
      </c>
      <c r="Z169" t="s">
        <v>46</v>
      </c>
      <c r="AA169" t="s">
        <v>46</v>
      </c>
      <c r="AB169" t="s">
        <v>46</v>
      </c>
      <c r="AC169" t="s">
        <v>46</v>
      </c>
    </row>
    <row r="170" spans="1:29" x14ac:dyDescent="0.25">
      <c r="A170" t="s">
        <v>60</v>
      </c>
      <c r="B170" t="s">
        <v>61</v>
      </c>
      <c r="C170" t="s">
        <v>53</v>
      </c>
      <c r="D170" t="s">
        <v>54</v>
      </c>
      <c r="E170" t="s">
        <v>55</v>
      </c>
      <c r="F170" t="s">
        <v>46</v>
      </c>
      <c r="G170">
        <v>3002.6345999999999</v>
      </c>
      <c r="R170" t="s">
        <v>46</v>
      </c>
      <c r="S170" t="s">
        <v>46</v>
      </c>
      <c r="T170" t="s">
        <v>46</v>
      </c>
      <c r="U170" t="s">
        <v>46</v>
      </c>
      <c r="V170" t="s">
        <v>46</v>
      </c>
      <c r="W170" t="s">
        <v>46</v>
      </c>
      <c r="X170" t="s">
        <v>46</v>
      </c>
      <c r="Y170" t="s">
        <v>46</v>
      </c>
      <c r="Z170" t="s">
        <v>46</v>
      </c>
      <c r="AA170" t="s">
        <v>46</v>
      </c>
      <c r="AB170" t="s">
        <v>46</v>
      </c>
      <c r="AC170" t="s">
        <v>46</v>
      </c>
    </row>
    <row r="171" spans="1:29" x14ac:dyDescent="0.25">
      <c r="A171" t="s">
        <v>62</v>
      </c>
      <c r="B171" t="s">
        <v>63</v>
      </c>
      <c r="C171" t="s">
        <v>53</v>
      </c>
      <c r="D171" t="s">
        <v>54</v>
      </c>
      <c r="E171" t="s">
        <v>55</v>
      </c>
      <c r="F171">
        <v>213.22919999999999</v>
      </c>
      <c r="G171">
        <v>164.184</v>
      </c>
      <c r="H171">
        <v>161.49160000000001</v>
      </c>
      <c r="I171">
        <v>171.96289999999999</v>
      </c>
      <c r="J171">
        <v>406.94099999999997</v>
      </c>
      <c r="K171">
        <v>298.10039999999998</v>
      </c>
      <c r="L171">
        <v>142.27610000000001</v>
      </c>
      <c r="M171">
        <v>130.16050000000001</v>
      </c>
      <c r="N171">
        <v>222.86930000000001</v>
      </c>
      <c r="O171">
        <v>190.74160000000001</v>
      </c>
      <c r="P171">
        <v>132.86770000000001</v>
      </c>
      <c r="Q171">
        <v>233.18989999999999</v>
      </c>
      <c r="R171" t="s">
        <v>46</v>
      </c>
      <c r="S171" t="s">
        <v>46</v>
      </c>
      <c r="T171" t="s">
        <v>46</v>
      </c>
      <c r="U171" t="s">
        <v>46</v>
      </c>
      <c r="V171" t="s">
        <v>46</v>
      </c>
      <c r="W171" t="s">
        <v>46</v>
      </c>
      <c r="X171" t="s">
        <v>46</v>
      </c>
      <c r="Y171" t="s">
        <v>46</v>
      </c>
      <c r="Z171" t="s">
        <v>46</v>
      </c>
      <c r="AA171" t="s">
        <v>46</v>
      </c>
      <c r="AB171" t="s">
        <v>46</v>
      </c>
      <c r="AC171" t="s">
        <v>46</v>
      </c>
    </row>
    <row r="172" spans="1:29" x14ac:dyDescent="0.25">
      <c r="A172" t="s">
        <v>64</v>
      </c>
      <c r="B172" t="s">
        <v>65</v>
      </c>
      <c r="C172" t="s">
        <v>53</v>
      </c>
      <c r="D172" t="s">
        <v>54</v>
      </c>
      <c r="E172" t="s">
        <v>55</v>
      </c>
      <c r="F172">
        <v>4282</v>
      </c>
      <c r="G172">
        <v>3424</v>
      </c>
      <c r="H172">
        <v>3077</v>
      </c>
      <c r="I172">
        <v>3003</v>
      </c>
      <c r="J172">
        <v>3668</v>
      </c>
      <c r="K172">
        <v>4511</v>
      </c>
      <c r="L172">
        <v>4763</v>
      </c>
      <c r="M172">
        <v>4247</v>
      </c>
      <c r="N172">
        <v>4830</v>
      </c>
      <c r="O172">
        <v>5056</v>
      </c>
      <c r="P172">
        <v>4713</v>
      </c>
      <c r="Q172">
        <v>4378</v>
      </c>
      <c r="R172" t="s">
        <v>46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</row>
    <row r="173" spans="1:29" x14ac:dyDescent="0.25">
      <c r="A173" t="s">
        <v>66</v>
      </c>
      <c r="B173" t="s">
        <v>67</v>
      </c>
      <c r="C173" t="s">
        <v>53</v>
      </c>
      <c r="D173" t="s">
        <v>54</v>
      </c>
      <c r="E173" t="s">
        <v>55</v>
      </c>
      <c r="F173">
        <v>395</v>
      </c>
      <c r="G173">
        <v>496</v>
      </c>
      <c r="H173">
        <v>228</v>
      </c>
      <c r="I173">
        <v>276</v>
      </c>
      <c r="J173">
        <v>520</v>
      </c>
      <c r="K173">
        <v>756</v>
      </c>
      <c r="L173">
        <v>586</v>
      </c>
      <c r="M173">
        <v>993</v>
      </c>
      <c r="N173">
        <v>553</v>
      </c>
      <c r="O173">
        <v>658</v>
      </c>
      <c r="P173">
        <v>468</v>
      </c>
      <c r="Q173">
        <v>309</v>
      </c>
      <c r="R173" t="s">
        <v>46</v>
      </c>
      <c r="S173" t="s">
        <v>46</v>
      </c>
      <c r="T173" t="s">
        <v>46</v>
      </c>
      <c r="U173" t="s">
        <v>46</v>
      </c>
      <c r="V173" t="s">
        <v>46</v>
      </c>
      <c r="W173" t="s">
        <v>46</v>
      </c>
      <c r="X173" t="s">
        <v>46</v>
      </c>
      <c r="Y173" t="s">
        <v>46</v>
      </c>
      <c r="Z173" t="s">
        <v>46</v>
      </c>
      <c r="AA173" t="s">
        <v>46</v>
      </c>
      <c r="AB173" t="s">
        <v>46</v>
      </c>
      <c r="AC173" t="s">
        <v>46</v>
      </c>
    </row>
    <row r="174" spans="1:29" x14ac:dyDescent="0.25">
      <c r="A174" t="s">
        <v>68</v>
      </c>
      <c r="B174" t="s">
        <v>69</v>
      </c>
      <c r="C174" t="s">
        <v>53</v>
      </c>
      <c r="D174" t="s">
        <v>54</v>
      </c>
      <c r="E174" t="s">
        <v>55</v>
      </c>
      <c r="F174">
        <v>3679</v>
      </c>
      <c r="G174">
        <v>2560</v>
      </c>
      <c r="H174">
        <v>2880</v>
      </c>
      <c r="I174">
        <v>1868</v>
      </c>
      <c r="J174">
        <v>2899</v>
      </c>
      <c r="K174">
        <v>2475</v>
      </c>
      <c r="L174">
        <v>2780</v>
      </c>
      <c r="M174">
        <v>2579</v>
      </c>
      <c r="N174">
        <v>2593</v>
      </c>
      <c r="O174">
        <v>2926</v>
      </c>
      <c r="P174">
        <v>2671</v>
      </c>
      <c r="Q174">
        <v>2517</v>
      </c>
      <c r="R174" t="s">
        <v>46</v>
      </c>
      <c r="S174" t="s">
        <v>46</v>
      </c>
      <c r="T174" t="s">
        <v>46</v>
      </c>
      <c r="U174" t="s">
        <v>46</v>
      </c>
      <c r="V174" t="s">
        <v>46</v>
      </c>
      <c r="W174" t="s">
        <v>46</v>
      </c>
      <c r="X174" t="s">
        <v>46</v>
      </c>
      <c r="Y174" t="s">
        <v>46</v>
      </c>
      <c r="Z174" t="s">
        <v>46</v>
      </c>
      <c r="AA174" t="s">
        <v>46</v>
      </c>
      <c r="AB174" t="s">
        <v>46</v>
      </c>
      <c r="AC174" t="s">
        <v>46</v>
      </c>
    </row>
    <row r="175" spans="1:29" x14ac:dyDescent="0.25">
      <c r="A175" t="s">
        <v>70</v>
      </c>
      <c r="B175" t="s">
        <v>71</v>
      </c>
      <c r="C175" t="s">
        <v>53</v>
      </c>
      <c r="D175" t="s">
        <v>54</v>
      </c>
      <c r="E175" t="s">
        <v>55</v>
      </c>
      <c r="F175">
        <v>916.25300000000004</v>
      </c>
      <c r="G175">
        <v>936.55200000000002</v>
      </c>
      <c r="H175">
        <v>853.24099999999999</v>
      </c>
      <c r="I175">
        <v>777.36500000000001</v>
      </c>
      <c r="J175">
        <v>762.529</v>
      </c>
      <c r="K175">
        <v>770.56</v>
      </c>
      <c r="L175">
        <v>685.10799999999995</v>
      </c>
      <c r="M175">
        <v>584.08100000000002</v>
      </c>
      <c r="N175">
        <v>535.85699999999997</v>
      </c>
      <c r="O175">
        <v>582.58500000000004</v>
      </c>
      <c r="P175">
        <v>512.49300000000005</v>
      </c>
      <c r="Q175">
        <v>443.50099999999998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</row>
    <row r="176" spans="1:29" x14ac:dyDescent="0.25">
      <c r="A176" t="s">
        <v>72</v>
      </c>
      <c r="B176" t="s">
        <v>73</v>
      </c>
      <c r="C176" t="s">
        <v>53</v>
      </c>
      <c r="D176" t="s">
        <v>54</v>
      </c>
      <c r="E176" t="s">
        <v>55</v>
      </c>
      <c r="F176">
        <v>401.62400000000002</v>
      </c>
      <c r="G176">
        <v>467.096</v>
      </c>
      <c r="H176">
        <v>456.87200000000001</v>
      </c>
      <c r="I176">
        <v>378.03</v>
      </c>
      <c r="J176">
        <v>325.37700000000001</v>
      </c>
      <c r="K176">
        <v>368.39600000000002</v>
      </c>
      <c r="L176">
        <v>401.23</v>
      </c>
      <c r="M176">
        <v>333.90300000000002</v>
      </c>
      <c r="N176">
        <v>424.226</v>
      </c>
      <c r="O176">
        <v>504.46800000000002</v>
      </c>
      <c r="P176">
        <v>440.05500000000001</v>
      </c>
      <c r="Q176">
        <v>441.06400000000002</v>
      </c>
      <c r="R176" t="s">
        <v>46</v>
      </c>
      <c r="S176" t="s">
        <v>46</v>
      </c>
      <c r="T176" t="s">
        <v>46</v>
      </c>
      <c r="U176" t="s">
        <v>46</v>
      </c>
      <c r="V176" t="s">
        <v>46</v>
      </c>
      <c r="W176" t="s">
        <v>46</v>
      </c>
      <c r="X176" t="s">
        <v>46</v>
      </c>
      <c r="Y176" t="s">
        <v>46</v>
      </c>
      <c r="Z176" t="s">
        <v>46</v>
      </c>
      <c r="AA176" t="s">
        <v>46</v>
      </c>
      <c r="AB176" t="s">
        <v>46</v>
      </c>
      <c r="AC176" t="s">
        <v>46</v>
      </c>
    </row>
    <row r="177" spans="1:29" x14ac:dyDescent="0.25">
      <c r="A177" t="s">
        <v>74</v>
      </c>
      <c r="B177" t="s">
        <v>75</v>
      </c>
      <c r="C177" t="s">
        <v>53</v>
      </c>
      <c r="D177" t="s">
        <v>54</v>
      </c>
      <c r="E177" t="s">
        <v>55</v>
      </c>
      <c r="F177">
        <v>2031.9079999999999</v>
      </c>
      <c r="G177">
        <v>1673.6</v>
      </c>
      <c r="H177">
        <v>1096.9000000000001</v>
      </c>
      <c r="I177">
        <v>1648.2</v>
      </c>
      <c r="J177">
        <v>1648.1110000000001</v>
      </c>
      <c r="K177">
        <v>1360.9</v>
      </c>
      <c r="L177">
        <v>1318.6</v>
      </c>
      <c r="M177">
        <v>1457.2</v>
      </c>
      <c r="N177">
        <v>977.85619999999994</v>
      </c>
      <c r="O177">
        <v>1300.5999999999999</v>
      </c>
      <c r="P177">
        <v>1488.8</v>
      </c>
      <c r="Q177">
        <v>1808.3</v>
      </c>
      <c r="R177" t="s">
        <v>46</v>
      </c>
      <c r="S177" t="s">
        <v>46</v>
      </c>
      <c r="T177" t="s">
        <v>46</v>
      </c>
      <c r="U177" t="s">
        <v>46</v>
      </c>
      <c r="V177" t="s">
        <v>46</v>
      </c>
      <c r="W177" t="s">
        <v>46</v>
      </c>
      <c r="X177" t="s">
        <v>46</v>
      </c>
      <c r="Y177" t="s">
        <v>46</v>
      </c>
      <c r="Z177" t="s">
        <v>46</v>
      </c>
      <c r="AA177" t="s">
        <v>46</v>
      </c>
      <c r="AB177" t="s">
        <v>46</v>
      </c>
      <c r="AC177" t="s">
        <v>46</v>
      </c>
    </row>
    <row r="178" spans="1:29" x14ac:dyDescent="0.25">
      <c r="A178" t="s">
        <v>76</v>
      </c>
      <c r="B178" t="s">
        <v>77</v>
      </c>
      <c r="C178" t="s">
        <v>53</v>
      </c>
      <c r="D178" t="s">
        <v>54</v>
      </c>
      <c r="E178" t="s">
        <v>55</v>
      </c>
      <c r="F178">
        <v>899.73170000000005</v>
      </c>
      <c r="G178">
        <v>959.52819999999997</v>
      </c>
      <c r="H178">
        <v>823.83069999999998</v>
      </c>
      <c r="I178">
        <v>841.57349999999997</v>
      </c>
      <c r="J178">
        <v>941.89070000000004</v>
      </c>
      <c r="K178">
        <v>1051.0932</v>
      </c>
      <c r="L178">
        <v>996.01660000000004</v>
      </c>
      <c r="M178">
        <v>1104.6267</v>
      </c>
      <c r="N178">
        <v>926.24980000000005</v>
      </c>
      <c r="O178">
        <v>842.15309999999999</v>
      </c>
      <c r="P178">
        <v>753.62149999999997</v>
      </c>
      <c r="Q178">
        <v>614.93020000000001</v>
      </c>
      <c r="R178" t="s">
        <v>46</v>
      </c>
      <c r="S178" t="s">
        <v>46</v>
      </c>
      <c r="T178" t="s">
        <v>46</v>
      </c>
      <c r="U178" t="s">
        <v>46</v>
      </c>
      <c r="V178" t="s">
        <v>46</v>
      </c>
      <c r="W178" t="s">
        <v>46</v>
      </c>
      <c r="X178" t="s">
        <v>46</v>
      </c>
      <c r="Y178" t="s">
        <v>46</v>
      </c>
      <c r="Z178" t="s">
        <v>46</v>
      </c>
      <c r="AA178" t="s">
        <v>46</v>
      </c>
      <c r="AB178" t="s">
        <v>46</v>
      </c>
      <c r="AC178" t="s">
        <v>46</v>
      </c>
    </row>
    <row r="179" spans="1:29" x14ac:dyDescent="0.25">
      <c r="A179" t="s">
        <v>78</v>
      </c>
      <c r="B179" t="s">
        <v>79</v>
      </c>
      <c r="C179" t="s">
        <v>53</v>
      </c>
      <c r="D179" t="s">
        <v>54</v>
      </c>
      <c r="E179" t="s">
        <v>55</v>
      </c>
      <c r="F179">
        <v>3091.7946000000002</v>
      </c>
      <c r="G179">
        <v>2859.4092999999998</v>
      </c>
      <c r="H179">
        <v>2828.8416999999999</v>
      </c>
      <c r="I179">
        <v>3048.8822</v>
      </c>
      <c r="J179">
        <v>3778.6718000000001</v>
      </c>
      <c r="K179">
        <v>3769.1203999999998</v>
      </c>
      <c r="L179">
        <v>3505.3308000000002</v>
      </c>
      <c r="M179">
        <v>3414.6768999999999</v>
      </c>
      <c r="N179">
        <v>4025.7896000000001</v>
      </c>
      <c r="O179">
        <v>3616.5164</v>
      </c>
      <c r="P179">
        <v>5426.3198000000002</v>
      </c>
      <c r="Q179">
        <v>5184.9353000000001</v>
      </c>
      <c r="R179" t="s">
        <v>46</v>
      </c>
      <c r="S179" t="s">
        <v>46</v>
      </c>
      <c r="T179" t="s">
        <v>46</v>
      </c>
      <c r="U179" t="s">
        <v>46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</row>
    <row r="180" spans="1:29" x14ac:dyDescent="0.25">
      <c r="A180" t="s">
        <v>80</v>
      </c>
      <c r="B180" t="s">
        <v>81</v>
      </c>
      <c r="C180" t="s">
        <v>53</v>
      </c>
      <c r="D180" t="s">
        <v>54</v>
      </c>
      <c r="E180" t="s">
        <v>55</v>
      </c>
      <c r="F180">
        <v>11865</v>
      </c>
      <c r="G180">
        <v>8868</v>
      </c>
      <c r="H180">
        <v>10820</v>
      </c>
      <c r="I180">
        <v>46273</v>
      </c>
      <c r="J180">
        <v>18006</v>
      </c>
      <c r="K180">
        <v>11997</v>
      </c>
      <c r="L180">
        <v>14495</v>
      </c>
      <c r="M180">
        <v>11707</v>
      </c>
      <c r="N180">
        <v>12842</v>
      </c>
      <c r="O180">
        <v>12580</v>
      </c>
      <c r="P180">
        <v>11515</v>
      </c>
      <c r="Q180">
        <v>12295</v>
      </c>
      <c r="R180" t="s">
        <v>46</v>
      </c>
      <c r="S180" t="s">
        <v>46</v>
      </c>
      <c r="T180" t="s">
        <v>46</v>
      </c>
      <c r="U180" t="s">
        <v>46</v>
      </c>
      <c r="V180" t="s">
        <v>46</v>
      </c>
      <c r="W180" t="s">
        <v>46</v>
      </c>
      <c r="X180" t="s">
        <v>46</v>
      </c>
      <c r="Y180" t="s">
        <v>46</v>
      </c>
      <c r="Z180" t="s">
        <v>46</v>
      </c>
      <c r="AA180" t="s">
        <v>46</v>
      </c>
      <c r="AB180" t="s">
        <v>46</v>
      </c>
      <c r="AC180" t="s">
        <v>46</v>
      </c>
    </row>
    <row r="181" spans="1:29" x14ac:dyDescent="0.25">
      <c r="A181" t="s">
        <v>82</v>
      </c>
      <c r="B181" t="s">
        <v>83</v>
      </c>
      <c r="C181" t="s">
        <v>53</v>
      </c>
      <c r="D181" t="s">
        <v>54</v>
      </c>
      <c r="E181" t="s">
        <v>55</v>
      </c>
      <c r="F181">
        <v>4721.9387999999999</v>
      </c>
      <c r="G181">
        <v>5187.5407999999998</v>
      </c>
      <c r="H181">
        <v>6573.2257</v>
      </c>
      <c r="I181">
        <v>6155.2165999999997</v>
      </c>
      <c r="J181">
        <v>6021.4964</v>
      </c>
      <c r="K181">
        <v>5176.9264000000003</v>
      </c>
      <c r="L181">
        <v>4669.6392999999998</v>
      </c>
      <c r="M181">
        <v>5601.6063999999997</v>
      </c>
      <c r="N181">
        <v>6546.5709999999999</v>
      </c>
      <c r="O181">
        <v>5752.5664999999999</v>
      </c>
      <c r="P181">
        <v>5132.0581000000002</v>
      </c>
      <c r="Q181">
        <v>4935.3217999999997</v>
      </c>
      <c r="R181" t="s">
        <v>46</v>
      </c>
      <c r="S181" t="s">
        <v>46</v>
      </c>
      <c r="T181" t="s">
        <v>46</v>
      </c>
      <c r="U181" t="s">
        <v>46</v>
      </c>
      <c r="V181" t="s">
        <v>46</v>
      </c>
      <c r="W181" t="s">
        <v>46</v>
      </c>
      <c r="X181" t="s">
        <v>46</v>
      </c>
      <c r="Y181" t="s">
        <v>46</v>
      </c>
      <c r="Z181" t="s">
        <v>46</v>
      </c>
      <c r="AA181" t="s">
        <v>46</v>
      </c>
      <c r="AB181" t="s">
        <v>46</v>
      </c>
      <c r="AC181" t="s">
        <v>46</v>
      </c>
    </row>
    <row r="182" spans="1:29" x14ac:dyDescent="0.25">
      <c r="A182" t="s">
        <v>84</v>
      </c>
      <c r="B182" t="s">
        <v>85</v>
      </c>
      <c r="C182" t="s">
        <v>53</v>
      </c>
      <c r="D182" t="s">
        <v>54</v>
      </c>
      <c r="E182" t="s">
        <v>55</v>
      </c>
      <c r="F182">
        <v>1162.2887000000001</v>
      </c>
      <c r="G182">
        <v>1148.8041000000001</v>
      </c>
      <c r="H182">
        <v>1061.7601999999999</v>
      </c>
      <c r="I182">
        <v>1128.9786999999999</v>
      </c>
      <c r="J182">
        <v>1251.8013000000001</v>
      </c>
      <c r="K182">
        <v>961.51530000000002</v>
      </c>
      <c r="L182">
        <v>876.47739999999999</v>
      </c>
      <c r="M182">
        <v>1047.7985000000001</v>
      </c>
      <c r="N182">
        <v>989.06240000000003</v>
      </c>
      <c r="O182">
        <v>950.37699999999995</v>
      </c>
      <c r="P182">
        <v>912.20960000000002</v>
      </c>
      <c r="Q182">
        <v>931.04449999999997</v>
      </c>
      <c r="R182" t="s">
        <v>46</v>
      </c>
      <c r="S182" t="s">
        <v>46</v>
      </c>
      <c r="T182" t="s">
        <v>46</v>
      </c>
      <c r="U182" t="s">
        <v>46</v>
      </c>
      <c r="V182" t="s">
        <v>46</v>
      </c>
      <c r="W182" t="s">
        <v>46</v>
      </c>
      <c r="X182" t="s">
        <v>46</v>
      </c>
      <c r="Y182" t="s">
        <v>46</v>
      </c>
      <c r="Z182" t="s">
        <v>46</v>
      </c>
      <c r="AA182" t="s">
        <v>46</v>
      </c>
      <c r="AB182" t="s">
        <v>46</v>
      </c>
      <c r="AC182" t="s">
        <v>46</v>
      </c>
    </row>
    <row r="183" spans="1:29" x14ac:dyDescent="0.25">
      <c r="A183" t="s">
        <v>86</v>
      </c>
      <c r="B183" t="s">
        <v>87</v>
      </c>
      <c r="C183" t="s">
        <v>53</v>
      </c>
      <c r="D183" t="s">
        <v>54</v>
      </c>
      <c r="E183" t="s">
        <v>55</v>
      </c>
      <c r="F183">
        <v>4433.0316999999995</v>
      </c>
      <c r="G183">
        <v>4926.5771999999997</v>
      </c>
      <c r="H183">
        <v>4615.3236999999999</v>
      </c>
      <c r="I183">
        <v>6147.8609999999999</v>
      </c>
      <c r="J183">
        <v>5470.6715000000004</v>
      </c>
      <c r="K183">
        <v>5092.1509999999998</v>
      </c>
      <c r="L183">
        <v>4529.7762000000002</v>
      </c>
      <c r="M183">
        <v>4693.8882999999996</v>
      </c>
      <c r="N183">
        <v>4513.4742999999999</v>
      </c>
      <c r="O183">
        <v>4531.5771999999997</v>
      </c>
      <c r="P183">
        <v>5883.2134999999998</v>
      </c>
      <c r="Q183">
        <v>5757.2821999999996</v>
      </c>
      <c r="R183" t="s">
        <v>46</v>
      </c>
      <c r="S183" t="s">
        <v>46</v>
      </c>
      <c r="T183" t="s">
        <v>46</v>
      </c>
      <c r="U183" t="s">
        <v>46</v>
      </c>
      <c r="V183" t="s">
        <v>46</v>
      </c>
      <c r="W183" t="s">
        <v>46</v>
      </c>
      <c r="X183" t="s">
        <v>46</v>
      </c>
      <c r="Y183" t="s">
        <v>46</v>
      </c>
      <c r="Z183" t="s">
        <v>46</v>
      </c>
      <c r="AA183" t="s">
        <v>46</v>
      </c>
      <c r="AB183" t="s">
        <v>46</v>
      </c>
      <c r="AC183" t="s">
        <v>46</v>
      </c>
    </row>
    <row r="184" spans="1:29" x14ac:dyDescent="0.25">
      <c r="A184" t="s">
        <v>51</v>
      </c>
      <c r="B184" t="s">
        <v>52</v>
      </c>
      <c r="C184" t="s">
        <v>89</v>
      </c>
      <c r="D184" t="s">
        <v>90</v>
      </c>
      <c r="E184" t="s">
        <v>55</v>
      </c>
      <c r="F184">
        <v>8517.9490000000005</v>
      </c>
      <c r="G184">
        <v>8577.3860000000004</v>
      </c>
      <c r="H184">
        <v>8095.0709999999999</v>
      </c>
      <c r="I184">
        <v>8134.1469999999999</v>
      </c>
      <c r="J184">
        <v>8151.4110000000001</v>
      </c>
      <c r="K184">
        <v>8023.0569999999998</v>
      </c>
      <c r="L184">
        <v>4996.4539999999997</v>
      </c>
      <c r="M184">
        <v>4986.652</v>
      </c>
      <c r="N184">
        <v>5030.6980000000003</v>
      </c>
      <c r="O184">
        <v>4981.0839999999998</v>
      </c>
      <c r="P184">
        <v>4569.2139999999999</v>
      </c>
      <c r="Q184">
        <v>4474.415</v>
      </c>
      <c r="R184" t="s">
        <v>46</v>
      </c>
      <c r="S184" t="s">
        <v>46</v>
      </c>
      <c r="T184" t="s">
        <v>46</v>
      </c>
      <c r="U184" t="s">
        <v>46</v>
      </c>
      <c r="V184" t="s">
        <v>46</v>
      </c>
      <c r="W184" t="s">
        <v>46</v>
      </c>
      <c r="X184" t="s">
        <v>46</v>
      </c>
      <c r="Y184" t="s">
        <v>46</v>
      </c>
      <c r="Z184" t="s">
        <v>46</v>
      </c>
      <c r="AA184" t="s">
        <v>46</v>
      </c>
      <c r="AB184" t="s">
        <v>46</v>
      </c>
      <c r="AC184" t="s">
        <v>46</v>
      </c>
    </row>
    <row r="185" spans="1:29" x14ac:dyDescent="0.25">
      <c r="A185" t="s">
        <v>56</v>
      </c>
      <c r="B185" t="s">
        <v>57</v>
      </c>
      <c r="C185" t="s">
        <v>89</v>
      </c>
      <c r="D185" t="s">
        <v>90</v>
      </c>
      <c r="E185" t="s">
        <v>55</v>
      </c>
      <c r="F185">
        <v>755.39300000000003</v>
      </c>
      <c r="G185">
        <v>1002.264</v>
      </c>
      <c r="H185">
        <v>987.85799999999995</v>
      </c>
      <c r="I185">
        <v>952.89099999999996</v>
      </c>
      <c r="J185">
        <v>764.928</v>
      </c>
      <c r="K185">
        <v>1008.748</v>
      </c>
      <c r="L185">
        <v>707.505</v>
      </c>
      <c r="M185">
        <v>733.27499999999998</v>
      </c>
      <c r="N185">
        <v>722.90200000000004</v>
      </c>
      <c r="O185">
        <v>681.63300000000004</v>
      </c>
      <c r="P185">
        <v>635.37300000000005</v>
      </c>
      <c r="Q185">
        <v>718.48800000000006</v>
      </c>
      <c r="R185" t="s">
        <v>46</v>
      </c>
      <c r="S185" t="s">
        <v>46</v>
      </c>
      <c r="T185" t="s">
        <v>46</v>
      </c>
      <c r="U185" t="s">
        <v>46</v>
      </c>
      <c r="V185" t="s">
        <v>46</v>
      </c>
      <c r="W185" t="s">
        <v>46</v>
      </c>
      <c r="X185" t="s">
        <v>46</v>
      </c>
      <c r="Y185" t="s">
        <v>46</v>
      </c>
      <c r="Z185" t="s">
        <v>46</v>
      </c>
      <c r="AA185" t="s">
        <v>46</v>
      </c>
      <c r="AB185" t="s">
        <v>46</v>
      </c>
      <c r="AC185" t="s">
        <v>46</v>
      </c>
    </row>
    <row r="186" spans="1:29" x14ac:dyDescent="0.25">
      <c r="A186" t="s">
        <v>58</v>
      </c>
      <c r="B186" t="s">
        <v>59</v>
      </c>
      <c r="C186" t="s">
        <v>89</v>
      </c>
      <c r="D186" t="s">
        <v>90</v>
      </c>
      <c r="E186" t="s">
        <v>55</v>
      </c>
      <c r="F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</row>
    <row r="187" spans="1:29" x14ac:dyDescent="0.25">
      <c r="A187" t="s">
        <v>60</v>
      </c>
      <c r="B187" t="s">
        <v>61</v>
      </c>
      <c r="C187" t="s">
        <v>89</v>
      </c>
      <c r="D187" t="s">
        <v>90</v>
      </c>
      <c r="E187" t="s">
        <v>55</v>
      </c>
      <c r="F187" t="s">
        <v>46</v>
      </c>
      <c r="G187">
        <v>2381.6709000000001</v>
      </c>
      <c r="R187" t="s">
        <v>46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</row>
    <row r="188" spans="1:29" x14ac:dyDescent="0.25">
      <c r="A188" t="s">
        <v>62</v>
      </c>
      <c r="B188" t="s">
        <v>63</v>
      </c>
      <c r="C188" t="s">
        <v>89</v>
      </c>
      <c r="D188" t="s">
        <v>90</v>
      </c>
      <c r="E188" t="s">
        <v>55</v>
      </c>
      <c r="F188">
        <v>1050.2968000000001</v>
      </c>
      <c r="G188">
        <v>1201.5264</v>
      </c>
      <c r="H188">
        <v>739.91989999999998</v>
      </c>
      <c r="I188">
        <v>1129.473</v>
      </c>
      <c r="J188">
        <v>1093.7877000000001</v>
      </c>
      <c r="K188">
        <v>1118.5298</v>
      </c>
      <c r="L188">
        <v>870.83389999999997</v>
      </c>
      <c r="N188">
        <v>1039.5776000000001</v>
      </c>
      <c r="O188">
        <v>1146.1818000000001</v>
      </c>
      <c r="P188">
        <v>746.17909999999995</v>
      </c>
      <c r="Q188">
        <v>971.27319999999997</v>
      </c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</row>
    <row r="189" spans="1:29" x14ac:dyDescent="0.25">
      <c r="A189" t="s">
        <v>64</v>
      </c>
      <c r="B189" t="s">
        <v>65</v>
      </c>
      <c r="C189" t="s">
        <v>89</v>
      </c>
      <c r="D189" t="s">
        <v>90</v>
      </c>
      <c r="E189" t="s">
        <v>55</v>
      </c>
      <c r="F189">
        <v>3220</v>
      </c>
      <c r="G189">
        <v>3256</v>
      </c>
      <c r="H189">
        <v>3438</v>
      </c>
      <c r="I189">
        <v>3386</v>
      </c>
      <c r="J189">
        <v>3377</v>
      </c>
      <c r="K189">
        <v>3190</v>
      </c>
      <c r="L189">
        <v>3187</v>
      </c>
      <c r="M189">
        <v>3204</v>
      </c>
      <c r="N189">
        <v>3145</v>
      </c>
      <c r="O189">
        <v>2865</v>
      </c>
      <c r="P189">
        <v>2889</v>
      </c>
      <c r="Q189">
        <v>2680</v>
      </c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</row>
    <row r="190" spans="1:29" x14ac:dyDescent="0.25">
      <c r="A190" t="s">
        <v>66</v>
      </c>
      <c r="B190" t="s">
        <v>67</v>
      </c>
      <c r="C190" t="s">
        <v>89</v>
      </c>
      <c r="D190" t="s">
        <v>90</v>
      </c>
      <c r="E190" t="s">
        <v>55</v>
      </c>
      <c r="F190">
        <v>690</v>
      </c>
      <c r="G190">
        <v>652</v>
      </c>
      <c r="H190">
        <v>840</v>
      </c>
      <c r="I190">
        <v>824</v>
      </c>
      <c r="J190">
        <v>820</v>
      </c>
      <c r="K190">
        <v>782</v>
      </c>
      <c r="L190">
        <v>951</v>
      </c>
      <c r="M190">
        <v>930</v>
      </c>
      <c r="N190">
        <v>1026</v>
      </c>
      <c r="O190">
        <v>1115</v>
      </c>
      <c r="P190">
        <v>1411</v>
      </c>
      <c r="Q190">
        <v>1413</v>
      </c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</row>
    <row r="191" spans="1:29" x14ac:dyDescent="0.25">
      <c r="A191" t="s">
        <v>68</v>
      </c>
      <c r="B191" t="s">
        <v>69</v>
      </c>
      <c r="C191" t="s">
        <v>89</v>
      </c>
      <c r="D191" t="s">
        <v>90</v>
      </c>
      <c r="E191" t="s">
        <v>55</v>
      </c>
      <c r="F191">
        <v>2094</v>
      </c>
      <c r="G191">
        <v>4619</v>
      </c>
      <c r="H191">
        <v>4611</v>
      </c>
      <c r="I191">
        <v>5234</v>
      </c>
      <c r="J191">
        <v>2508</v>
      </c>
      <c r="K191">
        <v>5096</v>
      </c>
      <c r="L191">
        <v>4928</v>
      </c>
      <c r="M191">
        <v>5271</v>
      </c>
      <c r="N191">
        <v>3110</v>
      </c>
      <c r="O191">
        <v>5611</v>
      </c>
      <c r="P191">
        <v>5676</v>
      </c>
      <c r="Q191">
        <v>5776</v>
      </c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</row>
    <row r="192" spans="1:29" x14ac:dyDescent="0.25">
      <c r="A192" t="s">
        <v>70</v>
      </c>
      <c r="B192" t="s">
        <v>71</v>
      </c>
      <c r="C192" t="s">
        <v>89</v>
      </c>
      <c r="D192" t="s">
        <v>90</v>
      </c>
      <c r="E192" t="s">
        <v>55</v>
      </c>
      <c r="F192">
        <v>542.69799999999998</v>
      </c>
      <c r="G192">
        <v>497.71600000000001</v>
      </c>
      <c r="H192">
        <v>339.11200000000002</v>
      </c>
      <c r="I192">
        <v>343.86399999999998</v>
      </c>
      <c r="J192">
        <v>307.202</v>
      </c>
      <c r="K192">
        <v>297.685</v>
      </c>
      <c r="L192">
        <v>282.27600000000001</v>
      </c>
      <c r="M192">
        <v>283.00099999999998</v>
      </c>
      <c r="N192">
        <v>262.29500000000002</v>
      </c>
      <c r="O192">
        <v>265.63900000000001</v>
      </c>
      <c r="P192">
        <v>230.119</v>
      </c>
      <c r="Q192">
        <v>208.273</v>
      </c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</row>
    <row r="193" spans="1:29" x14ac:dyDescent="0.25">
      <c r="A193" t="s">
        <v>72</v>
      </c>
      <c r="B193" t="s">
        <v>73</v>
      </c>
      <c r="C193" t="s">
        <v>89</v>
      </c>
      <c r="D193" t="s">
        <v>90</v>
      </c>
      <c r="E193" t="s">
        <v>55</v>
      </c>
      <c r="F193">
        <v>910.95500000000004</v>
      </c>
      <c r="G193">
        <v>914.255</v>
      </c>
      <c r="H193">
        <v>863.23199999999997</v>
      </c>
      <c r="I193">
        <v>856.60199999999998</v>
      </c>
      <c r="J193">
        <v>838.99199999999996</v>
      </c>
      <c r="K193">
        <v>774.18399999999997</v>
      </c>
      <c r="L193">
        <v>710.04499999999996</v>
      </c>
      <c r="M193">
        <v>691.34699999999998</v>
      </c>
      <c r="N193">
        <v>703.06600000000003</v>
      </c>
      <c r="O193">
        <v>693.08500000000004</v>
      </c>
      <c r="P193">
        <v>670.69200000000001</v>
      </c>
      <c r="Q193">
        <v>637.61300000000006</v>
      </c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</row>
    <row r="194" spans="1:29" x14ac:dyDescent="0.25">
      <c r="A194" t="s">
        <v>74</v>
      </c>
      <c r="B194" t="s">
        <v>75</v>
      </c>
      <c r="C194" t="s">
        <v>89</v>
      </c>
      <c r="D194" t="s">
        <v>90</v>
      </c>
      <c r="E194" t="s">
        <v>55</v>
      </c>
      <c r="F194">
        <v>1867.9970000000001</v>
      </c>
      <c r="G194">
        <v>1859.2</v>
      </c>
      <c r="H194">
        <v>1944.8</v>
      </c>
      <c r="I194">
        <v>1693.5</v>
      </c>
      <c r="J194">
        <v>1693.5129999999999</v>
      </c>
      <c r="K194">
        <v>1601.3</v>
      </c>
      <c r="L194">
        <v>1494.3</v>
      </c>
      <c r="M194">
        <v>1504.9</v>
      </c>
      <c r="N194">
        <v>1479.6792</v>
      </c>
      <c r="O194">
        <v>1463.1</v>
      </c>
      <c r="P194">
        <v>1362.5</v>
      </c>
      <c r="Q194">
        <v>1321.4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</row>
    <row r="195" spans="1:29" x14ac:dyDescent="0.25">
      <c r="A195" t="s">
        <v>76</v>
      </c>
      <c r="B195" t="s">
        <v>77</v>
      </c>
      <c r="C195" t="s">
        <v>89</v>
      </c>
      <c r="D195" t="s">
        <v>90</v>
      </c>
      <c r="E195" t="s">
        <v>55</v>
      </c>
      <c r="F195" t="s">
        <v>46</v>
      </c>
      <c r="G195">
        <v>1151.5036</v>
      </c>
      <c r="I195">
        <v>1259.2257999999999</v>
      </c>
      <c r="K195">
        <v>1095.8304000000001</v>
      </c>
      <c r="M195">
        <v>1133.1419000000001</v>
      </c>
      <c r="O195">
        <v>1460.0129999999999</v>
      </c>
      <c r="P195">
        <v>1661.5083</v>
      </c>
      <c r="Q195">
        <v>1564.6572000000001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</row>
    <row r="196" spans="1:29" x14ac:dyDescent="0.25">
      <c r="A196" t="s">
        <v>78</v>
      </c>
      <c r="B196" t="s">
        <v>79</v>
      </c>
      <c r="C196" t="s">
        <v>89</v>
      </c>
      <c r="D196" t="s">
        <v>90</v>
      </c>
      <c r="E196" t="s">
        <v>55</v>
      </c>
      <c r="F196">
        <v>2452.7123000000001</v>
      </c>
      <c r="G196">
        <v>2534.9423000000002</v>
      </c>
      <c r="H196">
        <v>2271.875</v>
      </c>
      <c r="I196">
        <v>2292.7188000000001</v>
      </c>
      <c r="J196">
        <v>2138.8191000000002</v>
      </c>
      <c r="K196">
        <v>2132.4436999999998</v>
      </c>
      <c r="L196">
        <v>2037.3676</v>
      </c>
      <c r="M196">
        <v>2000.5842</v>
      </c>
      <c r="N196">
        <v>2017.4232999999999</v>
      </c>
      <c r="O196">
        <v>2058.3697999999999</v>
      </c>
      <c r="P196">
        <v>2054.0167999999999</v>
      </c>
      <c r="Q196">
        <v>1932.5316</v>
      </c>
      <c r="R196" t="s">
        <v>46</v>
      </c>
      <c r="S196" t="s">
        <v>46</v>
      </c>
      <c r="T196" t="s">
        <v>46</v>
      </c>
      <c r="U196" t="s">
        <v>46</v>
      </c>
      <c r="V196" t="s">
        <v>46</v>
      </c>
      <c r="W196" t="s">
        <v>46</v>
      </c>
      <c r="X196" t="s">
        <v>46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</row>
    <row r="197" spans="1:29" x14ac:dyDescent="0.25">
      <c r="A197" t="s">
        <v>80</v>
      </c>
      <c r="B197" t="s">
        <v>81</v>
      </c>
      <c r="C197" t="s">
        <v>89</v>
      </c>
      <c r="D197" t="s">
        <v>90</v>
      </c>
      <c r="E197" t="s">
        <v>55</v>
      </c>
      <c r="F197">
        <v>19053</v>
      </c>
      <c r="G197">
        <v>22062</v>
      </c>
      <c r="H197">
        <v>19083</v>
      </c>
      <c r="I197">
        <v>22957</v>
      </c>
      <c r="J197">
        <v>27274</v>
      </c>
      <c r="K197">
        <v>29820</v>
      </c>
      <c r="L197">
        <v>26320</v>
      </c>
      <c r="M197">
        <v>27251</v>
      </c>
      <c r="N197">
        <v>28023</v>
      </c>
      <c r="O197">
        <v>30649</v>
      </c>
      <c r="P197">
        <v>26200</v>
      </c>
      <c r="Q197">
        <v>25964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</row>
    <row r="198" spans="1:29" x14ac:dyDescent="0.25">
      <c r="A198" t="s">
        <v>82</v>
      </c>
      <c r="B198" t="s">
        <v>83</v>
      </c>
      <c r="C198" t="s">
        <v>89</v>
      </c>
      <c r="D198" t="s">
        <v>90</v>
      </c>
      <c r="E198" t="s">
        <v>55</v>
      </c>
      <c r="F198">
        <v>4050.7498000000001</v>
      </c>
      <c r="G198">
        <v>4090.306</v>
      </c>
      <c r="H198">
        <v>3913.0589</v>
      </c>
      <c r="I198">
        <v>4070.2541000000001</v>
      </c>
      <c r="J198">
        <v>3944.7055</v>
      </c>
      <c r="K198">
        <v>3914.0479</v>
      </c>
      <c r="L198">
        <v>3944.0657999999999</v>
      </c>
      <c r="M198">
        <v>3977.51</v>
      </c>
      <c r="N198">
        <v>3828.9902999999999</v>
      </c>
      <c r="O198">
        <v>3796.9351000000001</v>
      </c>
      <c r="P198">
        <v>3786.2280000000001</v>
      </c>
      <c r="Q198">
        <v>3512.076</v>
      </c>
      <c r="R198" t="s">
        <v>46</v>
      </c>
      <c r="S198" t="s">
        <v>46</v>
      </c>
      <c r="T198" t="s">
        <v>46</v>
      </c>
      <c r="U198" t="s">
        <v>46</v>
      </c>
      <c r="V198" t="s">
        <v>46</v>
      </c>
      <c r="W198" t="s">
        <v>46</v>
      </c>
      <c r="X198" t="s">
        <v>46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</row>
    <row r="199" spans="1:29" x14ac:dyDescent="0.25">
      <c r="A199" t="s">
        <v>84</v>
      </c>
      <c r="B199" t="s">
        <v>85</v>
      </c>
      <c r="C199" t="s">
        <v>89</v>
      </c>
      <c r="D199" t="s">
        <v>90</v>
      </c>
      <c r="E199" t="s">
        <v>55</v>
      </c>
      <c r="F199">
        <v>1005.2800999999999</v>
      </c>
      <c r="G199">
        <v>1109.1268</v>
      </c>
      <c r="H199">
        <v>1036.6615999999999</v>
      </c>
      <c r="I199">
        <v>970.70950000000005</v>
      </c>
      <c r="J199">
        <v>1003.7895</v>
      </c>
      <c r="K199">
        <v>1095.8531</v>
      </c>
      <c r="L199">
        <v>991.13570000000004</v>
      </c>
      <c r="M199">
        <v>971.02589999999998</v>
      </c>
      <c r="N199">
        <v>997.49009999999998</v>
      </c>
      <c r="O199">
        <v>1009.295</v>
      </c>
      <c r="P199">
        <v>943.3818</v>
      </c>
      <c r="Q199">
        <v>910.47799999999995</v>
      </c>
      <c r="R199" t="s">
        <v>46</v>
      </c>
      <c r="S199" t="s">
        <v>46</v>
      </c>
      <c r="T199" t="s">
        <v>46</v>
      </c>
      <c r="U199" t="s">
        <v>46</v>
      </c>
      <c r="V199" t="s">
        <v>46</v>
      </c>
      <c r="W199" t="s">
        <v>46</v>
      </c>
      <c r="X199" t="s">
        <v>46</v>
      </c>
      <c r="Y199" t="s">
        <v>46</v>
      </c>
      <c r="Z199" t="s">
        <v>46</v>
      </c>
      <c r="AA199" t="s">
        <v>46</v>
      </c>
      <c r="AB199" t="s">
        <v>46</v>
      </c>
      <c r="AC199" t="s">
        <v>46</v>
      </c>
    </row>
    <row r="200" spans="1:29" x14ac:dyDescent="0.25">
      <c r="A200" t="s">
        <v>86</v>
      </c>
      <c r="B200" t="s">
        <v>87</v>
      </c>
      <c r="C200" t="s">
        <v>89</v>
      </c>
      <c r="D200" t="s">
        <v>90</v>
      </c>
      <c r="E200" t="s">
        <v>55</v>
      </c>
      <c r="F200">
        <v>1386.0803000000001</v>
      </c>
      <c r="G200">
        <v>1412.7442000000001</v>
      </c>
      <c r="H200">
        <v>1370.7805000000001</v>
      </c>
      <c r="I200">
        <v>1390.1539</v>
      </c>
      <c r="J200">
        <v>1449.5703000000001</v>
      </c>
      <c r="K200">
        <v>1435.5574999999999</v>
      </c>
      <c r="L200">
        <v>1466.3368</v>
      </c>
      <c r="M200">
        <v>1425.4545000000001</v>
      </c>
      <c r="N200">
        <v>1550.2936</v>
      </c>
      <c r="O200">
        <v>1566.1339</v>
      </c>
      <c r="P200">
        <v>1528.4927</v>
      </c>
      <c r="Q200">
        <v>1515.8488</v>
      </c>
      <c r="R200" t="s">
        <v>46</v>
      </c>
      <c r="S200" t="s">
        <v>46</v>
      </c>
      <c r="T200" t="s">
        <v>46</v>
      </c>
      <c r="U200" t="s">
        <v>46</v>
      </c>
      <c r="V200" t="s">
        <v>46</v>
      </c>
      <c r="W200" t="s">
        <v>46</v>
      </c>
      <c r="X200" t="s">
        <v>46</v>
      </c>
      <c r="Y200" t="s">
        <v>46</v>
      </c>
      <c r="Z200" t="s">
        <v>46</v>
      </c>
      <c r="AA200" t="s">
        <v>46</v>
      </c>
      <c r="AB200" t="s">
        <v>46</v>
      </c>
      <c r="AC200" t="s">
        <v>46</v>
      </c>
    </row>
    <row r="201" spans="1:29" x14ac:dyDescent="0.25">
      <c r="A201" t="s">
        <v>51</v>
      </c>
      <c r="B201" t="s">
        <v>52</v>
      </c>
      <c r="C201" t="s">
        <v>92</v>
      </c>
      <c r="D201" t="s">
        <v>93</v>
      </c>
      <c r="E201" t="s">
        <v>55</v>
      </c>
      <c r="F201">
        <v>33503.43</v>
      </c>
      <c r="G201">
        <v>33170.712</v>
      </c>
      <c r="H201">
        <v>29789.88</v>
      </c>
      <c r="I201">
        <v>28156.36</v>
      </c>
      <c r="J201">
        <v>27390.207999999999</v>
      </c>
      <c r="K201">
        <v>26706.412</v>
      </c>
      <c r="L201">
        <v>24449.082999999999</v>
      </c>
      <c r="M201">
        <v>23250.793000000001</v>
      </c>
      <c r="N201">
        <v>23132.978999999999</v>
      </c>
      <c r="O201">
        <v>22974.152999999998</v>
      </c>
      <c r="P201">
        <v>22689.89</v>
      </c>
      <c r="Q201">
        <v>21135.592000000001</v>
      </c>
      <c r="R201" t="s">
        <v>46</v>
      </c>
      <c r="S201" t="s">
        <v>46</v>
      </c>
      <c r="T201" t="s">
        <v>46</v>
      </c>
      <c r="U201" t="s">
        <v>46</v>
      </c>
      <c r="V201" t="s">
        <v>46</v>
      </c>
      <c r="W201" t="s">
        <v>46</v>
      </c>
      <c r="X201" t="s">
        <v>46</v>
      </c>
      <c r="Y201" t="s">
        <v>46</v>
      </c>
      <c r="Z201" t="s">
        <v>46</v>
      </c>
      <c r="AA201" t="s">
        <v>46</v>
      </c>
      <c r="AB201" t="s">
        <v>46</v>
      </c>
      <c r="AC201" t="s">
        <v>46</v>
      </c>
    </row>
    <row r="202" spans="1:29" x14ac:dyDescent="0.25">
      <c r="A202" t="s">
        <v>56</v>
      </c>
      <c r="B202" t="s">
        <v>57</v>
      </c>
      <c r="C202" t="s">
        <v>92</v>
      </c>
      <c r="D202" t="s">
        <v>93</v>
      </c>
      <c r="E202" t="s">
        <v>55</v>
      </c>
      <c r="F202">
        <v>5905.5780000000004</v>
      </c>
      <c r="G202">
        <v>5632.2749999999996</v>
      </c>
      <c r="H202">
        <v>5292.826</v>
      </c>
      <c r="I202">
        <v>5234.6189999999997</v>
      </c>
      <c r="J202">
        <v>5233.7139999999999</v>
      </c>
      <c r="K202">
        <v>5296.0290000000005</v>
      </c>
      <c r="L202">
        <v>5347.8149999999996</v>
      </c>
      <c r="M202">
        <v>5443.4679999999998</v>
      </c>
      <c r="N202">
        <v>5578.991</v>
      </c>
      <c r="O202">
        <v>5401.8689999999997</v>
      </c>
      <c r="P202">
        <v>5279.38</v>
      </c>
      <c r="Q202">
        <v>5293.6170000000002</v>
      </c>
      <c r="R202" t="s">
        <v>46</v>
      </c>
      <c r="S202" t="s">
        <v>46</v>
      </c>
      <c r="T202" t="s">
        <v>46</v>
      </c>
      <c r="U202" t="s">
        <v>46</v>
      </c>
      <c r="V202" t="s">
        <v>46</v>
      </c>
      <c r="W202" t="s">
        <v>46</v>
      </c>
      <c r="X202" t="s">
        <v>46</v>
      </c>
      <c r="Y202" t="s">
        <v>46</v>
      </c>
      <c r="Z202" t="s">
        <v>46</v>
      </c>
      <c r="AA202" t="s">
        <v>46</v>
      </c>
      <c r="AB202" t="s">
        <v>46</v>
      </c>
      <c r="AC202" t="s">
        <v>46</v>
      </c>
    </row>
    <row r="203" spans="1:29" x14ac:dyDescent="0.25">
      <c r="A203" t="s">
        <v>58</v>
      </c>
      <c r="B203" t="s">
        <v>59</v>
      </c>
      <c r="C203" t="s">
        <v>92</v>
      </c>
      <c r="D203" t="s">
        <v>93</v>
      </c>
      <c r="E203" t="s">
        <v>55</v>
      </c>
      <c r="F203" t="s">
        <v>46</v>
      </c>
      <c r="R203" t="s">
        <v>46</v>
      </c>
      <c r="S203" t="s">
        <v>46</v>
      </c>
      <c r="T203" t="s">
        <v>46</v>
      </c>
      <c r="U203" t="s">
        <v>46</v>
      </c>
      <c r="V203" t="s">
        <v>46</v>
      </c>
      <c r="W203" t="s">
        <v>46</v>
      </c>
      <c r="X203" t="s">
        <v>46</v>
      </c>
      <c r="Y203" t="s">
        <v>46</v>
      </c>
      <c r="Z203" t="s">
        <v>46</v>
      </c>
      <c r="AA203" t="s">
        <v>46</v>
      </c>
      <c r="AB203" t="s">
        <v>46</v>
      </c>
      <c r="AC203" t="s">
        <v>46</v>
      </c>
    </row>
    <row r="204" spans="1:29" x14ac:dyDescent="0.25">
      <c r="A204" t="s">
        <v>60</v>
      </c>
      <c r="B204" t="s">
        <v>61</v>
      </c>
      <c r="C204" t="s">
        <v>92</v>
      </c>
      <c r="D204" t="s">
        <v>93</v>
      </c>
      <c r="E204" t="s">
        <v>55</v>
      </c>
      <c r="F204" t="s">
        <v>46</v>
      </c>
      <c r="G204">
        <v>20363.791499999999</v>
      </c>
      <c r="R204" t="s">
        <v>46</v>
      </c>
      <c r="S204" t="s">
        <v>46</v>
      </c>
      <c r="T204" t="s">
        <v>46</v>
      </c>
      <c r="U204" t="s">
        <v>46</v>
      </c>
      <c r="V204" t="s">
        <v>46</v>
      </c>
      <c r="W204" t="s">
        <v>46</v>
      </c>
      <c r="X204" t="s">
        <v>46</v>
      </c>
      <c r="Y204" t="s">
        <v>46</v>
      </c>
      <c r="Z204" t="s">
        <v>46</v>
      </c>
      <c r="AA204" t="s">
        <v>46</v>
      </c>
      <c r="AB204" t="s">
        <v>46</v>
      </c>
      <c r="AC204" t="s">
        <v>46</v>
      </c>
    </row>
    <row r="205" spans="1:29" x14ac:dyDescent="0.25">
      <c r="A205" t="s">
        <v>62</v>
      </c>
      <c r="B205" t="s">
        <v>63</v>
      </c>
      <c r="C205" t="s">
        <v>92</v>
      </c>
      <c r="D205" t="s">
        <v>93</v>
      </c>
      <c r="E205" t="s">
        <v>55</v>
      </c>
      <c r="F205">
        <v>10289.8907</v>
      </c>
      <c r="G205">
        <v>10682.3987</v>
      </c>
      <c r="H205">
        <v>9532.3207999999995</v>
      </c>
      <c r="I205">
        <v>9786.8510000000006</v>
      </c>
      <c r="J205">
        <v>9508.0548999999992</v>
      </c>
      <c r="K205">
        <v>9448.3647000000001</v>
      </c>
      <c r="L205">
        <v>9211.7366000000002</v>
      </c>
      <c r="M205">
        <v>9246.8801999999996</v>
      </c>
      <c r="N205">
        <v>9582.7453000000005</v>
      </c>
      <c r="O205">
        <v>9545.3852000000006</v>
      </c>
      <c r="P205">
        <v>9128.6543000000001</v>
      </c>
      <c r="Q205">
        <v>9108.3412000000008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</row>
    <row r="206" spans="1:29" x14ac:dyDescent="0.25">
      <c r="A206" t="s">
        <v>64</v>
      </c>
      <c r="B206" t="s">
        <v>65</v>
      </c>
      <c r="C206" t="s">
        <v>92</v>
      </c>
      <c r="D206" t="s">
        <v>93</v>
      </c>
      <c r="E206" t="s">
        <v>55</v>
      </c>
      <c r="F206">
        <v>17429</v>
      </c>
      <c r="G206">
        <v>16204</v>
      </c>
      <c r="H206">
        <v>15844</v>
      </c>
      <c r="I206">
        <v>15517</v>
      </c>
      <c r="J206">
        <v>16096</v>
      </c>
      <c r="K206">
        <v>15846</v>
      </c>
      <c r="L206">
        <v>15274</v>
      </c>
      <c r="M206">
        <v>14806</v>
      </c>
      <c r="N206">
        <v>15045</v>
      </c>
      <c r="O206">
        <v>15221</v>
      </c>
      <c r="P206">
        <v>14580</v>
      </c>
      <c r="Q206">
        <v>13938</v>
      </c>
      <c r="R206" t="s">
        <v>46</v>
      </c>
      <c r="S206" t="s">
        <v>46</v>
      </c>
      <c r="T206" t="s">
        <v>46</v>
      </c>
      <c r="U206" t="s">
        <v>46</v>
      </c>
      <c r="V206" t="s">
        <v>46</v>
      </c>
      <c r="W206" t="s">
        <v>46</v>
      </c>
      <c r="X206" t="s">
        <v>46</v>
      </c>
      <c r="Y206" t="s">
        <v>46</v>
      </c>
      <c r="Z206" t="s">
        <v>46</v>
      </c>
      <c r="AA206" t="s">
        <v>46</v>
      </c>
      <c r="AB206" t="s">
        <v>46</v>
      </c>
      <c r="AC206" t="s">
        <v>46</v>
      </c>
    </row>
    <row r="207" spans="1:29" x14ac:dyDescent="0.25">
      <c r="A207" t="s">
        <v>66</v>
      </c>
      <c r="B207" t="s">
        <v>67</v>
      </c>
      <c r="C207" t="s">
        <v>92</v>
      </c>
      <c r="D207" t="s">
        <v>93</v>
      </c>
      <c r="E207" t="s">
        <v>55</v>
      </c>
      <c r="F207">
        <v>4394</v>
      </c>
      <c r="G207">
        <v>4514</v>
      </c>
      <c r="H207">
        <v>5114</v>
      </c>
      <c r="I207">
        <v>5303</v>
      </c>
      <c r="J207">
        <v>6663</v>
      </c>
      <c r="K207">
        <v>6680</v>
      </c>
      <c r="L207">
        <v>6730</v>
      </c>
      <c r="M207">
        <v>7436</v>
      </c>
      <c r="N207">
        <v>7511</v>
      </c>
      <c r="O207">
        <v>7548</v>
      </c>
      <c r="P207">
        <v>7547</v>
      </c>
      <c r="Q207">
        <v>7648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</row>
    <row r="208" spans="1:29" x14ac:dyDescent="0.25">
      <c r="A208" t="s">
        <v>68</v>
      </c>
      <c r="B208" t="s">
        <v>69</v>
      </c>
      <c r="C208" t="s">
        <v>92</v>
      </c>
      <c r="D208" t="s">
        <v>93</v>
      </c>
      <c r="E208" t="s">
        <v>55</v>
      </c>
      <c r="F208">
        <v>26006</v>
      </c>
      <c r="G208">
        <v>29599</v>
      </c>
      <c r="H208">
        <v>29516</v>
      </c>
      <c r="I208">
        <v>32577</v>
      </c>
      <c r="J208">
        <v>29574</v>
      </c>
      <c r="K208">
        <v>28871</v>
      </c>
      <c r="L208">
        <v>28882</v>
      </c>
      <c r="M208">
        <v>29126</v>
      </c>
      <c r="N208">
        <v>33921</v>
      </c>
      <c r="O208">
        <v>33582</v>
      </c>
      <c r="P208">
        <v>33176</v>
      </c>
      <c r="Q208">
        <v>31216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</row>
    <row r="209" spans="1:29" x14ac:dyDescent="0.25">
      <c r="A209" t="s">
        <v>70</v>
      </c>
      <c r="B209" t="s">
        <v>71</v>
      </c>
      <c r="C209" t="s">
        <v>92</v>
      </c>
      <c r="D209" t="s">
        <v>93</v>
      </c>
      <c r="E209" t="s">
        <v>55</v>
      </c>
      <c r="F209">
        <v>2311.8809999999999</v>
      </c>
      <c r="G209">
        <v>2244.2080000000001</v>
      </c>
      <c r="H209">
        <v>2040.163</v>
      </c>
      <c r="I209">
        <v>1931.451</v>
      </c>
      <c r="J209">
        <v>1831.4349999999999</v>
      </c>
      <c r="K209">
        <v>1611.8019999999999</v>
      </c>
      <c r="L209">
        <v>1503.982</v>
      </c>
      <c r="M209">
        <v>1392.1949999999999</v>
      </c>
      <c r="N209">
        <v>1343.402</v>
      </c>
      <c r="O209">
        <v>1250.2560000000001</v>
      </c>
      <c r="P209">
        <v>1173.0060000000001</v>
      </c>
      <c r="Q209">
        <v>1079.383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</row>
    <row r="210" spans="1:29" x14ac:dyDescent="0.25">
      <c r="A210" t="s">
        <v>72</v>
      </c>
      <c r="B210" t="s">
        <v>73</v>
      </c>
      <c r="C210" t="s">
        <v>92</v>
      </c>
      <c r="D210" t="s">
        <v>93</v>
      </c>
      <c r="E210" t="s">
        <v>55</v>
      </c>
      <c r="F210">
        <v>4402.78</v>
      </c>
      <c r="G210">
        <v>4454.1840000000002</v>
      </c>
      <c r="H210">
        <v>4097.7610000000004</v>
      </c>
      <c r="I210">
        <v>4012.7570000000001</v>
      </c>
      <c r="J210">
        <v>3904.8139999999999</v>
      </c>
      <c r="K210">
        <v>3529.4450000000002</v>
      </c>
      <c r="L210">
        <v>3456.6289999999999</v>
      </c>
      <c r="M210">
        <v>3266.078</v>
      </c>
      <c r="N210">
        <v>3397.127</v>
      </c>
      <c r="O210">
        <v>3449.6210000000001</v>
      </c>
      <c r="P210">
        <v>3349.8910000000001</v>
      </c>
      <c r="Q210">
        <v>3239.4340000000002</v>
      </c>
      <c r="R210" t="s">
        <v>46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</row>
    <row r="211" spans="1:29" x14ac:dyDescent="0.25">
      <c r="A211" t="s">
        <v>74</v>
      </c>
      <c r="B211" t="s">
        <v>75</v>
      </c>
      <c r="C211" t="s">
        <v>92</v>
      </c>
      <c r="D211" t="s">
        <v>93</v>
      </c>
      <c r="E211" t="s">
        <v>55</v>
      </c>
      <c r="F211">
        <v>10998.168</v>
      </c>
      <c r="G211">
        <v>10914.8</v>
      </c>
      <c r="H211">
        <v>10654.8</v>
      </c>
      <c r="I211">
        <v>8521.2000000000007</v>
      </c>
      <c r="J211">
        <v>8521.17</v>
      </c>
      <c r="K211">
        <v>7994</v>
      </c>
      <c r="L211">
        <v>8005</v>
      </c>
      <c r="M211">
        <v>7530</v>
      </c>
      <c r="N211">
        <v>7371.9921999999997</v>
      </c>
      <c r="O211">
        <v>7245.2</v>
      </c>
      <c r="P211">
        <v>6980.9</v>
      </c>
      <c r="Q211">
        <v>7395.6</v>
      </c>
      <c r="R211" t="s">
        <v>46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</row>
    <row r="212" spans="1:29" x14ac:dyDescent="0.25">
      <c r="A212" t="s">
        <v>76</v>
      </c>
      <c r="B212" t="s">
        <v>77</v>
      </c>
      <c r="C212" t="s">
        <v>92</v>
      </c>
      <c r="D212" t="s">
        <v>93</v>
      </c>
      <c r="E212" t="s">
        <v>55</v>
      </c>
      <c r="F212">
        <v>4648.9612999999999</v>
      </c>
      <c r="G212">
        <v>4846.9642000000003</v>
      </c>
      <c r="H212">
        <v>4569.8833999999997</v>
      </c>
      <c r="I212">
        <v>4758.1499000000003</v>
      </c>
      <c r="J212">
        <v>4659.2957999999999</v>
      </c>
      <c r="K212">
        <v>4628.0510000000004</v>
      </c>
      <c r="L212">
        <v>4639.0962</v>
      </c>
      <c r="M212">
        <v>4742.6859000000004</v>
      </c>
      <c r="N212">
        <v>4661.6076000000003</v>
      </c>
      <c r="O212">
        <v>4648.4120999999996</v>
      </c>
      <c r="P212">
        <v>4428.4856</v>
      </c>
      <c r="Q212">
        <v>4209.3244000000004</v>
      </c>
      <c r="R212" t="s">
        <v>46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</row>
    <row r="213" spans="1:29" x14ac:dyDescent="0.25">
      <c r="A213" t="s">
        <v>78</v>
      </c>
      <c r="B213" t="s">
        <v>79</v>
      </c>
      <c r="C213" t="s">
        <v>92</v>
      </c>
      <c r="D213" t="s">
        <v>93</v>
      </c>
      <c r="E213" t="s">
        <v>55</v>
      </c>
      <c r="F213">
        <v>12307.7413</v>
      </c>
      <c r="G213">
        <v>12137.536899999999</v>
      </c>
      <c r="H213">
        <v>12057.847599999999</v>
      </c>
      <c r="I213">
        <v>12433.7523</v>
      </c>
      <c r="J213">
        <v>12223.595799999999</v>
      </c>
      <c r="K213">
        <v>11888.219300000001</v>
      </c>
      <c r="L213">
        <v>11278.5064</v>
      </c>
      <c r="M213">
        <v>11406.060600000001</v>
      </c>
      <c r="N213">
        <v>12263.883</v>
      </c>
      <c r="O213">
        <v>11895.5702</v>
      </c>
      <c r="P213">
        <v>13539.0972</v>
      </c>
      <c r="Q213">
        <v>13173.186600000001</v>
      </c>
      <c r="R213" t="s">
        <v>46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</row>
    <row r="214" spans="1:29" x14ac:dyDescent="0.25">
      <c r="A214" t="s">
        <v>80</v>
      </c>
      <c r="B214" t="s">
        <v>81</v>
      </c>
      <c r="C214" t="s">
        <v>92</v>
      </c>
      <c r="D214" t="s">
        <v>93</v>
      </c>
      <c r="E214" t="s">
        <v>55</v>
      </c>
      <c r="F214">
        <v>153403</v>
      </c>
      <c r="G214">
        <v>152186</v>
      </c>
      <c r="H214">
        <v>149620</v>
      </c>
      <c r="I214">
        <v>154652</v>
      </c>
      <c r="J214">
        <v>130926</v>
      </c>
      <c r="K214">
        <v>123382</v>
      </c>
      <c r="L214">
        <v>121990</v>
      </c>
      <c r="M214">
        <v>121622</v>
      </c>
      <c r="N214">
        <v>125285</v>
      </c>
      <c r="O214">
        <v>125356</v>
      </c>
      <c r="P214">
        <v>121636</v>
      </c>
      <c r="Q214">
        <v>120495</v>
      </c>
      <c r="R214" t="s">
        <v>46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</row>
    <row r="215" spans="1:29" x14ac:dyDescent="0.25">
      <c r="A215" t="s">
        <v>82</v>
      </c>
      <c r="B215" t="s">
        <v>83</v>
      </c>
      <c r="C215" t="s">
        <v>92</v>
      </c>
      <c r="D215" t="s">
        <v>93</v>
      </c>
      <c r="E215" t="s">
        <v>55</v>
      </c>
      <c r="F215">
        <v>16320.4141</v>
      </c>
      <c r="G215">
        <v>16710.963199999998</v>
      </c>
      <c r="H215">
        <v>18316.789000000001</v>
      </c>
      <c r="I215">
        <v>18022.716799999998</v>
      </c>
      <c r="J215">
        <v>16885.0877</v>
      </c>
      <c r="K215">
        <v>15745.3006</v>
      </c>
      <c r="L215">
        <v>14345.515799999999</v>
      </c>
      <c r="M215">
        <v>16305.805</v>
      </c>
      <c r="N215">
        <v>16641.823700000001</v>
      </c>
      <c r="O215">
        <v>15719.442800000001</v>
      </c>
      <c r="P215">
        <v>14700.688599999999</v>
      </c>
      <c r="Q215">
        <v>13917.5393</v>
      </c>
      <c r="R215" t="s">
        <v>46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</row>
    <row r="216" spans="1:29" x14ac:dyDescent="0.25">
      <c r="A216" t="s">
        <v>84</v>
      </c>
      <c r="B216" t="s">
        <v>85</v>
      </c>
      <c r="C216" t="s">
        <v>92</v>
      </c>
      <c r="D216" t="s">
        <v>93</v>
      </c>
      <c r="E216" t="s">
        <v>55</v>
      </c>
      <c r="F216">
        <v>4955.7749999999996</v>
      </c>
      <c r="G216">
        <v>5005.2299000000003</v>
      </c>
      <c r="H216">
        <v>4782.5766000000003</v>
      </c>
      <c r="I216">
        <v>4882.3319000000001</v>
      </c>
      <c r="J216">
        <v>4824.7703000000001</v>
      </c>
      <c r="K216">
        <v>4680.4276</v>
      </c>
      <c r="L216">
        <v>4438.1147000000001</v>
      </c>
      <c r="M216">
        <v>4618.5469000000003</v>
      </c>
      <c r="N216">
        <v>4672.4027999999998</v>
      </c>
      <c r="O216">
        <v>4514.3027000000002</v>
      </c>
      <c r="P216">
        <v>4238.8279000000002</v>
      </c>
      <c r="Q216">
        <v>4350.0222000000003</v>
      </c>
      <c r="R216" t="s">
        <v>46</v>
      </c>
      <c r="S216" t="s">
        <v>46</v>
      </c>
      <c r="T216" t="s">
        <v>46</v>
      </c>
      <c r="U216" t="s">
        <v>46</v>
      </c>
      <c r="V216" t="s">
        <v>46</v>
      </c>
      <c r="W216" t="s">
        <v>46</v>
      </c>
      <c r="X216" t="s">
        <v>46</v>
      </c>
      <c r="Y216" t="s">
        <v>46</v>
      </c>
      <c r="Z216" t="s">
        <v>46</v>
      </c>
      <c r="AA216" t="s">
        <v>46</v>
      </c>
      <c r="AB216" t="s">
        <v>46</v>
      </c>
      <c r="AC216" t="s">
        <v>46</v>
      </c>
    </row>
    <row r="217" spans="1:29" x14ac:dyDescent="0.25">
      <c r="A217" t="s">
        <v>86</v>
      </c>
      <c r="B217" t="s">
        <v>87</v>
      </c>
      <c r="C217" t="s">
        <v>92</v>
      </c>
      <c r="D217" t="s">
        <v>93</v>
      </c>
      <c r="E217" t="s">
        <v>55</v>
      </c>
      <c r="F217">
        <v>10840.147199999999</v>
      </c>
      <c r="G217">
        <v>11389.9571</v>
      </c>
      <c r="H217">
        <v>11073.179700000001</v>
      </c>
      <c r="I217">
        <v>12711.394200000001</v>
      </c>
      <c r="J217">
        <v>12018.628699999999</v>
      </c>
      <c r="K217">
        <v>11603.989100000001</v>
      </c>
      <c r="L217">
        <v>11053.335999999999</v>
      </c>
      <c r="M217">
        <v>11146.1847</v>
      </c>
      <c r="N217">
        <v>11676.555200000001</v>
      </c>
      <c r="O217">
        <v>11612.7577</v>
      </c>
      <c r="P217">
        <v>12903.29</v>
      </c>
      <c r="Q217">
        <v>12853.548199999999</v>
      </c>
      <c r="R217" t="s">
        <v>46</v>
      </c>
      <c r="S217" t="s">
        <v>46</v>
      </c>
      <c r="T217" t="s">
        <v>46</v>
      </c>
      <c r="U217" t="s">
        <v>46</v>
      </c>
      <c r="V217" t="s">
        <v>46</v>
      </c>
      <c r="W217" t="s">
        <v>46</v>
      </c>
      <c r="X217" t="s">
        <v>46</v>
      </c>
      <c r="Y217" t="s">
        <v>46</v>
      </c>
      <c r="Z217" t="s">
        <v>46</v>
      </c>
      <c r="AA217" t="s">
        <v>46</v>
      </c>
      <c r="AB217" t="s">
        <v>46</v>
      </c>
      <c r="AC217" t="s">
        <v>46</v>
      </c>
    </row>
    <row r="218" spans="1:29" x14ac:dyDescent="0.25">
      <c r="A218" t="s">
        <v>51</v>
      </c>
      <c r="B218" t="s">
        <v>52</v>
      </c>
      <c r="C218" t="s">
        <v>96</v>
      </c>
      <c r="D218" t="s">
        <v>97</v>
      </c>
      <c r="E218" t="s">
        <v>55</v>
      </c>
      <c r="F218">
        <v>1526.135</v>
      </c>
      <c r="G218">
        <v>1581.1120000000001</v>
      </c>
      <c r="H218">
        <v>1646.6410000000001</v>
      </c>
      <c r="I218">
        <v>1562.9949999999999</v>
      </c>
      <c r="J218">
        <v>1472.13</v>
      </c>
      <c r="K218">
        <v>1355.538</v>
      </c>
      <c r="L218">
        <v>1348.8019999999999</v>
      </c>
      <c r="M218">
        <v>1388.989</v>
      </c>
      <c r="N218">
        <v>1367.4639999999999</v>
      </c>
      <c r="O218">
        <v>1316.93</v>
      </c>
      <c r="P218">
        <v>1525.0650000000001</v>
      </c>
      <c r="Q218">
        <v>1291.1379999999999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</row>
    <row r="219" spans="1:29" x14ac:dyDescent="0.25">
      <c r="A219" t="s">
        <v>56</v>
      </c>
      <c r="B219" t="s">
        <v>57</v>
      </c>
      <c r="C219" t="s">
        <v>96</v>
      </c>
      <c r="D219" t="s">
        <v>97</v>
      </c>
      <c r="E219" t="s">
        <v>55</v>
      </c>
      <c r="F219" t="s">
        <v>46</v>
      </c>
      <c r="H219">
        <v>176.50800000000001</v>
      </c>
      <c r="I219">
        <v>172.09299999999999</v>
      </c>
      <c r="K219">
        <v>168.44</v>
      </c>
      <c r="L219">
        <v>194.738</v>
      </c>
      <c r="M219">
        <v>252.596</v>
      </c>
      <c r="N219">
        <v>1141.799</v>
      </c>
      <c r="P219">
        <v>126.414</v>
      </c>
      <c r="Q219">
        <v>176.39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</row>
    <row r="220" spans="1:29" x14ac:dyDescent="0.25">
      <c r="A220" t="s">
        <v>58</v>
      </c>
      <c r="B220" t="s">
        <v>59</v>
      </c>
      <c r="C220" t="s">
        <v>96</v>
      </c>
      <c r="D220" t="s">
        <v>97</v>
      </c>
      <c r="E220" t="s">
        <v>55</v>
      </c>
      <c r="F220" t="s">
        <v>46</v>
      </c>
      <c r="R220" t="s">
        <v>46</v>
      </c>
      <c r="S220" t="s">
        <v>46</v>
      </c>
      <c r="T220" t="s">
        <v>46</v>
      </c>
      <c r="U220" t="s">
        <v>46</v>
      </c>
      <c r="V220" t="s">
        <v>46</v>
      </c>
      <c r="W220" t="s">
        <v>46</v>
      </c>
      <c r="X220" t="s">
        <v>46</v>
      </c>
      <c r="Y220" t="s">
        <v>46</v>
      </c>
      <c r="Z220" t="s">
        <v>46</v>
      </c>
      <c r="AA220" t="s">
        <v>46</v>
      </c>
      <c r="AB220" t="s">
        <v>46</v>
      </c>
      <c r="AC220" t="s">
        <v>46</v>
      </c>
    </row>
    <row r="221" spans="1:29" x14ac:dyDescent="0.25">
      <c r="A221" t="s">
        <v>60</v>
      </c>
      <c r="B221" t="s">
        <v>61</v>
      </c>
      <c r="C221" t="s">
        <v>96</v>
      </c>
      <c r="D221" t="s">
        <v>97</v>
      </c>
      <c r="E221" t="s">
        <v>55</v>
      </c>
      <c r="F221" t="s">
        <v>46</v>
      </c>
      <c r="G221">
        <v>1290.2121</v>
      </c>
      <c r="R221" t="s">
        <v>46</v>
      </c>
      <c r="S221" t="s">
        <v>46</v>
      </c>
      <c r="T221" t="s">
        <v>46</v>
      </c>
      <c r="U221" t="s">
        <v>46</v>
      </c>
      <c r="V221" t="s">
        <v>46</v>
      </c>
      <c r="W221" t="s">
        <v>46</v>
      </c>
      <c r="X221" t="s">
        <v>46</v>
      </c>
      <c r="Y221" t="s">
        <v>46</v>
      </c>
      <c r="Z221" t="s">
        <v>46</v>
      </c>
      <c r="AA221" t="s">
        <v>46</v>
      </c>
      <c r="AB221" t="s">
        <v>46</v>
      </c>
      <c r="AC221" t="s">
        <v>46</v>
      </c>
    </row>
    <row r="222" spans="1:29" x14ac:dyDescent="0.25">
      <c r="A222" t="s">
        <v>62</v>
      </c>
      <c r="B222" t="s">
        <v>63</v>
      </c>
      <c r="C222" t="s">
        <v>96</v>
      </c>
      <c r="D222" t="s">
        <v>97</v>
      </c>
      <c r="E222" t="s">
        <v>55</v>
      </c>
      <c r="F222" t="s">
        <v>46</v>
      </c>
      <c r="R222" t="s">
        <v>46</v>
      </c>
      <c r="S222" t="s">
        <v>46</v>
      </c>
      <c r="T222" t="s">
        <v>46</v>
      </c>
      <c r="U222" t="s">
        <v>46</v>
      </c>
      <c r="V222" t="s">
        <v>46</v>
      </c>
      <c r="W222" t="s">
        <v>46</v>
      </c>
      <c r="X222" t="s">
        <v>46</v>
      </c>
      <c r="Y222" t="s">
        <v>46</v>
      </c>
      <c r="Z222" t="s">
        <v>46</v>
      </c>
      <c r="AA222" t="s">
        <v>46</v>
      </c>
      <c r="AB222" t="s">
        <v>46</v>
      </c>
      <c r="AC222" t="s">
        <v>46</v>
      </c>
    </row>
    <row r="223" spans="1:29" x14ac:dyDescent="0.25">
      <c r="A223" t="s">
        <v>64</v>
      </c>
      <c r="B223" t="s">
        <v>65</v>
      </c>
      <c r="C223" t="s">
        <v>96</v>
      </c>
      <c r="D223" t="s">
        <v>97</v>
      </c>
      <c r="E223" t="s">
        <v>55</v>
      </c>
      <c r="F223">
        <v>289</v>
      </c>
      <c r="G223">
        <v>239</v>
      </c>
      <c r="H223">
        <v>246</v>
      </c>
      <c r="I223">
        <v>254</v>
      </c>
      <c r="J223">
        <v>262</v>
      </c>
      <c r="K223">
        <v>215</v>
      </c>
      <c r="L223">
        <v>223</v>
      </c>
      <c r="M223">
        <v>217</v>
      </c>
      <c r="N223">
        <v>293</v>
      </c>
      <c r="O223">
        <v>210</v>
      </c>
      <c r="P223">
        <v>186</v>
      </c>
      <c r="Q223">
        <v>179</v>
      </c>
      <c r="R223" t="s">
        <v>46</v>
      </c>
      <c r="S223" t="s">
        <v>46</v>
      </c>
      <c r="T223" t="s">
        <v>46</v>
      </c>
      <c r="U223" t="s">
        <v>46</v>
      </c>
      <c r="V223" t="s">
        <v>46</v>
      </c>
      <c r="W223" t="s">
        <v>46</v>
      </c>
      <c r="X223" t="s">
        <v>46</v>
      </c>
      <c r="Y223" t="s">
        <v>46</v>
      </c>
      <c r="Z223" t="s">
        <v>46</v>
      </c>
      <c r="AA223" t="s">
        <v>46</v>
      </c>
      <c r="AB223" t="s">
        <v>46</v>
      </c>
      <c r="AC223" t="s">
        <v>46</v>
      </c>
    </row>
    <row r="224" spans="1:29" x14ac:dyDescent="0.25">
      <c r="A224" t="s">
        <v>66</v>
      </c>
      <c r="B224" t="s">
        <v>67</v>
      </c>
      <c r="C224" t="s">
        <v>96</v>
      </c>
      <c r="D224" t="s">
        <v>97</v>
      </c>
      <c r="E224" t="s">
        <v>55</v>
      </c>
      <c r="F224">
        <v>168</v>
      </c>
      <c r="G224">
        <v>198</v>
      </c>
      <c r="H224">
        <v>145</v>
      </c>
      <c r="I224">
        <v>161</v>
      </c>
      <c r="J224">
        <v>313</v>
      </c>
      <c r="K224">
        <v>230</v>
      </c>
      <c r="L224">
        <v>216</v>
      </c>
      <c r="M224">
        <v>158</v>
      </c>
      <c r="N224">
        <v>152</v>
      </c>
      <c r="O224">
        <v>138</v>
      </c>
      <c r="P224">
        <v>147</v>
      </c>
      <c r="Q224">
        <v>106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  <c r="AA224" t="s">
        <v>46</v>
      </c>
      <c r="AB224" t="s">
        <v>46</v>
      </c>
      <c r="AC224" t="s">
        <v>46</v>
      </c>
    </row>
    <row r="225" spans="1:29" x14ac:dyDescent="0.25">
      <c r="A225" t="s">
        <v>68</v>
      </c>
      <c r="B225" t="s">
        <v>69</v>
      </c>
      <c r="C225" t="s">
        <v>96</v>
      </c>
      <c r="D225" t="s">
        <v>97</v>
      </c>
      <c r="E225" t="s">
        <v>55</v>
      </c>
      <c r="F225">
        <v>1598</v>
      </c>
      <c r="G225">
        <v>1576</v>
      </c>
      <c r="H225">
        <v>1603</v>
      </c>
      <c r="I225">
        <v>1517</v>
      </c>
      <c r="J225">
        <v>1666</v>
      </c>
      <c r="K225">
        <v>1345</v>
      </c>
      <c r="L225">
        <v>1358</v>
      </c>
      <c r="M225">
        <v>1326</v>
      </c>
      <c r="N225">
        <v>1513</v>
      </c>
      <c r="O225">
        <v>1510</v>
      </c>
      <c r="P225">
        <v>1666</v>
      </c>
      <c r="Q225">
        <v>1961</v>
      </c>
      <c r="R225" t="s">
        <v>46</v>
      </c>
      <c r="S225" t="s">
        <v>46</v>
      </c>
      <c r="T225" t="s">
        <v>46</v>
      </c>
      <c r="U225" t="s">
        <v>46</v>
      </c>
      <c r="V225" t="s">
        <v>46</v>
      </c>
      <c r="W225" t="s">
        <v>46</v>
      </c>
      <c r="X225" t="s">
        <v>46</v>
      </c>
      <c r="Y225" t="s">
        <v>46</v>
      </c>
      <c r="Z225" t="s">
        <v>46</v>
      </c>
      <c r="AA225" t="s">
        <v>46</v>
      </c>
      <c r="AB225" t="s">
        <v>46</v>
      </c>
      <c r="AC225" t="s">
        <v>46</v>
      </c>
    </row>
    <row r="226" spans="1:29" x14ac:dyDescent="0.25">
      <c r="A226" t="s">
        <v>70</v>
      </c>
      <c r="B226" t="s">
        <v>71</v>
      </c>
      <c r="C226" t="s">
        <v>96</v>
      </c>
      <c r="D226" t="s">
        <v>97</v>
      </c>
      <c r="E226" t="s">
        <v>55</v>
      </c>
      <c r="F226">
        <v>5.2320000000000002</v>
      </c>
      <c r="G226">
        <v>7.8309999999999995</v>
      </c>
      <c r="H226">
        <v>6.8959999999999999</v>
      </c>
      <c r="I226">
        <v>6.0430000000000001</v>
      </c>
      <c r="J226">
        <v>4.3970000000000002</v>
      </c>
      <c r="K226">
        <v>7.444</v>
      </c>
      <c r="L226">
        <v>8.4220000000000006</v>
      </c>
      <c r="M226">
        <v>6.7270000000000003</v>
      </c>
      <c r="N226">
        <v>8.4740000000000002</v>
      </c>
      <c r="O226">
        <v>5.5739999999999998</v>
      </c>
      <c r="P226">
        <v>5.5919999999999996</v>
      </c>
      <c r="Q226">
        <v>4.2530000000000001</v>
      </c>
      <c r="R226" t="s">
        <v>46</v>
      </c>
      <c r="S226" t="s">
        <v>46</v>
      </c>
      <c r="T226" t="s">
        <v>46</v>
      </c>
      <c r="U226" t="s">
        <v>46</v>
      </c>
      <c r="V226" t="s">
        <v>46</v>
      </c>
      <c r="W226" t="s">
        <v>46</v>
      </c>
      <c r="X226" t="s">
        <v>46</v>
      </c>
      <c r="Y226" t="s">
        <v>46</v>
      </c>
      <c r="Z226" t="s">
        <v>46</v>
      </c>
      <c r="AA226" t="s">
        <v>46</v>
      </c>
      <c r="AB226" t="s">
        <v>46</v>
      </c>
      <c r="AC226" t="s">
        <v>46</v>
      </c>
    </row>
    <row r="227" spans="1:29" x14ac:dyDescent="0.25">
      <c r="A227" t="s">
        <v>72</v>
      </c>
      <c r="B227" t="s">
        <v>73</v>
      </c>
      <c r="C227" t="s">
        <v>96</v>
      </c>
      <c r="D227" t="s">
        <v>97</v>
      </c>
      <c r="E227" t="s">
        <v>55</v>
      </c>
      <c r="F227">
        <v>26.07</v>
      </c>
      <c r="G227">
        <v>21.981000000000002</v>
      </c>
      <c r="H227">
        <v>20.954000000000001</v>
      </c>
      <c r="I227">
        <v>24.398</v>
      </c>
      <c r="J227">
        <v>29.494</v>
      </c>
      <c r="K227">
        <v>42.584000000000003</v>
      </c>
      <c r="L227">
        <v>14.436</v>
      </c>
      <c r="M227">
        <v>20.942</v>
      </c>
      <c r="N227">
        <v>13.811</v>
      </c>
      <c r="O227">
        <v>15.05</v>
      </c>
      <c r="P227">
        <v>16.858000000000001</v>
      </c>
      <c r="Q227">
        <v>18.317</v>
      </c>
      <c r="R227" t="s">
        <v>46</v>
      </c>
      <c r="S227" t="s">
        <v>46</v>
      </c>
      <c r="T227" t="s">
        <v>46</v>
      </c>
      <c r="U227" t="s">
        <v>46</v>
      </c>
      <c r="V227" t="s">
        <v>46</v>
      </c>
      <c r="W227" t="s">
        <v>46</v>
      </c>
      <c r="X227" t="s">
        <v>46</v>
      </c>
      <c r="Y227" t="s">
        <v>46</v>
      </c>
      <c r="Z227" t="s">
        <v>46</v>
      </c>
      <c r="AA227" t="s">
        <v>46</v>
      </c>
      <c r="AB227" t="s">
        <v>46</v>
      </c>
      <c r="AC227" t="s">
        <v>46</v>
      </c>
    </row>
    <row r="228" spans="1:29" x14ac:dyDescent="0.25">
      <c r="A228" t="s">
        <v>74</v>
      </c>
      <c r="B228" t="s">
        <v>75</v>
      </c>
      <c r="C228" t="s">
        <v>96</v>
      </c>
      <c r="D228" t="s">
        <v>97</v>
      </c>
      <c r="E228" t="s">
        <v>55</v>
      </c>
      <c r="F228">
        <v>222.34100000000001</v>
      </c>
      <c r="J228">
        <v>257.548</v>
      </c>
      <c r="N228">
        <v>140.92179999999999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  <c r="AA228" t="s">
        <v>46</v>
      </c>
      <c r="AB228" t="s">
        <v>46</v>
      </c>
      <c r="AC228" t="s">
        <v>46</v>
      </c>
    </row>
    <row r="229" spans="1:29" x14ac:dyDescent="0.25">
      <c r="A229" t="s">
        <v>76</v>
      </c>
      <c r="B229" t="s">
        <v>77</v>
      </c>
      <c r="C229" t="s">
        <v>96</v>
      </c>
      <c r="D229" t="s">
        <v>97</v>
      </c>
      <c r="E229" t="s">
        <v>55</v>
      </c>
      <c r="F229" t="s">
        <v>46</v>
      </c>
      <c r="G229">
        <v>699.31849999999997</v>
      </c>
      <c r="I229">
        <v>1419.1139000000001</v>
      </c>
      <c r="K229">
        <v>751.12869999999998</v>
      </c>
      <c r="L229">
        <v>1479.8559</v>
      </c>
      <c r="M229">
        <v>663.09010000000001</v>
      </c>
      <c r="O229">
        <v>785.18449999999996</v>
      </c>
      <c r="P229">
        <v>1619.8436999999999</v>
      </c>
      <c r="Q229">
        <v>610.08079999999995</v>
      </c>
      <c r="R229" t="s">
        <v>46</v>
      </c>
      <c r="S229" t="s">
        <v>46</v>
      </c>
      <c r="T229" t="s">
        <v>46</v>
      </c>
      <c r="U229" t="s">
        <v>46</v>
      </c>
      <c r="V229" t="s">
        <v>46</v>
      </c>
      <c r="W229" t="s">
        <v>46</v>
      </c>
      <c r="X229" t="s">
        <v>46</v>
      </c>
      <c r="Y229" t="s">
        <v>46</v>
      </c>
      <c r="Z229" t="s">
        <v>46</v>
      </c>
      <c r="AA229" t="s">
        <v>46</v>
      </c>
      <c r="AB229" t="s">
        <v>46</v>
      </c>
      <c r="AC229" t="s">
        <v>46</v>
      </c>
    </row>
    <row r="230" spans="1:29" x14ac:dyDescent="0.25">
      <c r="A230" t="s">
        <v>78</v>
      </c>
      <c r="B230" t="s">
        <v>79</v>
      </c>
      <c r="C230" t="s">
        <v>96</v>
      </c>
      <c r="D230" t="s">
        <v>97</v>
      </c>
      <c r="E230" t="s">
        <v>55</v>
      </c>
      <c r="F230">
        <v>378.38130000000001</v>
      </c>
      <c r="G230">
        <v>263.39249999999998</v>
      </c>
      <c r="H230">
        <v>301.97329999999999</v>
      </c>
      <c r="I230">
        <v>317.0025</v>
      </c>
      <c r="J230">
        <v>238.73650000000001</v>
      </c>
      <c r="K230">
        <v>218.8262</v>
      </c>
      <c r="L230">
        <v>164.43950000000001</v>
      </c>
      <c r="M230">
        <v>116.5389</v>
      </c>
      <c r="N230">
        <v>106.53570000000001</v>
      </c>
      <c r="O230">
        <v>78.619900000000001</v>
      </c>
      <c r="P230">
        <v>82.325900000000004</v>
      </c>
      <c r="Q230">
        <v>40.235300000000002</v>
      </c>
      <c r="R230" t="s">
        <v>46</v>
      </c>
      <c r="S230" t="s">
        <v>46</v>
      </c>
      <c r="T230" t="s">
        <v>46</v>
      </c>
      <c r="U230" t="s">
        <v>46</v>
      </c>
      <c r="V230" t="s">
        <v>46</v>
      </c>
      <c r="W230" t="s">
        <v>46</v>
      </c>
      <c r="X230" t="s">
        <v>46</v>
      </c>
      <c r="Y230" t="s">
        <v>46</v>
      </c>
      <c r="Z230" t="s">
        <v>46</v>
      </c>
      <c r="AA230" t="s">
        <v>46</v>
      </c>
      <c r="AB230" t="s">
        <v>46</v>
      </c>
      <c r="AC230" t="s">
        <v>46</v>
      </c>
    </row>
    <row r="231" spans="1:29" x14ac:dyDescent="0.25">
      <c r="A231" t="s">
        <v>80</v>
      </c>
      <c r="B231" t="s">
        <v>81</v>
      </c>
      <c r="C231" t="s">
        <v>96</v>
      </c>
      <c r="D231" t="s">
        <v>97</v>
      </c>
      <c r="E231" t="s">
        <v>55</v>
      </c>
      <c r="F231">
        <v>4172</v>
      </c>
      <c r="G231">
        <v>4896</v>
      </c>
      <c r="H231">
        <v>4042</v>
      </c>
      <c r="I231">
        <v>4724</v>
      </c>
      <c r="J231">
        <v>5711</v>
      </c>
      <c r="K231">
        <v>6558</v>
      </c>
      <c r="L231">
        <v>5384</v>
      </c>
      <c r="M231">
        <v>5518</v>
      </c>
      <c r="N231">
        <v>5736</v>
      </c>
      <c r="O231">
        <v>6451</v>
      </c>
      <c r="P231">
        <v>5442</v>
      </c>
      <c r="Q231">
        <v>5126</v>
      </c>
      <c r="R231" t="s">
        <v>46</v>
      </c>
      <c r="S231" t="s">
        <v>46</v>
      </c>
      <c r="T231" t="s">
        <v>46</v>
      </c>
      <c r="U231" t="s">
        <v>46</v>
      </c>
      <c r="V231" t="s">
        <v>46</v>
      </c>
      <c r="W231" t="s">
        <v>46</v>
      </c>
      <c r="X231" t="s">
        <v>46</v>
      </c>
      <c r="Y231" t="s">
        <v>46</v>
      </c>
      <c r="Z231" t="s">
        <v>46</v>
      </c>
      <c r="AA231" t="s">
        <v>46</v>
      </c>
      <c r="AB231" t="s">
        <v>46</v>
      </c>
      <c r="AC231" t="s">
        <v>46</v>
      </c>
    </row>
    <row r="232" spans="1:29" x14ac:dyDescent="0.25">
      <c r="A232" t="s">
        <v>82</v>
      </c>
      <c r="B232" t="s">
        <v>83</v>
      </c>
      <c r="C232" t="s">
        <v>96</v>
      </c>
      <c r="D232" t="s">
        <v>97</v>
      </c>
      <c r="E232" t="s">
        <v>55</v>
      </c>
      <c r="F232">
        <v>894.21109999999999</v>
      </c>
      <c r="G232">
        <v>884.24630000000002</v>
      </c>
      <c r="H232">
        <v>952.89980000000003</v>
      </c>
      <c r="I232">
        <v>967.83690000000001</v>
      </c>
      <c r="J232">
        <v>907.63130000000001</v>
      </c>
      <c r="K232">
        <v>867.98680000000002</v>
      </c>
      <c r="L232">
        <v>861.75649999999996</v>
      </c>
      <c r="M232">
        <v>812.12120000000004</v>
      </c>
      <c r="N232">
        <v>781.97799999999995</v>
      </c>
      <c r="O232">
        <v>835.53240000000005</v>
      </c>
      <c r="P232">
        <v>829.53330000000005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</row>
    <row r="233" spans="1:29" x14ac:dyDescent="0.25">
      <c r="A233" t="s">
        <v>84</v>
      </c>
      <c r="B233" t="s">
        <v>85</v>
      </c>
      <c r="C233" t="s">
        <v>96</v>
      </c>
      <c r="D233" t="s">
        <v>97</v>
      </c>
      <c r="E233" t="s">
        <v>55</v>
      </c>
      <c r="F233">
        <v>432.06049999999999</v>
      </c>
      <c r="G233">
        <v>411.10849999999999</v>
      </c>
      <c r="H233">
        <v>378.4855</v>
      </c>
      <c r="I233">
        <v>365.61919999999998</v>
      </c>
      <c r="J233">
        <v>359.0856</v>
      </c>
      <c r="K233">
        <v>333.77820000000003</v>
      </c>
      <c r="L233">
        <v>335.73219999999998</v>
      </c>
      <c r="M233">
        <v>311.63200000000001</v>
      </c>
      <c r="N233">
        <v>312.66840000000002</v>
      </c>
      <c r="O233">
        <v>364.67430000000002</v>
      </c>
      <c r="P233">
        <v>364.93040000000002</v>
      </c>
      <c r="Q233">
        <v>384.09219999999999</v>
      </c>
      <c r="R233" t="s">
        <v>46</v>
      </c>
      <c r="S233" t="s">
        <v>46</v>
      </c>
      <c r="T233" t="s">
        <v>46</v>
      </c>
      <c r="U233" t="s">
        <v>46</v>
      </c>
      <c r="V233" t="s">
        <v>46</v>
      </c>
      <c r="W233" t="s">
        <v>46</v>
      </c>
      <c r="X233" t="s">
        <v>46</v>
      </c>
      <c r="Y233" t="s">
        <v>46</v>
      </c>
      <c r="Z233" t="s">
        <v>46</v>
      </c>
      <c r="AA233" t="s">
        <v>46</v>
      </c>
      <c r="AB233" t="s">
        <v>46</v>
      </c>
      <c r="AC233" t="s">
        <v>46</v>
      </c>
    </row>
    <row r="234" spans="1:29" x14ac:dyDescent="0.25">
      <c r="A234" t="s">
        <v>86</v>
      </c>
      <c r="B234" t="s">
        <v>87</v>
      </c>
      <c r="C234" t="s">
        <v>96</v>
      </c>
      <c r="D234" t="s">
        <v>97</v>
      </c>
      <c r="E234" t="s">
        <v>55</v>
      </c>
      <c r="F234">
        <v>1036.5552</v>
      </c>
      <c r="J234">
        <v>411.50670000000002</v>
      </c>
      <c r="N234">
        <v>374.65559999999999</v>
      </c>
      <c r="R234" t="s">
        <v>46</v>
      </c>
      <c r="S234" t="s">
        <v>46</v>
      </c>
      <c r="T234" t="s">
        <v>46</v>
      </c>
      <c r="U234" t="s">
        <v>46</v>
      </c>
      <c r="V234" t="s">
        <v>46</v>
      </c>
      <c r="W234" t="s">
        <v>46</v>
      </c>
      <c r="X234" t="s">
        <v>46</v>
      </c>
      <c r="Y234" t="s">
        <v>46</v>
      </c>
      <c r="Z234" t="s">
        <v>46</v>
      </c>
      <c r="AA234" t="s">
        <v>46</v>
      </c>
      <c r="AB234" t="s">
        <v>46</v>
      </c>
      <c r="AC234" t="s">
        <v>46</v>
      </c>
    </row>
    <row r="235" spans="1:29" x14ac:dyDescent="0.25">
      <c r="A235" t="s">
        <v>51</v>
      </c>
      <c r="B235" t="s">
        <v>52</v>
      </c>
      <c r="C235" t="s">
        <v>99</v>
      </c>
      <c r="D235" t="s">
        <v>100</v>
      </c>
      <c r="E235" t="s">
        <v>55</v>
      </c>
      <c r="F235">
        <v>744.47799999999995</v>
      </c>
      <c r="G235">
        <v>714.48500000000001</v>
      </c>
      <c r="H235">
        <v>6.4109999999999996</v>
      </c>
      <c r="I235">
        <v>4.1370000000000005</v>
      </c>
      <c r="J235">
        <v>4.3650000000000002</v>
      </c>
      <c r="K235">
        <v>4.7270000000000003</v>
      </c>
      <c r="L235">
        <v>5.3369999999999997</v>
      </c>
      <c r="M235">
        <v>2.84</v>
      </c>
      <c r="N235">
        <v>2.9140000000000001</v>
      </c>
      <c r="O235">
        <v>2.9790000000000001</v>
      </c>
      <c r="P235">
        <v>2.907</v>
      </c>
      <c r="Q235">
        <v>2.9420000000000002</v>
      </c>
      <c r="R235" t="s">
        <v>46</v>
      </c>
      <c r="S235" t="s">
        <v>46</v>
      </c>
      <c r="T235" t="s">
        <v>46</v>
      </c>
      <c r="U235" t="s">
        <v>46</v>
      </c>
      <c r="V235" t="s">
        <v>46</v>
      </c>
      <c r="W235" t="s">
        <v>46</v>
      </c>
      <c r="X235" t="s">
        <v>46</v>
      </c>
      <c r="Y235" t="s">
        <v>46</v>
      </c>
      <c r="Z235" t="s">
        <v>46</v>
      </c>
      <c r="AA235" t="s">
        <v>46</v>
      </c>
      <c r="AB235" t="s">
        <v>46</v>
      </c>
      <c r="AC235" t="s">
        <v>46</v>
      </c>
    </row>
    <row r="236" spans="1:29" x14ac:dyDescent="0.25">
      <c r="A236" t="s">
        <v>56</v>
      </c>
      <c r="B236" t="s">
        <v>57</v>
      </c>
      <c r="C236" t="s">
        <v>99</v>
      </c>
      <c r="D236" t="s">
        <v>100</v>
      </c>
      <c r="E236" t="s">
        <v>55</v>
      </c>
      <c r="F236">
        <v>409.767</v>
      </c>
      <c r="G236">
        <v>57.752000000000002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120</v>
      </c>
      <c r="O236">
        <v>0</v>
      </c>
      <c r="P236">
        <v>0</v>
      </c>
      <c r="Q236">
        <v>0</v>
      </c>
      <c r="R236" t="s">
        <v>46</v>
      </c>
      <c r="S236" t="s">
        <v>46</v>
      </c>
      <c r="T236" t="s">
        <v>46</v>
      </c>
      <c r="U236" t="s">
        <v>46</v>
      </c>
      <c r="V236" t="s">
        <v>46</v>
      </c>
      <c r="W236" t="s">
        <v>46</v>
      </c>
      <c r="X236" t="s">
        <v>46</v>
      </c>
      <c r="Y236" t="s">
        <v>46</v>
      </c>
      <c r="Z236" t="s">
        <v>46</v>
      </c>
      <c r="AA236" t="s">
        <v>46</v>
      </c>
      <c r="AB236" t="s">
        <v>46</v>
      </c>
      <c r="AC236" t="s">
        <v>46</v>
      </c>
    </row>
    <row r="237" spans="1:29" x14ac:dyDescent="0.25">
      <c r="A237" t="s">
        <v>58</v>
      </c>
      <c r="B237" t="s">
        <v>59</v>
      </c>
      <c r="C237" t="s">
        <v>99</v>
      </c>
      <c r="D237" t="s">
        <v>100</v>
      </c>
      <c r="E237" t="s">
        <v>55</v>
      </c>
      <c r="F237" t="s">
        <v>46</v>
      </c>
      <c r="R237" t="s">
        <v>46</v>
      </c>
      <c r="S237" t="s">
        <v>46</v>
      </c>
      <c r="T237" t="s">
        <v>46</v>
      </c>
      <c r="U237" t="s">
        <v>46</v>
      </c>
      <c r="V237" t="s">
        <v>46</v>
      </c>
      <c r="W237" t="s">
        <v>46</v>
      </c>
      <c r="X237" t="s">
        <v>46</v>
      </c>
      <c r="Y237" t="s">
        <v>46</v>
      </c>
      <c r="Z237" t="s">
        <v>46</v>
      </c>
      <c r="AA237" t="s">
        <v>46</v>
      </c>
      <c r="AB237" t="s">
        <v>46</v>
      </c>
      <c r="AC237" t="s">
        <v>46</v>
      </c>
    </row>
    <row r="238" spans="1:29" x14ac:dyDescent="0.25">
      <c r="A238" t="s">
        <v>60</v>
      </c>
      <c r="B238" t="s">
        <v>61</v>
      </c>
      <c r="C238" t="s">
        <v>99</v>
      </c>
      <c r="D238" t="s">
        <v>100</v>
      </c>
      <c r="E238" t="s">
        <v>55</v>
      </c>
      <c r="F238" t="s">
        <v>46</v>
      </c>
      <c r="G238">
        <v>1053.2801999999999</v>
      </c>
      <c r="R238" t="s">
        <v>46</v>
      </c>
      <c r="S238" t="s">
        <v>46</v>
      </c>
      <c r="T238" t="s">
        <v>46</v>
      </c>
      <c r="U238" t="s">
        <v>46</v>
      </c>
      <c r="V238" t="s">
        <v>46</v>
      </c>
      <c r="W238" t="s">
        <v>46</v>
      </c>
      <c r="X238" t="s">
        <v>46</v>
      </c>
      <c r="Y238" t="s">
        <v>46</v>
      </c>
      <c r="Z238" t="s">
        <v>46</v>
      </c>
      <c r="AA238" t="s">
        <v>46</v>
      </c>
      <c r="AB238" t="s">
        <v>46</v>
      </c>
      <c r="AC238" t="s">
        <v>46</v>
      </c>
    </row>
    <row r="239" spans="1:29" x14ac:dyDescent="0.25">
      <c r="A239" t="s">
        <v>62</v>
      </c>
      <c r="B239" t="s">
        <v>63</v>
      </c>
      <c r="C239" t="s">
        <v>99</v>
      </c>
      <c r="D239" t="s">
        <v>100</v>
      </c>
      <c r="E239" t="s">
        <v>55</v>
      </c>
      <c r="F239">
        <v>203.6557</v>
      </c>
      <c r="G239">
        <v>212.80170000000001</v>
      </c>
      <c r="H239">
        <v>85.726900000000001</v>
      </c>
      <c r="I239">
        <v>126.6891</v>
      </c>
      <c r="J239">
        <v>125.46720000000001</v>
      </c>
      <c r="K239">
        <v>126.9378</v>
      </c>
      <c r="L239">
        <v>269.40260000000001</v>
      </c>
      <c r="M239">
        <v>227.35720000000001</v>
      </c>
      <c r="N239">
        <v>232.58250000000001</v>
      </c>
      <c r="O239">
        <v>242.72929999999999</v>
      </c>
      <c r="P239">
        <v>98.099199999999996</v>
      </c>
      <c r="Q239">
        <v>52.292400000000001</v>
      </c>
      <c r="R239" t="s">
        <v>46</v>
      </c>
      <c r="S239" t="s">
        <v>46</v>
      </c>
      <c r="T239" t="s">
        <v>46</v>
      </c>
      <c r="U239" t="s">
        <v>46</v>
      </c>
      <c r="V239" t="s">
        <v>46</v>
      </c>
      <c r="W239" t="s">
        <v>46</v>
      </c>
      <c r="X239" t="s">
        <v>46</v>
      </c>
      <c r="Y239" t="s">
        <v>46</v>
      </c>
      <c r="Z239" t="s">
        <v>46</v>
      </c>
      <c r="AA239" t="s">
        <v>46</v>
      </c>
      <c r="AB239" t="s">
        <v>46</v>
      </c>
      <c r="AC239" t="s">
        <v>46</v>
      </c>
    </row>
    <row r="240" spans="1:29" x14ac:dyDescent="0.25">
      <c r="A240" t="s">
        <v>64</v>
      </c>
      <c r="B240" t="s">
        <v>65</v>
      </c>
      <c r="C240" t="s">
        <v>99</v>
      </c>
      <c r="D240" t="s">
        <v>100</v>
      </c>
      <c r="E240" t="s">
        <v>55</v>
      </c>
      <c r="F240">
        <v>235</v>
      </c>
      <c r="G240">
        <v>251</v>
      </c>
      <c r="H240">
        <v>243</v>
      </c>
      <c r="I240">
        <v>241</v>
      </c>
      <c r="J240">
        <v>216</v>
      </c>
      <c r="K240">
        <v>9</v>
      </c>
      <c r="L240">
        <v>100</v>
      </c>
      <c r="M240">
        <v>100</v>
      </c>
      <c r="N240">
        <v>100</v>
      </c>
      <c r="O240">
        <v>175</v>
      </c>
      <c r="P240">
        <v>100</v>
      </c>
      <c r="Q240">
        <v>244</v>
      </c>
      <c r="R240" t="s">
        <v>46</v>
      </c>
      <c r="S240" t="s">
        <v>46</v>
      </c>
      <c r="T240" t="s">
        <v>46</v>
      </c>
      <c r="U240" t="s">
        <v>46</v>
      </c>
      <c r="V240" t="s">
        <v>46</v>
      </c>
      <c r="W240" t="s">
        <v>46</v>
      </c>
      <c r="X240" t="s">
        <v>46</v>
      </c>
      <c r="Y240" t="s">
        <v>46</v>
      </c>
      <c r="Z240" t="s">
        <v>46</v>
      </c>
      <c r="AA240" t="s">
        <v>46</v>
      </c>
      <c r="AB240" t="s">
        <v>46</v>
      </c>
      <c r="AC240" t="s">
        <v>46</v>
      </c>
    </row>
    <row r="241" spans="1:29" x14ac:dyDescent="0.25">
      <c r="A241" t="s">
        <v>66</v>
      </c>
      <c r="B241" t="s">
        <v>67</v>
      </c>
      <c r="C241" t="s">
        <v>99</v>
      </c>
      <c r="D241" t="s">
        <v>100</v>
      </c>
      <c r="E241" t="s">
        <v>55</v>
      </c>
      <c r="F241">
        <v>147</v>
      </c>
      <c r="G241">
        <v>148</v>
      </c>
      <c r="H241">
        <v>154</v>
      </c>
      <c r="I241">
        <v>158</v>
      </c>
      <c r="J241">
        <v>165</v>
      </c>
      <c r="K241">
        <v>55</v>
      </c>
      <c r="L241">
        <v>49</v>
      </c>
      <c r="M241">
        <v>43</v>
      </c>
      <c r="N241">
        <v>81</v>
      </c>
      <c r="O241">
        <v>82</v>
      </c>
      <c r="P241">
        <v>71</v>
      </c>
      <c r="Q241">
        <v>59</v>
      </c>
      <c r="R241" t="s">
        <v>46</v>
      </c>
      <c r="S241" t="s">
        <v>46</v>
      </c>
      <c r="T241" t="s">
        <v>46</v>
      </c>
      <c r="U241" t="s">
        <v>46</v>
      </c>
      <c r="V241" t="s">
        <v>46</v>
      </c>
      <c r="W241" t="s">
        <v>46</v>
      </c>
      <c r="X241" t="s">
        <v>46</v>
      </c>
      <c r="Y241" t="s">
        <v>46</v>
      </c>
      <c r="Z241" t="s">
        <v>46</v>
      </c>
      <c r="AA241" t="s">
        <v>46</v>
      </c>
      <c r="AB241" t="s">
        <v>46</v>
      </c>
      <c r="AC241" t="s">
        <v>46</v>
      </c>
    </row>
    <row r="242" spans="1:29" x14ac:dyDescent="0.25">
      <c r="A242" t="s">
        <v>68</v>
      </c>
      <c r="B242" t="s">
        <v>69</v>
      </c>
      <c r="C242" t="s">
        <v>99</v>
      </c>
      <c r="D242" t="s">
        <v>100</v>
      </c>
      <c r="E242" t="s">
        <v>55</v>
      </c>
      <c r="F242">
        <v>1758</v>
      </c>
      <c r="G242">
        <v>2079</v>
      </c>
      <c r="H242">
        <v>1960</v>
      </c>
      <c r="I242">
        <v>2097</v>
      </c>
      <c r="J242">
        <v>1942</v>
      </c>
      <c r="K242">
        <v>1580</v>
      </c>
      <c r="L242">
        <v>1618</v>
      </c>
      <c r="M242">
        <v>2307</v>
      </c>
      <c r="N242">
        <v>1918</v>
      </c>
      <c r="O242">
        <v>2173</v>
      </c>
      <c r="P242">
        <v>2200</v>
      </c>
      <c r="Q242">
        <v>1203</v>
      </c>
      <c r="R242" t="s">
        <v>46</v>
      </c>
      <c r="S242" t="s">
        <v>46</v>
      </c>
      <c r="T242" t="s">
        <v>46</v>
      </c>
      <c r="U242" t="s">
        <v>46</v>
      </c>
      <c r="V242" t="s">
        <v>46</v>
      </c>
      <c r="W242" t="s">
        <v>46</v>
      </c>
      <c r="X242" t="s">
        <v>46</v>
      </c>
      <c r="Y242" t="s">
        <v>46</v>
      </c>
      <c r="Z242" t="s">
        <v>46</v>
      </c>
      <c r="AA242" t="s">
        <v>46</v>
      </c>
      <c r="AB242" t="s">
        <v>46</v>
      </c>
      <c r="AC242" t="s">
        <v>46</v>
      </c>
    </row>
    <row r="243" spans="1:29" x14ac:dyDescent="0.25">
      <c r="A243" t="s">
        <v>70</v>
      </c>
      <c r="B243" t="s">
        <v>71</v>
      </c>
      <c r="C243" t="s">
        <v>99</v>
      </c>
      <c r="D243" t="s">
        <v>100</v>
      </c>
      <c r="E243" t="s">
        <v>55</v>
      </c>
      <c r="F243">
        <v>60.107999999999997</v>
      </c>
      <c r="G243">
        <v>57.542000000000002</v>
      </c>
      <c r="H243">
        <v>51.423999999999999</v>
      </c>
      <c r="I243">
        <v>48.429000000000002</v>
      </c>
      <c r="J243">
        <v>39.856000000000002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46</v>
      </c>
      <c r="S243" t="s">
        <v>46</v>
      </c>
      <c r="T243" t="s">
        <v>46</v>
      </c>
      <c r="U243" t="s">
        <v>46</v>
      </c>
      <c r="V243" t="s">
        <v>46</v>
      </c>
      <c r="W243" t="s">
        <v>46</v>
      </c>
      <c r="X243" t="s">
        <v>46</v>
      </c>
      <c r="Y243" t="s">
        <v>46</v>
      </c>
      <c r="Z243" t="s">
        <v>46</v>
      </c>
      <c r="AA243" t="s">
        <v>46</v>
      </c>
      <c r="AB243" t="s">
        <v>46</v>
      </c>
      <c r="AC243" t="s">
        <v>46</v>
      </c>
    </row>
    <row r="244" spans="1:29" x14ac:dyDescent="0.25">
      <c r="A244" t="s">
        <v>72</v>
      </c>
      <c r="B244" t="s">
        <v>73</v>
      </c>
      <c r="C244" t="s">
        <v>99</v>
      </c>
      <c r="D244" t="s">
        <v>100</v>
      </c>
      <c r="E244" t="s">
        <v>55</v>
      </c>
      <c r="F244">
        <v>271.25099999999998</v>
      </c>
      <c r="G244">
        <v>170.91300000000001</v>
      </c>
      <c r="H244">
        <v>337.875</v>
      </c>
      <c r="I244">
        <v>379.37900000000002</v>
      </c>
      <c r="J244">
        <v>403.05099999999999</v>
      </c>
      <c r="K244">
        <v>328.483</v>
      </c>
      <c r="L244">
        <v>363.476</v>
      </c>
      <c r="M244">
        <v>254.249</v>
      </c>
      <c r="N244">
        <v>314.23700000000002</v>
      </c>
      <c r="O244">
        <v>209.226</v>
      </c>
      <c r="P244">
        <v>199.22399999999999</v>
      </c>
      <c r="Q244">
        <v>244.21299999999999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A244" t="s">
        <v>46</v>
      </c>
      <c r="AB244" t="s">
        <v>46</v>
      </c>
      <c r="AC244" t="s">
        <v>46</v>
      </c>
    </row>
    <row r="245" spans="1:29" x14ac:dyDescent="0.25">
      <c r="A245" t="s">
        <v>74</v>
      </c>
      <c r="B245" t="s">
        <v>75</v>
      </c>
      <c r="C245" t="s">
        <v>99</v>
      </c>
      <c r="D245" t="s">
        <v>100</v>
      </c>
      <c r="E245" t="s">
        <v>55</v>
      </c>
      <c r="F245">
        <v>391.13600000000002</v>
      </c>
      <c r="J245">
        <v>176.13</v>
      </c>
      <c r="M245">
        <v>0</v>
      </c>
      <c r="N245">
        <v>6.4474</v>
      </c>
      <c r="O245">
        <v>0</v>
      </c>
      <c r="P245">
        <v>0</v>
      </c>
      <c r="Q245">
        <v>0</v>
      </c>
      <c r="R245" t="s">
        <v>46</v>
      </c>
      <c r="S245" t="s">
        <v>46</v>
      </c>
      <c r="T245" t="s">
        <v>46</v>
      </c>
      <c r="U245" t="s">
        <v>46</v>
      </c>
      <c r="V245" t="s">
        <v>46</v>
      </c>
      <c r="W245" t="s">
        <v>46</v>
      </c>
      <c r="X245" t="s">
        <v>46</v>
      </c>
      <c r="Y245" t="s">
        <v>46</v>
      </c>
      <c r="Z245" t="s">
        <v>46</v>
      </c>
      <c r="AA245" t="s">
        <v>46</v>
      </c>
      <c r="AB245" t="s">
        <v>46</v>
      </c>
      <c r="AC245" t="s">
        <v>46</v>
      </c>
    </row>
    <row r="246" spans="1:29" x14ac:dyDescent="0.25">
      <c r="A246" t="s">
        <v>76</v>
      </c>
      <c r="B246" t="s">
        <v>77</v>
      </c>
      <c r="C246" t="s">
        <v>99</v>
      </c>
      <c r="D246" t="s">
        <v>100</v>
      </c>
      <c r="E246" t="s">
        <v>55</v>
      </c>
      <c r="F246">
        <v>195.94210000000001</v>
      </c>
      <c r="G246">
        <v>125.7165</v>
      </c>
      <c r="H246">
        <v>122.9858</v>
      </c>
      <c r="I246">
        <v>118.1109</v>
      </c>
      <c r="J246">
        <v>34.336300000000001</v>
      </c>
      <c r="K246">
        <v>48.498100000000001</v>
      </c>
      <c r="L246">
        <v>238.55160000000001</v>
      </c>
      <c r="M246">
        <v>303.16059999999999</v>
      </c>
      <c r="N246">
        <v>390.23930000000001</v>
      </c>
      <c r="O246">
        <v>325.73849999999999</v>
      </c>
      <c r="P246">
        <v>149.54400000000001</v>
      </c>
      <c r="Q246">
        <v>129.59</v>
      </c>
      <c r="R246" t="s">
        <v>46</v>
      </c>
      <c r="S246" t="s">
        <v>46</v>
      </c>
      <c r="T246" t="s">
        <v>46</v>
      </c>
      <c r="U246" t="s">
        <v>46</v>
      </c>
      <c r="V246" t="s">
        <v>46</v>
      </c>
      <c r="W246" t="s">
        <v>46</v>
      </c>
      <c r="X246" t="s">
        <v>46</v>
      </c>
      <c r="Y246" t="s">
        <v>46</v>
      </c>
      <c r="Z246" t="s">
        <v>46</v>
      </c>
      <c r="AA246" t="s">
        <v>46</v>
      </c>
      <c r="AB246" t="s">
        <v>46</v>
      </c>
      <c r="AC246" t="s">
        <v>46</v>
      </c>
    </row>
    <row r="247" spans="1:29" x14ac:dyDescent="0.25">
      <c r="A247" t="s">
        <v>78</v>
      </c>
      <c r="B247" t="s">
        <v>79</v>
      </c>
      <c r="C247" t="s">
        <v>99</v>
      </c>
      <c r="D247" t="s">
        <v>100</v>
      </c>
      <c r="E247" t="s">
        <v>55</v>
      </c>
      <c r="F247">
        <v>82.124099999999999</v>
      </c>
      <c r="G247">
        <v>79.747799999999998</v>
      </c>
      <c r="H247">
        <v>72.875500000000002</v>
      </c>
      <c r="I247">
        <v>71.670100000000005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46</v>
      </c>
      <c r="S247" t="s">
        <v>46</v>
      </c>
      <c r="T247" t="s">
        <v>46</v>
      </c>
      <c r="U247" t="s">
        <v>46</v>
      </c>
      <c r="V247" t="s">
        <v>46</v>
      </c>
      <c r="W247" t="s">
        <v>46</v>
      </c>
      <c r="X247" t="s">
        <v>46</v>
      </c>
      <c r="Y247" t="s">
        <v>46</v>
      </c>
      <c r="Z247" t="s">
        <v>46</v>
      </c>
      <c r="AA247" t="s">
        <v>46</v>
      </c>
      <c r="AB247" t="s">
        <v>46</v>
      </c>
      <c r="AC247" t="s">
        <v>46</v>
      </c>
    </row>
    <row r="248" spans="1:29" x14ac:dyDescent="0.25">
      <c r="A248" t="s">
        <v>80</v>
      </c>
      <c r="B248" t="s">
        <v>81</v>
      </c>
      <c r="C248" t="s">
        <v>99</v>
      </c>
      <c r="D248" t="s">
        <v>100</v>
      </c>
      <c r="E248" t="s">
        <v>55</v>
      </c>
      <c r="F248">
        <v>12969</v>
      </c>
      <c r="G248">
        <v>10177</v>
      </c>
      <c r="H248">
        <v>9907</v>
      </c>
      <c r="I248">
        <v>15913</v>
      </c>
      <c r="J248">
        <v>11563</v>
      </c>
      <c r="K248">
        <v>10207</v>
      </c>
      <c r="L248">
        <v>10932</v>
      </c>
      <c r="M248">
        <v>7646</v>
      </c>
      <c r="N248">
        <v>5977</v>
      </c>
      <c r="O248">
        <v>6987</v>
      </c>
      <c r="P248">
        <v>4299</v>
      </c>
      <c r="Q248">
        <v>8061</v>
      </c>
      <c r="R248" t="s">
        <v>46</v>
      </c>
      <c r="S248" t="s">
        <v>46</v>
      </c>
      <c r="T248" t="s">
        <v>46</v>
      </c>
      <c r="U248" t="s">
        <v>46</v>
      </c>
      <c r="V248" t="s">
        <v>46</v>
      </c>
      <c r="W248" t="s">
        <v>46</v>
      </c>
      <c r="X248" t="s">
        <v>46</v>
      </c>
      <c r="Y248" t="s">
        <v>46</v>
      </c>
      <c r="Z248" t="s">
        <v>46</v>
      </c>
      <c r="AA248" t="s">
        <v>46</v>
      </c>
      <c r="AB248" t="s">
        <v>46</v>
      </c>
      <c r="AC248" t="s">
        <v>46</v>
      </c>
    </row>
    <row r="249" spans="1:29" x14ac:dyDescent="0.25">
      <c r="A249" t="s">
        <v>82</v>
      </c>
      <c r="B249" t="s">
        <v>83</v>
      </c>
      <c r="C249" t="s">
        <v>99</v>
      </c>
      <c r="D249" t="s">
        <v>100</v>
      </c>
      <c r="E249" t="s">
        <v>55</v>
      </c>
      <c r="F249">
        <v>168.22839999999999</v>
      </c>
      <c r="G249">
        <v>167.35810000000001</v>
      </c>
      <c r="H249">
        <v>160.4675</v>
      </c>
      <c r="I249">
        <v>156.39760000000001</v>
      </c>
      <c r="J249">
        <v>2.5964999999999998</v>
      </c>
      <c r="K249">
        <v>2.4394</v>
      </c>
      <c r="L249">
        <v>2.3431999999999999</v>
      </c>
      <c r="M249">
        <v>2.3365999999999998</v>
      </c>
      <c r="N249">
        <v>29.627400000000002</v>
      </c>
      <c r="O249">
        <v>2.9756999999999998</v>
      </c>
      <c r="P249">
        <v>3.0604</v>
      </c>
      <c r="Q249">
        <v>3.2498</v>
      </c>
      <c r="R249" t="s">
        <v>46</v>
      </c>
      <c r="S249" t="s">
        <v>46</v>
      </c>
      <c r="T249" t="s">
        <v>46</v>
      </c>
      <c r="U249" t="s">
        <v>46</v>
      </c>
      <c r="V249" t="s">
        <v>46</v>
      </c>
      <c r="W249" t="s">
        <v>46</v>
      </c>
      <c r="X249" t="s">
        <v>46</v>
      </c>
      <c r="Y249" t="s">
        <v>46</v>
      </c>
      <c r="Z249" t="s">
        <v>46</v>
      </c>
      <c r="AA249" t="s">
        <v>46</v>
      </c>
      <c r="AB249" t="s">
        <v>46</v>
      </c>
      <c r="AC249" t="s">
        <v>46</v>
      </c>
    </row>
    <row r="250" spans="1:29" x14ac:dyDescent="0.25">
      <c r="A250" t="s">
        <v>84</v>
      </c>
      <c r="B250" t="s">
        <v>85</v>
      </c>
      <c r="C250" t="s">
        <v>99</v>
      </c>
      <c r="D250" t="s">
        <v>100</v>
      </c>
      <c r="E250" t="s">
        <v>55</v>
      </c>
      <c r="F250">
        <v>298.44630000000001</v>
      </c>
      <c r="G250">
        <v>314.45639999999997</v>
      </c>
      <c r="H250">
        <v>327.4726</v>
      </c>
      <c r="I250">
        <v>233.01499999999999</v>
      </c>
      <c r="J250">
        <v>257.76330000000002</v>
      </c>
      <c r="K250">
        <v>200.40180000000001</v>
      </c>
      <c r="L250">
        <v>153.9804</v>
      </c>
      <c r="M250">
        <v>148.17089999999999</v>
      </c>
      <c r="N250">
        <v>249.5299</v>
      </c>
      <c r="O250">
        <v>183.97380000000001</v>
      </c>
      <c r="P250">
        <v>155.5608</v>
      </c>
      <c r="Q250">
        <v>154.61179999999999</v>
      </c>
      <c r="R250" t="s">
        <v>46</v>
      </c>
      <c r="S250" t="s">
        <v>46</v>
      </c>
      <c r="T250" t="s">
        <v>46</v>
      </c>
      <c r="U250" t="s">
        <v>46</v>
      </c>
      <c r="V250" t="s">
        <v>46</v>
      </c>
      <c r="W250" t="s">
        <v>46</v>
      </c>
      <c r="X250" t="s">
        <v>46</v>
      </c>
      <c r="Y250" t="s">
        <v>46</v>
      </c>
      <c r="Z250" t="s">
        <v>46</v>
      </c>
      <c r="AA250" t="s">
        <v>46</v>
      </c>
      <c r="AB250" t="s">
        <v>46</v>
      </c>
      <c r="AC250" t="s">
        <v>46</v>
      </c>
    </row>
    <row r="251" spans="1:29" x14ac:dyDescent="0.25">
      <c r="A251" t="s">
        <v>86</v>
      </c>
      <c r="B251" t="s">
        <v>87</v>
      </c>
      <c r="C251" t="s">
        <v>99</v>
      </c>
      <c r="D251" t="s">
        <v>100</v>
      </c>
      <c r="E251" t="s">
        <v>55</v>
      </c>
      <c r="F251">
        <v>1058.2206000000001</v>
      </c>
      <c r="G251">
        <v>1105.9256</v>
      </c>
      <c r="H251">
        <v>1109.2637</v>
      </c>
      <c r="I251">
        <v>1271.1583000000001</v>
      </c>
      <c r="J251">
        <v>1025.6148000000001</v>
      </c>
      <c r="K251">
        <v>772.89419999999996</v>
      </c>
      <c r="L251">
        <v>864.59590000000003</v>
      </c>
      <c r="M251">
        <v>1032.0263</v>
      </c>
      <c r="N251">
        <v>1427.5011999999999</v>
      </c>
      <c r="O251">
        <v>1600.0093999999999</v>
      </c>
      <c r="P251">
        <v>1747.6664000000001</v>
      </c>
      <c r="Q251">
        <v>1759.7056</v>
      </c>
      <c r="R251" t="s">
        <v>46</v>
      </c>
      <c r="S251" t="s">
        <v>46</v>
      </c>
      <c r="T251" t="s">
        <v>46</v>
      </c>
      <c r="U251" t="s">
        <v>46</v>
      </c>
      <c r="V251" t="s">
        <v>46</v>
      </c>
      <c r="W251" t="s">
        <v>46</v>
      </c>
      <c r="X251" t="s">
        <v>46</v>
      </c>
      <c r="Y251" t="s">
        <v>46</v>
      </c>
      <c r="Z251" t="s">
        <v>46</v>
      </c>
      <c r="AA251" t="s">
        <v>46</v>
      </c>
      <c r="AB251" t="s">
        <v>46</v>
      </c>
      <c r="AC251" t="s">
        <v>46</v>
      </c>
    </row>
    <row r="252" spans="1:29" x14ac:dyDescent="0.25">
      <c r="A252" t="s">
        <v>51</v>
      </c>
      <c r="B252" t="s">
        <v>52</v>
      </c>
      <c r="C252" t="s">
        <v>102</v>
      </c>
      <c r="D252" t="s">
        <v>103</v>
      </c>
      <c r="E252" t="s">
        <v>55</v>
      </c>
      <c r="F252">
        <v>2665.7310000000002</v>
      </c>
      <c r="G252">
        <v>2667.5859999999998</v>
      </c>
      <c r="H252">
        <v>16.247</v>
      </c>
      <c r="I252">
        <v>19.855</v>
      </c>
      <c r="J252">
        <v>19.753</v>
      </c>
      <c r="K252">
        <v>19.896000000000001</v>
      </c>
      <c r="L252">
        <v>19.675999999999998</v>
      </c>
      <c r="M252">
        <v>25.957999999999998</v>
      </c>
      <c r="N252">
        <v>25.923000000000002</v>
      </c>
      <c r="O252">
        <v>22.225999999999999</v>
      </c>
      <c r="P252">
        <v>22.163</v>
      </c>
      <c r="Q252">
        <v>24.731999999999999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</row>
    <row r="253" spans="1:29" x14ac:dyDescent="0.25">
      <c r="A253" t="s">
        <v>56</v>
      </c>
      <c r="B253" t="s">
        <v>57</v>
      </c>
      <c r="C253" t="s">
        <v>102</v>
      </c>
      <c r="D253" t="s">
        <v>103</v>
      </c>
      <c r="E253" t="s">
        <v>55</v>
      </c>
      <c r="F253">
        <v>218.39099999999999</v>
      </c>
      <c r="G253">
        <v>223.66399999999999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46</v>
      </c>
      <c r="S253" t="s">
        <v>46</v>
      </c>
      <c r="T253" t="s">
        <v>46</v>
      </c>
      <c r="U253" t="s">
        <v>46</v>
      </c>
      <c r="V253" t="s">
        <v>46</v>
      </c>
      <c r="W253" t="s">
        <v>46</v>
      </c>
      <c r="X253" t="s">
        <v>46</v>
      </c>
      <c r="Y253" t="s">
        <v>46</v>
      </c>
      <c r="Z253" t="s">
        <v>46</v>
      </c>
      <c r="AA253" t="s">
        <v>46</v>
      </c>
      <c r="AB253" t="s">
        <v>46</v>
      </c>
      <c r="AC253" t="s">
        <v>46</v>
      </c>
    </row>
    <row r="254" spans="1:29" x14ac:dyDescent="0.25">
      <c r="A254" t="s">
        <v>58</v>
      </c>
      <c r="B254" t="s">
        <v>59</v>
      </c>
      <c r="C254" t="s">
        <v>102</v>
      </c>
      <c r="D254" t="s">
        <v>103</v>
      </c>
      <c r="E254" t="s">
        <v>55</v>
      </c>
      <c r="F254" t="s">
        <v>46</v>
      </c>
      <c r="R254" t="s">
        <v>46</v>
      </c>
      <c r="S254" t="s">
        <v>46</v>
      </c>
      <c r="T254" t="s">
        <v>46</v>
      </c>
      <c r="U254" t="s">
        <v>46</v>
      </c>
      <c r="V254" t="s">
        <v>46</v>
      </c>
      <c r="W254" t="s">
        <v>46</v>
      </c>
      <c r="X254" t="s">
        <v>46</v>
      </c>
      <c r="Y254" t="s">
        <v>46</v>
      </c>
      <c r="Z254" t="s">
        <v>46</v>
      </c>
      <c r="AA254" t="s">
        <v>46</v>
      </c>
      <c r="AB254" t="s">
        <v>46</v>
      </c>
      <c r="AC254" t="s">
        <v>46</v>
      </c>
    </row>
    <row r="255" spans="1:29" x14ac:dyDescent="0.25">
      <c r="A255" t="s">
        <v>60</v>
      </c>
      <c r="B255" t="s">
        <v>61</v>
      </c>
      <c r="C255" t="s">
        <v>102</v>
      </c>
      <c r="D255" t="s">
        <v>103</v>
      </c>
      <c r="E255" t="s">
        <v>55</v>
      </c>
      <c r="F255" t="s">
        <v>46</v>
      </c>
      <c r="G255">
        <v>3543.8724000000002</v>
      </c>
      <c r="R255" t="s">
        <v>46</v>
      </c>
      <c r="S255" t="s">
        <v>46</v>
      </c>
      <c r="T255" t="s">
        <v>46</v>
      </c>
      <c r="U255" t="s">
        <v>46</v>
      </c>
      <c r="V255" t="s">
        <v>46</v>
      </c>
      <c r="W255" t="s">
        <v>46</v>
      </c>
      <c r="X255" t="s">
        <v>46</v>
      </c>
      <c r="Y255" t="s">
        <v>46</v>
      </c>
      <c r="Z255" t="s">
        <v>46</v>
      </c>
      <c r="AA255" t="s">
        <v>46</v>
      </c>
      <c r="AB255" t="s">
        <v>46</v>
      </c>
      <c r="AC255" t="s">
        <v>46</v>
      </c>
    </row>
    <row r="256" spans="1:29" x14ac:dyDescent="0.25">
      <c r="A256" t="s">
        <v>62</v>
      </c>
      <c r="B256" t="s">
        <v>63</v>
      </c>
      <c r="C256" t="s">
        <v>102</v>
      </c>
      <c r="D256" t="s">
        <v>103</v>
      </c>
      <c r="E256" t="s">
        <v>55</v>
      </c>
      <c r="F256">
        <v>2733.1714000000002</v>
      </c>
      <c r="G256">
        <v>2102.9735000000001</v>
      </c>
      <c r="H256">
        <v>1674.8705</v>
      </c>
      <c r="I256">
        <v>1807.4131</v>
      </c>
      <c r="J256">
        <v>1473.9755</v>
      </c>
      <c r="K256">
        <v>1477.8074999999999</v>
      </c>
      <c r="L256">
        <v>1122.4305999999999</v>
      </c>
      <c r="M256">
        <v>1174.4123</v>
      </c>
      <c r="N256">
        <v>1148.2886000000001</v>
      </c>
      <c r="O256">
        <v>1212.4411</v>
      </c>
      <c r="P256">
        <v>1393.4123999999999</v>
      </c>
      <c r="Q256">
        <v>1278.9023</v>
      </c>
      <c r="R256" t="s">
        <v>46</v>
      </c>
      <c r="S256" t="s">
        <v>46</v>
      </c>
      <c r="T256" t="s">
        <v>46</v>
      </c>
      <c r="U256" t="s">
        <v>46</v>
      </c>
      <c r="V256" t="s">
        <v>46</v>
      </c>
      <c r="W256" t="s">
        <v>46</v>
      </c>
      <c r="X256" t="s">
        <v>46</v>
      </c>
      <c r="Y256" t="s">
        <v>46</v>
      </c>
      <c r="Z256" t="s">
        <v>46</v>
      </c>
      <c r="AA256" t="s">
        <v>46</v>
      </c>
      <c r="AB256" t="s">
        <v>46</v>
      </c>
      <c r="AC256" t="s">
        <v>46</v>
      </c>
    </row>
    <row r="257" spans="1:29" x14ac:dyDescent="0.25">
      <c r="A257" t="s">
        <v>64</v>
      </c>
      <c r="B257" t="s">
        <v>65</v>
      </c>
      <c r="C257" t="s">
        <v>102</v>
      </c>
      <c r="D257" t="s">
        <v>103</v>
      </c>
      <c r="E257" t="s">
        <v>55</v>
      </c>
      <c r="F257">
        <v>3164</v>
      </c>
      <c r="G257">
        <v>1460</v>
      </c>
      <c r="H257">
        <v>1457</v>
      </c>
      <c r="I257">
        <v>1413</v>
      </c>
      <c r="J257">
        <v>1395</v>
      </c>
      <c r="K257">
        <v>736</v>
      </c>
      <c r="L257">
        <v>624</v>
      </c>
      <c r="M257">
        <v>649</v>
      </c>
      <c r="N257">
        <v>673</v>
      </c>
      <c r="O257">
        <v>698</v>
      </c>
      <c r="P257">
        <v>723</v>
      </c>
      <c r="Q257">
        <v>747</v>
      </c>
      <c r="R257" t="s">
        <v>46</v>
      </c>
      <c r="S257" t="s">
        <v>46</v>
      </c>
      <c r="T257" t="s">
        <v>46</v>
      </c>
      <c r="U257" t="s">
        <v>46</v>
      </c>
      <c r="V257" t="s">
        <v>46</v>
      </c>
      <c r="W257" t="s">
        <v>46</v>
      </c>
      <c r="X257" t="s">
        <v>46</v>
      </c>
      <c r="Y257" t="s">
        <v>46</v>
      </c>
      <c r="Z257" t="s">
        <v>46</v>
      </c>
      <c r="AA257" t="s">
        <v>46</v>
      </c>
      <c r="AB257" t="s">
        <v>46</v>
      </c>
      <c r="AC257" t="s">
        <v>46</v>
      </c>
    </row>
    <row r="258" spans="1:29" x14ac:dyDescent="0.25">
      <c r="A258" t="s">
        <v>66</v>
      </c>
      <c r="B258" t="s">
        <v>67</v>
      </c>
      <c r="C258" t="s">
        <v>102</v>
      </c>
      <c r="D258" t="s">
        <v>103</v>
      </c>
      <c r="E258" t="s">
        <v>55</v>
      </c>
      <c r="F258">
        <v>1820</v>
      </c>
      <c r="G258">
        <v>1693</v>
      </c>
      <c r="H258">
        <v>1713</v>
      </c>
      <c r="I258">
        <v>1752</v>
      </c>
      <c r="J258">
        <v>1778</v>
      </c>
      <c r="K258">
        <v>1512</v>
      </c>
      <c r="L258">
        <v>1528</v>
      </c>
      <c r="M258">
        <v>2001</v>
      </c>
      <c r="N258">
        <v>1972</v>
      </c>
      <c r="O258">
        <v>1979</v>
      </c>
      <c r="P258">
        <v>1991</v>
      </c>
      <c r="Q258">
        <v>2071</v>
      </c>
      <c r="R258" t="s">
        <v>46</v>
      </c>
      <c r="S258" t="s">
        <v>46</v>
      </c>
      <c r="T258" t="s">
        <v>46</v>
      </c>
      <c r="U258" t="s">
        <v>46</v>
      </c>
      <c r="V258" t="s">
        <v>46</v>
      </c>
      <c r="W258" t="s">
        <v>46</v>
      </c>
      <c r="X258" t="s">
        <v>46</v>
      </c>
      <c r="Y258" t="s">
        <v>46</v>
      </c>
      <c r="Z258" t="s">
        <v>46</v>
      </c>
      <c r="AA258" t="s">
        <v>46</v>
      </c>
      <c r="AB258" t="s">
        <v>46</v>
      </c>
      <c r="AC258" t="s">
        <v>46</v>
      </c>
    </row>
    <row r="259" spans="1:29" x14ac:dyDescent="0.25">
      <c r="A259" t="s">
        <v>68</v>
      </c>
      <c r="B259" t="s">
        <v>69</v>
      </c>
      <c r="C259" t="s">
        <v>102</v>
      </c>
      <c r="D259" t="s">
        <v>103</v>
      </c>
      <c r="E259" t="s">
        <v>55</v>
      </c>
      <c r="F259">
        <v>9735</v>
      </c>
      <c r="G259">
        <v>8412</v>
      </c>
      <c r="H259">
        <v>8837</v>
      </c>
      <c r="I259">
        <v>9022</v>
      </c>
      <c r="J259">
        <v>5470</v>
      </c>
      <c r="K259">
        <v>5980</v>
      </c>
      <c r="L259">
        <v>5409</v>
      </c>
      <c r="M259">
        <v>4747</v>
      </c>
      <c r="N259">
        <v>6092</v>
      </c>
      <c r="O259">
        <v>6367</v>
      </c>
      <c r="P259">
        <v>6325</v>
      </c>
      <c r="Q259">
        <v>6249</v>
      </c>
      <c r="R259" t="s">
        <v>46</v>
      </c>
      <c r="S259" t="s">
        <v>46</v>
      </c>
      <c r="T259" t="s">
        <v>46</v>
      </c>
      <c r="U259" t="s">
        <v>46</v>
      </c>
      <c r="V259" t="s">
        <v>46</v>
      </c>
      <c r="W259" t="s">
        <v>46</v>
      </c>
      <c r="X259" t="s">
        <v>46</v>
      </c>
      <c r="Y259" t="s">
        <v>46</v>
      </c>
      <c r="Z259" t="s">
        <v>46</v>
      </c>
      <c r="AA259" t="s">
        <v>46</v>
      </c>
      <c r="AB259" t="s">
        <v>46</v>
      </c>
      <c r="AC259" t="s">
        <v>46</v>
      </c>
    </row>
    <row r="260" spans="1:29" x14ac:dyDescent="0.25">
      <c r="A260" t="s">
        <v>70</v>
      </c>
      <c r="B260" t="s">
        <v>71</v>
      </c>
      <c r="C260" t="s">
        <v>102</v>
      </c>
      <c r="D260" t="s">
        <v>103</v>
      </c>
      <c r="E260" t="s">
        <v>55</v>
      </c>
      <c r="F260">
        <v>214.358</v>
      </c>
      <c r="G260">
        <v>205.922</v>
      </c>
      <c r="H260">
        <v>178.98</v>
      </c>
      <c r="I260">
        <v>183.137</v>
      </c>
      <c r="J260">
        <v>152.935</v>
      </c>
      <c r="K260">
        <v>25.030999999999999</v>
      </c>
      <c r="L260">
        <v>25.027999999999999</v>
      </c>
      <c r="M260">
        <v>25.02</v>
      </c>
      <c r="N260">
        <v>25.024999999999999</v>
      </c>
      <c r="O260">
        <v>25.033000000000001</v>
      </c>
      <c r="P260">
        <v>25.041</v>
      </c>
      <c r="Q260">
        <v>25.033000000000001</v>
      </c>
      <c r="R260" t="s">
        <v>46</v>
      </c>
      <c r="S260" t="s">
        <v>46</v>
      </c>
      <c r="T260" t="s">
        <v>46</v>
      </c>
      <c r="U260" t="s">
        <v>46</v>
      </c>
      <c r="V260" t="s">
        <v>46</v>
      </c>
      <c r="W260" t="s">
        <v>46</v>
      </c>
      <c r="X260" t="s">
        <v>46</v>
      </c>
      <c r="Y260" t="s">
        <v>46</v>
      </c>
      <c r="Z260" t="s">
        <v>46</v>
      </c>
      <c r="AA260" t="s">
        <v>46</v>
      </c>
      <c r="AB260" t="s">
        <v>46</v>
      </c>
      <c r="AC260" t="s">
        <v>46</v>
      </c>
    </row>
    <row r="261" spans="1:29" x14ac:dyDescent="0.25">
      <c r="A261" t="s">
        <v>72</v>
      </c>
      <c r="B261" t="s">
        <v>73</v>
      </c>
      <c r="C261" t="s">
        <v>102</v>
      </c>
      <c r="D261" t="s">
        <v>103</v>
      </c>
      <c r="E261" t="s">
        <v>55</v>
      </c>
      <c r="F261">
        <v>1668.386</v>
      </c>
      <c r="G261">
        <v>1662.6210000000001</v>
      </c>
      <c r="H261">
        <v>1250.319</v>
      </c>
      <c r="I261">
        <v>1265.2629999999999</v>
      </c>
      <c r="J261">
        <v>1243.5419999999999</v>
      </c>
      <c r="K261">
        <v>975.64499999999998</v>
      </c>
      <c r="L261">
        <v>983.88400000000001</v>
      </c>
      <c r="M261">
        <v>987.31399999999996</v>
      </c>
      <c r="N261">
        <v>996.99900000000002</v>
      </c>
      <c r="O261">
        <v>1006.687</v>
      </c>
      <c r="P261">
        <v>1016.371</v>
      </c>
      <c r="Q261">
        <v>1026.047</v>
      </c>
      <c r="R261" t="s">
        <v>46</v>
      </c>
      <c r="S261" t="s">
        <v>46</v>
      </c>
      <c r="T261" t="s">
        <v>46</v>
      </c>
      <c r="U261" t="s">
        <v>46</v>
      </c>
      <c r="V261" t="s">
        <v>46</v>
      </c>
      <c r="W261" t="s">
        <v>46</v>
      </c>
      <c r="X261" t="s">
        <v>46</v>
      </c>
      <c r="Y261" t="s">
        <v>46</v>
      </c>
      <c r="Z261" t="s">
        <v>46</v>
      </c>
      <c r="AA261" t="s">
        <v>46</v>
      </c>
      <c r="AB261" t="s">
        <v>46</v>
      </c>
      <c r="AC261" t="s">
        <v>46</v>
      </c>
    </row>
    <row r="262" spans="1:29" x14ac:dyDescent="0.25">
      <c r="A262" t="s">
        <v>74</v>
      </c>
      <c r="B262" t="s">
        <v>75</v>
      </c>
      <c r="C262" t="s">
        <v>102</v>
      </c>
      <c r="D262" t="s">
        <v>103</v>
      </c>
      <c r="E262" t="s">
        <v>55</v>
      </c>
      <c r="F262">
        <v>664.45</v>
      </c>
      <c r="G262">
        <v>894.8</v>
      </c>
      <c r="H262">
        <v>915.6</v>
      </c>
      <c r="I262">
        <v>576.70000000000005</v>
      </c>
      <c r="J262">
        <v>430.67899999999997</v>
      </c>
      <c r="K262">
        <v>557</v>
      </c>
      <c r="L262">
        <v>424.1</v>
      </c>
      <c r="M262">
        <v>52.3</v>
      </c>
      <c r="N262">
        <v>69.846900000000005</v>
      </c>
      <c r="O262">
        <v>79.900000000000006</v>
      </c>
      <c r="P262">
        <v>111.4</v>
      </c>
      <c r="Q262">
        <v>88.2</v>
      </c>
      <c r="R262" t="s">
        <v>46</v>
      </c>
      <c r="S262" t="s">
        <v>46</v>
      </c>
      <c r="T262" t="s">
        <v>46</v>
      </c>
      <c r="U262" t="s">
        <v>46</v>
      </c>
      <c r="V262" t="s">
        <v>46</v>
      </c>
      <c r="W262" t="s">
        <v>46</v>
      </c>
      <c r="X262" t="s">
        <v>46</v>
      </c>
      <c r="Y262" t="s">
        <v>46</v>
      </c>
      <c r="Z262" t="s">
        <v>46</v>
      </c>
      <c r="AA262" t="s">
        <v>46</v>
      </c>
      <c r="AB262" t="s">
        <v>46</v>
      </c>
      <c r="AC262" t="s">
        <v>46</v>
      </c>
    </row>
    <row r="263" spans="1:29" x14ac:dyDescent="0.25">
      <c r="A263" t="s">
        <v>76</v>
      </c>
      <c r="B263" t="s">
        <v>77</v>
      </c>
      <c r="C263" t="s">
        <v>102</v>
      </c>
      <c r="D263" t="s">
        <v>103</v>
      </c>
      <c r="E263" t="s">
        <v>55</v>
      </c>
      <c r="F263">
        <v>1481.3044</v>
      </c>
      <c r="G263">
        <v>1664.5554999999999</v>
      </c>
      <c r="H263">
        <v>1566.8701000000001</v>
      </c>
      <c r="I263">
        <v>1752.4779000000001</v>
      </c>
      <c r="J263">
        <v>1572.3987</v>
      </c>
      <c r="K263">
        <v>1555.9248</v>
      </c>
      <c r="L263">
        <v>1553.8371</v>
      </c>
      <c r="M263">
        <v>1567.4550999999999</v>
      </c>
      <c r="N263">
        <v>1275.56</v>
      </c>
      <c r="O263">
        <v>1221.8896</v>
      </c>
      <c r="P263">
        <v>1407.1537000000001</v>
      </c>
      <c r="Q263">
        <v>1432.0907</v>
      </c>
      <c r="R263" t="s">
        <v>46</v>
      </c>
      <c r="S263" t="s">
        <v>46</v>
      </c>
      <c r="T263" t="s">
        <v>46</v>
      </c>
      <c r="U263" t="s">
        <v>46</v>
      </c>
      <c r="V263" t="s">
        <v>46</v>
      </c>
      <c r="W263" t="s">
        <v>46</v>
      </c>
      <c r="X263" t="s">
        <v>46</v>
      </c>
      <c r="Y263" t="s">
        <v>46</v>
      </c>
      <c r="Z263" t="s">
        <v>46</v>
      </c>
      <c r="AA263" t="s">
        <v>46</v>
      </c>
      <c r="AB263" t="s">
        <v>46</v>
      </c>
      <c r="AC263" t="s">
        <v>46</v>
      </c>
    </row>
    <row r="264" spans="1:29" x14ac:dyDescent="0.25">
      <c r="A264" t="s">
        <v>78</v>
      </c>
      <c r="B264" t="s">
        <v>79</v>
      </c>
      <c r="C264" t="s">
        <v>102</v>
      </c>
      <c r="D264" t="s">
        <v>103</v>
      </c>
      <c r="E264" t="s">
        <v>55</v>
      </c>
      <c r="F264">
        <v>532.54650000000004</v>
      </c>
      <c r="G264">
        <v>501.93400000000003</v>
      </c>
      <c r="H264">
        <v>504.04349999999999</v>
      </c>
      <c r="I264">
        <v>484.28120000000001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46</v>
      </c>
      <c r="S264" t="s">
        <v>46</v>
      </c>
      <c r="T264" t="s">
        <v>46</v>
      </c>
      <c r="U264" t="s">
        <v>46</v>
      </c>
      <c r="V264" t="s">
        <v>46</v>
      </c>
      <c r="W264" t="s">
        <v>46</v>
      </c>
      <c r="X264" t="s">
        <v>46</v>
      </c>
      <c r="Y264" t="s">
        <v>46</v>
      </c>
      <c r="Z264" t="s">
        <v>46</v>
      </c>
      <c r="AA264" t="s">
        <v>46</v>
      </c>
      <c r="AB264" t="s">
        <v>46</v>
      </c>
      <c r="AC264" t="s">
        <v>46</v>
      </c>
    </row>
    <row r="265" spans="1:29" x14ac:dyDescent="0.25">
      <c r="A265" t="s">
        <v>80</v>
      </c>
      <c r="B265" t="s">
        <v>81</v>
      </c>
      <c r="C265" t="s">
        <v>102</v>
      </c>
      <c r="D265" t="s">
        <v>103</v>
      </c>
      <c r="E265" t="s">
        <v>55</v>
      </c>
      <c r="F265">
        <v>56484</v>
      </c>
      <c r="G265">
        <v>57981</v>
      </c>
      <c r="H265">
        <v>55526</v>
      </c>
      <c r="I265">
        <v>56126</v>
      </c>
      <c r="J265">
        <v>37142</v>
      </c>
      <c r="K265">
        <v>29344</v>
      </c>
      <c r="L265">
        <v>29695</v>
      </c>
      <c r="M265">
        <v>31498</v>
      </c>
      <c r="N265">
        <v>33718</v>
      </c>
      <c r="O265">
        <v>33366</v>
      </c>
      <c r="P265">
        <v>29858</v>
      </c>
      <c r="Q265">
        <v>26929</v>
      </c>
      <c r="R265" t="s">
        <v>46</v>
      </c>
      <c r="S265" t="s">
        <v>46</v>
      </c>
      <c r="T265" t="s">
        <v>46</v>
      </c>
      <c r="U265" t="s">
        <v>46</v>
      </c>
      <c r="V265" t="s">
        <v>46</v>
      </c>
      <c r="W265" t="s">
        <v>46</v>
      </c>
      <c r="X265" t="s">
        <v>46</v>
      </c>
      <c r="Y265" t="s">
        <v>46</v>
      </c>
      <c r="Z265" t="s">
        <v>46</v>
      </c>
      <c r="AA265" t="s">
        <v>46</v>
      </c>
      <c r="AB265" t="s">
        <v>46</v>
      </c>
      <c r="AC265" t="s">
        <v>46</v>
      </c>
    </row>
    <row r="266" spans="1:29" x14ac:dyDescent="0.25">
      <c r="A266" t="s">
        <v>82</v>
      </c>
      <c r="B266" t="s">
        <v>83</v>
      </c>
      <c r="C266" t="s">
        <v>102</v>
      </c>
      <c r="D266" t="s">
        <v>103</v>
      </c>
      <c r="E266" t="s">
        <v>55</v>
      </c>
      <c r="F266">
        <v>916.23469999999998</v>
      </c>
      <c r="G266">
        <v>824.85659999999996</v>
      </c>
      <c r="H266">
        <v>799.50760000000002</v>
      </c>
      <c r="I266">
        <v>836.82860000000005</v>
      </c>
      <c r="J266">
        <v>6.3471000000000002</v>
      </c>
      <c r="K266">
        <v>6.6006999999999998</v>
      </c>
      <c r="L266">
        <v>6.3405000000000005</v>
      </c>
      <c r="M266">
        <v>7.1558999999999999</v>
      </c>
      <c r="N266">
        <v>8.2895000000000003</v>
      </c>
      <c r="O266">
        <v>8.9269999999999996</v>
      </c>
      <c r="P266">
        <v>9.0282999999999998</v>
      </c>
      <c r="Q266">
        <v>9.5945999999999998</v>
      </c>
      <c r="R266" t="s">
        <v>46</v>
      </c>
      <c r="S266" t="s">
        <v>46</v>
      </c>
      <c r="T266" t="s">
        <v>46</v>
      </c>
      <c r="U266" t="s">
        <v>46</v>
      </c>
      <c r="V266" t="s">
        <v>46</v>
      </c>
      <c r="W266" t="s">
        <v>46</v>
      </c>
      <c r="X266" t="s">
        <v>46</v>
      </c>
      <c r="Y266" t="s">
        <v>46</v>
      </c>
      <c r="Z266" t="s">
        <v>46</v>
      </c>
      <c r="AA266" t="s">
        <v>46</v>
      </c>
      <c r="AB266" t="s">
        <v>46</v>
      </c>
      <c r="AC266" t="s">
        <v>46</v>
      </c>
    </row>
    <row r="267" spans="1:29" x14ac:dyDescent="0.25">
      <c r="A267" t="s">
        <v>84</v>
      </c>
      <c r="B267" t="s">
        <v>85</v>
      </c>
      <c r="C267" t="s">
        <v>102</v>
      </c>
      <c r="D267" t="s">
        <v>103</v>
      </c>
      <c r="E267" t="s">
        <v>55</v>
      </c>
      <c r="F267">
        <v>23.708500000000001</v>
      </c>
      <c r="G267">
        <v>135.15010000000001</v>
      </c>
      <c r="H267">
        <v>119.4875</v>
      </c>
      <c r="I267">
        <v>118.5604</v>
      </c>
      <c r="J267">
        <v>30.090900000000001</v>
      </c>
      <c r="K267">
        <v>29.9039</v>
      </c>
      <c r="L267">
        <v>50.094099999999997</v>
      </c>
      <c r="M267">
        <v>113.3844</v>
      </c>
      <c r="N267">
        <v>118.37130000000001</v>
      </c>
      <c r="O267">
        <v>58.260199999999998</v>
      </c>
      <c r="P267">
        <v>64.035200000000003</v>
      </c>
      <c r="Q267">
        <v>64.577600000000004</v>
      </c>
      <c r="R267" t="s">
        <v>46</v>
      </c>
      <c r="S267" t="s">
        <v>46</v>
      </c>
      <c r="T267" t="s">
        <v>46</v>
      </c>
      <c r="U267" t="s">
        <v>46</v>
      </c>
      <c r="V267" t="s">
        <v>46</v>
      </c>
      <c r="W267" t="s">
        <v>46</v>
      </c>
      <c r="X267" t="s">
        <v>46</v>
      </c>
      <c r="Y267" t="s">
        <v>46</v>
      </c>
      <c r="Z267" t="s">
        <v>46</v>
      </c>
      <c r="AA267" t="s">
        <v>46</v>
      </c>
      <c r="AB267" t="s">
        <v>46</v>
      </c>
      <c r="AC267" t="s">
        <v>46</v>
      </c>
    </row>
    <row r="268" spans="1:29" x14ac:dyDescent="0.25">
      <c r="A268" t="s">
        <v>86</v>
      </c>
      <c r="B268" t="s">
        <v>87</v>
      </c>
      <c r="C268" t="s">
        <v>102</v>
      </c>
      <c r="D268" t="s">
        <v>103</v>
      </c>
      <c r="E268" t="s">
        <v>55</v>
      </c>
      <c r="F268">
        <v>231.88460000000001</v>
      </c>
      <c r="G268">
        <v>462.35489999999999</v>
      </c>
      <c r="H268">
        <v>465.01620000000003</v>
      </c>
      <c r="I268">
        <v>482.0034</v>
      </c>
      <c r="J268">
        <v>409.2131</v>
      </c>
      <c r="K268">
        <v>717.23350000000005</v>
      </c>
      <c r="L268">
        <v>721.28679999999997</v>
      </c>
      <c r="M268">
        <v>687.25810000000001</v>
      </c>
      <c r="N268">
        <v>694.90729999999996</v>
      </c>
      <c r="O268">
        <v>466.19110000000001</v>
      </c>
      <c r="P268">
        <v>476.69470000000001</v>
      </c>
      <c r="Q268">
        <v>502.73989999999998</v>
      </c>
      <c r="R268" t="s">
        <v>46</v>
      </c>
      <c r="S268" t="s">
        <v>46</v>
      </c>
      <c r="T268" t="s">
        <v>46</v>
      </c>
      <c r="U268" t="s">
        <v>46</v>
      </c>
      <c r="V268" t="s">
        <v>46</v>
      </c>
      <c r="W268" t="s">
        <v>46</v>
      </c>
      <c r="X268" t="s">
        <v>46</v>
      </c>
      <c r="Y268" t="s">
        <v>46</v>
      </c>
      <c r="Z268" t="s">
        <v>46</v>
      </c>
      <c r="AA268" t="s">
        <v>46</v>
      </c>
      <c r="AB268" t="s">
        <v>46</v>
      </c>
      <c r="AC268" t="s">
        <v>46</v>
      </c>
    </row>
    <row r="269" spans="1:29" x14ac:dyDescent="0.25">
      <c r="A269" t="s">
        <v>51</v>
      </c>
      <c r="B269" t="s">
        <v>52</v>
      </c>
      <c r="C269" t="s">
        <v>105</v>
      </c>
      <c r="D269" t="s">
        <v>106</v>
      </c>
      <c r="E269" t="s">
        <v>55</v>
      </c>
      <c r="F269">
        <v>17582.624</v>
      </c>
      <c r="G269">
        <v>17569.504000000001</v>
      </c>
      <c r="H269">
        <v>14962.189</v>
      </c>
      <c r="I269">
        <v>14013.402</v>
      </c>
      <c r="J269">
        <v>13661.663</v>
      </c>
      <c r="K269">
        <v>13650.843999999999</v>
      </c>
      <c r="L269">
        <v>13724.495000000001</v>
      </c>
      <c r="M269">
        <v>13098.057000000001</v>
      </c>
      <c r="N269">
        <v>12694.553</v>
      </c>
      <c r="O269">
        <v>13080.716</v>
      </c>
      <c r="P269">
        <v>12979.69</v>
      </c>
      <c r="Q269">
        <v>12258.932000000001</v>
      </c>
      <c r="R269" t="s">
        <v>46</v>
      </c>
      <c r="S269" t="s">
        <v>46</v>
      </c>
      <c r="T269" t="s">
        <v>46</v>
      </c>
      <c r="U269" t="s">
        <v>46</v>
      </c>
      <c r="V269" t="s">
        <v>46</v>
      </c>
      <c r="W269" t="s">
        <v>46</v>
      </c>
      <c r="X269" t="s">
        <v>46</v>
      </c>
      <c r="Y269" t="s">
        <v>46</v>
      </c>
      <c r="Z269" t="s">
        <v>46</v>
      </c>
      <c r="AA269" t="s">
        <v>46</v>
      </c>
      <c r="AB269" t="s">
        <v>46</v>
      </c>
      <c r="AC269" t="s">
        <v>46</v>
      </c>
    </row>
    <row r="270" spans="1:29" x14ac:dyDescent="0.25">
      <c r="A270" t="s">
        <v>56</v>
      </c>
      <c r="B270" t="s">
        <v>57</v>
      </c>
      <c r="C270" t="s">
        <v>105</v>
      </c>
      <c r="D270" t="s">
        <v>106</v>
      </c>
      <c r="E270" t="s">
        <v>55</v>
      </c>
      <c r="F270">
        <v>2326.7660000000001</v>
      </c>
      <c r="G270">
        <v>2050.471</v>
      </c>
      <c r="H270">
        <v>1750.36</v>
      </c>
      <c r="I270">
        <v>1706.934</v>
      </c>
      <c r="J270">
        <v>1740.9269999999999</v>
      </c>
      <c r="K270">
        <v>1796.8689999999999</v>
      </c>
      <c r="L270">
        <v>1855.7729999999999</v>
      </c>
      <c r="M270">
        <v>1880.5989999999999</v>
      </c>
      <c r="N270">
        <v>1972.7739999999999</v>
      </c>
      <c r="O270">
        <v>1773.9770000000001</v>
      </c>
      <c r="P270">
        <v>1705.31</v>
      </c>
      <c r="Q270">
        <v>1711.9280000000001</v>
      </c>
      <c r="R270" t="s">
        <v>46</v>
      </c>
      <c r="S270" t="s">
        <v>46</v>
      </c>
      <c r="T270" t="s">
        <v>46</v>
      </c>
      <c r="U270" t="s">
        <v>46</v>
      </c>
      <c r="V270" t="s">
        <v>46</v>
      </c>
      <c r="W270" t="s">
        <v>46</v>
      </c>
      <c r="X270" t="s">
        <v>46</v>
      </c>
      <c r="Y270" t="s">
        <v>46</v>
      </c>
      <c r="Z270" t="s">
        <v>46</v>
      </c>
      <c r="AA270" t="s">
        <v>46</v>
      </c>
      <c r="AB270" t="s">
        <v>46</v>
      </c>
      <c r="AC270" t="s">
        <v>46</v>
      </c>
    </row>
    <row r="271" spans="1:29" x14ac:dyDescent="0.25">
      <c r="A271" t="s">
        <v>58</v>
      </c>
      <c r="B271" t="s">
        <v>59</v>
      </c>
      <c r="C271" t="s">
        <v>105</v>
      </c>
      <c r="D271" t="s">
        <v>106</v>
      </c>
      <c r="E271" t="s">
        <v>55</v>
      </c>
      <c r="F271" t="s">
        <v>46</v>
      </c>
      <c r="R271" t="s">
        <v>46</v>
      </c>
      <c r="S271" t="s">
        <v>46</v>
      </c>
      <c r="T271" t="s">
        <v>46</v>
      </c>
      <c r="U271" t="s">
        <v>46</v>
      </c>
      <c r="V271" t="s">
        <v>46</v>
      </c>
      <c r="W271" t="s">
        <v>46</v>
      </c>
      <c r="X271" t="s">
        <v>46</v>
      </c>
      <c r="Y271" t="s">
        <v>46</v>
      </c>
      <c r="Z271" t="s">
        <v>46</v>
      </c>
      <c r="AA271" t="s">
        <v>46</v>
      </c>
      <c r="AB271" t="s">
        <v>46</v>
      </c>
      <c r="AC271" t="s">
        <v>46</v>
      </c>
    </row>
    <row r="272" spans="1:29" x14ac:dyDescent="0.25">
      <c r="A272" t="s">
        <v>60</v>
      </c>
      <c r="B272" t="s">
        <v>61</v>
      </c>
      <c r="C272" t="s">
        <v>105</v>
      </c>
      <c r="D272" t="s">
        <v>106</v>
      </c>
      <c r="E272" t="s">
        <v>55</v>
      </c>
      <c r="F272" t="s">
        <v>46</v>
      </c>
      <c r="G272">
        <v>10910.0964</v>
      </c>
      <c r="R272" t="s">
        <v>46</v>
      </c>
      <c r="S272" t="s">
        <v>46</v>
      </c>
      <c r="T272" t="s">
        <v>46</v>
      </c>
      <c r="U272" t="s">
        <v>46</v>
      </c>
      <c r="V272" t="s">
        <v>46</v>
      </c>
      <c r="W272" t="s">
        <v>46</v>
      </c>
      <c r="X272" t="s">
        <v>46</v>
      </c>
      <c r="Y272" t="s">
        <v>46</v>
      </c>
      <c r="Z272" t="s">
        <v>46</v>
      </c>
      <c r="AA272" t="s">
        <v>46</v>
      </c>
      <c r="AB272" t="s">
        <v>46</v>
      </c>
      <c r="AC272" t="s">
        <v>46</v>
      </c>
    </row>
    <row r="273" spans="1:29" x14ac:dyDescent="0.25">
      <c r="A273" t="s">
        <v>62</v>
      </c>
      <c r="B273" t="s">
        <v>63</v>
      </c>
      <c r="C273" t="s">
        <v>105</v>
      </c>
      <c r="D273" t="s">
        <v>106</v>
      </c>
      <c r="E273" t="s">
        <v>55</v>
      </c>
      <c r="F273">
        <v>5524.9386999999997</v>
      </c>
      <c r="G273">
        <v>5223.3179</v>
      </c>
      <c r="H273">
        <v>4333.2398999999996</v>
      </c>
      <c r="I273">
        <v>4691.9192999999996</v>
      </c>
      <c r="J273">
        <v>4284.5776999999998</v>
      </c>
      <c r="K273">
        <v>4360.2973000000002</v>
      </c>
      <c r="L273">
        <v>4045.335</v>
      </c>
      <c r="M273">
        <v>4127.4538000000002</v>
      </c>
      <c r="N273">
        <v>4265.7146000000002</v>
      </c>
      <c r="O273">
        <v>4314.2205000000004</v>
      </c>
      <c r="P273">
        <v>4160.1938</v>
      </c>
      <c r="Q273">
        <v>3995.6122999999998</v>
      </c>
      <c r="R273" t="s">
        <v>46</v>
      </c>
      <c r="S273" t="s">
        <v>46</v>
      </c>
      <c r="T273" t="s">
        <v>46</v>
      </c>
      <c r="U273" t="s">
        <v>46</v>
      </c>
      <c r="V273" t="s">
        <v>46</v>
      </c>
      <c r="W273" t="s">
        <v>46</v>
      </c>
      <c r="X273" t="s">
        <v>46</v>
      </c>
      <c r="Y273" t="s">
        <v>46</v>
      </c>
      <c r="Z273" t="s">
        <v>46</v>
      </c>
      <c r="AA273" t="s">
        <v>46</v>
      </c>
      <c r="AB273" t="s">
        <v>46</v>
      </c>
      <c r="AC273" t="s">
        <v>46</v>
      </c>
    </row>
    <row r="274" spans="1:29" x14ac:dyDescent="0.25">
      <c r="A274" t="s">
        <v>64</v>
      </c>
      <c r="B274" t="s">
        <v>65</v>
      </c>
      <c r="C274" t="s">
        <v>105</v>
      </c>
      <c r="D274" t="s">
        <v>106</v>
      </c>
      <c r="E274" t="s">
        <v>55</v>
      </c>
      <c r="F274">
        <v>6816</v>
      </c>
      <c r="G274">
        <v>5182</v>
      </c>
      <c r="H274">
        <v>5142</v>
      </c>
      <c r="I274">
        <v>4960</v>
      </c>
      <c r="J274">
        <v>4960</v>
      </c>
      <c r="K274">
        <v>4422</v>
      </c>
      <c r="L274">
        <v>4296</v>
      </c>
      <c r="M274">
        <v>4158</v>
      </c>
      <c r="N274">
        <v>4057</v>
      </c>
      <c r="O274">
        <v>4552</v>
      </c>
      <c r="P274">
        <v>3601</v>
      </c>
      <c r="Q274">
        <v>3455</v>
      </c>
      <c r="R274" t="s">
        <v>46</v>
      </c>
      <c r="S274" t="s">
        <v>46</v>
      </c>
      <c r="T274" t="s">
        <v>46</v>
      </c>
      <c r="U274" t="s">
        <v>46</v>
      </c>
      <c r="V274" t="s">
        <v>46</v>
      </c>
      <c r="W274" t="s">
        <v>46</v>
      </c>
      <c r="X274" t="s">
        <v>46</v>
      </c>
      <c r="Y274" t="s">
        <v>46</v>
      </c>
      <c r="Z274" t="s">
        <v>46</v>
      </c>
      <c r="AA274" t="s">
        <v>46</v>
      </c>
      <c r="AB274" t="s">
        <v>46</v>
      </c>
      <c r="AC274" t="s">
        <v>46</v>
      </c>
    </row>
    <row r="275" spans="1:29" x14ac:dyDescent="0.25">
      <c r="A275" t="s">
        <v>66</v>
      </c>
      <c r="B275" t="s">
        <v>67</v>
      </c>
      <c r="C275" t="s">
        <v>105</v>
      </c>
      <c r="D275" t="s">
        <v>106</v>
      </c>
      <c r="E275" t="s">
        <v>55</v>
      </c>
      <c r="F275">
        <v>3032</v>
      </c>
      <c r="G275">
        <v>3072</v>
      </c>
      <c r="H275">
        <v>3104</v>
      </c>
      <c r="I275">
        <v>3260</v>
      </c>
      <c r="J275">
        <v>3594</v>
      </c>
      <c r="K275">
        <v>3316</v>
      </c>
      <c r="L275">
        <v>3229</v>
      </c>
      <c r="M275">
        <v>3795</v>
      </c>
      <c r="N275">
        <v>3859</v>
      </c>
      <c r="O275">
        <v>3877</v>
      </c>
      <c r="P275">
        <v>4093</v>
      </c>
      <c r="Q275">
        <v>4189</v>
      </c>
      <c r="R275" t="s">
        <v>46</v>
      </c>
      <c r="S275" t="s">
        <v>46</v>
      </c>
      <c r="T275" t="s">
        <v>46</v>
      </c>
      <c r="U275" t="s">
        <v>46</v>
      </c>
      <c r="V275" t="s">
        <v>46</v>
      </c>
      <c r="W275" t="s">
        <v>46</v>
      </c>
      <c r="X275" t="s">
        <v>46</v>
      </c>
      <c r="Y275" t="s">
        <v>46</v>
      </c>
      <c r="Z275" t="s">
        <v>46</v>
      </c>
      <c r="AA275" t="s">
        <v>46</v>
      </c>
      <c r="AB275" t="s">
        <v>46</v>
      </c>
      <c r="AC275" t="s">
        <v>46</v>
      </c>
    </row>
    <row r="276" spans="1:29" x14ac:dyDescent="0.25">
      <c r="A276" t="s">
        <v>68</v>
      </c>
      <c r="B276" t="s">
        <v>69</v>
      </c>
      <c r="C276" t="s">
        <v>105</v>
      </c>
      <c r="D276" t="s">
        <v>106</v>
      </c>
      <c r="E276" t="s">
        <v>55</v>
      </c>
      <c r="F276">
        <v>20877</v>
      </c>
      <c r="G276">
        <v>20498</v>
      </c>
      <c r="H276">
        <v>20646</v>
      </c>
      <c r="I276">
        <v>21360</v>
      </c>
      <c r="J276">
        <v>17849</v>
      </c>
      <c r="K276">
        <v>17515</v>
      </c>
      <c r="L276">
        <v>17045</v>
      </c>
      <c r="M276">
        <v>17312</v>
      </c>
      <c r="N276">
        <v>20084</v>
      </c>
      <c r="O276">
        <v>20380</v>
      </c>
      <c r="P276">
        <v>20669</v>
      </c>
      <c r="Q276">
        <v>18871</v>
      </c>
      <c r="R276" t="s">
        <v>46</v>
      </c>
      <c r="S276" t="s">
        <v>46</v>
      </c>
      <c r="T276" t="s">
        <v>46</v>
      </c>
      <c r="U276" t="s">
        <v>46</v>
      </c>
      <c r="V276" t="s">
        <v>46</v>
      </c>
      <c r="W276" t="s">
        <v>46</v>
      </c>
      <c r="X276" t="s">
        <v>46</v>
      </c>
      <c r="Y276" t="s">
        <v>46</v>
      </c>
      <c r="Z276" t="s">
        <v>46</v>
      </c>
      <c r="AA276" t="s">
        <v>46</v>
      </c>
      <c r="AB276" t="s">
        <v>46</v>
      </c>
      <c r="AC276" t="s">
        <v>46</v>
      </c>
    </row>
    <row r="277" spans="1:29" x14ac:dyDescent="0.25">
      <c r="A277" t="s">
        <v>70</v>
      </c>
      <c r="B277" t="s">
        <v>71</v>
      </c>
      <c r="C277" t="s">
        <v>105</v>
      </c>
      <c r="D277" t="s">
        <v>106</v>
      </c>
      <c r="E277" t="s">
        <v>55</v>
      </c>
      <c r="F277">
        <v>664.399</v>
      </c>
      <c r="G277">
        <v>648.06299999999999</v>
      </c>
      <c r="H277">
        <v>548.04600000000005</v>
      </c>
      <c r="I277">
        <v>509.20400000000001</v>
      </c>
      <c r="J277">
        <v>493.21</v>
      </c>
      <c r="K277">
        <v>349.20600000000002</v>
      </c>
      <c r="L277">
        <v>308.04700000000003</v>
      </c>
      <c r="M277">
        <v>279.392</v>
      </c>
      <c r="N277">
        <v>288.05399999999997</v>
      </c>
      <c r="O277">
        <v>275.30900000000003</v>
      </c>
      <c r="P277">
        <v>187.86099999999999</v>
      </c>
      <c r="Q277">
        <v>159.67699999999999</v>
      </c>
      <c r="R277" t="s">
        <v>46</v>
      </c>
      <c r="S277" t="s">
        <v>46</v>
      </c>
      <c r="T277" t="s">
        <v>46</v>
      </c>
      <c r="U277" t="s">
        <v>46</v>
      </c>
      <c r="V277" t="s">
        <v>46</v>
      </c>
      <c r="W277" t="s">
        <v>46</v>
      </c>
      <c r="X277" t="s">
        <v>46</v>
      </c>
      <c r="Y277" t="s">
        <v>46</v>
      </c>
      <c r="Z277" t="s">
        <v>46</v>
      </c>
      <c r="AA277" t="s">
        <v>46</v>
      </c>
      <c r="AB277" t="s">
        <v>46</v>
      </c>
      <c r="AC277" t="s">
        <v>46</v>
      </c>
    </row>
    <row r="278" spans="1:29" x14ac:dyDescent="0.25">
      <c r="A278" t="s">
        <v>72</v>
      </c>
      <c r="B278" t="s">
        <v>73</v>
      </c>
      <c r="C278" t="s">
        <v>105</v>
      </c>
      <c r="D278" t="s">
        <v>106</v>
      </c>
      <c r="E278" t="s">
        <v>55</v>
      </c>
      <c r="F278">
        <v>2829.701</v>
      </c>
      <c r="G278">
        <v>2765.0129999999999</v>
      </c>
      <c r="H278">
        <v>2492.0770000000002</v>
      </c>
      <c r="I278">
        <v>2429.3870000000002</v>
      </c>
      <c r="J278">
        <v>2409.645</v>
      </c>
      <c r="K278">
        <v>2125.2629999999999</v>
      </c>
      <c r="L278">
        <v>2171.6109999999999</v>
      </c>
      <c r="M278">
        <v>1969.653</v>
      </c>
      <c r="N278">
        <v>2031.13</v>
      </c>
      <c r="O278">
        <v>2020.827</v>
      </c>
      <c r="P278">
        <v>2031.6990000000001</v>
      </c>
      <c r="Q278">
        <v>1976.3340000000001</v>
      </c>
      <c r="R278" t="s">
        <v>46</v>
      </c>
      <c r="S278" t="s">
        <v>46</v>
      </c>
      <c r="T278" t="s">
        <v>46</v>
      </c>
      <c r="U278" t="s">
        <v>46</v>
      </c>
      <c r="V278" t="s">
        <v>46</v>
      </c>
      <c r="W278" t="s">
        <v>46</v>
      </c>
      <c r="X278" t="s">
        <v>46</v>
      </c>
      <c r="Y278" t="s">
        <v>46</v>
      </c>
      <c r="Z278" t="s">
        <v>46</v>
      </c>
      <c r="AA278" t="s">
        <v>46</v>
      </c>
      <c r="AB278" t="s">
        <v>46</v>
      </c>
      <c r="AC278" t="s">
        <v>46</v>
      </c>
    </row>
    <row r="279" spans="1:29" x14ac:dyDescent="0.25">
      <c r="A279" t="s">
        <v>74</v>
      </c>
      <c r="B279" t="s">
        <v>75</v>
      </c>
      <c r="C279" t="s">
        <v>105</v>
      </c>
      <c r="D279" t="s">
        <v>106</v>
      </c>
      <c r="E279" t="s">
        <v>55</v>
      </c>
      <c r="F279">
        <v>4097.4520000000002</v>
      </c>
      <c r="G279">
        <v>3970.8</v>
      </c>
      <c r="H279">
        <v>4091.1</v>
      </c>
      <c r="I279">
        <v>2412.1</v>
      </c>
      <c r="J279">
        <v>2412.0509999999999</v>
      </c>
      <c r="K279">
        <v>2273.6</v>
      </c>
      <c r="L279">
        <v>2230.5</v>
      </c>
      <c r="M279">
        <v>1852.2</v>
      </c>
      <c r="N279">
        <v>1786.3914</v>
      </c>
      <c r="O279">
        <v>1807.4</v>
      </c>
      <c r="P279">
        <v>1924.9</v>
      </c>
      <c r="Q279">
        <v>2020.7</v>
      </c>
      <c r="R279" t="s">
        <v>46</v>
      </c>
      <c r="S279" t="s">
        <v>46</v>
      </c>
      <c r="T279" t="s">
        <v>46</v>
      </c>
      <c r="U279" t="s">
        <v>46</v>
      </c>
      <c r="V279" t="s">
        <v>46</v>
      </c>
      <c r="W279" t="s">
        <v>46</v>
      </c>
      <c r="X279" t="s">
        <v>46</v>
      </c>
      <c r="Y279" t="s">
        <v>46</v>
      </c>
      <c r="Z279" t="s">
        <v>46</v>
      </c>
      <c r="AA279" t="s">
        <v>46</v>
      </c>
      <c r="AB279" t="s">
        <v>46</v>
      </c>
      <c r="AC279" t="s">
        <v>46</v>
      </c>
    </row>
    <row r="280" spans="1:29" x14ac:dyDescent="0.25">
      <c r="A280" t="s">
        <v>76</v>
      </c>
      <c r="B280" t="s">
        <v>77</v>
      </c>
      <c r="C280" t="s">
        <v>105</v>
      </c>
      <c r="D280" t="s">
        <v>106</v>
      </c>
      <c r="E280" t="s">
        <v>55</v>
      </c>
      <c r="F280">
        <v>3800.5738000000001</v>
      </c>
      <c r="G280">
        <v>3947.7986000000001</v>
      </c>
      <c r="H280">
        <v>3762.2982000000002</v>
      </c>
      <c r="I280">
        <v>3940.8154</v>
      </c>
      <c r="J280">
        <v>3870.5717</v>
      </c>
      <c r="K280">
        <v>3851.9638</v>
      </c>
      <c r="L280">
        <v>3921.8155000000002</v>
      </c>
      <c r="M280">
        <v>4037.6064999999999</v>
      </c>
      <c r="N280">
        <v>3936.8072999999999</v>
      </c>
      <c r="O280">
        <v>3868.2745</v>
      </c>
      <c r="P280">
        <v>3722.076</v>
      </c>
      <c r="Q280">
        <v>3575.6313</v>
      </c>
      <c r="R280" t="s">
        <v>46</v>
      </c>
      <c r="S280" t="s">
        <v>46</v>
      </c>
      <c r="T280" t="s">
        <v>46</v>
      </c>
      <c r="U280" t="s">
        <v>46</v>
      </c>
      <c r="V280" t="s">
        <v>46</v>
      </c>
      <c r="W280" t="s">
        <v>46</v>
      </c>
      <c r="X280" t="s">
        <v>46</v>
      </c>
      <c r="Y280" t="s">
        <v>46</v>
      </c>
      <c r="Z280" t="s">
        <v>46</v>
      </c>
      <c r="AA280" t="s">
        <v>46</v>
      </c>
      <c r="AB280" t="s">
        <v>46</v>
      </c>
      <c r="AC280" t="s">
        <v>46</v>
      </c>
    </row>
    <row r="281" spans="1:29" x14ac:dyDescent="0.25">
      <c r="A281" t="s">
        <v>78</v>
      </c>
      <c r="B281" t="s">
        <v>79</v>
      </c>
      <c r="C281" t="s">
        <v>105</v>
      </c>
      <c r="D281" t="s">
        <v>106</v>
      </c>
      <c r="E281" t="s">
        <v>55</v>
      </c>
      <c r="F281">
        <v>3572.0682000000002</v>
      </c>
      <c r="G281">
        <v>3540.6356000000001</v>
      </c>
      <c r="H281">
        <v>3442.8352</v>
      </c>
      <c r="I281">
        <v>4185.0133999999998</v>
      </c>
      <c r="J281">
        <v>2846.3733999999999</v>
      </c>
      <c r="K281">
        <v>2555.8904000000002</v>
      </c>
      <c r="L281">
        <v>2298.5686000000001</v>
      </c>
      <c r="M281">
        <v>2543.556</v>
      </c>
      <c r="N281">
        <v>2297.4249</v>
      </c>
      <c r="O281">
        <v>2346.2251999999999</v>
      </c>
      <c r="P281">
        <v>2464.8814000000002</v>
      </c>
      <c r="Q281">
        <v>2570.5704000000001</v>
      </c>
      <c r="R281" t="s">
        <v>46</v>
      </c>
      <c r="S281" t="s">
        <v>46</v>
      </c>
      <c r="T281" t="s">
        <v>46</v>
      </c>
      <c r="U281" t="s">
        <v>46</v>
      </c>
      <c r="V281" t="s">
        <v>46</v>
      </c>
      <c r="W281" t="s">
        <v>46</v>
      </c>
      <c r="X281" t="s">
        <v>46</v>
      </c>
      <c r="Y281" t="s">
        <v>46</v>
      </c>
      <c r="Z281" t="s">
        <v>46</v>
      </c>
      <c r="AA281" t="s">
        <v>46</v>
      </c>
      <c r="AB281" t="s">
        <v>46</v>
      </c>
      <c r="AC281" t="s">
        <v>46</v>
      </c>
    </row>
    <row r="282" spans="1:29" x14ac:dyDescent="0.25">
      <c r="A282" t="s">
        <v>80</v>
      </c>
      <c r="B282" t="s">
        <v>81</v>
      </c>
      <c r="C282" t="s">
        <v>105</v>
      </c>
      <c r="D282" t="s">
        <v>106</v>
      </c>
      <c r="E282" t="s">
        <v>55</v>
      </c>
      <c r="F282">
        <v>133275</v>
      </c>
      <c r="G282">
        <v>131202</v>
      </c>
      <c r="H282">
        <v>131524</v>
      </c>
      <c r="I282">
        <v>136876</v>
      </c>
      <c r="J282">
        <v>114320</v>
      </c>
      <c r="K282">
        <v>106452</v>
      </c>
      <c r="L282">
        <v>102071</v>
      </c>
      <c r="M282">
        <v>102974</v>
      </c>
      <c r="N282">
        <v>106995</v>
      </c>
      <c r="O282">
        <v>107631</v>
      </c>
      <c r="P282">
        <v>101879</v>
      </c>
      <c r="Q282">
        <v>101951</v>
      </c>
      <c r="R282" t="s">
        <v>46</v>
      </c>
      <c r="S282" t="s">
        <v>46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</row>
    <row r="283" spans="1:29" x14ac:dyDescent="0.25">
      <c r="A283" t="s">
        <v>82</v>
      </c>
      <c r="B283" t="s">
        <v>83</v>
      </c>
      <c r="C283" t="s">
        <v>105</v>
      </c>
      <c r="D283" t="s">
        <v>106</v>
      </c>
      <c r="E283" t="s">
        <v>55</v>
      </c>
      <c r="F283">
        <v>4796.1026000000002</v>
      </c>
      <c r="G283">
        <v>4671.9879000000001</v>
      </c>
      <c r="H283">
        <v>4496.4871000000003</v>
      </c>
      <c r="I283">
        <v>4684.3829999999998</v>
      </c>
      <c r="J283">
        <v>3612.6381999999999</v>
      </c>
      <c r="K283">
        <v>3440.5223000000001</v>
      </c>
      <c r="L283">
        <v>3499.8173999999999</v>
      </c>
      <c r="M283">
        <v>3427.0902000000001</v>
      </c>
      <c r="N283">
        <v>3187.7806</v>
      </c>
      <c r="O283">
        <v>2884.8186999999998</v>
      </c>
      <c r="P283">
        <v>2838.4086000000002</v>
      </c>
      <c r="Q283">
        <v>2671.4681</v>
      </c>
      <c r="R283" t="s">
        <v>46</v>
      </c>
      <c r="S283" t="s">
        <v>46</v>
      </c>
      <c r="T283" t="s">
        <v>46</v>
      </c>
      <c r="U283" t="s">
        <v>46</v>
      </c>
      <c r="V283" t="s">
        <v>46</v>
      </c>
      <c r="W283" t="s">
        <v>46</v>
      </c>
      <c r="X283" t="s">
        <v>46</v>
      </c>
      <c r="Y283" t="s">
        <v>46</v>
      </c>
      <c r="Z283" t="s">
        <v>46</v>
      </c>
      <c r="AA283" t="s">
        <v>46</v>
      </c>
      <c r="AB283" t="s">
        <v>46</v>
      </c>
      <c r="AC283" t="s">
        <v>46</v>
      </c>
    </row>
    <row r="284" spans="1:29" x14ac:dyDescent="0.25">
      <c r="A284" t="s">
        <v>84</v>
      </c>
      <c r="B284" t="s">
        <v>85</v>
      </c>
      <c r="C284" t="s">
        <v>105</v>
      </c>
      <c r="D284" t="s">
        <v>106</v>
      </c>
      <c r="E284" t="s">
        <v>55</v>
      </c>
      <c r="F284">
        <v>2009.605</v>
      </c>
      <c r="G284">
        <v>1844.6180999999999</v>
      </c>
      <c r="H284">
        <v>1755.6478</v>
      </c>
      <c r="I284">
        <v>1739.5821000000001</v>
      </c>
      <c r="J284">
        <v>1829.8033</v>
      </c>
      <c r="K284">
        <v>1623.1741</v>
      </c>
      <c r="L284">
        <v>1705.9373000000001</v>
      </c>
      <c r="M284">
        <v>1657.0718999999999</v>
      </c>
      <c r="N284">
        <v>1701.7001</v>
      </c>
      <c r="O284">
        <v>1669.8276000000001</v>
      </c>
      <c r="P284">
        <v>1539.0619999999999</v>
      </c>
      <c r="Q284">
        <v>1592.0018</v>
      </c>
      <c r="R284" t="s">
        <v>46</v>
      </c>
      <c r="S284" t="s">
        <v>46</v>
      </c>
      <c r="T284" t="s">
        <v>46</v>
      </c>
      <c r="U284" t="s">
        <v>46</v>
      </c>
      <c r="V284" t="s">
        <v>46</v>
      </c>
      <c r="W284" t="s">
        <v>46</v>
      </c>
      <c r="X284" t="s">
        <v>46</v>
      </c>
      <c r="Y284" t="s">
        <v>46</v>
      </c>
      <c r="Z284" t="s">
        <v>46</v>
      </c>
      <c r="AA284" t="s">
        <v>46</v>
      </c>
      <c r="AB284" t="s">
        <v>46</v>
      </c>
      <c r="AC284" t="s">
        <v>46</v>
      </c>
    </row>
    <row r="285" spans="1:29" x14ac:dyDescent="0.25">
      <c r="A285" t="s">
        <v>86</v>
      </c>
      <c r="B285" t="s">
        <v>87</v>
      </c>
      <c r="C285" t="s">
        <v>105</v>
      </c>
      <c r="D285" t="s">
        <v>106</v>
      </c>
      <c r="E285" t="s">
        <v>55</v>
      </c>
      <c r="F285">
        <v>3419.3492000000001</v>
      </c>
      <c r="G285">
        <v>3790.9708000000001</v>
      </c>
      <c r="H285">
        <v>3767.1381000000001</v>
      </c>
      <c r="I285">
        <v>4069.2676000000001</v>
      </c>
      <c r="J285">
        <v>3785.4227999999998</v>
      </c>
      <c r="K285">
        <v>3716.5016999999998</v>
      </c>
      <c r="L285">
        <v>3840.1367</v>
      </c>
      <c r="M285">
        <v>3817.5976999999998</v>
      </c>
      <c r="N285">
        <v>4226.0276000000003</v>
      </c>
      <c r="O285">
        <v>4207.3717999999999</v>
      </c>
      <c r="P285">
        <v>4259.1431000000002</v>
      </c>
      <c r="Q285">
        <v>4448.1652999999997</v>
      </c>
      <c r="R285" t="s">
        <v>46</v>
      </c>
      <c r="S285" t="s">
        <v>46</v>
      </c>
      <c r="T285" t="s">
        <v>46</v>
      </c>
      <c r="U285" t="s">
        <v>46</v>
      </c>
      <c r="V285" t="s">
        <v>46</v>
      </c>
      <c r="W285" t="s">
        <v>46</v>
      </c>
      <c r="X285" t="s">
        <v>46</v>
      </c>
      <c r="Y285" t="s">
        <v>46</v>
      </c>
      <c r="Z285" t="s">
        <v>46</v>
      </c>
      <c r="AA285" t="s">
        <v>46</v>
      </c>
      <c r="AB285" t="s">
        <v>46</v>
      </c>
      <c r="AC285" t="s">
        <v>46</v>
      </c>
    </row>
    <row r="286" spans="1:29" x14ac:dyDescent="0.25">
      <c r="A286" t="s">
        <v>51</v>
      </c>
      <c r="B286" t="s">
        <v>52</v>
      </c>
      <c r="C286" t="s">
        <v>108</v>
      </c>
      <c r="D286" t="s">
        <v>109</v>
      </c>
      <c r="E286" t="s">
        <v>55</v>
      </c>
      <c r="F286">
        <v>15920.806</v>
      </c>
      <c r="G286">
        <v>15601.208000000001</v>
      </c>
      <c r="H286">
        <v>14827.691000000001</v>
      </c>
      <c r="I286">
        <v>14142.958000000001</v>
      </c>
      <c r="J286">
        <v>13728.545</v>
      </c>
      <c r="K286">
        <v>13055.567999999999</v>
      </c>
      <c r="L286">
        <v>10724.588</v>
      </c>
      <c r="M286">
        <v>10152.736000000001</v>
      </c>
      <c r="N286">
        <v>10438.425999999999</v>
      </c>
      <c r="O286">
        <v>9893.4369999999999</v>
      </c>
      <c r="P286">
        <v>9710.2000000000007</v>
      </c>
      <c r="Q286">
        <v>8876.66</v>
      </c>
      <c r="R286" t="s">
        <v>46</v>
      </c>
      <c r="S286" t="s">
        <v>46</v>
      </c>
      <c r="T286" t="s">
        <v>46</v>
      </c>
      <c r="U286" t="s">
        <v>46</v>
      </c>
      <c r="V286" t="s">
        <v>46</v>
      </c>
      <c r="W286" t="s">
        <v>46</v>
      </c>
      <c r="X286" t="s">
        <v>46</v>
      </c>
      <c r="Y286" t="s">
        <v>46</v>
      </c>
      <c r="Z286" t="s">
        <v>46</v>
      </c>
      <c r="AA286" t="s">
        <v>46</v>
      </c>
      <c r="AB286" t="s">
        <v>46</v>
      </c>
      <c r="AC286" t="s">
        <v>46</v>
      </c>
    </row>
    <row r="287" spans="1:29" x14ac:dyDescent="0.25">
      <c r="A287" t="s">
        <v>56</v>
      </c>
      <c r="B287" t="s">
        <v>57</v>
      </c>
      <c r="C287" t="s">
        <v>108</v>
      </c>
      <c r="D287" t="s">
        <v>109</v>
      </c>
      <c r="E287" t="s">
        <v>55</v>
      </c>
      <c r="F287">
        <v>3578.8119999999999</v>
      </c>
      <c r="G287">
        <v>3581.8040000000001</v>
      </c>
      <c r="H287">
        <v>3542.4659999999999</v>
      </c>
      <c r="I287">
        <v>3527.6849999999999</v>
      </c>
      <c r="J287">
        <v>3492.7869999999998</v>
      </c>
      <c r="K287">
        <v>3499.16</v>
      </c>
      <c r="L287">
        <v>3492.0419999999999</v>
      </c>
      <c r="M287">
        <v>3562.8690000000001</v>
      </c>
      <c r="N287">
        <v>3606.2170000000001</v>
      </c>
      <c r="O287">
        <v>3627.8919999999998</v>
      </c>
      <c r="P287">
        <v>3574.07</v>
      </c>
      <c r="Q287">
        <v>3581.6889999999999</v>
      </c>
      <c r="R287" t="s">
        <v>46</v>
      </c>
      <c r="S287" t="s">
        <v>46</v>
      </c>
      <c r="T287" t="s">
        <v>46</v>
      </c>
      <c r="U287" t="s">
        <v>46</v>
      </c>
      <c r="V287" t="s">
        <v>46</v>
      </c>
      <c r="W287" t="s">
        <v>46</v>
      </c>
      <c r="X287" t="s">
        <v>46</v>
      </c>
      <c r="Y287" t="s">
        <v>46</v>
      </c>
      <c r="Z287" t="s">
        <v>46</v>
      </c>
      <c r="AA287" t="s">
        <v>46</v>
      </c>
      <c r="AB287" t="s">
        <v>46</v>
      </c>
      <c r="AC287" t="s">
        <v>46</v>
      </c>
    </row>
    <row r="288" spans="1:29" x14ac:dyDescent="0.25">
      <c r="A288" t="s">
        <v>58</v>
      </c>
      <c r="B288" t="s">
        <v>59</v>
      </c>
      <c r="C288" t="s">
        <v>108</v>
      </c>
      <c r="D288" t="s">
        <v>109</v>
      </c>
      <c r="E288" t="s">
        <v>55</v>
      </c>
      <c r="F288" t="s">
        <v>46</v>
      </c>
      <c r="R288" t="s">
        <v>46</v>
      </c>
      <c r="S288" t="s">
        <v>46</v>
      </c>
      <c r="T288" t="s">
        <v>46</v>
      </c>
      <c r="U288" t="s">
        <v>46</v>
      </c>
      <c r="V288" t="s">
        <v>46</v>
      </c>
      <c r="W288" t="s">
        <v>46</v>
      </c>
      <c r="X288" t="s">
        <v>46</v>
      </c>
      <c r="Y288" t="s">
        <v>46</v>
      </c>
      <c r="Z288" t="s">
        <v>46</v>
      </c>
      <c r="AA288" t="s">
        <v>46</v>
      </c>
      <c r="AB288" t="s">
        <v>46</v>
      </c>
      <c r="AC288" t="s">
        <v>46</v>
      </c>
    </row>
    <row r="289" spans="1:29" x14ac:dyDescent="0.25">
      <c r="A289" t="s">
        <v>60</v>
      </c>
      <c r="B289" t="s">
        <v>61</v>
      </c>
      <c r="C289" t="s">
        <v>108</v>
      </c>
      <c r="D289" t="s">
        <v>109</v>
      </c>
      <c r="E289" t="s">
        <v>55</v>
      </c>
      <c r="F289" t="s">
        <v>46</v>
      </c>
      <c r="G289">
        <v>9453.6951000000008</v>
      </c>
      <c r="R289" t="s">
        <v>46</v>
      </c>
      <c r="S289" t="s">
        <v>46</v>
      </c>
      <c r="T289" t="s">
        <v>46</v>
      </c>
      <c r="U289" t="s">
        <v>46</v>
      </c>
      <c r="V289" t="s">
        <v>46</v>
      </c>
      <c r="W289" t="s">
        <v>46</v>
      </c>
      <c r="X289" t="s">
        <v>46</v>
      </c>
      <c r="Y289" t="s">
        <v>46</v>
      </c>
      <c r="Z289" t="s">
        <v>46</v>
      </c>
      <c r="AA289" t="s">
        <v>46</v>
      </c>
      <c r="AB289" t="s">
        <v>46</v>
      </c>
      <c r="AC289" t="s">
        <v>46</v>
      </c>
    </row>
    <row r="290" spans="1:29" x14ac:dyDescent="0.25">
      <c r="A290" t="s">
        <v>62</v>
      </c>
      <c r="B290" t="s">
        <v>63</v>
      </c>
      <c r="C290" t="s">
        <v>108</v>
      </c>
      <c r="D290" t="s">
        <v>109</v>
      </c>
      <c r="E290" t="s">
        <v>55</v>
      </c>
      <c r="F290">
        <v>4764.9521000000004</v>
      </c>
      <c r="G290">
        <v>5459.0807999999997</v>
      </c>
      <c r="H290">
        <v>5199.0808999999999</v>
      </c>
      <c r="I290">
        <v>5094.9315999999999</v>
      </c>
      <c r="J290">
        <v>5223.4772000000003</v>
      </c>
      <c r="K290">
        <v>5088.0673999999999</v>
      </c>
      <c r="L290">
        <v>5166.4016000000001</v>
      </c>
      <c r="M290">
        <v>5119.4264000000003</v>
      </c>
      <c r="N290">
        <v>5317.0307000000003</v>
      </c>
      <c r="O290">
        <v>5231.1647000000003</v>
      </c>
      <c r="P290">
        <v>4968.4603999999999</v>
      </c>
      <c r="Q290">
        <v>5112.7287999999999</v>
      </c>
      <c r="R290" t="s">
        <v>46</v>
      </c>
      <c r="S290" t="s">
        <v>46</v>
      </c>
      <c r="T290" t="s">
        <v>46</v>
      </c>
      <c r="U290" t="s">
        <v>46</v>
      </c>
      <c r="V290" t="s">
        <v>46</v>
      </c>
      <c r="W290" t="s">
        <v>46</v>
      </c>
      <c r="X290" t="s">
        <v>46</v>
      </c>
      <c r="Y290" t="s">
        <v>46</v>
      </c>
      <c r="Z290" t="s">
        <v>46</v>
      </c>
      <c r="AA290" t="s">
        <v>46</v>
      </c>
      <c r="AB290" t="s">
        <v>46</v>
      </c>
      <c r="AC290" t="s">
        <v>46</v>
      </c>
    </row>
    <row r="291" spans="1:29" x14ac:dyDescent="0.25">
      <c r="A291" t="s">
        <v>64</v>
      </c>
      <c r="B291" t="s">
        <v>65</v>
      </c>
      <c r="C291" t="s">
        <v>108</v>
      </c>
      <c r="D291" t="s">
        <v>109</v>
      </c>
      <c r="E291" t="s">
        <v>55</v>
      </c>
      <c r="F291">
        <v>10613</v>
      </c>
      <c r="G291">
        <v>11022</v>
      </c>
      <c r="H291">
        <v>10702</v>
      </c>
      <c r="I291">
        <v>10557</v>
      </c>
      <c r="J291">
        <v>11136</v>
      </c>
      <c r="K291">
        <v>11424</v>
      </c>
      <c r="L291">
        <v>10978</v>
      </c>
      <c r="M291">
        <v>10648</v>
      </c>
      <c r="N291">
        <v>10988</v>
      </c>
      <c r="O291">
        <v>10669</v>
      </c>
      <c r="P291">
        <v>10979</v>
      </c>
      <c r="Q291">
        <v>10483</v>
      </c>
      <c r="R291" t="s">
        <v>46</v>
      </c>
      <c r="S291" t="s">
        <v>46</v>
      </c>
      <c r="T291" t="s">
        <v>46</v>
      </c>
      <c r="U291" t="s">
        <v>46</v>
      </c>
      <c r="V291" t="s">
        <v>46</v>
      </c>
      <c r="W291" t="s">
        <v>46</v>
      </c>
      <c r="X291" t="s">
        <v>46</v>
      </c>
      <c r="Y291" t="s">
        <v>46</v>
      </c>
      <c r="Z291" t="s">
        <v>46</v>
      </c>
      <c r="AA291" t="s">
        <v>46</v>
      </c>
      <c r="AB291" t="s">
        <v>46</v>
      </c>
      <c r="AC291" t="s">
        <v>46</v>
      </c>
    </row>
    <row r="292" spans="1:29" x14ac:dyDescent="0.25">
      <c r="A292" t="s">
        <v>66</v>
      </c>
      <c r="B292" t="s">
        <v>67</v>
      </c>
      <c r="C292" t="s">
        <v>108</v>
      </c>
      <c r="D292" t="s">
        <v>109</v>
      </c>
      <c r="E292" t="s">
        <v>55</v>
      </c>
      <c r="F292">
        <v>1362</v>
      </c>
      <c r="G292">
        <v>1442</v>
      </c>
      <c r="H292">
        <v>2010</v>
      </c>
      <c r="I292">
        <v>2043</v>
      </c>
      <c r="J292">
        <v>3069</v>
      </c>
      <c r="K292">
        <v>3364</v>
      </c>
      <c r="L292">
        <v>3501</v>
      </c>
      <c r="M292">
        <v>3641</v>
      </c>
      <c r="N292">
        <v>3652</v>
      </c>
      <c r="O292">
        <v>3671</v>
      </c>
      <c r="P292">
        <v>3454</v>
      </c>
      <c r="Q292">
        <v>3459</v>
      </c>
      <c r="R292" t="s">
        <v>46</v>
      </c>
      <c r="S292" t="s">
        <v>46</v>
      </c>
      <c r="T292" t="s">
        <v>46</v>
      </c>
      <c r="U292" t="s">
        <v>46</v>
      </c>
      <c r="V292" t="s">
        <v>46</v>
      </c>
      <c r="W292" t="s">
        <v>46</v>
      </c>
      <c r="X292" t="s">
        <v>46</v>
      </c>
      <c r="Y292" t="s">
        <v>46</v>
      </c>
      <c r="Z292" t="s">
        <v>46</v>
      </c>
      <c r="AA292" t="s">
        <v>46</v>
      </c>
      <c r="AB292" t="s">
        <v>46</v>
      </c>
      <c r="AC292" t="s">
        <v>46</v>
      </c>
    </row>
    <row r="293" spans="1:29" x14ac:dyDescent="0.25">
      <c r="A293" t="s">
        <v>68</v>
      </c>
      <c r="B293" t="s">
        <v>69</v>
      </c>
      <c r="C293" t="s">
        <v>108</v>
      </c>
      <c r="D293" t="s">
        <v>109</v>
      </c>
      <c r="E293" t="s">
        <v>55</v>
      </c>
      <c r="F293">
        <v>5129</v>
      </c>
      <c r="G293">
        <v>9101</v>
      </c>
      <c r="H293">
        <v>8870</v>
      </c>
      <c r="I293">
        <v>11217</v>
      </c>
      <c r="J293">
        <v>11725</v>
      </c>
      <c r="K293">
        <v>11356</v>
      </c>
      <c r="L293">
        <v>11837</v>
      </c>
      <c r="M293">
        <v>11814</v>
      </c>
      <c r="N293">
        <v>13837</v>
      </c>
      <c r="O293">
        <v>13202</v>
      </c>
      <c r="P293">
        <v>12507</v>
      </c>
      <c r="Q293">
        <v>12345</v>
      </c>
      <c r="R293" t="s">
        <v>46</v>
      </c>
      <c r="S293" t="s">
        <v>46</v>
      </c>
      <c r="T293" t="s">
        <v>46</v>
      </c>
      <c r="U293" t="s">
        <v>46</v>
      </c>
      <c r="V293" t="s">
        <v>46</v>
      </c>
      <c r="W293" t="s">
        <v>46</v>
      </c>
      <c r="X293" t="s">
        <v>46</v>
      </c>
      <c r="Y293" t="s">
        <v>46</v>
      </c>
      <c r="Z293" t="s">
        <v>46</v>
      </c>
      <c r="AA293" t="s">
        <v>46</v>
      </c>
      <c r="AB293" t="s">
        <v>46</v>
      </c>
      <c r="AC293" t="s">
        <v>46</v>
      </c>
    </row>
    <row r="294" spans="1:29" x14ac:dyDescent="0.25">
      <c r="A294" t="s">
        <v>70</v>
      </c>
      <c r="B294" t="s">
        <v>71</v>
      </c>
      <c r="C294" t="s">
        <v>108</v>
      </c>
      <c r="D294" t="s">
        <v>109</v>
      </c>
      <c r="E294" t="s">
        <v>55</v>
      </c>
      <c r="F294">
        <v>1647.482</v>
      </c>
      <c r="G294">
        <v>1596.145</v>
      </c>
      <c r="H294">
        <v>1492.117</v>
      </c>
      <c r="I294">
        <v>1422.2470000000001</v>
      </c>
      <c r="J294">
        <v>1338.2249999999999</v>
      </c>
      <c r="K294">
        <v>1262.596</v>
      </c>
      <c r="L294">
        <v>1195.9349999999999</v>
      </c>
      <c r="M294">
        <v>1112.8030000000001</v>
      </c>
      <c r="N294">
        <v>1055.348</v>
      </c>
      <c r="O294">
        <v>974.947</v>
      </c>
      <c r="P294">
        <v>985.14499999999998</v>
      </c>
      <c r="Q294">
        <v>919.70600000000002</v>
      </c>
      <c r="R294" t="s">
        <v>46</v>
      </c>
      <c r="S294" t="s">
        <v>46</v>
      </c>
      <c r="T294" t="s">
        <v>46</v>
      </c>
      <c r="U294" t="s">
        <v>46</v>
      </c>
      <c r="V294" t="s">
        <v>46</v>
      </c>
      <c r="W294" t="s">
        <v>46</v>
      </c>
      <c r="X294" t="s">
        <v>46</v>
      </c>
      <c r="Y294" t="s">
        <v>46</v>
      </c>
      <c r="Z294" t="s">
        <v>46</v>
      </c>
      <c r="AA294" t="s">
        <v>46</v>
      </c>
      <c r="AB294" t="s">
        <v>46</v>
      </c>
      <c r="AC294" t="s">
        <v>46</v>
      </c>
    </row>
    <row r="295" spans="1:29" x14ac:dyDescent="0.25">
      <c r="A295" t="s">
        <v>72</v>
      </c>
      <c r="B295" t="s">
        <v>73</v>
      </c>
      <c r="C295" t="s">
        <v>108</v>
      </c>
      <c r="D295" t="s">
        <v>109</v>
      </c>
      <c r="E295" t="s">
        <v>55</v>
      </c>
      <c r="F295">
        <v>1573.079</v>
      </c>
      <c r="G295">
        <v>1689.171</v>
      </c>
      <c r="H295">
        <v>1605.684</v>
      </c>
      <c r="I295">
        <v>1583.37</v>
      </c>
      <c r="J295">
        <v>1495.1690000000001</v>
      </c>
      <c r="K295">
        <v>1404.182</v>
      </c>
      <c r="L295">
        <v>1285.018</v>
      </c>
      <c r="M295">
        <v>1296.425</v>
      </c>
      <c r="N295">
        <v>1365.9970000000001</v>
      </c>
      <c r="O295">
        <v>1428.7940000000001</v>
      </c>
      <c r="P295">
        <v>1318.192</v>
      </c>
      <c r="Q295">
        <v>1263.0999999999999</v>
      </c>
      <c r="R295" t="s">
        <v>46</v>
      </c>
      <c r="S295" t="s">
        <v>46</v>
      </c>
      <c r="T295" t="s">
        <v>46</v>
      </c>
      <c r="U295" t="s">
        <v>46</v>
      </c>
      <c r="V295" t="s">
        <v>46</v>
      </c>
      <c r="W295" t="s">
        <v>46</v>
      </c>
      <c r="X295" t="s">
        <v>46</v>
      </c>
      <c r="Y295" t="s">
        <v>46</v>
      </c>
      <c r="Z295" t="s">
        <v>46</v>
      </c>
      <c r="AA295" t="s">
        <v>46</v>
      </c>
      <c r="AB295" t="s">
        <v>46</v>
      </c>
      <c r="AC295" t="s">
        <v>46</v>
      </c>
    </row>
    <row r="296" spans="1:29" x14ac:dyDescent="0.25">
      <c r="A296" t="s">
        <v>74</v>
      </c>
      <c r="B296" t="s">
        <v>75</v>
      </c>
      <c r="C296" t="s">
        <v>108</v>
      </c>
      <c r="D296" t="s">
        <v>109</v>
      </c>
      <c r="E296" t="s">
        <v>55</v>
      </c>
      <c r="F296">
        <v>6900.7160000000003</v>
      </c>
      <c r="G296">
        <v>6944</v>
      </c>
      <c r="H296">
        <v>6563.7</v>
      </c>
      <c r="I296">
        <v>6109.1</v>
      </c>
      <c r="J296">
        <v>6109.1189999999997</v>
      </c>
      <c r="K296">
        <v>5720.4</v>
      </c>
      <c r="L296">
        <v>5774.5</v>
      </c>
      <c r="M296">
        <v>5677.8</v>
      </c>
      <c r="N296">
        <v>5585.6008000000002</v>
      </c>
      <c r="O296">
        <v>5437.8</v>
      </c>
      <c r="P296">
        <v>5056</v>
      </c>
      <c r="Q296">
        <v>5374.9</v>
      </c>
      <c r="R296" t="s">
        <v>46</v>
      </c>
      <c r="S296" t="s">
        <v>46</v>
      </c>
      <c r="T296" t="s">
        <v>46</v>
      </c>
      <c r="U296" t="s">
        <v>46</v>
      </c>
      <c r="V296" t="s">
        <v>46</v>
      </c>
      <c r="W296" t="s">
        <v>46</v>
      </c>
      <c r="X296" t="s">
        <v>46</v>
      </c>
      <c r="Y296" t="s">
        <v>46</v>
      </c>
      <c r="Z296" t="s">
        <v>46</v>
      </c>
      <c r="AA296" t="s">
        <v>46</v>
      </c>
      <c r="AB296" t="s">
        <v>46</v>
      </c>
      <c r="AC296" t="s">
        <v>46</v>
      </c>
    </row>
    <row r="297" spans="1:29" x14ac:dyDescent="0.25">
      <c r="A297" t="s">
        <v>76</v>
      </c>
      <c r="B297" t="s">
        <v>77</v>
      </c>
      <c r="C297" t="s">
        <v>108</v>
      </c>
      <c r="D297" t="s">
        <v>109</v>
      </c>
      <c r="E297" t="s">
        <v>55</v>
      </c>
      <c r="F297">
        <v>848.38739999999996</v>
      </c>
      <c r="G297">
        <v>899.16549999999995</v>
      </c>
      <c r="H297">
        <v>807.58519999999999</v>
      </c>
      <c r="I297">
        <v>817.33460000000002</v>
      </c>
      <c r="J297">
        <v>788.72410000000002</v>
      </c>
      <c r="K297">
        <v>776.08720000000005</v>
      </c>
      <c r="L297">
        <v>717.28060000000005</v>
      </c>
      <c r="M297">
        <v>705.07939999999996</v>
      </c>
      <c r="N297">
        <v>724.80029999999999</v>
      </c>
      <c r="O297">
        <v>780.13760000000002</v>
      </c>
      <c r="P297">
        <v>706.40949999999998</v>
      </c>
      <c r="Q297">
        <v>633.69309999999996</v>
      </c>
      <c r="R297" t="s">
        <v>46</v>
      </c>
      <c r="S297" t="s">
        <v>46</v>
      </c>
      <c r="T297" t="s">
        <v>46</v>
      </c>
      <c r="U297" t="s">
        <v>46</v>
      </c>
      <c r="V297" t="s">
        <v>46</v>
      </c>
      <c r="W297" t="s">
        <v>46</v>
      </c>
      <c r="X297" t="s">
        <v>46</v>
      </c>
      <c r="Y297" t="s">
        <v>46</v>
      </c>
      <c r="Z297" t="s">
        <v>46</v>
      </c>
      <c r="AA297" t="s">
        <v>46</v>
      </c>
      <c r="AB297" t="s">
        <v>46</v>
      </c>
      <c r="AC297" t="s">
        <v>46</v>
      </c>
    </row>
    <row r="298" spans="1:29" x14ac:dyDescent="0.25">
      <c r="A298" t="s">
        <v>78</v>
      </c>
      <c r="B298" t="s">
        <v>79</v>
      </c>
      <c r="C298" t="s">
        <v>108</v>
      </c>
      <c r="D298" t="s">
        <v>109</v>
      </c>
      <c r="E298" t="s">
        <v>55</v>
      </c>
      <c r="F298">
        <v>8735.6731</v>
      </c>
      <c r="G298">
        <v>8596.9012999999995</v>
      </c>
      <c r="H298">
        <v>8615.0123000000003</v>
      </c>
      <c r="I298">
        <v>8248.7389000000003</v>
      </c>
      <c r="J298">
        <v>9377.2224000000006</v>
      </c>
      <c r="K298">
        <v>9332.3289000000004</v>
      </c>
      <c r="L298">
        <v>8979.9377999999997</v>
      </c>
      <c r="M298">
        <v>8862.5046000000002</v>
      </c>
      <c r="N298">
        <v>9966.4580999999998</v>
      </c>
      <c r="O298">
        <v>9549.3449999999993</v>
      </c>
      <c r="P298">
        <v>11074.2158</v>
      </c>
      <c r="Q298">
        <v>10602.6162</v>
      </c>
      <c r="R298" t="s">
        <v>46</v>
      </c>
      <c r="S298" t="s">
        <v>46</v>
      </c>
      <c r="T298" t="s">
        <v>46</v>
      </c>
      <c r="U298" t="s">
        <v>46</v>
      </c>
      <c r="V298" t="s">
        <v>46</v>
      </c>
      <c r="W298" t="s">
        <v>46</v>
      </c>
      <c r="X298" t="s">
        <v>46</v>
      </c>
      <c r="Y298" t="s">
        <v>46</v>
      </c>
      <c r="Z298" t="s">
        <v>46</v>
      </c>
      <c r="AA298" t="s">
        <v>46</v>
      </c>
      <c r="AB298" t="s">
        <v>46</v>
      </c>
      <c r="AC298" t="s">
        <v>46</v>
      </c>
    </row>
    <row r="299" spans="1:29" x14ac:dyDescent="0.25">
      <c r="A299" t="s">
        <v>80</v>
      </c>
      <c r="B299" t="s">
        <v>81</v>
      </c>
      <c r="C299" t="s">
        <v>108</v>
      </c>
      <c r="D299" t="s">
        <v>109</v>
      </c>
      <c r="E299" t="s">
        <v>55</v>
      </c>
      <c r="F299">
        <v>20128</v>
      </c>
      <c r="G299">
        <v>20984</v>
      </c>
      <c r="H299">
        <v>18096</v>
      </c>
      <c r="I299">
        <v>17776</v>
      </c>
      <c r="J299">
        <v>16606</v>
      </c>
      <c r="K299">
        <v>16930</v>
      </c>
      <c r="L299">
        <v>19919</v>
      </c>
      <c r="M299">
        <v>18648</v>
      </c>
      <c r="N299">
        <v>18290</v>
      </c>
      <c r="O299">
        <v>17725</v>
      </c>
      <c r="P299">
        <v>19757</v>
      </c>
      <c r="Q299">
        <v>18544</v>
      </c>
      <c r="R299" t="s">
        <v>46</v>
      </c>
      <c r="S299" t="s">
        <v>46</v>
      </c>
      <c r="T299" t="s">
        <v>46</v>
      </c>
      <c r="U299" t="s">
        <v>46</v>
      </c>
      <c r="V299" t="s">
        <v>46</v>
      </c>
      <c r="W299" t="s">
        <v>46</v>
      </c>
      <c r="X299" t="s">
        <v>46</v>
      </c>
      <c r="Y299" t="s">
        <v>46</v>
      </c>
      <c r="Z299" t="s">
        <v>46</v>
      </c>
      <c r="AA299" t="s">
        <v>46</v>
      </c>
      <c r="AB299" t="s">
        <v>46</v>
      </c>
      <c r="AC299" t="s">
        <v>46</v>
      </c>
    </row>
    <row r="300" spans="1:29" x14ac:dyDescent="0.25">
      <c r="A300" t="s">
        <v>82</v>
      </c>
      <c r="B300" t="s">
        <v>83</v>
      </c>
      <c r="C300" t="s">
        <v>108</v>
      </c>
      <c r="D300" t="s">
        <v>109</v>
      </c>
      <c r="E300" t="s">
        <v>55</v>
      </c>
      <c r="F300">
        <v>11524.3115</v>
      </c>
      <c r="G300">
        <v>12038.975399999999</v>
      </c>
      <c r="H300">
        <v>13820.301799999999</v>
      </c>
      <c r="I300">
        <v>13338.3338</v>
      </c>
      <c r="J300">
        <v>13272.449500000001</v>
      </c>
      <c r="K300">
        <v>12304.7783</v>
      </c>
      <c r="L300">
        <v>10845.6985</v>
      </c>
      <c r="M300">
        <v>12878.714900000001</v>
      </c>
      <c r="N300">
        <v>13454.043100000001</v>
      </c>
      <c r="O300">
        <v>12834.624100000001</v>
      </c>
      <c r="P300">
        <v>11862.28</v>
      </c>
      <c r="Q300">
        <v>11246.0713</v>
      </c>
      <c r="R300" t="s">
        <v>46</v>
      </c>
      <c r="S300" t="s">
        <v>46</v>
      </c>
      <c r="T300" t="s">
        <v>46</v>
      </c>
      <c r="U300" t="s">
        <v>46</v>
      </c>
      <c r="V300" t="s">
        <v>46</v>
      </c>
      <c r="W300" t="s">
        <v>46</v>
      </c>
      <c r="X300" t="s">
        <v>46</v>
      </c>
      <c r="Y300" t="s">
        <v>46</v>
      </c>
      <c r="Z300" t="s">
        <v>46</v>
      </c>
      <c r="AA300" t="s">
        <v>46</v>
      </c>
      <c r="AB300" t="s">
        <v>46</v>
      </c>
      <c r="AC300" t="s">
        <v>46</v>
      </c>
    </row>
    <row r="301" spans="1:29" x14ac:dyDescent="0.25">
      <c r="A301" t="s">
        <v>84</v>
      </c>
      <c r="B301" t="s">
        <v>85</v>
      </c>
      <c r="C301" t="s">
        <v>108</v>
      </c>
      <c r="D301" t="s">
        <v>109</v>
      </c>
      <c r="E301" t="s">
        <v>55</v>
      </c>
      <c r="F301">
        <v>2946.1700999999998</v>
      </c>
      <c r="G301">
        <v>3160.6118999999999</v>
      </c>
      <c r="H301">
        <v>3026.9286999999999</v>
      </c>
      <c r="I301">
        <v>3142.7498000000001</v>
      </c>
      <c r="J301">
        <v>2994.9670999999998</v>
      </c>
      <c r="K301">
        <v>3057.2536</v>
      </c>
      <c r="L301">
        <v>2732.1772999999998</v>
      </c>
      <c r="M301">
        <v>2961.4749999999999</v>
      </c>
      <c r="N301">
        <v>2970.7026999999998</v>
      </c>
      <c r="O301">
        <v>2844.4751000000001</v>
      </c>
      <c r="P301">
        <v>2699.7658999999999</v>
      </c>
      <c r="Q301">
        <v>2758.0203999999999</v>
      </c>
      <c r="R301" t="s">
        <v>46</v>
      </c>
      <c r="S301" t="s">
        <v>46</v>
      </c>
      <c r="T301" t="s">
        <v>46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  <c r="Z301" t="s">
        <v>46</v>
      </c>
      <c r="AA301" t="s">
        <v>46</v>
      </c>
      <c r="AB301" t="s">
        <v>46</v>
      </c>
      <c r="AC301" t="s">
        <v>46</v>
      </c>
    </row>
    <row r="302" spans="1:29" x14ac:dyDescent="0.25">
      <c r="A302" t="s">
        <v>86</v>
      </c>
      <c r="B302" t="s">
        <v>87</v>
      </c>
      <c r="C302" t="s">
        <v>108</v>
      </c>
      <c r="D302" t="s">
        <v>109</v>
      </c>
      <c r="E302" t="s">
        <v>55</v>
      </c>
      <c r="F302">
        <v>7420.7979999999998</v>
      </c>
      <c r="G302">
        <v>7598.9862999999996</v>
      </c>
      <c r="H302">
        <v>7306.0415999999996</v>
      </c>
      <c r="I302">
        <v>8642.1267000000007</v>
      </c>
      <c r="J302">
        <v>8233.2059000000008</v>
      </c>
      <c r="K302">
        <v>7887.4874</v>
      </c>
      <c r="L302">
        <v>7213.1993000000002</v>
      </c>
      <c r="M302">
        <v>7328.5870999999997</v>
      </c>
      <c r="N302">
        <v>7450.5276999999996</v>
      </c>
      <c r="O302">
        <v>7405.3859000000002</v>
      </c>
      <c r="P302">
        <v>8644.1468999999997</v>
      </c>
      <c r="Q302">
        <v>8405.3829000000005</v>
      </c>
      <c r="R302" t="s">
        <v>46</v>
      </c>
      <c r="S302" t="s">
        <v>46</v>
      </c>
      <c r="T302" t="s">
        <v>46</v>
      </c>
      <c r="U302" t="s">
        <v>46</v>
      </c>
      <c r="V302" t="s">
        <v>46</v>
      </c>
      <c r="W302" t="s">
        <v>46</v>
      </c>
      <c r="X302" t="s">
        <v>46</v>
      </c>
      <c r="Y302" t="s">
        <v>46</v>
      </c>
      <c r="Z302" t="s">
        <v>46</v>
      </c>
      <c r="AA302" t="s">
        <v>46</v>
      </c>
      <c r="AB302" t="s">
        <v>46</v>
      </c>
      <c r="AC302" t="s">
        <v>46</v>
      </c>
    </row>
    <row r="303" spans="1:29" x14ac:dyDescent="0.25">
      <c r="A303" t="s">
        <v>46</v>
      </c>
      <c r="B303" t="s">
        <v>46</v>
      </c>
      <c r="C303" t="s">
        <v>46</v>
      </c>
      <c r="D303" t="s">
        <v>46</v>
      </c>
      <c r="E303" t="s">
        <v>46</v>
      </c>
      <c r="R303" t="s">
        <v>46</v>
      </c>
      <c r="S303" t="s">
        <v>46</v>
      </c>
      <c r="T303" t="s">
        <v>46</v>
      </c>
      <c r="U303" t="s">
        <v>46</v>
      </c>
      <c r="V303" t="s">
        <v>46</v>
      </c>
      <c r="W303" t="s">
        <v>46</v>
      </c>
      <c r="X303" t="s">
        <v>46</v>
      </c>
      <c r="Y303" t="s">
        <v>46</v>
      </c>
      <c r="Z303" t="s">
        <v>46</v>
      </c>
      <c r="AA303" t="s">
        <v>46</v>
      </c>
      <c r="AB303" t="s">
        <v>46</v>
      </c>
      <c r="AC303" t="s">
        <v>46</v>
      </c>
    </row>
    <row r="304" spans="1:29" x14ac:dyDescent="0.25">
      <c r="A304" t="s">
        <v>46</v>
      </c>
      <c r="B304" t="s">
        <v>46</v>
      </c>
      <c r="C304" t="s">
        <v>46</v>
      </c>
      <c r="D304" t="s">
        <v>46</v>
      </c>
      <c r="E304" t="s">
        <v>46</v>
      </c>
      <c r="R304" t="s">
        <v>46</v>
      </c>
      <c r="S304" t="s">
        <v>46</v>
      </c>
      <c r="T304" t="s">
        <v>46</v>
      </c>
      <c r="U304" t="s">
        <v>46</v>
      </c>
      <c r="V304" t="s">
        <v>46</v>
      </c>
      <c r="W304" t="s">
        <v>46</v>
      </c>
      <c r="X304" t="s">
        <v>46</v>
      </c>
      <c r="Y304" t="s">
        <v>46</v>
      </c>
      <c r="Z304" t="s">
        <v>46</v>
      </c>
      <c r="AA304" t="s">
        <v>46</v>
      </c>
      <c r="AB304" t="s">
        <v>46</v>
      </c>
      <c r="AC304" t="s">
        <v>46</v>
      </c>
    </row>
    <row r="305" spans="1:29" x14ac:dyDescent="0.25">
      <c r="A305" t="s">
        <v>46</v>
      </c>
      <c r="B305" t="s">
        <v>46</v>
      </c>
      <c r="C305" t="s">
        <v>46</v>
      </c>
      <c r="D305" t="s">
        <v>46</v>
      </c>
      <c r="E305" t="s">
        <v>46</v>
      </c>
      <c r="R305" t="s">
        <v>46</v>
      </c>
      <c r="S305" t="s">
        <v>46</v>
      </c>
      <c r="T305" t="s">
        <v>46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  <c r="Z305" t="s">
        <v>46</v>
      </c>
      <c r="AA305" t="s">
        <v>46</v>
      </c>
      <c r="AB305" t="s">
        <v>46</v>
      </c>
      <c r="AC305" t="s">
        <v>46</v>
      </c>
    </row>
    <row r="306" spans="1:29" x14ac:dyDescent="0.25">
      <c r="A306" t="s">
        <v>46</v>
      </c>
      <c r="B306" t="s">
        <v>46</v>
      </c>
      <c r="C306" t="s">
        <v>46</v>
      </c>
      <c r="D306" t="s">
        <v>46</v>
      </c>
      <c r="E306" t="s">
        <v>46</v>
      </c>
      <c r="R306" t="s">
        <v>46</v>
      </c>
      <c r="S306" t="s">
        <v>46</v>
      </c>
      <c r="T306" t="s">
        <v>46</v>
      </c>
      <c r="U306" t="s">
        <v>46</v>
      </c>
      <c r="V306" t="s">
        <v>46</v>
      </c>
      <c r="W306" t="s">
        <v>46</v>
      </c>
      <c r="X306" t="s">
        <v>46</v>
      </c>
      <c r="Y306" t="s">
        <v>46</v>
      </c>
      <c r="Z306" t="s">
        <v>46</v>
      </c>
      <c r="AA306" t="s">
        <v>46</v>
      </c>
      <c r="AB306" t="s">
        <v>46</v>
      </c>
      <c r="AC306" t="s">
        <v>46</v>
      </c>
    </row>
    <row r="307" spans="1:29" x14ac:dyDescent="0.25">
      <c r="A307" t="s">
        <v>46</v>
      </c>
      <c r="B307" t="s">
        <v>46</v>
      </c>
      <c r="C307" t="s">
        <v>46</v>
      </c>
      <c r="D307" t="s">
        <v>46</v>
      </c>
      <c r="E307" t="s">
        <v>46</v>
      </c>
      <c r="R307" t="s">
        <v>46</v>
      </c>
      <c r="S307" t="s">
        <v>46</v>
      </c>
      <c r="T307" t="s">
        <v>46</v>
      </c>
      <c r="U307" t="s">
        <v>46</v>
      </c>
      <c r="V307" t="s">
        <v>46</v>
      </c>
      <c r="W307" t="s">
        <v>46</v>
      </c>
      <c r="X307" t="s">
        <v>46</v>
      </c>
      <c r="Y307" t="s">
        <v>46</v>
      </c>
      <c r="Z307" t="s">
        <v>46</v>
      </c>
      <c r="AA307" t="s">
        <v>46</v>
      </c>
      <c r="AB307" t="s">
        <v>46</v>
      </c>
      <c r="AC307" t="s">
        <v>46</v>
      </c>
    </row>
    <row r="308" spans="1:29" x14ac:dyDescent="0.25">
      <c r="A308" t="s">
        <v>124</v>
      </c>
      <c r="B308" t="s">
        <v>124</v>
      </c>
      <c r="C308" t="s">
        <v>124</v>
      </c>
      <c r="D308" t="s">
        <v>124</v>
      </c>
      <c r="E308" t="s">
        <v>124</v>
      </c>
      <c r="R308" t="s">
        <v>46</v>
      </c>
      <c r="S308" t="s">
        <v>46</v>
      </c>
      <c r="T308" t="s">
        <v>46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  <c r="Z308" t="s">
        <v>46</v>
      </c>
      <c r="AA308" t="s">
        <v>46</v>
      </c>
      <c r="AB308" t="s">
        <v>46</v>
      </c>
      <c r="AC308" t="s">
        <v>46</v>
      </c>
    </row>
    <row r="309" spans="1:29" x14ac:dyDescent="0.25">
      <c r="A309" t="s">
        <v>125</v>
      </c>
      <c r="R309" t="s">
        <v>46</v>
      </c>
      <c r="S309" t="s">
        <v>46</v>
      </c>
      <c r="T309" t="s">
        <v>46</v>
      </c>
      <c r="U309" t="s">
        <v>46</v>
      </c>
      <c r="V309" t="s">
        <v>46</v>
      </c>
      <c r="W309" t="s">
        <v>46</v>
      </c>
      <c r="X309" t="s">
        <v>46</v>
      </c>
      <c r="Y309" t="s">
        <v>46</v>
      </c>
      <c r="Z309" t="s">
        <v>46</v>
      </c>
      <c r="AA309" t="s">
        <v>46</v>
      </c>
      <c r="AB309" t="s">
        <v>46</v>
      </c>
      <c r="AC309" t="s">
        <v>46</v>
      </c>
    </row>
    <row r="310" spans="1:29" x14ac:dyDescent="0.25">
      <c r="A310" t="s">
        <v>126</v>
      </c>
      <c r="B310">
        <v>43999</v>
      </c>
      <c r="C310" t="s">
        <v>46</v>
      </c>
      <c r="D310" t="s">
        <v>46</v>
      </c>
      <c r="E310" t="s">
        <v>46</v>
      </c>
      <c r="R310" t="s">
        <v>46</v>
      </c>
      <c r="S310" t="s">
        <v>46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46</v>
      </c>
      <c r="AA310" t="s">
        <v>46</v>
      </c>
      <c r="AB310" t="s">
        <v>46</v>
      </c>
      <c r="AC310" t="s">
        <v>46</v>
      </c>
    </row>
    <row r="311" spans="1:29" x14ac:dyDescent="0.25">
      <c r="A311" t="s">
        <v>127</v>
      </c>
      <c r="B311">
        <v>43999</v>
      </c>
      <c r="C311" t="s">
        <v>46</v>
      </c>
      <c r="D311" t="s">
        <v>46</v>
      </c>
      <c r="E311" t="s">
        <v>46</v>
      </c>
      <c r="R311" t="s">
        <v>46</v>
      </c>
      <c r="S311" t="s">
        <v>46</v>
      </c>
      <c r="T311" t="s">
        <v>46</v>
      </c>
      <c r="U311" t="s">
        <v>46</v>
      </c>
      <c r="V311" t="s">
        <v>46</v>
      </c>
      <c r="W311" t="s">
        <v>46</v>
      </c>
      <c r="X311" t="s">
        <v>46</v>
      </c>
      <c r="Y311" t="s">
        <v>46</v>
      </c>
      <c r="Z311" t="s">
        <v>46</v>
      </c>
      <c r="AA311" t="s">
        <v>46</v>
      </c>
      <c r="AB311" t="s">
        <v>46</v>
      </c>
      <c r="AC311" t="s">
        <v>46</v>
      </c>
    </row>
    <row r="312" spans="1:29" x14ac:dyDescent="0.25">
      <c r="A312" t="s">
        <v>28</v>
      </c>
      <c r="B312" t="s">
        <v>29</v>
      </c>
      <c r="C312" t="s">
        <v>30</v>
      </c>
      <c r="D312" t="s">
        <v>31</v>
      </c>
      <c r="E312" t="s">
        <v>32</v>
      </c>
      <c r="R312" t="s">
        <v>46</v>
      </c>
      <c r="S312" t="s">
        <v>46</v>
      </c>
      <c r="T312" t="s">
        <v>46</v>
      </c>
      <c r="U312" t="s">
        <v>46</v>
      </c>
      <c r="V312" t="s">
        <v>46</v>
      </c>
      <c r="W312" t="s">
        <v>46</v>
      </c>
      <c r="X312" t="s">
        <v>46</v>
      </c>
      <c r="Y312" t="s">
        <v>46</v>
      </c>
      <c r="Z312" t="s">
        <v>46</v>
      </c>
      <c r="AA312" t="s">
        <v>46</v>
      </c>
      <c r="AB312" t="s">
        <v>46</v>
      </c>
      <c r="AC312" t="s">
        <v>46</v>
      </c>
    </row>
    <row r="313" spans="1:29" x14ac:dyDescent="0.25">
      <c r="A313" t="s">
        <v>128</v>
      </c>
      <c r="B313">
        <v>43999</v>
      </c>
      <c r="C313" t="s">
        <v>46</v>
      </c>
      <c r="D313" t="s">
        <v>46</v>
      </c>
      <c r="E313" t="s">
        <v>46</v>
      </c>
      <c r="R313" t="s">
        <v>46</v>
      </c>
      <c r="S313" t="s">
        <v>46</v>
      </c>
      <c r="T313" t="s">
        <v>46</v>
      </c>
      <c r="U313" t="s">
        <v>46</v>
      </c>
      <c r="V313" t="s">
        <v>46</v>
      </c>
      <c r="W313" t="s">
        <v>46</v>
      </c>
      <c r="X313" t="s">
        <v>46</v>
      </c>
      <c r="Y313" t="s">
        <v>46</v>
      </c>
      <c r="Z313" t="s">
        <v>46</v>
      </c>
      <c r="AA313" t="s">
        <v>46</v>
      </c>
      <c r="AB313" t="s">
        <v>46</v>
      </c>
      <c r="AC313" t="s">
        <v>46</v>
      </c>
    </row>
    <row r="314" spans="1:29" x14ac:dyDescent="0.25">
      <c r="A314" t="s">
        <v>129</v>
      </c>
      <c r="B314">
        <v>2</v>
      </c>
      <c r="C314" t="s">
        <v>44</v>
      </c>
      <c r="D314" t="s">
        <v>43</v>
      </c>
      <c r="E314" t="s">
        <v>42</v>
      </c>
      <c r="F314" t="s">
        <v>41</v>
      </c>
      <c r="G314" t="s">
        <v>40</v>
      </c>
      <c r="H314" t="s">
        <v>39</v>
      </c>
      <c r="I314" t="s">
        <v>38</v>
      </c>
      <c r="J314" t="s">
        <v>37</v>
      </c>
      <c r="K314" t="s">
        <v>36</v>
      </c>
      <c r="L314" t="s">
        <v>35</v>
      </c>
      <c r="M314" t="s">
        <v>34</v>
      </c>
      <c r="N314" t="s">
        <v>33</v>
      </c>
      <c r="R314" t="s">
        <v>46</v>
      </c>
      <c r="S314" t="s">
        <v>46</v>
      </c>
      <c r="T314" t="s">
        <v>46</v>
      </c>
      <c r="U314" t="s">
        <v>46</v>
      </c>
      <c r="V314" t="s">
        <v>46</v>
      </c>
      <c r="W314" t="s">
        <v>46</v>
      </c>
      <c r="X314" t="s">
        <v>46</v>
      </c>
      <c r="Y314" t="s">
        <v>46</v>
      </c>
      <c r="Z314" t="s">
        <v>46</v>
      </c>
      <c r="AA314" t="s">
        <v>46</v>
      </c>
      <c r="AB314" t="s">
        <v>46</v>
      </c>
      <c r="AC314" t="s">
        <v>46</v>
      </c>
    </row>
    <row r="315" spans="1:29" x14ac:dyDescent="0.25">
      <c r="A315" t="s">
        <v>130</v>
      </c>
      <c r="B315">
        <v>0</v>
      </c>
      <c r="C315" t="s">
        <v>131</v>
      </c>
      <c r="R315" t="s">
        <v>46</v>
      </c>
      <c r="S315" t="s">
        <v>46</v>
      </c>
      <c r="T315" t="s">
        <v>46</v>
      </c>
      <c r="U315" t="s">
        <v>46</v>
      </c>
      <c r="V315" t="s">
        <v>46</v>
      </c>
      <c r="W315" t="s">
        <v>46</v>
      </c>
      <c r="X315" t="s">
        <v>46</v>
      </c>
      <c r="Y315" t="s">
        <v>46</v>
      </c>
      <c r="Z315" t="s">
        <v>46</v>
      </c>
      <c r="AA315" t="s">
        <v>46</v>
      </c>
      <c r="AB315" t="s">
        <v>46</v>
      </c>
      <c r="AC315" t="s">
        <v>46</v>
      </c>
    </row>
    <row r="316" spans="1:29" x14ac:dyDescent="0.25">
      <c r="A316" t="s">
        <v>132</v>
      </c>
      <c r="R316" t="s">
        <v>46</v>
      </c>
      <c r="S316" t="s">
        <v>46</v>
      </c>
      <c r="T316" t="s">
        <v>46</v>
      </c>
      <c r="U316" t="s">
        <v>46</v>
      </c>
      <c r="V316" t="s">
        <v>46</v>
      </c>
      <c r="W316" t="s">
        <v>46</v>
      </c>
      <c r="X316" t="s">
        <v>46</v>
      </c>
      <c r="Y316" t="s">
        <v>46</v>
      </c>
      <c r="Z316" t="s">
        <v>46</v>
      </c>
      <c r="AA316" t="s">
        <v>46</v>
      </c>
      <c r="AB316" t="s">
        <v>46</v>
      </c>
      <c r="AC316" t="s">
        <v>46</v>
      </c>
    </row>
    <row r="317" spans="1:29" x14ac:dyDescent="0.25">
      <c r="A317" t="s">
        <v>133</v>
      </c>
      <c r="B317">
        <v>0</v>
      </c>
      <c r="C317" t="s">
        <v>131</v>
      </c>
      <c r="R317" t="s">
        <v>46</v>
      </c>
      <c r="S317" t="s">
        <v>46</v>
      </c>
      <c r="T317" t="s">
        <v>46</v>
      </c>
      <c r="U317" t="s">
        <v>46</v>
      </c>
      <c r="V317" t="s">
        <v>46</v>
      </c>
      <c r="W317" t="s">
        <v>46</v>
      </c>
      <c r="X317" t="s">
        <v>46</v>
      </c>
      <c r="Y317" t="s">
        <v>46</v>
      </c>
      <c r="Z317" t="s">
        <v>46</v>
      </c>
      <c r="AA317" t="s">
        <v>46</v>
      </c>
      <c r="AB317" t="s">
        <v>46</v>
      </c>
      <c r="AC317" t="s">
        <v>46</v>
      </c>
    </row>
    <row r="318" spans="1:29" x14ac:dyDescent="0.25">
      <c r="A318" t="s">
        <v>134</v>
      </c>
      <c r="R318" t="s">
        <v>46</v>
      </c>
      <c r="S318" t="s">
        <v>46</v>
      </c>
      <c r="T318" t="s">
        <v>46</v>
      </c>
      <c r="U318" t="s">
        <v>46</v>
      </c>
      <c r="V318" t="s">
        <v>46</v>
      </c>
      <c r="W318" t="s">
        <v>46</v>
      </c>
      <c r="X318" t="s">
        <v>46</v>
      </c>
      <c r="Y318" t="s">
        <v>46</v>
      </c>
      <c r="Z318" t="s">
        <v>46</v>
      </c>
      <c r="AA318" t="s">
        <v>46</v>
      </c>
      <c r="AB318" t="s">
        <v>46</v>
      </c>
      <c r="AC318" t="s">
        <v>46</v>
      </c>
    </row>
    <row r="319" spans="1:29" x14ac:dyDescent="0.25">
      <c r="A319" t="s">
        <v>135</v>
      </c>
      <c r="B319">
        <v>0</v>
      </c>
      <c r="C319" t="s">
        <v>131</v>
      </c>
      <c r="R319" t="s">
        <v>46</v>
      </c>
      <c r="S319" t="s">
        <v>46</v>
      </c>
      <c r="T319" t="s">
        <v>46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  <c r="Z319" t="s">
        <v>46</v>
      </c>
      <c r="AA319" t="s">
        <v>46</v>
      </c>
      <c r="AB319" t="s">
        <v>46</v>
      </c>
      <c r="AC319" t="s">
        <v>46</v>
      </c>
    </row>
    <row r="320" spans="1:29" x14ac:dyDescent="0.25">
      <c r="A320" t="s">
        <v>136</v>
      </c>
      <c r="R320" t="s">
        <v>46</v>
      </c>
      <c r="S320" t="s">
        <v>46</v>
      </c>
      <c r="T320" t="s">
        <v>46</v>
      </c>
      <c r="U320" t="s">
        <v>46</v>
      </c>
      <c r="V320" t="s">
        <v>46</v>
      </c>
      <c r="W320" t="s">
        <v>46</v>
      </c>
      <c r="X320" t="s">
        <v>46</v>
      </c>
      <c r="Y320" t="s">
        <v>46</v>
      </c>
      <c r="Z320" t="s">
        <v>46</v>
      </c>
      <c r="AA320" t="s">
        <v>46</v>
      </c>
      <c r="AB320" t="s">
        <v>46</v>
      </c>
      <c r="AC320" t="s">
        <v>46</v>
      </c>
    </row>
    <row r="321" spans="1:29" x14ac:dyDescent="0.25">
      <c r="A321" t="s">
        <v>137</v>
      </c>
      <c r="B321">
        <v>2</v>
      </c>
      <c r="C321" t="s">
        <v>44</v>
      </c>
      <c r="D321" t="s">
        <v>43</v>
      </c>
      <c r="E321" t="s">
        <v>42</v>
      </c>
      <c r="F321" t="s">
        <v>41</v>
      </c>
      <c r="G321" t="s">
        <v>40</v>
      </c>
      <c r="H321" t="s">
        <v>39</v>
      </c>
      <c r="I321" t="s">
        <v>38</v>
      </c>
      <c r="J321" t="s">
        <v>37</v>
      </c>
      <c r="K321" t="s">
        <v>36</v>
      </c>
      <c r="L321" t="s">
        <v>35</v>
      </c>
      <c r="M321" t="s">
        <v>34</v>
      </c>
      <c r="N321" t="s">
        <v>33</v>
      </c>
      <c r="R321" t="s">
        <v>46</v>
      </c>
      <c r="S321" t="s">
        <v>46</v>
      </c>
      <c r="T321" t="s">
        <v>46</v>
      </c>
      <c r="U321" t="s">
        <v>46</v>
      </c>
      <c r="V321" t="s">
        <v>46</v>
      </c>
      <c r="W321" t="s">
        <v>46</v>
      </c>
      <c r="X321" t="s">
        <v>46</v>
      </c>
      <c r="Y321" t="s">
        <v>46</v>
      </c>
      <c r="Z321" t="s">
        <v>46</v>
      </c>
      <c r="AA321" t="s">
        <v>46</v>
      </c>
      <c r="AB321" t="s">
        <v>46</v>
      </c>
      <c r="AC321" t="s">
        <v>46</v>
      </c>
    </row>
    <row r="322" spans="1:29" x14ac:dyDescent="0.25">
      <c r="A322" t="s">
        <v>138</v>
      </c>
      <c r="B322">
        <v>2</v>
      </c>
      <c r="C322" t="s">
        <v>44</v>
      </c>
      <c r="D322" t="s">
        <v>43</v>
      </c>
      <c r="E322" t="s">
        <v>42</v>
      </c>
      <c r="F322" t="s">
        <v>41</v>
      </c>
      <c r="G322" t="s">
        <v>40</v>
      </c>
      <c r="H322" t="s">
        <v>39</v>
      </c>
      <c r="I322" t="s">
        <v>38</v>
      </c>
      <c r="J322" t="s">
        <v>37</v>
      </c>
      <c r="K322" t="s">
        <v>36</v>
      </c>
      <c r="L322" t="s">
        <v>35</v>
      </c>
      <c r="M322" t="s">
        <v>34</v>
      </c>
      <c r="N322" t="s">
        <v>33</v>
      </c>
      <c r="R322" t="s">
        <v>46</v>
      </c>
      <c r="S322" t="s">
        <v>46</v>
      </c>
      <c r="T322" t="s">
        <v>46</v>
      </c>
      <c r="U322" t="s">
        <v>46</v>
      </c>
      <c r="V322" t="s">
        <v>46</v>
      </c>
      <c r="W322" t="s">
        <v>46</v>
      </c>
      <c r="X322" t="s">
        <v>46</v>
      </c>
      <c r="Y322" t="s">
        <v>46</v>
      </c>
      <c r="Z322" t="s">
        <v>46</v>
      </c>
      <c r="AA322" t="s">
        <v>46</v>
      </c>
      <c r="AB322" t="s">
        <v>46</v>
      </c>
      <c r="AC322" t="s">
        <v>46</v>
      </c>
    </row>
    <row r="323" spans="1:29" x14ac:dyDescent="0.25">
      <c r="A323" t="s">
        <v>139</v>
      </c>
      <c r="B323">
        <v>0</v>
      </c>
      <c r="C323" t="s">
        <v>131</v>
      </c>
      <c r="R323" t="s">
        <v>46</v>
      </c>
      <c r="S323" t="s">
        <v>46</v>
      </c>
      <c r="T323" t="s">
        <v>46</v>
      </c>
      <c r="U323" t="s">
        <v>46</v>
      </c>
      <c r="V323" t="s">
        <v>46</v>
      </c>
      <c r="W323" t="s">
        <v>46</v>
      </c>
      <c r="X323" t="s">
        <v>46</v>
      </c>
      <c r="Y323" t="s">
        <v>46</v>
      </c>
      <c r="Z323" t="s">
        <v>46</v>
      </c>
      <c r="AA323" t="s">
        <v>46</v>
      </c>
      <c r="AB323" t="s">
        <v>46</v>
      </c>
      <c r="AC323" t="s">
        <v>46</v>
      </c>
    </row>
    <row r="324" spans="1:29" x14ac:dyDescent="0.25">
      <c r="A324" t="s">
        <v>140</v>
      </c>
      <c r="R324" t="s">
        <v>46</v>
      </c>
      <c r="S324" t="s">
        <v>46</v>
      </c>
      <c r="T324" t="s">
        <v>46</v>
      </c>
      <c r="U324" t="s">
        <v>46</v>
      </c>
      <c r="V324" t="s">
        <v>46</v>
      </c>
      <c r="W324" t="s">
        <v>46</v>
      </c>
      <c r="X324" t="s">
        <v>46</v>
      </c>
      <c r="Y324" t="s">
        <v>46</v>
      </c>
      <c r="Z324" t="s">
        <v>46</v>
      </c>
      <c r="AA324" t="s">
        <v>46</v>
      </c>
      <c r="AB324" t="s">
        <v>46</v>
      </c>
      <c r="AC324" t="s">
        <v>46</v>
      </c>
    </row>
    <row r="325" spans="1:29" x14ac:dyDescent="0.25">
      <c r="A325" t="s">
        <v>141</v>
      </c>
      <c r="B325">
        <v>0</v>
      </c>
      <c r="C325" t="s">
        <v>131</v>
      </c>
      <c r="R325" t="s">
        <v>46</v>
      </c>
      <c r="S325" t="s">
        <v>46</v>
      </c>
      <c r="T325" t="s">
        <v>46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  <c r="Z325" t="s">
        <v>46</v>
      </c>
      <c r="AA325" t="s">
        <v>46</v>
      </c>
      <c r="AB325" t="s">
        <v>46</v>
      </c>
      <c r="AC325" t="s">
        <v>46</v>
      </c>
    </row>
    <row r="326" spans="1:29" x14ac:dyDescent="0.25">
      <c r="A326" t="s">
        <v>142</v>
      </c>
      <c r="R326" t="s">
        <v>46</v>
      </c>
      <c r="S326" t="s">
        <v>46</v>
      </c>
      <c r="T326" t="s">
        <v>46</v>
      </c>
      <c r="U326" t="s">
        <v>46</v>
      </c>
      <c r="V326" t="s">
        <v>46</v>
      </c>
      <c r="W326" t="s">
        <v>46</v>
      </c>
      <c r="X326" t="s">
        <v>46</v>
      </c>
      <c r="Y326" t="s">
        <v>46</v>
      </c>
      <c r="Z326" t="s">
        <v>46</v>
      </c>
      <c r="AA326" t="s">
        <v>46</v>
      </c>
      <c r="AB326" t="s">
        <v>46</v>
      </c>
      <c r="AC326" t="s">
        <v>46</v>
      </c>
    </row>
    <row r="327" spans="1:29" x14ac:dyDescent="0.25">
      <c r="A327" t="s">
        <v>143</v>
      </c>
      <c r="B327">
        <v>0</v>
      </c>
      <c r="C327" t="s">
        <v>131</v>
      </c>
      <c r="R327" t="s">
        <v>46</v>
      </c>
      <c r="S327" t="s">
        <v>46</v>
      </c>
      <c r="T327" t="s">
        <v>46</v>
      </c>
      <c r="U327" t="s">
        <v>46</v>
      </c>
      <c r="V327" t="s">
        <v>46</v>
      </c>
      <c r="W327" t="s">
        <v>46</v>
      </c>
      <c r="X327" t="s">
        <v>46</v>
      </c>
      <c r="Y327" t="s">
        <v>46</v>
      </c>
      <c r="Z327" t="s">
        <v>46</v>
      </c>
      <c r="AA327" t="s">
        <v>46</v>
      </c>
      <c r="AB327" t="s">
        <v>46</v>
      </c>
      <c r="AC327" t="s">
        <v>46</v>
      </c>
    </row>
    <row r="328" spans="1:29" x14ac:dyDescent="0.25">
      <c r="A328" t="s">
        <v>144</v>
      </c>
      <c r="R328" t="s">
        <v>46</v>
      </c>
      <c r="S328" t="s">
        <v>46</v>
      </c>
      <c r="T328" t="s">
        <v>46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  <c r="Z328" t="s">
        <v>46</v>
      </c>
      <c r="AA328" t="s">
        <v>46</v>
      </c>
      <c r="AB328" t="s">
        <v>46</v>
      </c>
      <c r="AC328" t="s">
        <v>46</v>
      </c>
    </row>
    <row r="329" spans="1:29" x14ac:dyDescent="0.25">
      <c r="A329" t="s">
        <v>145</v>
      </c>
      <c r="B329">
        <v>2</v>
      </c>
      <c r="C329" t="s">
        <v>44</v>
      </c>
      <c r="D329" t="s">
        <v>43</v>
      </c>
      <c r="E329" t="s">
        <v>42</v>
      </c>
      <c r="F329" t="s">
        <v>41</v>
      </c>
      <c r="G329" t="s">
        <v>40</v>
      </c>
      <c r="H329" t="s">
        <v>39</v>
      </c>
      <c r="I329" t="s">
        <v>38</v>
      </c>
      <c r="J329" t="s">
        <v>37</v>
      </c>
      <c r="K329" t="s">
        <v>36</v>
      </c>
      <c r="L329" t="s">
        <v>35</v>
      </c>
      <c r="M329" t="s">
        <v>34</v>
      </c>
      <c r="N329" t="s">
        <v>33</v>
      </c>
      <c r="R329" t="s">
        <v>46</v>
      </c>
      <c r="S329" t="s">
        <v>46</v>
      </c>
      <c r="T329" t="s">
        <v>46</v>
      </c>
      <c r="U329" t="s">
        <v>46</v>
      </c>
      <c r="V329" t="s">
        <v>46</v>
      </c>
      <c r="W329" t="s">
        <v>46</v>
      </c>
      <c r="X329" t="s">
        <v>46</v>
      </c>
      <c r="Y329" t="s">
        <v>46</v>
      </c>
      <c r="Z329" t="s">
        <v>46</v>
      </c>
      <c r="AA329" t="s">
        <v>46</v>
      </c>
      <c r="AB329" t="s">
        <v>46</v>
      </c>
      <c r="AC329" t="s">
        <v>46</v>
      </c>
    </row>
    <row r="330" spans="1:29" x14ac:dyDescent="0.25">
      <c r="A330" t="s">
        <v>146</v>
      </c>
      <c r="B330">
        <v>2</v>
      </c>
      <c r="C330" t="s">
        <v>44</v>
      </c>
      <c r="D330" t="s">
        <v>43</v>
      </c>
      <c r="E330" t="s">
        <v>42</v>
      </c>
      <c r="F330" t="s">
        <v>41</v>
      </c>
      <c r="G330" t="s">
        <v>40</v>
      </c>
      <c r="H330" t="s">
        <v>39</v>
      </c>
      <c r="I330" t="s">
        <v>38</v>
      </c>
      <c r="J330" t="s">
        <v>37</v>
      </c>
      <c r="K330" t="s">
        <v>36</v>
      </c>
      <c r="L330" t="s">
        <v>35</v>
      </c>
      <c r="M330" t="s">
        <v>34</v>
      </c>
      <c r="N330" t="s">
        <v>33</v>
      </c>
      <c r="R330" t="s">
        <v>46</v>
      </c>
      <c r="S330" t="s">
        <v>46</v>
      </c>
      <c r="T330" t="s">
        <v>46</v>
      </c>
      <c r="U330" t="s">
        <v>46</v>
      </c>
      <c r="V330" t="s">
        <v>46</v>
      </c>
      <c r="W330" t="s">
        <v>46</v>
      </c>
      <c r="X330" t="s">
        <v>46</v>
      </c>
      <c r="Y330" t="s">
        <v>46</v>
      </c>
      <c r="Z330" t="s">
        <v>46</v>
      </c>
      <c r="AA330" t="s">
        <v>46</v>
      </c>
      <c r="AB330" t="s">
        <v>46</v>
      </c>
      <c r="AC330" t="s">
        <v>46</v>
      </c>
    </row>
    <row r="331" spans="1:29" x14ac:dyDescent="0.25">
      <c r="A331" t="s">
        <v>147</v>
      </c>
      <c r="B331" t="s">
        <v>46</v>
      </c>
      <c r="C331" t="s">
        <v>46</v>
      </c>
      <c r="D331" t="s">
        <v>46</v>
      </c>
      <c r="E331" t="s">
        <v>46</v>
      </c>
      <c r="R331" t="s">
        <v>46</v>
      </c>
      <c r="S331" t="s">
        <v>46</v>
      </c>
      <c r="T331" t="s">
        <v>46</v>
      </c>
      <c r="U331" t="s">
        <v>46</v>
      </c>
      <c r="V331" t="s">
        <v>46</v>
      </c>
      <c r="W331" t="s">
        <v>46</v>
      </c>
      <c r="X331" t="s">
        <v>46</v>
      </c>
      <c r="Y331" t="s">
        <v>46</v>
      </c>
      <c r="Z331" t="s">
        <v>46</v>
      </c>
      <c r="AA331" t="s">
        <v>46</v>
      </c>
      <c r="AB331" t="s">
        <v>46</v>
      </c>
      <c r="AC33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2020-06-17T00:17:43Z</dcterms:modified>
</cp:coreProperties>
</file>