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chamartinescoba\WBG\Khrystyna L. Kushnir - MSME-CI 2018\MASTER FILE\"/>
    </mc:Choice>
  </mc:AlternateContent>
  <xr:revisionPtr revIDLastSave="523" documentId="8_{1E65832D-F9F7-4899-88CC-BDEBA2D69A97}" xr6:coauthVersionLast="36" xr6:coauthVersionMax="36" xr10:uidLastSave="{A5999A20-5BCC-4A48-87E9-4FE214DDAFC9}"/>
  <bookViews>
    <workbookView minimized="1" xWindow="0" yWindow="465" windowWidth="28800" windowHeight="16140" activeTab="1" xr2:uid="{685E9F76-2634-4E2B-AB2E-85886DA9605C}"/>
  </bookViews>
  <sheets>
    <sheet name="Cover Sheet" sheetId="13" r:id="rId1"/>
    <sheet name="Latest Year Available" sheetId="11" r:id="rId2"/>
    <sheet name="Time Series" sheetId="14" r:id="rId3"/>
    <sheet name="Notes" sheetId="3" state="hidden" r:id="rId4"/>
    <sheet name="Reviewed" sheetId="5" state="hidden" r:id="rId5"/>
  </sheets>
  <definedNames>
    <definedName name="_xlnm._FilterDatabase" localSheetId="1" hidden="1">'Latest Year Available'!$A$2:$CB$241</definedName>
    <definedName name="_xlnm._FilterDatabase" localSheetId="2" hidden="1">'Time Series'!$A$2:$KX$850</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9" i="11" l="1"/>
  <c r="AH9" i="11"/>
  <c r="AG9" i="11"/>
  <c r="AF9" i="11"/>
  <c r="BP224" i="11" l="1"/>
  <c r="AI224" i="11"/>
  <c r="AH224" i="11"/>
  <c r="AG224" i="11"/>
  <c r="AF224" i="11"/>
  <c r="AM168" i="11"/>
  <c r="AN168" i="11" s="1"/>
  <c r="AI168" i="11"/>
  <c r="AF168" i="11"/>
  <c r="AC168" i="11"/>
  <c r="AG168" i="11" s="1"/>
  <c r="AE793" i="14"/>
  <c r="AH793" i="14"/>
  <c r="AE794" i="14"/>
  <c r="AH794" i="14"/>
  <c r="AE795" i="14"/>
  <c r="AH795" i="14"/>
  <c r="AE796" i="14"/>
  <c r="AH796" i="14"/>
  <c r="AE797" i="14"/>
  <c r="AH797" i="14"/>
  <c r="AE798" i="14"/>
  <c r="AH798" i="14"/>
  <c r="AH792" i="14"/>
  <c r="AE792" i="14"/>
  <c r="AB793" i="14"/>
  <c r="AC793" i="14" s="1"/>
  <c r="AG793" i="14" s="1"/>
  <c r="AB794" i="14"/>
  <c r="AC794" i="14" s="1"/>
  <c r="AG794" i="14" s="1"/>
  <c r="AB795" i="14"/>
  <c r="AF795" i="14" s="1"/>
  <c r="AB796" i="14"/>
  <c r="AF796" i="14" s="1"/>
  <c r="AB797" i="14"/>
  <c r="AF797" i="14" s="1"/>
  <c r="AB798" i="14"/>
  <c r="AF798" i="14" s="1"/>
  <c r="AB792" i="14"/>
  <c r="AF792" i="14" s="1"/>
  <c r="AC795" i="14" l="1"/>
  <c r="AG795" i="14" s="1"/>
  <c r="AC797" i="14"/>
  <c r="AG797" i="14" s="1"/>
  <c r="AC792" i="14"/>
  <c r="AG792" i="14" s="1"/>
  <c r="AC798" i="14"/>
  <c r="AG798" i="14" s="1"/>
  <c r="AC796" i="14"/>
  <c r="AG796" i="14" s="1"/>
  <c r="AF794" i="14"/>
  <c r="AF793" i="14"/>
  <c r="AD168" i="11"/>
  <c r="AH168" i="11" s="1"/>
  <c r="BP145" i="11" l="1"/>
  <c r="BP133" i="11"/>
  <c r="BP212" i="11"/>
  <c r="BP50" i="11"/>
  <c r="BP33" i="11"/>
  <c r="BP4" i="11"/>
  <c r="BO799" i="14"/>
  <c r="BO696" i="14"/>
  <c r="BO627" i="14"/>
  <c r="BO626" i="14"/>
  <c r="BO574" i="14"/>
  <c r="BO528" i="14"/>
  <c r="BO351" i="14"/>
  <c r="BO278" i="14"/>
  <c r="BO5" i="14"/>
  <c r="BO4" i="14"/>
  <c r="BO189" i="14"/>
  <c r="AF178" i="11"/>
  <c r="AG178" i="11"/>
  <c r="AH178" i="11"/>
  <c r="AI178" i="11"/>
  <c r="AF4" i="11"/>
  <c r="AG4" i="11"/>
  <c r="AH4" i="11"/>
  <c r="AI4" i="11"/>
  <c r="AF5" i="11"/>
  <c r="AG5" i="11"/>
  <c r="AH5" i="11"/>
  <c r="AI5" i="11"/>
  <c r="AF6" i="11"/>
  <c r="AG6" i="11"/>
  <c r="AH6" i="11"/>
  <c r="AI6" i="11"/>
  <c r="AF7" i="11"/>
  <c r="AG7" i="11"/>
  <c r="AH7" i="11"/>
  <c r="AI7" i="11"/>
  <c r="AF179" i="11"/>
  <c r="AG179" i="11"/>
  <c r="AH179" i="11"/>
  <c r="AI179" i="11"/>
  <c r="AF8" i="11"/>
  <c r="AG8" i="11"/>
  <c r="AH8" i="11"/>
  <c r="AI8" i="11"/>
  <c r="AF180" i="11"/>
  <c r="AG180" i="11"/>
  <c r="AH180" i="11"/>
  <c r="AI180" i="11"/>
  <c r="AF228" i="11"/>
  <c r="AG228" i="11"/>
  <c r="AH228" i="11"/>
  <c r="AI228" i="11"/>
  <c r="AF236" i="11"/>
  <c r="AG236" i="11"/>
  <c r="AH236" i="11"/>
  <c r="AI236" i="11"/>
  <c r="AF10" i="11"/>
  <c r="AG10" i="11"/>
  <c r="AH10" i="11"/>
  <c r="AI10" i="11"/>
  <c r="AF11" i="11"/>
  <c r="AG11" i="11"/>
  <c r="AH11" i="11"/>
  <c r="AI11" i="11"/>
  <c r="AF12" i="11"/>
  <c r="AG12" i="11"/>
  <c r="AH12" i="11"/>
  <c r="AI12" i="11"/>
  <c r="AF181" i="11"/>
  <c r="AG181" i="11"/>
  <c r="AH181" i="11"/>
  <c r="AI181" i="11"/>
  <c r="AF13" i="11"/>
  <c r="AG13" i="11"/>
  <c r="AH13" i="11"/>
  <c r="AI13" i="11"/>
  <c r="AF14" i="11"/>
  <c r="AG14" i="11"/>
  <c r="AH14" i="11"/>
  <c r="AI14" i="11"/>
  <c r="AF15" i="11"/>
  <c r="AG15" i="11"/>
  <c r="AH15" i="11"/>
  <c r="AI15" i="11"/>
  <c r="AF16" i="11"/>
  <c r="AG16" i="11"/>
  <c r="AH16" i="11"/>
  <c r="AI16" i="11"/>
  <c r="AF182" i="11"/>
  <c r="AG182" i="11"/>
  <c r="AH182" i="11"/>
  <c r="AI182" i="11"/>
  <c r="AF17" i="11"/>
  <c r="AG17" i="11"/>
  <c r="AH17" i="11"/>
  <c r="AI17" i="11"/>
  <c r="AF18" i="11"/>
  <c r="AG18" i="11"/>
  <c r="AH18" i="11"/>
  <c r="AI18" i="11"/>
  <c r="AF183" i="11"/>
  <c r="AG183" i="11"/>
  <c r="AH183" i="11"/>
  <c r="AI183" i="11"/>
  <c r="AF19" i="11"/>
  <c r="AG19" i="11"/>
  <c r="AH19" i="11"/>
  <c r="AI19" i="11"/>
  <c r="AF184" i="11"/>
  <c r="AG184" i="11"/>
  <c r="AH184" i="11"/>
  <c r="AI184" i="11"/>
  <c r="AF20" i="11"/>
  <c r="AG20" i="11"/>
  <c r="AH20" i="11"/>
  <c r="AI20" i="11"/>
  <c r="AF21" i="11"/>
  <c r="AG21" i="11"/>
  <c r="AH21" i="11"/>
  <c r="AI21" i="11"/>
  <c r="AF22" i="11"/>
  <c r="AG22" i="11"/>
  <c r="AH22" i="11"/>
  <c r="AI22" i="11"/>
  <c r="AF23" i="11"/>
  <c r="AG23" i="11"/>
  <c r="AH23" i="11"/>
  <c r="AI23" i="11"/>
  <c r="AF185" i="11"/>
  <c r="AG185" i="11"/>
  <c r="AH185" i="11"/>
  <c r="AI185" i="11"/>
  <c r="AF24" i="11"/>
  <c r="AG24" i="11"/>
  <c r="AH24" i="11"/>
  <c r="AI24" i="11"/>
  <c r="AF186" i="11"/>
  <c r="AG186" i="11"/>
  <c r="AH186" i="11"/>
  <c r="AI186" i="11"/>
  <c r="AF25" i="11"/>
  <c r="AG25" i="11"/>
  <c r="AH25" i="11"/>
  <c r="AI25" i="11"/>
  <c r="AF187" i="11"/>
  <c r="AG187" i="11"/>
  <c r="AH187" i="11"/>
  <c r="AI187" i="11"/>
  <c r="AF26" i="11"/>
  <c r="AG26" i="11"/>
  <c r="AH26" i="11"/>
  <c r="AI26" i="11"/>
  <c r="AF188" i="11"/>
  <c r="AG188" i="11"/>
  <c r="AH188" i="11"/>
  <c r="AI188" i="11"/>
  <c r="AF237" i="11"/>
  <c r="AG237" i="11"/>
  <c r="AH237" i="11"/>
  <c r="AI237" i="11"/>
  <c r="AF241" i="11"/>
  <c r="AG241" i="11"/>
  <c r="AH241" i="11"/>
  <c r="AI241"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G34" i="11"/>
  <c r="AH34" i="11"/>
  <c r="AI34" i="11"/>
  <c r="AF35" i="11"/>
  <c r="AG35" i="11"/>
  <c r="AH35" i="11"/>
  <c r="AI35" i="11"/>
  <c r="AF189" i="11"/>
  <c r="AG189" i="11"/>
  <c r="AH189" i="11"/>
  <c r="AI189" i="11"/>
  <c r="AF36" i="11"/>
  <c r="AG36" i="11"/>
  <c r="AH36" i="11"/>
  <c r="AI36" i="11"/>
  <c r="AF190" i="11"/>
  <c r="AG190" i="11"/>
  <c r="AH190" i="11"/>
  <c r="AI190" i="11"/>
  <c r="AF37" i="11"/>
  <c r="AG37" i="11"/>
  <c r="AH37" i="11"/>
  <c r="AI37" i="11"/>
  <c r="AF191" i="11"/>
  <c r="AG191" i="11"/>
  <c r="AH191" i="11"/>
  <c r="AI191" i="11"/>
  <c r="AF229" i="11"/>
  <c r="AG229" i="11"/>
  <c r="AH229" i="11"/>
  <c r="AI229" i="11"/>
  <c r="AF238" i="11"/>
  <c r="AG238" i="11"/>
  <c r="AH238" i="11"/>
  <c r="AI238" i="11"/>
  <c r="AF38" i="11"/>
  <c r="AG38" i="11"/>
  <c r="AH38" i="11"/>
  <c r="AI38" i="11"/>
  <c r="AF39" i="11"/>
  <c r="AG39" i="11"/>
  <c r="AH39" i="11"/>
  <c r="AI39" i="11"/>
  <c r="AF192" i="11"/>
  <c r="AG192" i="11"/>
  <c r="AH192" i="11"/>
  <c r="AI192" i="11"/>
  <c r="AF40" i="11"/>
  <c r="AG40" i="11"/>
  <c r="AH40" i="11"/>
  <c r="AI40" i="11"/>
  <c r="AF41" i="11"/>
  <c r="AG41" i="11"/>
  <c r="AH41" i="11"/>
  <c r="AI41" i="11"/>
  <c r="AF42" i="11"/>
  <c r="AG42" i="11"/>
  <c r="AH42" i="11"/>
  <c r="AI42" i="11"/>
  <c r="AF43" i="11"/>
  <c r="AG43" i="11"/>
  <c r="AH43" i="11"/>
  <c r="AI43" i="11"/>
  <c r="AF44" i="11"/>
  <c r="AG44" i="11"/>
  <c r="AH44" i="11"/>
  <c r="AI44" i="11"/>
  <c r="AF45" i="11"/>
  <c r="AG45" i="11"/>
  <c r="AH45" i="11"/>
  <c r="AI45" i="11"/>
  <c r="AF193" i="11"/>
  <c r="AG193" i="11"/>
  <c r="AH193" i="11"/>
  <c r="AI193" i="11"/>
  <c r="AF46" i="11"/>
  <c r="AG46" i="11"/>
  <c r="AH46" i="11"/>
  <c r="AI46" i="11"/>
  <c r="AF47" i="11"/>
  <c r="AG47" i="11"/>
  <c r="AH47" i="11"/>
  <c r="AI47" i="11"/>
  <c r="AF48" i="11"/>
  <c r="AG48" i="11"/>
  <c r="AH48" i="11"/>
  <c r="AI48" i="11"/>
  <c r="AF49" i="11"/>
  <c r="AG49" i="11"/>
  <c r="AH49" i="11"/>
  <c r="AI49" i="11"/>
  <c r="AF50" i="11"/>
  <c r="AG50" i="11"/>
  <c r="AH50" i="11"/>
  <c r="AI50" i="11"/>
  <c r="AF52" i="11"/>
  <c r="AG52" i="11"/>
  <c r="AH52" i="11"/>
  <c r="AI52" i="11"/>
  <c r="AF53" i="11"/>
  <c r="AG53" i="11"/>
  <c r="AH53" i="11"/>
  <c r="AI53" i="11"/>
  <c r="AF54" i="11"/>
  <c r="AG54" i="11"/>
  <c r="AH54" i="11"/>
  <c r="AI54" i="11"/>
  <c r="AF195" i="11"/>
  <c r="AG195" i="11"/>
  <c r="AH195" i="11"/>
  <c r="AI195" i="11"/>
  <c r="AF55" i="11"/>
  <c r="AG55" i="11"/>
  <c r="AH55" i="11"/>
  <c r="AI55" i="11"/>
  <c r="AF56" i="11"/>
  <c r="AG56" i="11"/>
  <c r="AH56" i="11"/>
  <c r="AI56" i="11"/>
  <c r="AF57" i="11"/>
  <c r="AG57" i="11"/>
  <c r="AH57" i="11"/>
  <c r="AI57" i="11"/>
  <c r="AF196" i="11"/>
  <c r="AG196" i="11"/>
  <c r="AH196" i="11"/>
  <c r="AI196" i="11"/>
  <c r="AF58" i="11"/>
  <c r="AG58" i="11"/>
  <c r="AH58" i="11"/>
  <c r="AI58" i="11"/>
  <c r="AF59" i="11"/>
  <c r="AG59" i="11"/>
  <c r="AH59" i="11"/>
  <c r="AI59" i="11"/>
  <c r="AF60" i="11"/>
  <c r="AG60" i="11"/>
  <c r="AH60" i="11"/>
  <c r="AI60" i="11"/>
  <c r="AF197" i="11"/>
  <c r="AG197" i="11"/>
  <c r="AH197" i="11"/>
  <c r="AI197" i="11"/>
  <c r="AF61" i="11"/>
  <c r="AG61" i="11"/>
  <c r="AH61" i="11"/>
  <c r="AI61" i="11"/>
  <c r="AF62" i="11"/>
  <c r="AG62" i="11"/>
  <c r="AH62" i="11"/>
  <c r="AI62" i="11"/>
  <c r="AF63" i="11"/>
  <c r="AG63" i="11"/>
  <c r="AH63" i="11"/>
  <c r="AI63" i="11"/>
  <c r="AF198" i="11"/>
  <c r="AG198" i="11"/>
  <c r="AH198" i="11"/>
  <c r="AI198" i="11"/>
  <c r="AF64" i="11"/>
  <c r="AG64" i="11"/>
  <c r="AH64" i="11"/>
  <c r="AI64" i="11"/>
  <c r="AF65" i="11"/>
  <c r="AG65" i="11"/>
  <c r="AH65" i="11"/>
  <c r="AI65" i="11"/>
  <c r="AF66" i="11"/>
  <c r="AG66" i="11"/>
  <c r="AH66" i="11"/>
  <c r="AI66" i="11"/>
  <c r="AF67" i="11"/>
  <c r="AG67" i="11"/>
  <c r="AH67" i="11"/>
  <c r="AI67" i="11"/>
  <c r="AF68" i="11"/>
  <c r="AG68" i="11"/>
  <c r="AH68" i="11"/>
  <c r="AI68" i="11"/>
  <c r="AF69" i="11"/>
  <c r="AG69" i="11"/>
  <c r="AH69" i="11"/>
  <c r="AI69" i="11"/>
  <c r="AF70" i="11"/>
  <c r="AG70" i="11"/>
  <c r="AH70" i="11"/>
  <c r="AI70" i="11"/>
  <c r="AF71" i="11"/>
  <c r="AG71" i="11"/>
  <c r="AH71" i="11"/>
  <c r="AI71" i="11"/>
  <c r="AF72" i="11"/>
  <c r="AG72" i="11"/>
  <c r="AH72" i="11"/>
  <c r="AI72" i="11"/>
  <c r="AF73" i="11"/>
  <c r="AG73" i="11"/>
  <c r="AH73" i="11"/>
  <c r="AI73" i="11"/>
  <c r="AF74" i="11"/>
  <c r="AG74" i="11"/>
  <c r="AH74" i="11"/>
  <c r="AI74" i="11"/>
  <c r="AF75" i="11"/>
  <c r="AG75" i="11"/>
  <c r="AH75" i="11"/>
  <c r="AI75" i="11"/>
  <c r="AF199" i="11"/>
  <c r="AG199" i="11"/>
  <c r="AH199" i="11"/>
  <c r="AI199" i="11"/>
  <c r="AF76" i="11"/>
  <c r="AG76" i="11"/>
  <c r="AH76" i="11"/>
  <c r="AI76" i="11"/>
  <c r="AF200" i="11"/>
  <c r="AG200" i="11"/>
  <c r="AH200" i="11"/>
  <c r="AI200" i="11"/>
  <c r="AF77" i="11"/>
  <c r="AG77" i="11"/>
  <c r="AH77" i="11"/>
  <c r="AI77" i="11"/>
  <c r="AF201" i="11"/>
  <c r="AG201" i="11"/>
  <c r="AH201" i="11"/>
  <c r="AI201" i="11"/>
  <c r="AF78" i="11"/>
  <c r="AG78" i="11"/>
  <c r="AH78" i="11"/>
  <c r="AI78" i="11"/>
  <c r="AF202" i="11"/>
  <c r="AG202" i="11"/>
  <c r="AH202" i="11"/>
  <c r="AI202" i="11"/>
  <c r="AF79" i="11"/>
  <c r="AG79" i="11"/>
  <c r="AH79" i="11"/>
  <c r="AI79" i="11"/>
  <c r="AF203" i="11"/>
  <c r="AG203" i="11"/>
  <c r="AH203" i="11"/>
  <c r="AI203" i="11"/>
  <c r="AF80" i="11"/>
  <c r="AG80" i="11"/>
  <c r="AH80" i="11"/>
  <c r="AI80" i="11"/>
  <c r="AF81" i="11"/>
  <c r="AG81" i="11"/>
  <c r="AH81" i="11"/>
  <c r="AI81" i="11"/>
  <c r="AF82" i="11"/>
  <c r="AG82" i="11"/>
  <c r="AH82" i="11"/>
  <c r="AI82" i="11"/>
  <c r="AF83" i="11"/>
  <c r="AG83" i="11"/>
  <c r="AH83" i="11"/>
  <c r="AI83" i="11"/>
  <c r="AF84" i="11"/>
  <c r="AG84" i="11"/>
  <c r="AH84" i="11"/>
  <c r="AI84" i="11"/>
  <c r="AF85" i="11"/>
  <c r="AG85" i="11"/>
  <c r="AH85" i="11"/>
  <c r="AI85" i="11"/>
  <c r="AF86" i="11"/>
  <c r="AG86" i="11"/>
  <c r="AH86" i="11"/>
  <c r="AI86" i="11"/>
  <c r="AF87" i="11"/>
  <c r="AG87" i="11"/>
  <c r="AH87" i="11"/>
  <c r="AI87" i="11"/>
  <c r="AF88" i="11"/>
  <c r="AG88" i="11"/>
  <c r="AH88" i="11"/>
  <c r="AI88" i="11"/>
  <c r="AF89" i="11"/>
  <c r="AG89" i="11"/>
  <c r="AH89" i="11"/>
  <c r="AI89" i="11"/>
  <c r="AF90" i="11"/>
  <c r="AG90" i="11"/>
  <c r="AH90" i="11"/>
  <c r="AI90" i="11"/>
  <c r="AF91" i="11"/>
  <c r="AG91" i="11"/>
  <c r="AH91" i="11"/>
  <c r="AI91" i="11"/>
  <c r="AF92" i="11"/>
  <c r="AG92" i="11"/>
  <c r="AH92" i="11"/>
  <c r="AI92" i="11"/>
  <c r="AF93" i="11"/>
  <c r="AG93" i="11"/>
  <c r="AH93" i="11"/>
  <c r="AI93" i="11"/>
  <c r="AF94" i="11"/>
  <c r="AG94" i="11"/>
  <c r="AH94" i="11"/>
  <c r="AI94" i="11"/>
  <c r="AF95" i="11"/>
  <c r="AG95" i="11"/>
  <c r="AH95" i="11"/>
  <c r="AI95" i="11"/>
  <c r="AF204" i="11"/>
  <c r="AG204" i="11"/>
  <c r="AH204" i="11"/>
  <c r="AI204" i="11"/>
  <c r="AF96" i="11"/>
  <c r="AG96" i="11"/>
  <c r="AH96" i="11"/>
  <c r="AI96" i="11"/>
  <c r="AF97" i="11"/>
  <c r="AG97" i="11"/>
  <c r="AH97" i="11"/>
  <c r="AI97" i="11"/>
  <c r="AF98" i="11"/>
  <c r="AG98" i="11"/>
  <c r="AH98" i="11"/>
  <c r="AI98" i="11"/>
  <c r="AF205" i="11"/>
  <c r="AG205" i="11"/>
  <c r="AH205" i="11"/>
  <c r="AI205" i="11"/>
  <c r="AF99" i="11"/>
  <c r="AG99" i="11"/>
  <c r="AH99" i="11"/>
  <c r="AI99" i="11"/>
  <c r="AF100" i="11"/>
  <c r="AG100" i="11"/>
  <c r="AH100" i="11"/>
  <c r="AI100" i="11"/>
  <c r="AF101" i="11"/>
  <c r="AG101" i="11"/>
  <c r="AH101" i="11"/>
  <c r="AI101" i="11"/>
  <c r="AF102" i="11"/>
  <c r="AG102" i="11"/>
  <c r="AH102" i="11"/>
  <c r="AI102" i="11"/>
  <c r="AF103" i="11"/>
  <c r="AG103" i="11"/>
  <c r="AH103" i="11"/>
  <c r="AI103" i="11"/>
  <c r="AF206" i="11"/>
  <c r="AG206" i="11"/>
  <c r="AH206" i="11"/>
  <c r="AI206" i="11"/>
  <c r="AF239" i="11"/>
  <c r="AG239" i="11"/>
  <c r="AH239" i="11"/>
  <c r="AI239" i="11"/>
  <c r="AF104" i="11"/>
  <c r="AG104" i="11"/>
  <c r="AH104" i="11"/>
  <c r="AI104" i="11"/>
  <c r="AF207" i="11"/>
  <c r="AG207" i="11"/>
  <c r="AH207" i="11"/>
  <c r="AI207" i="11"/>
  <c r="AF105" i="11"/>
  <c r="AG105" i="11"/>
  <c r="AH105" i="11"/>
  <c r="AI105" i="11"/>
  <c r="AF106" i="11"/>
  <c r="AG106" i="11"/>
  <c r="AH106" i="11"/>
  <c r="AI106" i="11"/>
  <c r="AF107" i="11"/>
  <c r="AG107" i="11"/>
  <c r="AH107" i="11"/>
  <c r="AI107" i="11"/>
  <c r="AF108" i="11"/>
  <c r="AG108" i="11"/>
  <c r="AH108" i="11"/>
  <c r="AI108" i="11"/>
  <c r="AF109" i="11"/>
  <c r="AG109" i="11"/>
  <c r="AH109" i="11"/>
  <c r="AI109" i="11"/>
  <c r="AF110" i="11"/>
  <c r="AG110" i="11"/>
  <c r="AH110" i="11"/>
  <c r="AI110" i="11"/>
  <c r="AF111" i="11"/>
  <c r="AG111" i="11"/>
  <c r="AH111" i="11"/>
  <c r="AI111" i="11"/>
  <c r="AF112" i="11"/>
  <c r="AG112" i="11"/>
  <c r="AH112" i="11"/>
  <c r="AI112" i="11"/>
  <c r="AF113" i="11"/>
  <c r="AG113" i="11"/>
  <c r="AH113" i="11"/>
  <c r="AI113" i="11"/>
  <c r="AF208" i="11"/>
  <c r="AG208" i="11"/>
  <c r="AH208" i="11"/>
  <c r="AI208" i="11"/>
  <c r="AF115" i="11"/>
  <c r="AG115" i="11"/>
  <c r="AH115" i="11"/>
  <c r="AI115" i="11"/>
  <c r="AF116" i="11"/>
  <c r="AG116" i="11"/>
  <c r="AH116" i="11"/>
  <c r="AI116" i="11"/>
  <c r="AF117" i="11"/>
  <c r="AG117" i="11"/>
  <c r="AH117" i="11"/>
  <c r="AI117" i="11"/>
  <c r="AF118" i="11"/>
  <c r="AG118" i="11"/>
  <c r="AH118" i="11"/>
  <c r="AI118" i="11"/>
  <c r="AF119" i="11"/>
  <c r="AG119" i="11"/>
  <c r="AH119" i="11"/>
  <c r="AI119" i="11"/>
  <c r="AF210" i="11"/>
  <c r="AG210" i="11"/>
  <c r="AH210" i="11"/>
  <c r="AI210" i="11"/>
  <c r="AF120" i="11"/>
  <c r="AG120" i="11"/>
  <c r="AH120" i="11"/>
  <c r="AI120" i="11"/>
  <c r="AF121" i="11"/>
  <c r="AG121" i="11"/>
  <c r="AH121" i="11"/>
  <c r="AI121" i="11"/>
  <c r="AF122" i="11"/>
  <c r="AG122" i="11"/>
  <c r="AH122" i="11"/>
  <c r="AI122" i="11"/>
  <c r="AF211" i="11"/>
  <c r="AG211" i="11"/>
  <c r="AH211" i="11"/>
  <c r="AI211" i="11"/>
  <c r="AF123" i="11"/>
  <c r="AG123" i="11"/>
  <c r="AH123" i="11"/>
  <c r="AI123" i="11"/>
  <c r="AF124" i="11"/>
  <c r="AG124" i="11"/>
  <c r="AH124" i="11"/>
  <c r="AI124" i="11"/>
  <c r="AF125" i="11"/>
  <c r="AG125" i="11"/>
  <c r="AH125" i="11"/>
  <c r="AI125" i="11"/>
  <c r="AF212" i="11"/>
  <c r="AG212" i="11"/>
  <c r="AH212" i="11"/>
  <c r="AI212" i="11"/>
  <c r="AF126" i="11"/>
  <c r="AG126" i="11"/>
  <c r="AH126" i="11"/>
  <c r="AI126" i="11"/>
  <c r="AF127" i="11"/>
  <c r="AG127" i="11"/>
  <c r="AH127" i="11"/>
  <c r="AI127" i="11"/>
  <c r="AF128" i="11"/>
  <c r="AG128" i="11"/>
  <c r="AH128" i="11"/>
  <c r="AI128" i="11"/>
  <c r="AF213" i="11"/>
  <c r="AG213" i="11"/>
  <c r="AH213" i="11"/>
  <c r="AI213" i="11"/>
  <c r="AF230" i="11"/>
  <c r="AG230" i="11"/>
  <c r="AH230" i="11"/>
  <c r="AI230" i="11"/>
  <c r="AF129" i="11"/>
  <c r="AG129" i="11"/>
  <c r="AH129" i="11"/>
  <c r="AI129" i="11"/>
  <c r="AF130" i="11"/>
  <c r="AG130" i="11"/>
  <c r="AH130" i="11"/>
  <c r="AI130" i="11"/>
  <c r="AF131" i="11"/>
  <c r="AG131" i="11"/>
  <c r="AH131" i="11"/>
  <c r="AI131" i="11"/>
  <c r="AF132" i="11"/>
  <c r="AG132" i="11"/>
  <c r="AH132" i="11"/>
  <c r="AI132" i="11"/>
  <c r="AF133" i="11"/>
  <c r="AG133" i="11"/>
  <c r="AH133" i="11"/>
  <c r="AI133" i="11"/>
  <c r="AF134" i="11"/>
  <c r="AG134" i="11"/>
  <c r="AH134" i="11"/>
  <c r="AI134" i="11"/>
  <c r="AF135" i="11"/>
  <c r="AG135" i="11"/>
  <c r="AH135" i="11"/>
  <c r="AI135" i="11"/>
  <c r="AF136" i="11"/>
  <c r="AG136" i="11"/>
  <c r="AH136" i="11"/>
  <c r="AI136" i="11"/>
  <c r="AF137" i="11"/>
  <c r="AG137" i="11"/>
  <c r="AH137" i="11"/>
  <c r="AI137" i="11"/>
  <c r="AF138" i="11"/>
  <c r="AG138" i="11"/>
  <c r="AH138" i="11"/>
  <c r="AI138" i="11"/>
  <c r="AF139" i="11"/>
  <c r="AG139" i="11"/>
  <c r="AH139" i="11"/>
  <c r="AI139" i="11"/>
  <c r="AF140" i="11"/>
  <c r="AG140" i="11"/>
  <c r="AH140" i="11"/>
  <c r="AI140" i="11"/>
  <c r="AF214" i="11"/>
  <c r="AG214" i="11"/>
  <c r="AH214" i="11"/>
  <c r="AI214" i="11"/>
  <c r="AF231" i="11"/>
  <c r="AG231" i="11"/>
  <c r="AH231" i="11"/>
  <c r="AI231" i="11"/>
  <c r="AF141" i="11"/>
  <c r="AG141" i="11"/>
  <c r="AH141" i="11"/>
  <c r="AI141" i="11"/>
  <c r="AF215" i="11"/>
  <c r="AG215" i="11"/>
  <c r="AH215" i="11"/>
  <c r="AI215" i="11"/>
  <c r="AF142" i="11"/>
  <c r="AG142" i="11"/>
  <c r="AH142" i="11"/>
  <c r="AI142" i="11"/>
  <c r="AF216" i="11"/>
  <c r="AG216" i="11"/>
  <c r="AH216" i="11"/>
  <c r="AI216" i="11"/>
  <c r="AF143" i="11"/>
  <c r="AG143" i="11"/>
  <c r="AH143" i="11"/>
  <c r="AI143" i="11"/>
  <c r="AF217" i="11"/>
  <c r="AG217" i="11"/>
  <c r="AH217" i="11"/>
  <c r="AI217" i="11"/>
  <c r="AF144" i="11"/>
  <c r="AG144" i="11"/>
  <c r="AH144" i="11"/>
  <c r="AI144" i="11"/>
  <c r="AF232" i="11"/>
  <c r="AG232" i="11"/>
  <c r="AH232" i="11"/>
  <c r="AI232" i="11"/>
  <c r="AF145" i="11"/>
  <c r="AG145" i="11"/>
  <c r="AH145" i="11"/>
  <c r="AI145" i="11"/>
  <c r="AF146" i="11"/>
  <c r="AG146" i="11"/>
  <c r="AH146" i="11"/>
  <c r="AI146" i="11"/>
  <c r="AF147" i="11"/>
  <c r="AG147" i="11"/>
  <c r="AH147" i="11"/>
  <c r="AI147" i="11"/>
  <c r="AF148" i="11"/>
  <c r="AG148" i="11"/>
  <c r="AH148" i="11"/>
  <c r="AI148" i="11"/>
  <c r="AF218" i="11"/>
  <c r="AG218" i="11"/>
  <c r="AH218" i="11"/>
  <c r="AI218" i="11"/>
  <c r="AF149" i="11"/>
  <c r="AG149" i="11"/>
  <c r="AH149" i="11"/>
  <c r="AI149" i="11"/>
  <c r="AF150" i="11"/>
  <c r="AG150" i="11"/>
  <c r="AH150" i="11"/>
  <c r="AI150" i="11"/>
  <c r="AF151" i="11"/>
  <c r="AG151" i="11"/>
  <c r="AH151" i="11"/>
  <c r="AI151" i="11"/>
  <c r="AF219" i="11"/>
  <c r="AG219" i="11"/>
  <c r="AH219" i="11"/>
  <c r="AI219" i="11"/>
  <c r="AF233" i="11"/>
  <c r="AG233" i="11"/>
  <c r="AH233" i="11"/>
  <c r="AI233" i="11"/>
  <c r="AF152" i="11"/>
  <c r="AG152" i="11"/>
  <c r="AH152" i="11"/>
  <c r="AI152" i="11"/>
  <c r="AF153" i="11"/>
  <c r="AG153" i="11"/>
  <c r="AH153" i="11"/>
  <c r="AI153" i="11"/>
  <c r="AF220" i="11"/>
  <c r="AG220" i="11"/>
  <c r="AH220" i="11"/>
  <c r="AI220" i="11"/>
  <c r="AF154" i="11"/>
  <c r="AG154" i="11"/>
  <c r="AH154" i="11"/>
  <c r="AI154" i="11"/>
  <c r="AF155" i="11"/>
  <c r="AG155" i="11"/>
  <c r="AH155" i="11"/>
  <c r="AI155" i="11"/>
  <c r="AF156" i="11"/>
  <c r="AG156" i="11"/>
  <c r="AH156" i="11"/>
  <c r="AI156" i="11"/>
  <c r="AF157" i="11"/>
  <c r="AG157" i="11"/>
  <c r="AH157" i="11"/>
  <c r="AI157" i="11"/>
  <c r="AF158" i="11"/>
  <c r="AG158" i="11"/>
  <c r="AH158" i="11"/>
  <c r="AI158" i="11"/>
  <c r="AF159" i="11"/>
  <c r="AG159" i="11"/>
  <c r="AH159" i="11"/>
  <c r="AI159" i="11"/>
  <c r="AF160" i="11"/>
  <c r="AG160" i="11"/>
  <c r="AH160" i="11"/>
  <c r="AI160" i="11"/>
  <c r="AF161" i="11"/>
  <c r="AG161" i="11"/>
  <c r="AH161" i="11"/>
  <c r="AI161" i="11"/>
  <c r="AF162" i="11"/>
  <c r="AG162" i="11"/>
  <c r="AH162" i="11"/>
  <c r="AI162" i="11"/>
  <c r="AF221" i="11"/>
  <c r="AG221" i="11"/>
  <c r="AH221" i="11"/>
  <c r="AI221" i="11"/>
  <c r="AF163" i="11"/>
  <c r="AG163" i="11"/>
  <c r="AH163" i="11"/>
  <c r="AI163" i="11"/>
  <c r="AF234" i="11"/>
  <c r="AG234" i="11"/>
  <c r="AH234" i="11"/>
  <c r="AI234" i="11"/>
  <c r="AF222" i="11"/>
  <c r="AG222" i="11"/>
  <c r="AH222" i="11"/>
  <c r="AI222" i="11"/>
  <c r="AF164" i="11"/>
  <c r="AG164" i="11"/>
  <c r="AH164" i="11"/>
  <c r="AI164" i="11"/>
  <c r="AF165" i="11"/>
  <c r="AG165" i="11"/>
  <c r="AH165" i="11"/>
  <c r="AI165" i="11"/>
  <c r="AF166" i="11"/>
  <c r="AG166" i="11"/>
  <c r="AH166" i="11"/>
  <c r="AI166" i="11"/>
  <c r="AF167" i="11"/>
  <c r="AG167" i="11"/>
  <c r="AH167" i="11"/>
  <c r="AI167" i="11"/>
  <c r="AF223" i="11"/>
  <c r="AG223" i="11"/>
  <c r="AH223" i="11"/>
  <c r="AI223" i="11"/>
  <c r="AF235" i="11"/>
  <c r="AG235" i="11"/>
  <c r="AH235" i="11"/>
  <c r="AI235" i="11"/>
  <c r="AF240" i="11"/>
  <c r="AG240" i="11"/>
  <c r="AH240" i="11"/>
  <c r="AI240" i="11"/>
  <c r="AF169" i="11"/>
  <c r="AG169" i="11"/>
  <c r="AH169" i="11"/>
  <c r="AI169" i="11"/>
  <c r="AF225" i="11"/>
  <c r="AG225" i="11"/>
  <c r="AH225" i="11"/>
  <c r="AI225" i="11"/>
  <c r="AF170" i="11"/>
  <c r="AG170" i="11"/>
  <c r="AH170" i="11"/>
  <c r="AI170" i="11"/>
  <c r="AF171" i="11"/>
  <c r="AG171" i="11"/>
  <c r="AH171" i="11"/>
  <c r="AI171" i="11"/>
  <c r="AF172" i="11"/>
  <c r="AG172" i="11"/>
  <c r="AH172" i="11"/>
  <c r="AI172" i="11"/>
  <c r="AF226" i="11"/>
  <c r="AG226" i="11"/>
  <c r="AH226" i="11"/>
  <c r="AI226" i="11"/>
  <c r="AF173" i="11"/>
  <c r="AG173" i="11"/>
  <c r="AH173" i="11"/>
  <c r="AI173" i="11"/>
  <c r="AF174" i="11"/>
  <c r="AG174" i="11"/>
  <c r="AH174" i="11"/>
  <c r="AI174" i="11"/>
  <c r="AF175" i="11"/>
  <c r="AG175" i="11"/>
  <c r="AH175" i="11"/>
  <c r="AI175" i="11"/>
  <c r="AF176" i="11"/>
  <c r="AG176" i="11"/>
  <c r="AH176" i="11"/>
  <c r="AI176" i="11"/>
  <c r="AF177" i="11"/>
  <c r="AG177" i="11"/>
  <c r="AH177" i="11"/>
  <c r="AI177" i="11"/>
  <c r="AF227" i="11"/>
  <c r="AG227" i="11"/>
  <c r="AH227" i="11"/>
  <c r="AI227" i="11"/>
  <c r="AI3" i="11"/>
  <c r="AH3" i="11"/>
  <c r="AG3" i="11"/>
  <c r="AF3" i="11"/>
  <c r="BP71" i="11" l="1"/>
  <c r="AE3" i="14" l="1"/>
  <c r="AF3" i="14"/>
  <c r="AG3" i="14"/>
  <c r="AH3" i="14"/>
  <c r="AE4" i="14"/>
  <c r="AF4" i="14"/>
  <c r="AG4" i="14"/>
  <c r="AH4" i="14"/>
  <c r="AE5" i="14"/>
  <c r="AF5" i="14"/>
  <c r="AG5" i="14"/>
  <c r="AH5" i="14"/>
  <c r="AE6" i="14"/>
  <c r="AF6" i="14"/>
  <c r="AG6" i="14"/>
  <c r="AH6" i="14"/>
  <c r="AE7" i="14"/>
  <c r="AF7" i="14"/>
  <c r="AG7" i="14"/>
  <c r="AH7" i="14"/>
  <c r="AE8" i="14"/>
  <c r="AF8" i="14"/>
  <c r="AG8" i="14"/>
  <c r="AH8" i="14"/>
  <c r="AE9" i="14"/>
  <c r="AF9" i="14"/>
  <c r="AG9" i="14"/>
  <c r="AH9" i="14"/>
  <c r="AE10" i="14"/>
  <c r="AF10" i="14"/>
  <c r="AG10" i="14"/>
  <c r="AH10" i="14"/>
  <c r="AE11" i="14"/>
  <c r="AF11" i="14"/>
  <c r="AG11" i="14"/>
  <c r="AH11" i="14"/>
  <c r="AE12" i="14"/>
  <c r="AF12" i="14"/>
  <c r="AG12" i="14"/>
  <c r="AH12" i="14"/>
  <c r="AE13" i="14"/>
  <c r="AF13" i="14"/>
  <c r="AG13" i="14"/>
  <c r="AH13" i="14"/>
  <c r="AB14" i="14"/>
  <c r="AC14" i="14" s="1"/>
  <c r="AG14" i="14" s="1"/>
  <c r="AE14" i="14"/>
  <c r="AH14" i="14"/>
  <c r="AL14" i="14"/>
  <c r="AM14" i="14" s="1"/>
  <c r="AB15" i="14"/>
  <c r="AC15" i="14" s="1"/>
  <c r="AG15" i="14" s="1"/>
  <c r="AE15" i="14"/>
  <c r="AH15" i="14"/>
  <c r="AL15" i="14"/>
  <c r="AM15" i="14" s="1"/>
  <c r="AB16" i="14"/>
  <c r="AF16" i="14" s="1"/>
  <c r="AE16" i="14"/>
  <c r="AH16" i="14"/>
  <c r="AL16" i="14"/>
  <c r="AM16" i="14" s="1"/>
  <c r="AB17" i="14"/>
  <c r="AC17" i="14" s="1"/>
  <c r="AG17" i="14" s="1"/>
  <c r="AE17" i="14"/>
  <c r="AH17" i="14"/>
  <c r="AL17" i="14"/>
  <c r="AM17" i="14" s="1"/>
  <c r="AB18" i="14"/>
  <c r="AC18" i="14" s="1"/>
  <c r="AG18" i="14" s="1"/>
  <c r="AE18" i="14"/>
  <c r="AH18" i="14"/>
  <c r="AL18" i="14"/>
  <c r="AM18" i="14" s="1"/>
  <c r="AE19" i="14"/>
  <c r="AF19" i="14"/>
  <c r="AG19" i="14"/>
  <c r="AH19" i="14"/>
  <c r="AE20" i="14"/>
  <c r="AF20" i="14"/>
  <c r="AG20" i="14"/>
  <c r="AH20" i="14"/>
  <c r="AE21" i="14"/>
  <c r="AF21" i="14"/>
  <c r="AG21" i="14"/>
  <c r="AH21" i="14"/>
  <c r="AE22" i="14"/>
  <c r="AF22" i="14"/>
  <c r="AG22" i="14"/>
  <c r="AH22" i="14"/>
  <c r="AE23" i="14"/>
  <c r="AF23" i="14"/>
  <c r="AG23" i="14"/>
  <c r="AH23" i="14"/>
  <c r="AE24" i="14"/>
  <c r="AF24" i="14"/>
  <c r="AG24" i="14"/>
  <c r="AH24" i="14"/>
  <c r="AE25" i="14"/>
  <c r="AF25" i="14"/>
  <c r="AG25" i="14"/>
  <c r="AH25" i="14"/>
  <c r="AE26" i="14"/>
  <c r="AF26" i="14"/>
  <c r="AG26" i="14"/>
  <c r="AH26" i="14"/>
  <c r="AE27" i="14"/>
  <c r="AF27" i="14"/>
  <c r="AG27" i="14"/>
  <c r="AH27" i="14"/>
  <c r="AE28" i="14"/>
  <c r="AF28" i="14"/>
  <c r="AG28" i="14"/>
  <c r="AH28" i="14"/>
  <c r="AE29" i="14"/>
  <c r="AF29" i="14"/>
  <c r="AG29" i="14"/>
  <c r="AH29" i="14"/>
  <c r="AE30" i="14"/>
  <c r="AF30" i="14"/>
  <c r="AG30" i="14"/>
  <c r="AH30" i="14"/>
  <c r="AE31" i="14"/>
  <c r="AF31" i="14"/>
  <c r="AG31" i="14"/>
  <c r="AH31" i="14"/>
  <c r="AE32" i="14"/>
  <c r="AF32" i="14"/>
  <c r="AG32" i="14"/>
  <c r="AH32" i="14"/>
  <c r="AE33" i="14"/>
  <c r="AF33" i="14"/>
  <c r="AG33" i="14"/>
  <c r="AH33" i="14"/>
  <c r="AE34" i="14"/>
  <c r="AF34" i="14"/>
  <c r="AG34" i="14"/>
  <c r="AH34" i="14"/>
  <c r="AE35" i="14"/>
  <c r="AF35" i="14"/>
  <c r="AG35" i="14"/>
  <c r="AH35" i="14"/>
  <c r="AE36" i="14"/>
  <c r="AF36" i="14"/>
  <c r="AG36" i="14"/>
  <c r="AH36" i="14"/>
  <c r="AE37" i="14"/>
  <c r="AF37" i="14"/>
  <c r="AG37" i="14"/>
  <c r="AH37" i="14"/>
  <c r="AE38" i="14"/>
  <c r="AF38" i="14"/>
  <c r="AG38" i="14"/>
  <c r="AH38" i="14"/>
  <c r="AE39" i="14"/>
  <c r="AF39" i="14"/>
  <c r="AG39" i="14"/>
  <c r="AH39" i="14"/>
  <c r="AE40" i="14"/>
  <c r="AF40" i="14"/>
  <c r="AG40" i="14"/>
  <c r="AH40" i="14"/>
  <c r="AE41" i="14"/>
  <c r="AF41" i="14"/>
  <c r="AG41" i="14"/>
  <c r="AH41" i="14"/>
  <c r="AE42" i="14"/>
  <c r="AF42" i="14"/>
  <c r="AG42" i="14"/>
  <c r="AH42" i="14"/>
  <c r="AE43" i="14"/>
  <c r="AF43" i="14"/>
  <c r="AG43" i="14"/>
  <c r="AH43" i="14"/>
  <c r="AE44" i="14"/>
  <c r="AF44" i="14"/>
  <c r="AG44" i="14"/>
  <c r="AH44" i="14"/>
  <c r="AE45" i="14"/>
  <c r="AF45" i="14"/>
  <c r="AG45" i="14"/>
  <c r="AH45" i="14"/>
  <c r="AE46" i="14"/>
  <c r="AF46" i="14"/>
  <c r="AG46" i="14"/>
  <c r="AH46" i="14"/>
  <c r="AE47" i="14"/>
  <c r="AF47" i="14"/>
  <c r="AG47" i="14"/>
  <c r="AH47" i="14"/>
  <c r="AE48" i="14"/>
  <c r="AF48" i="14"/>
  <c r="AG48" i="14"/>
  <c r="AH48" i="14"/>
  <c r="AE49" i="14"/>
  <c r="AF49" i="14"/>
  <c r="AG49" i="14"/>
  <c r="AH49" i="14"/>
  <c r="AE50" i="14"/>
  <c r="AF50" i="14"/>
  <c r="AG50" i="14"/>
  <c r="AH50" i="14"/>
  <c r="AE51" i="14"/>
  <c r="AF51" i="14"/>
  <c r="AG51" i="14"/>
  <c r="AH51" i="14"/>
  <c r="AE52" i="14"/>
  <c r="AF52" i="14"/>
  <c r="AG52" i="14"/>
  <c r="AH52" i="14"/>
  <c r="AE53" i="14"/>
  <c r="AF53" i="14"/>
  <c r="AG53" i="14"/>
  <c r="AH53" i="14"/>
  <c r="AE54" i="14"/>
  <c r="AF54" i="14"/>
  <c r="AG54" i="14"/>
  <c r="AH54" i="14"/>
  <c r="AE55" i="14"/>
  <c r="AF55" i="14"/>
  <c r="AG55" i="14"/>
  <c r="AH55" i="14"/>
  <c r="AE56" i="14"/>
  <c r="AF56" i="14"/>
  <c r="AG56" i="14"/>
  <c r="AH56" i="14"/>
  <c r="AE57" i="14"/>
  <c r="AF57" i="14"/>
  <c r="AG57" i="14"/>
  <c r="AH57" i="14"/>
  <c r="AE58" i="14"/>
  <c r="AF58" i="14"/>
  <c r="AG58" i="14"/>
  <c r="AH58" i="14"/>
  <c r="AE59" i="14"/>
  <c r="AF59" i="14"/>
  <c r="AG59" i="14"/>
  <c r="AH59" i="14"/>
  <c r="AE60" i="14"/>
  <c r="AF60" i="14"/>
  <c r="AG60" i="14"/>
  <c r="AH60" i="14"/>
  <c r="AE61" i="14"/>
  <c r="AF61" i="14"/>
  <c r="AG61" i="14"/>
  <c r="AH61" i="14"/>
  <c r="AE62" i="14"/>
  <c r="AF62" i="14"/>
  <c r="AG62" i="14"/>
  <c r="AH62" i="14"/>
  <c r="AB63" i="14"/>
  <c r="AC63" i="14" s="1"/>
  <c r="AG63" i="14" s="1"/>
  <c r="AE63" i="14"/>
  <c r="AH63" i="14"/>
  <c r="AL63" i="14"/>
  <c r="AM63" i="14" s="1"/>
  <c r="AR63" i="14"/>
  <c r="AS63" i="14" s="1"/>
  <c r="AB64" i="14"/>
  <c r="AF64" i="14" s="1"/>
  <c r="AE64" i="14"/>
  <c r="AH64" i="14"/>
  <c r="AL64" i="14"/>
  <c r="AM64" i="14" s="1"/>
  <c r="AR64" i="14"/>
  <c r="AS64" i="14" s="1"/>
  <c r="AB65" i="14"/>
  <c r="AF65" i="14" s="1"/>
  <c r="AE65" i="14"/>
  <c r="AH65" i="14"/>
  <c r="AL65" i="14"/>
  <c r="AM65" i="14" s="1"/>
  <c r="AR65" i="14"/>
  <c r="AS65" i="14" s="1"/>
  <c r="AB66" i="14"/>
  <c r="AC66" i="14" s="1"/>
  <c r="AG66" i="14" s="1"/>
  <c r="AE66" i="14"/>
  <c r="AH66" i="14"/>
  <c r="AL66" i="14"/>
  <c r="AM66" i="14" s="1"/>
  <c r="AR66" i="14"/>
  <c r="AS66" i="14" s="1"/>
  <c r="AE67" i="14"/>
  <c r="AF67" i="14"/>
  <c r="AG67" i="14"/>
  <c r="AH67" i="14"/>
  <c r="AE68" i="14"/>
  <c r="AF68" i="14"/>
  <c r="AG68" i="14"/>
  <c r="AH68" i="14"/>
  <c r="AE69" i="14"/>
  <c r="AF69" i="14"/>
  <c r="AG69" i="14"/>
  <c r="AH69" i="14"/>
  <c r="AE70" i="14"/>
  <c r="AF70" i="14"/>
  <c r="AG70" i="14"/>
  <c r="AH70" i="14"/>
  <c r="AE71" i="14"/>
  <c r="AF71" i="14"/>
  <c r="AG71" i="14"/>
  <c r="AH71" i="14"/>
  <c r="AE72" i="14"/>
  <c r="AF72" i="14"/>
  <c r="AG72" i="14"/>
  <c r="AH72" i="14"/>
  <c r="AE73" i="14"/>
  <c r="AF73" i="14"/>
  <c r="AG73" i="14"/>
  <c r="AH73" i="14"/>
  <c r="AE74" i="14"/>
  <c r="AF74" i="14"/>
  <c r="AG74" i="14"/>
  <c r="AH74" i="14"/>
  <c r="AE75" i="14"/>
  <c r="AF75" i="14"/>
  <c r="AG75" i="14"/>
  <c r="AH75" i="14"/>
  <c r="AE76" i="14"/>
  <c r="AF76" i="14"/>
  <c r="AG76" i="14"/>
  <c r="AH76" i="14"/>
  <c r="AE77" i="14"/>
  <c r="AF77" i="14"/>
  <c r="AG77" i="14"/>
  <c r="AH77" i="14"/>
  <c r="AI77" i="14"/>
  <c r="AL77" i="14"/>
  <c r="AE78" i="14"/>
  <c r="AF78" i="14"/>
  <c r="AG78" i="14"/>
  <c r="AH78" i="14"/>
  <c r="AE79" i="14"/>
  <c r="AF79" i="14"/>
  <c r="AG79" i="14"/>
  <c r="AH79" i="14"/>
  <c r="AB80" i="14"/>
  <c r="AE80" i="14"/>
  <c r="AH80" i="14"/>
  <c r="AB81" i="14"/>
  <c r="AF81" i="14" s="1"/>
  <c r="AE81" i="14"/>
  <c r="AH81" i="14"/>
  <c r="AB82" i="14"/>
  <c r="AE82" i="14"/>
  <c r="AH82" i="14"/>
  <c r="AB83" i="14"/>
  <c r="AF83" i="14" s="1"/>
  <c r="AE83" i="14"/>
  <c r="AH83" i="14"/>
  <c r="AB84" i="14"/>
  <c r="AE84" i="14"/>
  <c r="AH84" i="14"/>
  <c r="AB85" i="14"/>
  <c r="AF85" i="14" s="1"/>
  <c r="AE85" i="14"/>
  <c r="AH85" i="14"/>
  <c r="AE86" i="14"/>
  <c r="AF86" i="14"/>
  <c r="AG86" i="14"/>
  <c r="AH86" i="14"/>
  <c r="AE87" i="14"/>
  <c r="AF87" i="14"/>
  <c r="AG87" i="14"/>
  <c r="AH87" i="14"/>
  <c r="AE88" i="14"/>
  <c r="AF88" i="14"/>
  <c r="AG88" i="14"/>
  <c r="AH88" i="14"/>
  <c r="AE89" i="14"/>
  <c r="AF89" i="14"/>
  <c r="AG89" i="14"/>
  <c r="AH89" i="14"/>
  <c r="AE90" i="14"/>
  <c r="AF90" i="14"/>
  <c r="AG90" i="14"/>
  <c r="AH90" i="14"/>
  <c r="AE91" i="14"/>
  <c r="AF91" i="14"/>
  <c r="AG91" i="14"/>
  <c r="AH91" i="14"/>
  <c r="AE92" i="14"/>
  <c r="AF92" i="14"/>
  <c r="AG92" i="14"/>
  <c r="AH92" i="14"/>
  <c r="AE93" i="14"/>
  <c r="AF93" i="14"/>
  <c r="AG93" i="14"/>
  <c r="AH93" i="14"/>
  <c r="AE94" i="14"/>
  <c r="AF94" i="14"/>
  <c r="AG94" i="14"/>
  <c r="AH94" i="14"/>
  <c r="AE95" i="14"/>
  <c r="AF95" i="14"/>
  <c r="AG95" i="14"/>
  <c r="AH95" i="14"/>
  <c r="AE96" i="14"/>
  <c r="AF96" i="14"/>
  <c r="AG96" i="14"/>
  <c r="AH96" i="14"/>
  <c r="AE97" i="14"/>
  <c r="AF97" i="14"/>
  <c r="AG97" i="14"/>
  <c r="AH97" i="14"/>
  <c r="AE98" i="14"/>
  <c r="AF98" i="14"/>
  <c r="AG98" i="14"/>
  <c r="AH98" i="14"/>
  <c r="AE99" i="14"/>
  <c r="AF99" i="14"/>
  <c r="AG99" i="14"/>
  <c r="AH99" i="14"/>
  <c r="AE100" i="14"/>
  <c r="AF100" i="14"/>
  <c r="AG100" i="14"/>
  <c r="AH100" i="14"/>
  <c r="AE101" i="14"/>
  <c r="AF101" i="14"/>
  <c r="AG101" i="14"/>
  <c r="AH101" i="14"/>
  <c r="AE102" i="14"/>
  <c r="AF102" i="14"/>
  <c r="AG102" i="14"/>
  <c r="AH102" i="14"/>
  <c r="AE103" i="14"/>
  <c r="AF103" i="14"/>
  <c r="AG103" i="14"/>
  <c r="AH103" i="14"/>
  <c r="AB104" i="14"/>
  <c r="AE104" i="14"/>
  <c r="AH104" i="14"/>
  <c r="AB105" i="14"/>
  <c r="AF105" i="14" s="1"/>
  <c r="AE105" i="14"/>
  <c r="AH105" i="14"/>
  <c r="AE106" i="14"/>
  <c r="AF106" i="14"/>
  <c r="AG106" i="14"/>
  <c r="AH106" i="14"/>
  <c r="AE107" i="14"/>
  <c r="AF107" i="14"/>
  <c r="AG107" i="14"/>
  <c r="AH107" i="14"/>
  <c r="AE108" i="14"/>
  <c r="AF108" i="14"/>
  <c r="AG108" i="14"/>
  <c r="AH108" i="14"/>
  <c r="AE109" i="14"/>
  <c r="AF109" i="14"/>
  <c r="AG109" i="14"/>
  <c r="AH109" i="14"/>
  <c r="AE110" i="14"/>
  <c r="AF110" i="14"/>
  <c r="AG110" i="14"/>
  <c r="AH110" i="14"/>
  <c r="AE111" i="14"/>
  <c r="AF111" i="14"/>
  <c r="AG111" i="14"/>
  <c r="AH111" i="14"/>
  <c r="AE112" i="14"/>
  <c r="AF112" i="14"/>
  <c r="AG112" i="14"/>
  <c r="AH112" i="14"/>
  <c r="AL112" i="14"/>
  <c r="AM112" i="14" s="1"/>
  <c r="AR112" i="14"/>
  <c r="AS112" i="14" s="1"/>
  <c r="AE113" i="14"/>
  <c r="AF113" i="14"/>
  <c r="AG113" i="14"/>
  <c r="AH113" i="14"/>
  <c r="AL113" i="14"/>
  <c r="AM113" i="14" s="1"/>
  <c r="AR113" i="14"/>
  <c r="AS113" i="14" s="1"/>
  <c r="AE114" i="14"/>
  <c r="AF114" i="14"/>
  <c r="AG114" i="14"/>
  <c r="AH114" i="14"/>
  <c r="AE115" i="14"/>
  <c r="AF115" i="14"/>
  <c r="AG115" i="14"/>
  <c r="AH115" i="14"/>
  <c r="AE116" i="14"/>
  <c r="AF116" i="14"/>
  <c r="AG116" i="14"/>
  <c r="AH116" i="14"/>
  <c r="AE117" i="14"/>
  <c r="AF117" i="14"/>
  <c r="AG117" i="14"/>
  <c r="AH117" i="14"/>
  <c r="AE118" i="14"/>
  <c r="AF118" i="14"/>
  <c r="AG118" i="14"/>
  <c r="AH118" i="14"/>
  <c r="AE119" i="14"/>
  <c r="AF119" i="14"/>
  <c r="AG119" i="14"/>
  <c r="AH119" i="14"/>
  <c r="AE120" i="14"/>
  <c r="AF120" i="14"/>
  <c r="AG120" i="14"/>
  <c r="AH120" i="14"/>
  <c r="AE121" i="14"/>
  <c r="AF121" i="14"/>
  <c r="AG121" i="14"/>
  <c r="AH121" i="14"/>
  <c r="AE122" i="14"/>
  <c r="AF122" i="14"/>
  <c r="AG122" i="14"/>
  <c r="AH122" i="14"/>
  <c r="AE123" i="14"/>
  <c r="AF123" i="14"/>
  <c r="AG123" i="14"/>
  <c r="AH123" i="14"/>
  <c r="AE124" i="14"/>
  <c r="AF124" i="14"/>
  <c r="AG124" i="14"/>
  <c r="AH124" i="14"/>
  <c r="AE125" i="14"/>
  <c r="AF125" i="14"/>
  <c r="AG125" i="14"/>
  <c r="AH125" i="14"/>
  <c r="AE126" i="14"/>
  <c r="AF126" i="14"/>
  <c r="AG126" i="14"/>
  <c r="AH126" i="14"/>
  <c r="AE127" i="14"/>
  <c r="AF127" i="14"/>
  <c r="AG127" i="14"/>
  <c r="AH127" i="14"/>
  <c r="AE128" i="14"/>
  <c r="AF128" i="14"/>
  <c r="AG128" i="14"/>
  <c r="AH128" i="14"/>
  <c r="AE129" i="14"/>
  <c r="AF129" i="14"/>
  <c r="AG129" i="14"/>
  <c r="AH129" i="14"/>
  <c r="AE130" i="14"/>
  <c r="AF130" i="14"/>
  <c r="AG130" i="14"/>
  <c r="AH130" i="14"/>
  <c r="AE131" i="14"/>
  <c r="AF131" i="14"/>
  <c r="AG131" i="14"/>
  <c r="AH131" i="14"/>
  <c r="AE132" i="14"/>
  <c r="AF132" i="14"/>
  <c r="AG132" i="14"/>
  <c r="AH132" i="14"/>
  <c r="AE133" i="14"/>
  <c r="AF133" i="14"/>
  <c r="AG133" i="14"/>
  <c r="AH133" i="14"/>
  <c r="AE134" i="14"/>
  <c r="AF134" i="14"/>
  <c r="AG134" i="14"/>
  <c r="AH134" i="14"/>
  <c r="AE135" i="14"/>
  <c r="AF135" i="14"/>
  <c r="AG135" i="14"/>
  <c r="AH135" i="14"/>
  <c r="AE136" i="14"/>
  <c r="AF136" i="14"/>
  <c r="AG136" i="14"/>
  <c r="AH136" i="14"/>
  <c r="AE137" i="14"/>
  <c r="AF137" i="14"/>
  <c r="AG137" i="14"/>
  <c r="AH137" i="14"/>
  <c r="AE138" i="14"/>
  <c r="AF138" i="14"/>
  <c r="AG138" i="14"/>
  <c r="AH138" i="14"/>
  <c r="AE139" i="14"/>
  <c r="AF139" i="14"/>
  <c r="AG139" i="14"/>
  <c r="AH139" i="14"/>
  <c r="AE140" i="14"/>
  <c r="AF140" i="14"/>
  <c r="AG140" i="14"/>
  <c r="AH140" i="14"/>
  <c r="AE141" i="14"/>
  <c r="AF141" i="14"/>
  <c r="AG141" i="14"/>
  <c r="AH141" i="14"/>
  <c r="AE142" i="14"/>
  <c r="AF142" i="14"/>
  <c r="AG142" i="14"/>
  <c r="AH142" i="14"/>
  <c r="AE143" i="14"/>
  <c r="AF143" i="14"/>
  <c r="AG143" i="14"/>
  <c r="AH143" i="14"/>
  <c r="AE144" i="14"/>
  <c r="AF144" i="14"/>
  <c r="AG144" i="14"/>
  <c r="AH144" i="14"/>
  <c r="AE145" i="14"/>
  <c r="AF145" i="14"/>
  <c r="AG145" i="14"/>
  <c r="AH145" i="14"/>
  <c r="AE146" i="14"/>
  <c r="AF146" i="14"/>
  <c r="AG146" i="14"/>
  <c r="AH146" i="14"/>
  <c r="AE147" i="14"/>
  <c r="AF147" i="14"/>
  <c r="AG147" i="14"/>
  <c r="AH147" i="14"/>
  <c r="AE148" i="14"/>
  <c r="AF148" i="14"/>
  <c r="AG148" i="14"/>
  <c r="AH148" i="14"/>
  <c r="AE149" i="14"/>
  <c r="AF149" i="14"/>
  <c r="AG149" i="14"/>
  <c r="AH149" i="14"/>
  <c r="AE150" i="14"/>
  <c r="AF150" i="14"/>
  <c r="AG150" i="14"/>
  <c r="AH150" i="14"/>
  <c r="AE151" i="14"/>
  <c r="AF151" i="14"/>
  <c r="AG151" i="14"/>
  <c r="AH151" i="14"/>
  <c r="AE152" i="14"/>
  <c r="AF152" i="14"/>
  <c r="AG152" i="14"/>
  <c r="AH152" i="14"/>
  <c r="AE153" i="14"/>
  <c r="AF153" i="14"/>
  <c r="AG153" i="14"/>
  <c r="AH153" i="14"/>
  <c r="AE154" i="14"/>
  <c r="AF154" i="14"/>
  <c r="AG154" i="14"/>
  <c r="AH154" i="14"/>
  <c r="AE155" i="14"/>
  <c r="AF155" i="14"/>
  <c r="AG155" i="14"/>
  <c r="AH155" i="14"/>
  <c r="AE156" i="14"/>
  <c r="AF156" i="14"/>
  <c r="AG156" i="14"/>
  <c r="AH156" i="14"/>
  <c r="AE157" i="14"/>
  <c r="AF157" i="14"/>
  <c r="AG157" i="14"/>
  <c r="AH157" i="14"/>
  <c r="AE158" i="14"/>
  <c r="AF158" i="14"/>
  <c r="AG158" i="14"/>
  <c r="AH158" i="14"/>
  <c r="AE159" i="14"/>
  <c r="AF159" i="14"/>
  <c r="AG159" i="14"/>
  <c r="AH159" i="14"/>
  <c r="AE160" i="14"/>
  <c r="AF160" i="14"/>
  <c r="AG160" i="14"/>
  <c r="AH160" i="14"/>
  <c r="AE161" i="14"/>
  <c r="AF161" i="14"/>
  <c r="AG161" i="14"/>
  <c r="AH161" i="14"/>
  <c r="AE162" i="14"/>
  <c r="AF162" i="14"/>
  <c r="AG162" i="14"/>
  <c r="AH162" i="14"/>
  <c r="AE163" i="14"/>
  <c r="AF163" i="14"/>
  <c r="AG163" i="14"/>
  <c r="AH163" i="14"/>
  <c r="AE164" i="14"/>
  <c r="AF164" i="14"/>
  <c r="AG164" i="14"/>
  <c r="AH164" i="14"/>
  <c r="AE165" i="14"/>
  <c r="AF165" i="14"/>
  <c r="AG165" i="14"/>
  <c r="AH165" i="14"/>
  <c r="AE166" i="14"/>
  <c r="AF166" i="14"/>
  <c r="AG166" i="14"/>
  <c r="AH166" i="14"/>
  <c r="AE167" i="14"/>
  <c r="AF167" i="14"/>
  <c r="AG167" i="14"/>
  <c r="AH167" i="14"/>
  <c r="AE168" i="14"/>
  <c r="AF168" i="14"/>
  <c r="AG168" i="14"/>
  <c r="AH168" i="14"/>
  <c r="AE169" i="14"/>
  <c r="AF169" i="14"/>
  <c r="AG169" i="14"/>
  <c r="AH169" i="14"/>
  <c r="AE170" i="14"/>
  <c r="AF170" i="14"/>
  <c r="AG170" i="14"/>
  <c r="AH170" i="14"/>
  <c r="AE171" i="14"/>
  <c r="AF171" i="14"/>
  <c r="AG171" i="14"/>
  <c r="AH171" i="14"/>
  <c r="AE172" i="14"/>
  <c r="AF172" i="14"/>
  <c r="AG172" i="14"/>
  <c r="AH172" i="14"/>
  <c r="AE173" i="14"/>
  <c r="AF173" i="14"/>
  <c r="AG173" i="14"/>
  <c r="AH173" i="14"/>
  <c r="AE174" i="14"/>
  <c r="AF174" i="14"/>
  <c r="AG174" i="14"/>
  <c r="AH174" i="14"/>
  <c r="AE175" i="14"/>
  <c r="AF175" i="14"/>
  <c r="AG175" i="14"/>
  <c r="AH175" i="14"/>
  <c r="AE176" i="14"/>
  <c r="AF176" i="14"/>
  <c r="AG176" i="14"/>
  <c r="AH176" i="14"/>
  <c r="AE177" i="14"/>
  <c r="AF177" i="14"/>
  <c r="AG177" i="14"/>
  <c r="AH177" i="14"/>
  <c r="AE178" i="14"/>
  <c r="AF178" i="14"/>
  <c r="AG178" i="14"/>
  <c r="AH178" i="14"/>
  <c r="AE179" i="14"/>
  <c r="AF179" i="14"/>
  <c r="AG179" i="14"/>
  <c r="AH179" i="14"/>
  <c r="AE180" i="14"/>
  <c r="AF180" i="14"/>
  <c r="AG180" i="14"/>
  <c r="AH180" i="14"/>
  <c r="AB181" i="14"/>
  <c r="AE181" i="14"/>
  <c r="AH181" i="14"/>
  <c r="AL181" i="14"/>
  <c r="AM181" i="14" s="1"/>
  <c r="AR181" i="14"/>
  <c r="AS181" i="14" s="1"/>
  <c r="AB182" i="14"/>
  <c r="AE182" i="14"/>
  <c r="AH182" i="14"/>
  <c r="AL182" i="14"/>
  <c r="AM182" i="14" s="1"/>
  <c r="AB183" i="14"/>
  <c r="AE183" i="14"/>
  <c r="AH183" i="14"/>
  <c r="AL183" i="14"/>
  <c r="AM183" i="14" s="1"/>
  <c r="AB184" i="14"/>
  <c r="AE184" i="14"/>
  <c r="AH184" i="14"/>
  <c r="AL184" i="14"/>
  <c r="AM184" i="14" s="1"/>
  <c r="AB185" i="14"/>
  <c r="AE185" i="14"/>
  <c r="AH185" i="14"/>
  <c r="AL185" i="14"/>
  <c r="AM185" i="14" s="1"/>
  <c r="AE186" i="14"/>
  <c r="AF186" i="14"/>
  <c r="AG186" i="14"/>
  <c r="AH186" i="14"/>
  <c r="AE187" i="14"/>
  <c r="AF187" i="14"/>
  <c r="AG187" i="14"/>
  <c r="AH187" i="14"/>
  <c r="AR187" i="14"/>
  <c r="AS187" i="14" s="1"/>
  <c r="AE188" i="14"/>
  <c r="AF188" i="14"/>
  <c r="AG188" i="14"/>
  <c r="AH188" i="14"/>
  <c r="AE189" i="14"/>
  <c r="AF189" i="14"/>
  <c r="AG189" i="14"/>
  <c r="AH189" i="14"/>
  <c r="AE190" i="14"/>
  <c r="AF190" i="14"/>
  <c r="AG190" i="14"/>
  <c r="AH190" i="14"/>
  <c r="AI190" i="14"/>
  <c r="AJ190" i="14"/>
  <c r="AL190" i="14" s="1"/>
  <c r="AM190" i="14" s="1"/>
  <c r="BN190" i="14"/>
  <c r="Z191" i="14"/>
  <c r="AA191" i="14"/>
  <c r="AE191" i="14"/>
  <c r="AH191" i="14"/>
  <c r="AI191" i="14"/>
  <c r="AJ191" i="14"/>
  <c r="AL191" i="14" s="1"/>
  <c r="Z192" i="14"/>
  <c r="AA192" i="14"/>
  <c r="AB192" i="14"/>
  <c r="AE192" i="14"/>
  <c r="AH192" i="14"/>
  <c r="BN192" i="14"/>
  <c r="AE193" i="14"/>
  <c r="AF193" i="14"/>
  <c r="AG193" i="14"/>
  <c r="AH193" i="14"/>
  <c r="AL193" i="14"/>
  <c r="AM193" i="14" s="1"/>
  <c r="AE194" i="14"/>
  <c r="AF194" i="14"/>
  <c r="AG194" i="14"/>
  <c r="AH194" i="14"/>
  <c r="AL194" i="14"/>
  <c r="AM194" i="14" s="1"/>
  <c r="AE195" i="14"/>
  <c r="AF195" i="14"/>
  <c r="AG195" i="14"/>
  <c r="AH195" i="14"/>
  <c r="AL195" i="14"/>
  <c r="AM195" i="14" s="1"/>
  <c r="AE196" i="14"/>
  <c r="AF196" i="14"/>
  <c r="AG196" i="14"/>
  <c r="AH196" i="14"/>
  <c r="AL196" i="14"/>
  <c r="AM196" i="14" s="1"/>
  <c r="AE197" i="14"/>
  <c r="AF197" i="14"/>
  <c r="AG197" i="14"/>
  <c r="AH197" i="14"/>
  <c r="AL197" i="14"/>
  <c r="AM197" i="14" s="1"/>
  <c r="AE198" i="14"/>
  <c r="AF198" i="14"/>
  <c r="AG198" i="14"/>
  <c r="AH198" i="14"/>
  <c r="AL198" i="14"/>
  <c r="AM198" i="14" s="1"/>
  <c r="AB199" i="14"/>
  <c r="AC199" i="14" s="1"/>
  <c r="AG199" i="14" s="1"/>
  <c r="AE199" i="14"/>
  <c r="AH199" i="14"/>
  <c r="AE200" i="14"/>
  <c r="AF200" i="14"/>
  <c r="AG200" i="14"/>
  <c r="AH200" i="14"/>
  <c r="AE201" i="14"/>
  <c r="AF201" i="14"/>
  <c r="AG201" i="14"/>
  <c r="AH201" i="14"/>
  <c r="AE202" i="14"/>
  <c r="AF202" i="14"/>
  <c r="AG202" i="14"/>
  <c r="AH202" i="14"/>
  <c r="AE203" i="14"/>
  <c r="AF203" i="14"/>
  <c r="AG203" i="14"/>
  <c r="AH203" i="14"/>
  <c r="AE204" i="14"/>
  <c r="AF204" i="14"/>
  <c r="AG204" i="14"/>
  <c r="AH204" i="14"/>
  <c r="AE206" i="14"/>
  <c r="AF206" i="14"/>
  <c r="AG206" i="14"/>
  <c r="AH206" i="14"/>
  <c r="AE207" i="14"/>
  <c r="AF207" i="14"/>
  <c r="AG207" i="14"/>
  <c r="AH207" i="14"/>
  <c r="AE208" i="14"/>
  <c r="AF208" i="14"/>
  <c r="AG208" i="14"/>
  <c r="AH208" i="14"/>
  <c r="AE209" i="14"/>
  <c r="AF209" i="14"/>
  <c r="AG209" i="14"/>
  <c r="AH209" i="14"/>
  <c r="AE210" i="14"/>
  <c r="AF210" i="14"/>
  <c r="AG210" i="14"/>
  <c r="AH210" i="14"/>
  <c r="AE211" i="14"/>
  <c r="AF211" i="14"/>
  <c r="AG211" i="14"/>
  <c r="AH211" i="14"/>
  <c r="AE212" i="14"/>
  <c r="AF212" i="14"/>
  <c r="AG212" i="14"/>
  <c r="AH212" i="14"/>
  <c r="AE213" i="14"/>
  <c r="AF213" i="14"/>
  <c r="AG213" i="14"/>
  <c r="AH213" i="14"/>
  <c r="AE214" i="14"/>
  <c r="AF214" i="14"/>
  <c r="AG214" i="14"/>
  <c r="AH214" i="14"/>
  <c r="AE215" i="14"/>
  <c r="AF215" i="14"/>
  <c r="AG215" i="14"/>
  <c r="AH215" i="14"/>
  <c r="AE216" i="14"/>
  <c r="AF216" i="14"/>
  <c r="AG216" i="14"/>
  <c r="AH216" i="14"/>
  <c r="AE217" i="14"/>
  <c r="AF217" i="14"/>
  <c r="AG217" i="14"/>
  <c r="AH217" i="14"/>
  <c r="AE218" i="14"/>
  <c r="AF218" i="14"/>
  <c r="AG218" i="14"/>
  <c r="AH218" i="14"/>
  <c r="AE219" i="14"/>
  <c r="AF219" i="14"/>
  <c r="AG219" i="14"/>
  <c r="AH219" i="14"/>
  <c r="AE220" i="14"/>
  <c r="AF220" i="14"/>
  <c r="AG220" i="14"/>
  <c r="AH220" i="14"/>
  <c r="AE221" i="14"/>
  <c r="AF221" i="14"/>
  <c r="AG221" i="14"/>
  <c r="AH221" i="14"/>
  <c r="AE222" i="14"/>
  <c r="AF222" i="14"/>
  <c r="AG222" i="14"/>
  <c r="AH222" i="14"/>
  <c r="AE223" i="14"/>
  <c r="AF223" i="14"/>
  <c r="AG223" i="14"/>
  <c r="AH223" i="14"/>
  <c r="AE224" i="14"/>
  <c r="AF224" i="14"/>
  <c r="AG224" i="14"/>
  <c r="AH224" i="14"/>
  <c r="AE225" i="14"/>
  <c r="AF225" i="14"/>
  <c r="AG225" i="14"/>
  <c r="AH225" i="14"/>
  <c r="AE226" i="14"/>
  <c r="AF226" i="14"/>
  <c r="AG226" i="14"/>
  <c r="AH226" i="14"/>
  <c r="AE227" i="14"/>
  <c r="AF227" i="14"/>
  <c r="AG227" i="14"/>
  <c r="AH227" i="14"/>
  <c r="AE228" i="14"/>
  <c r="AF228" i="14"/>
  <c r="AG228" i="14"/>
  <c r="AH228" i="14"/>
  <c r="AE229" i="14"/>
  <c r="AF229" i="14"/>
  <c r="AG229" i="14"/>
  <c r="AH229" i="14"/>
  <c r="AE230" i="14"/>
  <c r="AF230" i="14"/>
  <c r="AG230" i="14"/>
  <c r="AH230" i="14"/>
  <c r="AE231" i="14"/>
  <c r="AF231" i="14"/>
  <c r="AG231" i="14"/>
  <c r="AH231" i="14"/>
  <c r="AE232" i="14"/>
  <c r="AF232" i="14"/>
  <c r="AG232" i="14"/>
  <c r="AH232" i="14"/>
  <c r="AE233" i="14"/>
  <c r="AF233" i="14"/>
  <c r="AG233" i="14"/>
  <c r="AH233" i="14"/>
  <c r="AE234" i="14"/>
  <c r="AF234" i="14"/>
  <c r="AG234" i="14"/>
  <c r="AH234" i="14"/>
  <c r="AE235" i="14"/>
  <c r="AF235" i="14"/>
  <c r="AG235" i="14"/>
  <c r="AH235" i="14"/>
  <c r="AE236" i="14"/>
  <c r="AF236" i="14"/>
  <c r="AG236" i="14"/>
  <c r="AH236" i="14"/>
  <c r="AE237" i="14"/>
  <c r="AF237" i="14"/>
  <c r="AG237" i="14"/>
  <c r="AH237" i="14"/>
  <c r="AE238" i="14"/>
  <c r="AF238" i="14"/>
  <c r="AG238" i="14"/>
  <c r="AH238" i="14"/>
  <c r="AE239" i="14"/>
  <c r="AF239" i="14"/>
  <c r="AG239" i="14"/>
  <c r="AH239" i="14"/>
  <c r="AE240" i="14"/>
  <c r="AF240" i="14"/>
  <c r="AG240" i="14"/>
  <c r="AH240" i="14"/>
  <c r="AE241" i="14"/>
  <c r="AF241" i="14"/>
  <c r="AG241" i="14"/>
  <c r="AH241" i="14"/>
  <c r="AE242" i="14"/>
  <c r="AF242" i="14"/>
  <c r="AG242" i="14"/>
  <c r="AH242" i="14"/>
  <c r="AE243" i="14"/>
  <c r="AF243" i="14"/>
  <c r="AG243" i="14"/>
  <c r="AH243" i="14"/>
  <c r="AE244" i="14"/>
  <c r="AF244" i="14"/>
  <c r="AG244" i="14"/>
  <c r="AH244" i="14"/>
  <c r="AM244" i="14"/>
  <c r="AE245" i="14"/>
  <c r="AF245" i="14"/>
  <c r="AG245" i="14"/>
  <c r="AH245" i="14"/>
  <c r="AL245" i="14"/>
  <c r="AM245" i="14" s="1"/>
  <c r="AE246" i="14"/>
  <c r="AF246" i="14"/>
  <c r="AG246" i="14"/>
  <c r="AH246" i="14"/>
  <c r="AL246" i="14"/>
  <c r="AM246" i="14" s="1"/>
  <c r="AE247" i="14"/>
  <c r="AF247" i="14"/>
  <c r="AG247" i="14"/>
  <c r="AH247" i="14"/>
  <c r="AL247" i="14"/>
  <c r="AM247" i="14" s="1"/>
  <c r="AE248" i="14"/>
  <c r="AF248" i="14"/>
  <c r="AG248" i="14"/>
  <c r="AH248" i="14"/>
  <c r="AL248" i="14"/>
  <c r="AM248" i="14" s="1"/>
  <c r="AE249" i="14"/>
  <c r="AF249" i="14"/>
  <c r="AG249" i="14"/>
  <c r="AH249" i="14"/>
  <c r="AL249" i="14"/>
  <c r="AM249" i="14" s="1"/>
  <c r="AE250" i="14"/>
  <c r="AF250" i="14"/>
  <c r="AG250" i="14"/>
  <c r="AH250" i="14"/>
  <c r="AL250" i="14"/>
  <c r="AM250" i="14" s="1"/>
  <c r="AE251" i="14"/>
  <c r="AF251" i="14"/>
  <c r="AG251" i="14"/>
  <c r="AH251" i="14"/>
  <c r="AL251" i="14"/>
  <c r="AM251" i="14" s="1"/>
  <c r="AE252" i="14"/>
  <c r="AF252" i="14"/>
  <c r="AG252" i="14"/>
  <c r="AH252" i="14"/>
  <c r="AL252" i="14"/>
  <c r="AM252" i="14" s="1"/>
  <c r="AE253" i="14"/>
  <c r="AF253" i="14"/>
  <c r="AG253" i="14"/>
  <c r="AH253" i="14"/>
  <c r="AE254" i="14"/>
  <c r="AF254" i="14"/>
  <c r="AG254" i="14"/>
  <c r="AH254" i="14"/>
  <c r="AE255" i="14"/>
  <c r="AF255" i="14"/>
  <c r="AG255" i="14"/>
  <c r="AH255" i="14"/>
  <c r="AE256" i="14"/>
  <c r="AF256" i="14"/>
  <c r="AG256" i="14"/>
  <c r="AH256" i="14"/>
  <c r="AE257" i="14"/>
  <c r="AF257" i="14"/>
  <c r="AG257" i="14"/>
  <c r="AH257" i="14"/>
  <c r="AE258" i="14"/>
  <c r="AF258" i="14"/>
  <c r="AG258" i="14"/>
  <c r="AH258" i="14"/>
  <c r="AE259" i="14"/>
  <c r="AF259" i="14"/>
  <c r="AG259" i="14"/>
  <c r="AH259" i="14"/>
  <c r="AE260" i="14"/>
  <c r="AF260" i="14"/>
  <c r="AG260" i="14"/>
  <c r="AH260" i="14"/>
  <c r="AE261" i="14"/>
  <c r="AF261" i="14"/>
  <c r="AG261" i="14"/>
  <c r="AH261" i="14"/>
  <c r="AE262" i="14"/>
  <c r="AF262" i="14"/>
  <c r="AG262" i="14"/>
  <c r="AH262" i="14"/>
  <c r="AE263" i="14"/>
  <c r="AF263" i="14"/>
  <c r="AG263" i="14"/>
  <c r="AH263" i="14"/>
  <c r="AE264" i="14"/>
  <c r="AF264" i="14"/>
  <c r="AG264" i="14"/>
  <c r="AH264" i="14"/>
  <c r="AE265" i="14"/>
  <c r="AF265" i="14"/>
  <c r="AG265" i="14"/>
  <c r="AH265" i="14"/>
  <c r="AE266" i="14"/>
  <c r="AF266" i="14"/>
  <c r="AG266" i="14"/>
  <c r="AH266" i="14"/>
  <c r="AE267" i="14"/>
  <c r="AF267" i="14"/>
  <c r="AG267" i="14"/>
  <c r="AH267" i="14"/>
  <c r="AE268" i="14"/>
  <c r="AF268" i="14"/>
  <c r="AG268" i="14"/>
  <c r="AH268" i="14"/>
  <c r="AE269" i="14"/>
  <c r="AF269" i="14"/>
  <c r="AG269" i="14"/>
  <c r="AH269" i="14"/>
  <c r="AE270" i="14"/>
  <c r="AF270" i="14"/>
  <c r="AG270" i="14"/>
  <c r="AH270" i="14"/>
  <c r="AB271" i="14"/>
  <c r="AE271" i="14"/>
  <c r="AH271" i="14"/>
  <c r="AL271" i="14"/>
  <c r="AM271" i="14" s="1"/>
  <c r="AE272" i="14"/>
  <c r="AF272" i="14"/>
  <c r="AG272" i="14"/>
  <c r="AH272" i="14"/>
  <c r="AE273" i="14"/>
  <c r="AF273" i="14"/>
  <c r="AG273" i="14"/>
  <c r="AH273" i="14"/>
  <c r="AL273" i="14"/>
  <c r="AM273" i="14" s="1"/>
  <c r="AR273" i="14"/>
  <c r="AS273" i="14" s="1"/>
  <c r="AE274" i="14"/>
  <c r="AF274" i="14"/>
  <c r="AG274" i="14"/>
  <c r="AH274" i="14"/>
  <c r="AL274" i="14"/>
  <c r="AM274" i="14" s="1"/>
  <c r="AR274" i="14"/>
  <c r="AS274" i="14" s="1"/>
  <c r="AE275" i="14"/>
  <c r="AF275" i="14"/>
  <c r="AG275" i="14"/>
  <c r="AH275" i="14"/>
  <c r="AL275" i="14"/>
  <c r="AM275" i="14" s="1"/>
  <c r="AR275" i="14"/>
  <c r="AS275" i="14" s="1"/>
  <c r="AE276" i="14"/>
  <c r="AF276" i="14"/>
  <c r="AG276" i="14"/>
  <c r="AH276" i="14"/>
  <c r="AL276" i="14"/>
  <c r="AM276" i="14" s="1"/>
  <c r="AR276" i="14"/>
  <c r="AS276" i="14" s="1"/>
  <c r="AE277" i="14"/>
  <c r="AF277" i="14"/>
  <c r="AG277" i="14"/>
  <c r="AH277" i="14"/>
  <c r="AL277" i="14"/>
  <c r="AM277" i="14" s="1"/>
  <c r="AR277" i="14"/>
  <c r="AS277" i="14" s="1"/>
  <c r="Z278" i="14"/>
  <c r="AB278" i="14" s="1"/>
  <c r="AC278" i="14" s="1"/>
  <c r="AG278" i="14" s="1"/>
  <c r="AE278" i="14"/>
  <c r="AH278" i="14"/>
  <c r="AL278" i="14"/>
  <c r="AM278" i="14" s="1"/>
  <c r="AE279" i="14"/>
  <c r="AF279" i="14"/>
  <c r="AG279" i="14"/>
  <c r="AH279" i="14"/>
  <c r="AE280" i="14"/>
  <c r="AF280" i="14"/>
  <c r="AG280" i="14"/>
  <c r="AH280" i="14"/>
  <c r="AE281" i="14"/>
  <c r="AF281" i="14"/>
  <c r="AG281" i="14"/>
  <c r="AH281" i="14"/>
  <c r="AE282" i="14"/>
  <c r="AF282" i="14"/>
  <c r="AG282" i="14"/>
  <c r="AH282" i="14"/>
  <c r="AE283" i="14"/>
  <c r="AF283" i="14"/>
  <c r="AG283" i="14"/>
  <c r="AH283" i="14"/>
  <c r="AE284" i="14"/>
  <c r="AF284" i="14"/>
  <c r="AG284" i="14"/>
  <c r="AH284" i="14"/>
  <c r="AE285" i="14"/>
  <c r="AF285" i="14"/>
  <c r="AG285" i="14"/>
  <c r="AH285" i="14"/>
  <c r="AE286" i="14"/>
  <c r="AF286" i="14"/>
  <c r="AG286" i="14"/>
  <c r="AH286" i="14"/>
  <c r="AE287" i="14"/>
  <c r="AF287" i="14"/>
  <c r="AG287" i="14"/>
  <c r="AH287" i="14"/>
  <c r="AE288" i="14"/>
  <c r="AF288" i="14"/>
  <c r="AG288" i="14"/>
  <c r="AH288" i="14"/>
  <c r="AE289" i="14"/>
  <c r="AF289" i="14"/>
  <c r="AG289" i="14"/>
  <c r="AH289" i="14"/>
  <c r="AE290" i="14"/>
  <c r="AF290" i="14"/>
  <c r="AG290" i="14"/>
  <c r="AH290" i="14"/>
  <c r="AE291" i="14"/>
  <c r="AF291" i="14"/>
  <c r="AG291" i="14"/>
  <c r="AH291" i="14"/>
  <c r="AE292" i="14"/>
  <c r="AF292" i="14"/>
  <c r="AG292" i="14"/>
  <c r="AH292" i="14"/>
  <c r="AE293" i="14"/>
  <c r="AF293" i="14"/>
  <c r="AG293" i="14"/>
  <c r="AH293" i="14"/>
  <c r="AE294" i="14"/>
  <c r="AF294" i="14"/>
  <c r="AG294" i="14"/>
  <c r="AH294" i="14"/>
  <c r="AE295" i="14"/>
  <c r="AF295" i="14"/>
  <c r="AG295" i="14"/>
  <c r="AH295" i="14"/>
  <c r="AE296" i="14"/>
  <c r="AF296" i="14"/>
  <c r="AG296" i="14"/>
  <c r="AH296" i="14"/>
  <c r="AE297" i="14"/>
  <c r="AF297" i="14"/>
  <c r="AG297" i="14"/>
  <c r="AH297" i="14"/>
  <c r="AE298" i="14"/>
  <c r="AF298" i="14"/>
  <c r="AG298" i="14"/>
  <c r="AH298" i="14"/>
  <c r="AE299" i="14"/>
  <c r="AF299" i="14"/>
  <c r="AG299" i="14"/>
  <c r="AH299" i="14"/>
  <c r="AE300" i="14"/>
  <c r="AF300" i="14"/>
  <c r="AG300" i="14"/>
  <c r="AH300" i="14"/>
  <c r="AE301" i="14"/>
  <c r="AF301" i="14"/>
  <c r="AG301" i="14"/>
  <c r="AH301" i="14"/>
  <c r="AE302" i="14"/>
  <c r="AF302" i="14"/>
  <c r="AG302" i="14"/>
  <c r="AH302" i="14"/>
  <c r="AE303" i="14"/>
  <c r="AF303" i="14"/>
  <c r="AG303" i="14"/>
  <c r="AH303" i="14"/>
  <c r="AE304" i="14"/>
  <c r="AF304" i="14"/>
  <c r="AG304" i="14"/>
  <c r="AH304" i="14"/>
  <c r="AE305" i="14"/>
  <c r="AF305" i="14"/>
  <c r="AG305" i="14"/>
  <c r="AH305" i="14"/>
  <c r="AE306" i="14"/>
  <c r="AF306" i="14"/>
  <c r="AG306" i="14"/>
  <c r="AH306" i="14"/>
  <c r="AE307" i="14"/>
  <c r="AF307" i="14"/>
  <c r="AG307" i="14"/>
  <c r="AH307" i="14"/>
  <c r="AE308" i="14"/>
  <c r="AF308" i="14"/>
  <c r="AG308" i="14"/>
  <c r="AH308" i="14"/>
  <c r="AE309" i="14"/>
  <c r="AF309" i="14"/>
  <c r="AG309" i="14"/>
  <c r="AH309" i="14"/>
  <c r="AE310" i="14"/>
  <c r="AF310" i="14"/>
  <c r="AG310" i="14"/>
  <c r="AH310" i="14"/>
  <c r="AE311" i="14"/>
  <c r="AF311" i="14"/>
  <c r="AG311" i="14"/>
  <c r="AH311" i="14"/>
  <c r="AE312" i="14"/>
  <c r="AF312" i="14"/>
  <c r="AG312" i="14"/>
  <c r="AH312" i="14"/>
  <c r="AE313" i="14"/>
  <c r="AF313" i="14"/>
  <c r="AG313" i="14"/>
  <c r="AH313" i="14"/>
  <c r="AE314" i="14"/>
  <c r="AF314" i="14"/>
  <c r="AG314" i="14"/>
  <c r="AH314" i="14"/>
  <c r="AE315" i="14"/>
  <c r="AF315" i="14"/>
  <c r="AG315" i="14"/>
  <c r="AH315" i="14"/>
  <c r="AE316" i="14"/>
  <c r="AF316" i="14"/>
  <c r="AG316" i="14"/>
  <c r="AH316" i="14"/>
  <c r="AD317" i="14"/>
  <c r="AE317" i="14"/>
  <c r="AF317" i="14"/>
  <c r="AG317" i="14"/>
  <c r="AE318" i="14"/>
  <c r="AF318" i="14"/>
  <c r="AG318" i="14"/>
  <c r="AH318" i="14"/>
  <c r="AL318" i="14"/>
  <c r="AM318" i="14" s="1"/>
  <c r="AR318" i="14"/>
  <c r="AS318" i="14" s="1"/>
  <c r="AE319" i="14"/>
  <c r="AF319" i="14"/>
  <c r="AG319" i="14"/>
  <c r="AH319" i="14"/>
  <c r="AL319" i="14"/>
  <c r="AM319" i="14" s="1"/>
  <c r="AR319" i="14"/>
  <c r="AS319" i="14" s="1"/>
  <c r="AE320" i="14"/>
  <c r="AF320" i="14"/>
  <c r="AG320" i="14"/>
  <c r="AH320" i="14"/>
  <c r="AL320" i="14"/>
  <c r="AM320" i="14" s="1"/>
  <c r="AR320" i="14"/>
  <c r="AS320" i="14" s="1"/>
  <c r="AE321" i="14"/>
  <c r="AF321" i="14"/>
  <c r="AG321" i="14"/>
  <c r="AH321" i="14"/>
  <c r="AL321" i="14"/>
  <c r="AM321" i="14" s="1"/>
  <c r="AR321" i="14"/>
  <c r="AS321" i="14" s="1"/>
  <c r="AE322" i="14"/>
  <c r="AF322" i="14"/>
  <c r="AG322" i="14"/>
  <c r="AH322" i="14"/>
  <c r="AL322" i="14"/>
  <c r="AM322" i="14" s="1"/>
  <c r="AR322" i="14"/>
  <c r="AS322" i="14" s="1"/>
  <c r="AE323" i="14"/>
  <c r="AF323" i="14"/>
  <c r="AG323" i="14"/>
  <c r="AH323" i="14"/>
  <c r="AE324" i="14"/>
  <c r="AF324" i="14"/>
  <c r="AG324" i="14"/>
  <c r="AH324" i="14"/>
  <c r="AE325" i="14"/>
  <c r="AF325" i="14"/>
  <c r="AG325" i="14"/>
  <c r="AH325" i="14"/>
  <c r="AE326" i="14"/>
  <c r="AF326" i="14"/>
  <c r="AG326" i="14"/>
  <c r="AH326" i="14"/>
  <c r="AE327" i="14"/>
  <c r="AF327" i="14"/>
  <c r="AG327" i="14"/>
  <c r="AH327" i="14"/>
  <c r="AE328" i="14"/>
  <c r="AF328" i="14"/>
  <c r="AG328" i="14"/>
  <c r="AH328" i="14"/>
  <c r="AE329" i="14"/>
  <c r="AF329" i="14"/>
  <c r="AG329" i="14"/>
  <c r="AH329" i="14"/>
  <c r="Y330" i="14"/>
  <c r="AE330" i="14" s="1"/>
  <c r="AB330" i="14"/>
  <c r="AH330" i="14"/>
  <c r="AI330" i="14"/>
  <c r="AL330" i="14"/>
  <c r="AM330" i="14" s="1"/>
  <c r="AE331" i="14"/>
  <c r="AF331" i="14"/>
  <c r="AG331" i="14"/>
  <c r="AH331" i="14"/>
  <c r="AE332" i="14"/>
  <c r="AF332" i="14"/>
  <c r="AG332" i="14"/>
  <c r="AH332" i="14"/>
  <c r="AE333" i="14"/>
  <c r="AF333" i="14"/>
  <c r="AG333" i="14"/>
  <c r="AH333" i="14"/>
  <c r="AE334" i="14"/>
  <c r="AF334" i="14"/>
  <c r="AG334" i="14"/>
  <c r="AH334" i="14"/>
  <c r="AE335" i="14"/>
  <c r="AF335" i="14"/>
  <c r="AG335" i="14"/>
  <c r="AH335" i="14"/>
  <c r="AE336" i="14"/>
  <c r="AF336" i="14"/>
  <c r="AG336" i="14"/>
  <c r="AH336" i="14"/>
  <c r="Y337" i="14"/>
  <c r="AE337" i="14" s="1"/>
  <c r="AC337" i="14"/>
  <c r="AG337" i="14" s="1"/>
  <c r="AF337" i="14"/>
  <c r="AH337" i="14"/>
  <c r="AE338" i="14"/>
  <c r="AF338" i="14"/>
  <c r="AG338" i="14"/>
  <c r="AH338" i="14"/>
  <c r="AE339" i="14"/>
  <c r="AF339" i="14"/>
  <c r="AG339" i="14"/>
  <c r="AH339" i="14"/>
  <c r="AE340" i="14"/>
  <c r="AF340" i="14"/>
  <c r="AG340" i="14"/>
  <c r="AH340" i="14"/>
  <c r="AE341" i="14"/>
  <c r="AF341" i="14"/>
  <c r="AG341" i="14"/>
  <c r="AH341" i="14"/>
  <c r="AE342" i="14"/>
  <c r="AF342" i="14"/>
  <c r="AG342" i="14"/>
  <c r="AH342" i="14"/>
  <c r="AE343" i="14"/>
  <c r="AF343" i="14"/>
  <c r="AG343" i="14"/>
  <c r="AH343" i="14"/>
  <c r="AE344" i="14"/>
  <c r="AF344" i="14"/>
  <c r="AG344" i="14"/>
  <c r="AH344" i="14"/>
  <c r="Y345" i="14"/>
  <c r="AB345" i="14"/>
  <c r="AE345" i="14"/>
  <c r="AH345" i="14"/>
  <c r="Y346" i="14"/>
  <c r="AE346" i="14" s="1"/>
  <c r="AB346" i="14"/>
  <c r="AF346" i="14" s="1"/>
  <c r="AH346" i="14"/>
  <c r="Y347" i="14"/>
  <c r="AE347" i="14" s="1"/>
  <c r="AB347" i="14"/>
  <c r="AH347" i="14"/>
  <c r="AE348" i="14"/>
  <c r="AF348" i="14"/>
  <c r="AG348" i="14"/>
  <c r="AH348" i="14"/>
  <c r="AE349" i="14"/>
  <c r="AF349" i="14"/>
  <c r="AG349" i="14"/>
  <c r="AH349" i="14"/>
  <c r="AE350" i="14"/>
  <c r="AF350" i="14"/>
  <c r="AG350" i="14"/>
  <c r="AH350" i="14"/>
  <c r="AE351" i="14"/>
  <c r="AF351" i="14"/>
  <c r="AG351" i="14"/>
  <c r="AH351" i="14"/>
  <c r="AM351" i="14"/>
  <c r="AC352" i="14"/>
  <c r="AG352" i="14" s="1"/>
  <c r="AE352" i="14"/>
  <c r="AF352" i="14"/>
  <c r="AH352" i="14"/>
  <c r="AL352" i="14"/>
  <c r="AR352" i="14"/>
  <c r="AS352" i="14" s="1"/>
  <c r="AC353" i="14"/>
  <c r="AG353" i="14" s="1"/>
  <c r="AE353" i="14"/>
  <c r="AF353" i="14"/>
  <c r="AH353" i="14"/>
  <c r="AL353" i="14"/>
  <c r="AR353" i="14"/>
  <c r="AS353" i="14" s="1"/>
  <c r="AB354" i="14"/>
  <c r="AC354" i="14" s="1"/>
  <c r="AG354" i="14" s="1"/>
  <c r="AE354" i="14"/>
  <c r="AH354" i="14"/>
  <c r="AR354" i="14"/>
  <c r="AS354" i="14" s="1"/>
  <c r="AC355" i="14"/>
  <c r="AG355" i="14" s="1"/>
  <c r="AE355" i="14"/>
  <c r="AF355" i="14"/>
  <c r="AH355" i="14"/>
  <c r="AR355" i="14"/>
  <c r="AS355" i="14" s="1"/>
  <c r="AC356" i="14"/>
  <c r="AG356" i="14" s="1"/>
  <c r="AE356" i="14"/>
  <c r="AF356" i="14"/>
  <c r="AH356" i="14"/>
  <c r="AR356" i="14"/>
  <c r="AS356" i="14" s="1"/>
  <c r="AC357" i="14"/>
  <c r="AG357" i="14" s="1"/>
  <c r="AE357" i="14"/>
  <c r="AF357" i="14"/>
  <c r="AH357" i="14"/>
  <c r="AR357" i="14"/>
  <c r="AS357" i="14" s="1"/>
  <c r="AC358" i="14"/>
  <c r="AG358" i="14" s="1"/>
  <c r="AE358" i="14"/>
  <c r="AF358" i="14"/>
  <c r="AH358" i="14"/>
  <c r="AR358" i="14"/>
  <c r="AS358" i="14" s="1"/>
  <c r="AC359" i="14"/>
  <c r="AG359" i="14" s="1"/>
  <c r="AE359" i="14"/>
  <c r="AF359" i="14"/>
  <c r="AH359" i="14"/>
  <c r="AC360" i="14"/>
  <c r="AG360" i="14" s="1"/>
  <c r="AE360" i="14"/>
  <c r="AF360" i="14"/>
  <c r="AH360" i="14"/>
  <c r="AE361" i="14"/>
  <c r="AF361" i="14"/>
  <c r="AG361" i="14"/>
  <c r="AH361" i="14"/>
  <c r="AE362" i="14"/>
  <c r="AF362" i="14"/>
  <c r="AG362" i="14"/>
  <c r="AH362" i="14"/>
  <c r="AM362" i="14"/>
  <c r="AE363" i="14"/>
  <c r="AF363" i="14"/>
  <c r="AG363" i="14"/>
  <c r="AH363" i="14"/>
  <c r="AM363" i="14"/>
  <c r="AE364" i="14"/>
  <c r="AF364" i="14"/>
  <c r="AG364" i="14"/>
  <c r="AH364" i="14"/>
  <c r="AE365" i="14"/>
  <c r="AF365" i="14"/>
  <c r="AG365" i="14"/>
  <c r="AH365" i="14"/>
  <c r="AC366" i="14"/>
  <c r="AG366" i="14" s="1"/>
  <c r="AE366" i="14"/>
  <c r="AF366" i="14"/>
  <c r="AH366" i="14"/>
  <c r="AE367" i="14"/>
  <c r="AF367" i="14"/>
  <c r="AG367" i="14"/>
  <c r="AH367" i="14"/>
  <c r="AE368" i="14"/>
  <c r="AF368" i="14"/>
  <c r="AG368" i="14"/>
  <c r="AH368" i="14"/>
  <c r="AE369" i="14"/>
  <c r="AF369" i="14"/>
  <c r="AG369" i="14"/>
  <c r="AH369" i="14"/>
  <c r="AE370" i="14"/>
  <c r="AF370" i="14"/>
  <c r="AG370" i="14"/>
  <c r="AH370" i="14"/>
  <c r="AE371" i="14"/>
  <c r="AF371" i="14"/>
  <c r="AG371" i="14"/>
  <c r="AH371" i="14"/>
  <c r="AE372" i="14"/>
  <c r="AF372" i="14"/>
  <c r="AG372" i="14"/>
  <c r="AH372" i="14"/>
  <c r="AB373" i="14"/>
  <c r="AE373" i="14"/>
  <c r="AH373" i="14"/>
  <c r="AE374" i="14"/>
  <c r="AF374" i="14"/>
  <c r="AG374" i="14"/>
  <c r="AH374" i="14"/>
  <c r="AE375" i="14"/>
  <c r="AF375" i="14"/>
  <c r="AG375" i="14"/>
  <c r="AH375" i="14"/>
  <c r="Y376" i="14"/>
  <c r="AE376" i="14" s="1"/>
  <c r="AB376" i="14"/>
  <c r="AF376" i="14" s="1"/>
  <c r="AH376" i="14"/>
  <c r="AI376" i="14"/>
  <c r="AL376" i="14"/>
  <c r="AM376" i="14" s="1"/>
  <c r="AE377" i="14"/>
  <c r="AF377" i="14"/>
  <c r="AG377" i="14"/>
  <c r="AH377" i="14"/>
  <c r="AE378" i="14"/>
  <c r="AF378" i="14"/>
  <c r="AG378" i="14"/>
  <c r="AH378" i="14"/>
  <c r="AE379" i="14"/>
  <c r="AF379" i="14"/>
  <c r="AG379" i="14"/>
  <c r="AH379" i="14"/>
  <c r="AB380" i="14"/>
  <c r="AE380" i="14"/>
  <c r="AH380" i="14"/>
  <c r="AB381" i="14"/>
  <c r="AE381" i="14"/>
  <c r="AH381" i="14"/>
  <c r="AE382" i="14"/>
  <c r="AF382" i="14"/>
  <c r="AG382" i="14"/>
  <c r="AH382" i="14"/>
  <c r="AB383" i="14"/>
  <c r="AE383" i="14"/>
  <c r="AH383" i="14"/>
  <c r="AE384" i="14"/>
  <c r="AF384" i="14"/>
  <c r="AG384" i="14"/>
  <c r="AH384" i="14"/>
  <c r="AE385" i="14"/>
  <c r="AF385" i="14"/>
  <c r="AG385" i="14"/>
  <c r="AH385" i="14"/>
  <c r="AE386" i="14"/>
  <c r="AF386" i="14"/>
  <c r="AG386" i="14"/>
  <c r="AH386" i="14"/>
  <c r="AE387" i="14"/>
  <c r="AF387" i="14"/>
  <c r="AG387" i="14"/>
  <c r="AH387" i="14"/>
  <c r="AE388" i="14"/>
  <c r="AF388" i="14"/>
  <c r="AG388" i="14"/>
  <c r="AH388" i="14"/>
  <c r="AE389" i="14"/>
  <c r="AF389" i="14"/>
  <c r="AG389" i="14"/>
  <c r="AH389" i="14"/>
  <c r="AE391" i="14"/>
  <c r="AF391" i="14"/>
  <c r="AG391" i="14"/>
  <c r="AH391" i="14"/>
  <c r="AE392" i="14"/>
  <c r="AF392" i="14"/>
  <c r="AG392" i="14"/>
  <c r="AH392" i="14"/>
  <c r="AE393" i="14"/>
  <c r="AF393" i="14"/>
  <c r="AG393" i="14"/>
  <c r="AH393" i="14"/>
  <c r="AE394" i="14"/>
  <c r="AF394" i="14"/>
  <c r="AG394" i="14"/>
  <c r="AH394" i="14"/>
  <c r="AE395" i="14"/>
  <c r="AF395" i="14"/>
  <c r="AG395" i="14"/>
  <c r="AH395" i="14"/>
  <c r="AE396" i="14"/>
  <c r="AF396" i="14"/>
  <c r="AG396" i="14"/>
  <c r="AH396" i="14"/>
  <c r="AE397" i="14"/>
  <c r="AF397" i="14"/>
  <c r="AG397" i="14"/>
  <c r="AH397" i="14"/>
  <c r="AE398" i="14"/>
  <c r="AF398" i="14"/>
  <c r="AG398" i="14"/>
  <c r="AH398" i="14"/>
  <c r="AE399" i="14"/>
  <c r="AF399" i="14"/>
  <c r="AG399" i="14"/>
  <c r="AH399" i="14"/>
  <c r="AE400" i="14"/>
  <c r="AF400" i="14"/>
  <c r="AG400" i="14"/>
  <c r="AH400" i="14"/>
  <c r="AE401" i="14"/>
  <c r="AF401" i="14"/>
  <c r="AG401" i="14"/>
  <c r="AH401" i="14"/>
  <c r="AE402" i="14"/>
  <c r="AF402" i="14"/>
  <c r="AG402" i="14"/>
  <c r="AH402" i="14"/>
  <c r="AE403" i="14"/>
  <c r="AF403" i="14"/>
  <c r="AG403" i="14"/>
  <c r="AH403" i="14"/>
  <c r="AE404" i="14"/>
  <c r="AF404" i="14"/>
  <c r="AG404" i="14"/>
  <c r="AH404" i="14"/>
  <c r="AE405" i="14"/>
  <c r="AF405" i="14"/>
  <c r="AG405" i="14"/>
  <c r="AH405" i="14"/>
  <c r="AE406" i="14"/>
  <c r="AF406" i="14"/>
  <c r="AG406" i="14"/>
  <c r="AH406" i="14"/>
  <c r="AE407" i="14"/>
  <c r="AF407" i="14"/>
  <c r="AG407" i="14"/>
  <c r="AH407" i="14"/>
  <c r="AE408" i="14"/>
  <c r="AF408" i="14"/>
  <c r="AG408" i="14"/>
  <c r="AH408" i="14"/>
  <c r="AE409" i="14"/>
  <c r="AF409" i="14"/>
  <c r="AG409" i="14"/>
  <c r="AH409" i="14"/>
  <c r="AE410" i="14"/>
  <c r="AF410" i="14"/>
  <c r="AG410" i="14"/>
  <c r="AH410" i="14"/>
  <c r="AE411" i="14"/>
  <c r="AF411" i="14"/>
  <c r="AG411" i="14"/>
  <c r="AH411" i="14"/>
  <c r="AE412" i="14"/>
  <c r="AF412" i="14"/>
  <c r="AG412" i="14"/>
  <c r="AH412" i="14"/>
  <c r="AE413" i="14"/>
  <c r="AF413" i="14"/>
  <c r="AG413" i="14"/>
  <c r="AH413" i="14"/>
  <c r="AE414" i="14"/>
  <c r="AF414" i="14"/>
  <c r="AG414" i="14"/>
  <c r="AH414" i="14"/>
  <c r="AE415" i="14"/>
  <c r="AF415" i="14"/>
  <c r="AG415" i="14"/>
  <c r="AH415" i="14"/>
  <c r="AI415" i="14"/>
  <c r="AE416" i="14"/>
  <c r="AF416" i="14"/>
  <c r="AG416" i="14"/>
  <c r="AH416" i="14"/>
  <c r="AI416" i="14"/>
  <c r="AE417" i="14"/>
  <c r="AF417" i="14"/>
  <c r="AG417" i="14"/>
  <c r="AH417" i="14"/>
  <c r="AI417" i="14"/>
  <c r="AE418" i="14"/>
  <c r="AF418" i="14"/>
  <c r="AG418" i="14"/>
  <c r="AH418" i="14"/>
  <c r="AI418" i="14"/>
  <c r="AE419" i="14"/>
  <c r="AF419" i="14"/>
  <c r="AG419" i="14"/>
  <c r="AH419" i="14"/>
  <c r="AI419" i="14"/>
  <c r="Y420" i="14"/>
  <c r="AB420" i="14"/>
  <c r="AE420" i="14"/>
  <c r="AH420" i="14"/>
  <c r="AI420" i="14"/>
  <c r="AL420" i="14"/>
  <c r="AM420" i="14" s="1"/>
  <c r="Z421" i="14"/>
  <c r="AA421" i="14"/>
  <c r="AE421" i="14"/>
  <c r="AG421" i="14"/>
  <c r="AH421" i="14"/>
  <c r="AE422" i="14"/>
  <c r="AF422" i="14"/>
  <c r="AG422" i="14"/>
  <c r="AH422" i="14"/>
  <c r="AE423" i="14"/>
  <c r="AF423" i="14"/>
  <c r="AG423" i="14"/>
  <c r="AH423" i="14"/>
  <c r="AE424" i="14"/>
  <c r="AF424" i="14"/>
  <c r="AG424" i="14"/>
  <c r="AH424" i="14"/>
  <c r="AE425" i="14"/>
  <c r="AF425" i="14"/>
  <c r="AG425" i="14"/>
  <c r="AH425" i="14"/>
  <c r="AE426" i="14"/>
  <c r="AF426" i="14"/>
  <c r="AG426" i="14"/>
  <c r="AH426" i="14"/>
  <c r="AE427" i="14"/>
  <c r="AF427" i="14"/>
  <c r="AG427" i="14"/>
  <c r="AH427" i="14"/>
  <c r="AE428" i="14"/>
  <c r="AF428" i="14"/>
  <c r="AG428" i="14"/>
  <c r="AH428" i="14"/>
  <c r="AE429" i="14"/>
  <c r="AF429" i="14"/>
  <c r="AG429" i="14"/>
  <c r="AH429" i="14"/>
  <c r="AE430" i="14"/>
  <c r="AF430" i="14"/>
  <c r="AG430" i="14"/>
  <c r="AH430" i="14"/>
  <c r="AE431" i="14"/>
  <c r="AF431" i="14"/>
  <c r="AG431" i="14"/>
  <c r="AH431" i="14"/>
  <c r="AE432" i="14"/>
  <c r="AF432" i="14"/>
  <c r="AG432" i="14"/>
  <c r="AH432" i="14"/>
  <c r="AE433" i="14"/>
  <c r="AF433" i="14"/>
  <c r="AG433" i="14"/>
  <c r="AH433" i="14"/>
  <c r="AE434" i="14"/>
  <c r="AF434" i="14"/>
  <c r="AG434" i="14"/>
  <c r="AH434" i="14"/>
  <c r="AE435" i="14"/>
  <c r="AF435" i="14"/>
  <c r="AG435" i="14"/>
  <c r="AH435" i="14"/>
  <c r="AE436" i="14"/>
  <c r="AF436" i="14"/>
  <c r="AG436" i="14"/>
  <c r="AH436" i="14"/>
  <c r="AE437" i="14"/>
  <c r="AF437" i="14"/>
  <c r="AG437" i="14"/>
  <c r="AH437" i="14"/>
  <c r="AE438" i="14"/>
  <c r="AF438" i="14"/>
  <c r="AG438" i="14"/>
  <c r="AH438" i="14"/>
  <c r="AE439" i="14"/>
  <c r="AF439" i="14"/>
  <c r="AG439" i="14"/>
  <c r="AH439" i="14"/>
  <c r="AE440" i="14"/>
  <c r="AF440" i="14"/>
  <c r="AG440" i="14"/>
  <c r="AH440" i="14"/>
  <c r="AE441" i="14"/>
  <c r="AF441" i="14"/>
  <c r="AG441" i="14"/>
  <c r="AH441" i="14"/>
  <c r="AE442" i="14"/>
  <c r="AF442" i="14"/>
  <c r="AG442" i="14"/>
  <c r="AH442" i="14"/>
  <c r="AE443" i="14"/>
  <c r="AF443" i="14"/>
  <c r="AG443" i="14"/>
  <c r="AH443" i="14"/>
  <c r="AE444" i="14"/>
  <c r="AF444" i="14"/>
  <c r="AG444" i="14"/>
  <c r="AH444" i="14"/>
  <c r="AE445" i="14"/>
  <c r="AF445" i="14"/>
  <c r="AG445" i="14"/>
  <c r="AH445" i="14"/>
  <c r="AE446" i="14"/>
  <c r="AF446" i="14"/>
  <c r="AG446" i="14"/>
  <c r="AH446" i="14"/>
  <c r="AE447" i="14"/>
  <c r="AF447" i="14"/>
  <c r="AG447" i="14"/>
  <c r="AH447" i="14"/>
  <c r="AE448" i="14"/>
  <c r="AF448" i="14"/>
  <c r="AG448" i="14"/>
  <c r="AH448" i="14"/>
  <c r="AE449" i="14"/>
  <c r="AF449" i="14"/>
  <c r="AG449" i="14"/>
  <c r="AH449" i="14"/>
  <c r="AE450" i="14"/>
  <c r="AF450" i="14"/>
  <c r="AG450" i="14"/>
  <c r="AH450" i="14"/>
  <c r="AE451" i="14"/>
  <c r="AF451" i="14"/>
  <c r="AG451" i="14"/>
  <c r="AH451" i="14"/>
  <c r="AE452" i="14"/>
  <c r="AF452" i="14"/>
  <c r="AG452" i="14"/>
  <c r="AH452" i="14"/>
  <c r="AE453" i="14"/>
  <c r="AF453" i="14"/>
  <c r="AG453" i="14"/>
  <c r="AH453" i="14"/>
  <c r="AE454" i="14"/>
  <c r="AF454" i="14"/>
  <c r="AG454" i="14"/>
  <c r="AH454" i="14"/>
  <c r="AE455" i="14"/>
  <c r="AF455" i="14"/>
  <c r="AG455" i="14"/>
  <c r="AH455" i="14"/>
  <c r="AB534" i="14"/>
  <c r="AE534" i="14"/>
  <c r="AH534" i="14"/>
  <c r="AL534" i="14"/>
  <c r="AM534" i="14" s="1"/>
  <c r="AR534" i="14"/>
  <c r="AS534" i="14" s="1"/>
  <c r="AB535" i="14"/>
  <c r="AE535" i="14"/>
  <c r="AH535" i="14"/>
  <c r="AR535" i="14"/>
  <c r="AS535" i="14" s="1"/>
  <c r="AB536" i="14"/>
  <c r="AE536" i="14"/>
  <c r="AH536" i="14"/>
  <c r="AR536" i="14"/>
  <c r="AS536" i="14" s="1"/>
  <c r="AB537" i="14"/>
  <c r="AE537" i="14"/>
  <c r="AH537" i="14"/>
  <c r="AR537" i="14"/>
  <c r="AS537" i="14" s="1"/>
  <c r="AE456" i="14"/>
  <c r="AF456" i="14"/>
  <c r="AG456" i="14"/>
  <c r="AH456" i="14"/>
  <c r="AM456" i="14"/>
  <c r="AE457" i="14"/>
  <c r="AF457" i="14"/>
  <c r="AG457" i="14"/>
  <c r="AH457" i="14"/>
  <c r="AI457" i="14"/>
  <c r="AJ457" i="14"/>
  <c r="AK457" i="14"/>
  <c r="BO457" i="14"/>
  <c r="AE458" i="14"/>
  <c r="AF458" i="14"/>
  <c r="AG458" i="14"/>
  <c r="AH458" i="14"/>
  <c r="AE459" i="14"/>
  <c r="AF459" i="14"/>
  <c r="AG459" i="14"/>
  <c r="AH459" i="14"/>
  <c r="AE460" i="14"/>
  <c r="AF460" i="14"/>
  <c r="AG460" i="14"/>
  <c r="AH460" i="14"/>
  <c r="AE461" i="14"/>
  <c r="AF461" i="14"/>
  <c r="AG461" i="14"/>
  <c r="AH461" i="14"/>
  <c r="AE462" i="14"/>
  <c r="AF462" i="14"/>
  <c r="AG462" i="14"/>
  <c r="AH462" i="14"/>
  <c r="AE463" i="14"/>
  <c r="AF463" i="14"/>
  <c r="AG463" i="14"/>
  <c r="AH463" i="14"/>
  <c r="AB464" i="14"/>
  <c r="AE464" i="14"/>
  <c r="AH464" i="14"/>
  <c r="AL464" i="14"/>
  <c r="AM464" i="14" s="1"/>
  <c r="AE465" i="14"/>
  <c r="AF465" i="14"/>
  <c r="AG465" i="14"/>
  <c r="AH465" i="14"/>
  <c r="AE466" i="14"/>
  <c r="AF466" i="14"/>
  <c r="AG466" i="14"/>
  <c r="AH466" i="14"/>
  <c r="AE467" i="14"/>
  <c r="AF467" i="14"/>
  <c r="AG467" i="14"/>
  <c r="AH467" i="14"/>
  <c r="AE468" i="14"/>
  <c r="AF468" i="14"/>
  <c r="AG468" i="14"/>
  <c r="AH468" i="14"/>
  <c r="AE469" i="14"/>
  <c r="AF469" i="14"/>
  <c r="AG469" i="14"/>
  <c r="AH469" i="14"/>
  <c r="AE470" i="14"/>
  <c r="AF470" i="14"/>
  <c r="AG470" i="14"/>
  <c r="AH470" i="14"/>
  <c r="AE471" i="14"/>
  <c r="AF471" i="14"/>
  <c r="AG471" i="14"/>
  <c r="AH471" i="14"/>
  <c r="AE472" i="14"/>
  <c r="AF472" i="14"/>
  <c r="AG472" i="14"/>
  <c r="AH472" i="14"/>
  <c r="AE473" i="14"/>
  <c r="AF473" i="14"/>
  <c r="AG473" i="14"/>
  <c r="AH473" i="14"/>
  <c r="AE474" i="14"/>
  <c r="AF474" i="14"/>
  <c r="AG474" i="14"/>
  <c r="AH474" i="14"/>
  <c r="AE475" i="14"/>
  <c r="AF475" i="14"/>
  <c r="AG475" i="14"/>
  <c r="AH475" i="14"/>
  <c r="AE476" i="14"/>
  <c r="AF476" i="14"/>
  <c r="AG476" i="14"/>
  <c r="AH476" i="14"/>
  <c r="AE477" i="14"/>
  <c r="AF477" i="14"/>
  <c r="AG477" i="14"/>
  <c r="AH477" i="14"/>
  <c r="AE478" i="14"/>
  <c r="AF478" i="14"/>
  <c r="AG478" i="14"/>
  <c r="AH478" i="14"/>
  <c r="AE479" i="14"/>
  <c r="AF479" i="14"/>
  <c r="AG479" i="14"/>
  <c r="AH479" i="14"/>
  <c r="AE480" i="14"/>
  <c r="AF480" i="14"/>
  <c r="AG480" i="14"/>
  <c r="AH480" i="14"/>
  <c r="AE481" i="14"/>
  <c r="AF481" i="14"/>
  <c r="AG481" i="14"/>
  <c r="AH481" i="14"/>
  <c r="AE482" i="14"/>
  <c r="AF482" i="14"/>
  <c r="AG482" i="14"/>
  <c r="AH482" i="14"/>
  <c r="AE483" i="14"/>
  <c r="AF483" i="14"/>
  <c r="AG483" i="14"/>
  <c r="AH483" i="14"/>
  <c r="AE484" i="14"/>
  <c r="AF484" i="14"/>
  <c r="AG484" i="14"/>
  <c r="AH484" i="14"/>
  <c r="AE485" i="14"/>
  <c r="AF485" i="14"/>
  <c r="AG485" i="14"/>
  <c r="AH485" i="14"/>
  <c r="AE486" i="14"/>
  <c r="AF486" i="14"/>
  <c r="AG486" i="14"/>
  <c r="AH486" i="14"/>
  <c r="AE487" i="14"/>
  <c r="AF487" i="14"/>
  <c r="AG487" i="14"/>
  <c r="AH487" i="14"/>
  <c r="AE488" i="14"/>
  <c r="AF488" i="14"/>
  <c r="AG488" i="14"/>
  <c r="AH488" i="14"/>
  <c r="AE489" i="14"/>
  <c r="AF489" i="14"/>
  <c r="AG489" i="14"/>
  <c r="AH489" i="14"/>
  <c r="AE490" i="14"/>
  <c r="AF490" i="14"/>
  <c r="AG490" i="14"/>
  <c r="AH490" i="14"/>
  <c r="AC491" i="14"/>
  <c r="AG491" i="14" s="1"/>
  <c r="AE491" i="14"/>
  <c r="AF491" i="14"/>
  <c r="AH491" i="14"/>
  <c r="AM491" i="14"/>
  <c r="BE491" i="14"/>
  <c r="AE492" i="14"/>
  <c r="AF492" i="14"/>
  <c r="AG492" i="14"/>
  <c r="AH492" i="14"/>
  <c r="AR492" i="14"/>
  <c r="AS492" i="14" s="1"/>
  <c r="AE493" i="14"/>
  <c r="AF493" i="14"/>
  <c r="AG493" i="14"/>
  <c r="AH493" i="14"/>
  <c r="AR493" i="14"/>
  <c r="AS493" i="14" s="1"/>
  <c r="AE494" i="14"/>
  <c r="AF494" i="14"/>
  <c r="AG494" i="14"/>
  <c r="AH494" i="14"/>
  <c r="AE495" i="14"/>
  <c r="AF495" i="14"/>
  <c r="AG495" i="14"/>
  <c r="AH495" i="14"/>
  <c r="AE496" i="14"/>
  <c r="AF496" i="14"/>
  <c r="AG496" i="14"/>
  <c r="AH496" i="14"/>
  <c r="AE497" i="14"/>
  <c r="AF497" i="14"/>
  <c r="AG497" i="14"/>
  <c r="AH497" i="14"/>
  <c r="AE498" i="14"/>
  <c r="AF498" i="14"/>
  <c r="AG498" i="14"/>
  <c r="AH498" i="14"/>
  <c r="AE499" i="14"/>
  <c r="AF499" i="14"/>
  <c r="AG499" i="14"/>
  <c r="AH499" i="14"/>
  <c r="AE500" i="14"/>
  <c r="AF500" i="14"/>
  <c r="AG500" i="14"/>
  <c r="AH500" i="14"/>
  <c r="AB501" i="14"/>
  <c r="AF501" i="14" s="1"/>
  <c r="AE501" i="14"/>
  <c r="AH501" i="14"/>
  <c r="AI501" i="14"/>
  <c r="AJ501" i="14"/>
  <c r="AL501" i="14" s="1"/>
  <c r="AM501" i="14" s="1"/>
  <c r="AK501" i="14"/>
  <c r="AC502" i="14"/>
  <c r="AG502" i="14" s="1"/>
  <c r="AE502" i="14"/>
  <c r="AF502" i="14"/>
  <c r="AH502" i="14"/>
  <c r="AM502" i="14"/>
  <c r="AE503" i="14"/>
  <c r="AF503" i="14"/>
  <c r="AG503" i="14"/>
  <c r="AH503" i="14"/>
  <c r="AE504" i="14"/>
  <c r="AF504" i="14"/>
  <c r="AG504" i="14"/>
  <c r="AH504" i="14"/>
  <c r="AE505" i="14"/>
  <c r="AF505" i="14"/>
  <c r="AG505" i="14"/>
  <c r="AH505" i="14"/>
  <c r="AE506" i="14"/>
  <c r="AF506" i="14"/>
  <c r="AG506" i="14"/>
  <c r="AH506" i="14"/>
  <c r="AE507" i="14"/>
  <c r="AF507" i="14"/>
  <c r="AG507" i="14"/>
  <c r="AH507" i="14"/>
  <c r="AE508" i="14"/>
  <c r="AF508" i="14"/>
  <c r="AG508" i="14"/>
  <c r="AH508" i="14"/>
  <c r="AE509" i="14"/>
  <c r="AF509" i="14"/>
  <c r="AG509" i="14"/>
  <c r="AH509" i="14"/>
  <c r="AE510" i="14"/>
  <c r="AF510" i="14"/>
  <c r="AG510" i="14"/>
  <c r="AH510" i="14"/>
  <c r="AE511" i="14"/>
  <c r="AF511" i="14"/>
  <c r="AG511" i="14"/>
  <c r="AH511" i="14"/>
  <c r="AE512" i="14"/>
  <c r="AF512" i="14"/>
  <c r="AG512" i="14"/>
  <c r="AH512" i="14"/>
  <c r="AE513" i="14"/>
  <c r="AF513" i="14"/>
  <c r="AG513" i="14"/>
  <c r="AH513" i="14"/>
  <c r="AE514" i="14"/>
  <c r="AF514" i="14"/>
  <c r="AG514" i="14"/>
  <c r="AH514" i="14"/>
  <c r="AE515" i="14"/>
  <c r="AF515" i="14"/>
  <c r="AG515" i="14"/>
  <c r="AH515" i="14"/>
  <c r="AE516" i="14"/>
  <c r="AF516" i="14"/>
  <c r="AG516" i="14"/>
  <c r="AH516" i="14"/>
  <c r="AE517" i="14"/>
  <c r="AF517" i="14"/>
  <c r="AG517" i="14"/>
  <c r="AH517" i="14"/>
  <c r="AE518" i="14"/>
  <c r="AF518" i="14"/>
  <c r="AG518" i="14"/>
  <c r="AH518" i="14"/>
  <c r="AE519" i="14"/>
  <c r="AF519" i="14"/>
  <c r="AG519" i="14"/>
  <c r="AH519" i="14"/>
  <c r="AE520" i="14"/>
  <c r="AF520" i="14"/>
  <c r="AG520" i="14"/>
  <c r="AH520" i="14"/>
  <c r="AE521" i="14"/>
  <c r="AF521" i="14"/>
  <c r="AG521" i="14"/>
  <c r="AH521" i="14"/>
  <c r="AE522" i="14"/>
  <c r="AF522" i="14"/>
  <c r="AG522" i="14"/>
  <c r="AH522" i="14"/>
  <c r="AE523" i="14"/>
  <c r="AF523" i="14"/>
  <c r="AG523" i="14"/>
  <c r="AH523" i="14"/>
  <c r="AE524" i="14"/>
  <c r="AF524" i="14"/>
  <c r="AG524" i="14"/>
  <c r="AH524" i="14"/>
  <c r="AE525" i="14"/>
  <c r="AF525" i="14"/>
  <c r="AG525" i="14"/>
  <c r="AH525" i="14"/>
  <c r="AE526" i="14"/>
  <c r="AF526" i="14"/>
  <c r="AG526" i="14"/>
  <c r="AH526" i="14"/>
  <c r="AE527" i="14"/>
  <c r="AF527" i="14"/>
  <c r="AG527" i="14"/>
  <c r="AH527" i="14"/>
  <c r="AE528" i="14"/>
  <c r="AF528" i="14"/>
  <c r="AG528" i="14"/>
  <c r="AH528" i="14"/>
  <c r="AI528" i="14"/>
  <c r="AE529" i="14"/>
  <c r="AF529" i="14"/>
  <c r="AG529" i="14"/>
  <c r="AH529" i="14"/>
  <c r="AE530" i="14"/>
  <c r="AF530" i="14"/>
  <c r="AG530" i="14"/>
  <c r="AH530" i="14"/>
  <c r="AE531" i="14"/>
  <c r="AF531" i="14"/>
  <c r="AG531" i="14"/>
  <c r="AH531" i="14"/>
  <c r="AE532" i="14"/>
  <c r="AF532" i="14"/>
  <c r="AG532" i="14"/>
  <c r="AH532" i="14"/>
  <c r="AE533" i="14"/>
  <c r="AF533" i="14"/>
  <c r="AG533" i="14"/>
  <c r="AH533" i="14"/>
  <c r="AE538" i="14"/>
  <c r="AF538" i="14"/>
  <c r="AG538" i="14"/>
  <c r="AH538" i="14"/>
  <c r="AE539" i="14"/>
  <c r="AF539" i="14"/>
  <c r="AG539" i="14"/>
  <c r="AH539" i="14"/>
  <c r="AE540" i="14"/>
  <c r="AF540" i="14"/>
  <c r="AG540" i="14"/>
  <c r="AH540" i="14"/>
  <c r="AE541" i="14"/>
  <c r="AF541" i="14"/>
  <c r="AG541" i="14"/>
  <c r="AH541" i="14"/>
  <c r="AE542" i="14"/>
  <c r="AF542" i="14"/>
  <c r="AG542" i="14"/>
  <c r="AH542" i="14"/>
  <c r="AE543" i="14"/>
  <c r="AF543" i="14"/>
  <c r="AG543" i="14"/>
  <c r="AH543" i="14"/>
  <c r="AE544" i="14"/>
  <c r="AF544" i="14"/>
  <c r="AG544" i="14"/>
  <c r="AH544" i="14"/>
  <c r="AE545" i="14"/>
  <c r="AF545" i="14"/>
  <c r="AG545" i="14"/>
  <c r="AH545" i="14"/>
  <c r="AE546" i="14"/>
  <c r="AF546" i="14"/>
  <c r="AG546" i="14"/>
  <c r="AH546" i="14"/>
  <c r="AE547" i="14"/>
  <c r="AF547" i="14"/>
  <c r="AG547" i="14"/>
  <c r="AH547" i="14"/>
  <c r="AE548" i="14"/>
  <c r="AF548" i="14"/>
  <c r="AG548" i="14"/>
  <c r="AH548" i="14"/>
  <c r="AE549" i="14"/>
  <c r="AF549" i="14"/>
  <c r="AG549" i="14"/>
  <c r="AH549" i="14"/>
  <c r="AE550" i="14"/>
  <c r="AF550" i="14"/>
  <c r="AG550" i="14"/>
  <c r="AH550" i="14"/>
  <c r="AE551" i="14"/>
  <c r="AF551" i="14"/>
  <c r="AG551" i="14"/>
  <c r="AH551" i="14"/>
  <c r="AE552" i="14"/>
  <c r="AF552" i="14"/>
  <c r="AG552" i="14"/>
  <c r="AH552" i="14"/>
  <c r="AE553" i="14"/>
  <c r="AF553" i="14"/>
  <c r="AG553" i="14"/>
  <c r="AH553" i="14"/>
  <c r="AE554" i="14"/>
  <c r="AF554" i="14"/>
  <c r="AG554" i="14"/>
  <c r="AH554" i="14"/>
  <c r="AE555" i="14"/>
  <c r="AF555" i="14"/>
  <c r="AG555" i="14"/>
  <c r="AH555" i="14"/>
  <c r="AE556" i="14"/>
  <c r="AF556" i="14"/>
  <c r="AG556" i="14"/>
  <c r="AH556" i="14"/>
  <c r="AE557" i="14"/>
  <c r="AF557" i="14"/>
  <c r="AG557" i="14"/>
  <c r="AH557" i="14"/>
  <c r="AE558" i="14"/>
  <c r="AF558" i="14"/>
  <c r="AG558" i="14"/>
  <c r="AH558" i="14"/>
  <c r="AE559" i="14"/>
  <c r="AF559" i="14"/>
  <c r="AG559" i="14"/>
  <c r="AH559" i="14"/>
  <c r="AE560" i="14"/>
  <c r="AF560" i="14"/>
  <c r="AG560" i="14"/>
  <c r="AH560" i="14"/>
  <c r="AE561" i="14"/>
  <c r="AF561" i="14"/>
  <c r="AG561" i="14"/>
  <c r="AH561" i="14"/>
  <c r="AE562" i="14"/>
  <c r="AF562" i="14"/>
  <c r="AG562" i="14"/>
  <c r="AH562" i="14"/>
  <c r="AL562" i="14"/>
  <c r="AM562" i="14" s="1"/>
  <c r="AE563" i="14"/>
  <c r="AF563" i="14"/>
  <c r="AG563" i="14"/>
  <c r="AH563" i="14"/>
  <c r="AE564" i="14"/>
  <c r="AF564" i="14"/>
  <c r="AG564" i="14"/>
  <c r="AH564" i="14"/>
  <c r="AE565" i="14"/>
  <c r="AF565" i="14"/>
  <c r="AG565" i="14"/>
  <c r="AH565" i="14"/>
  <c r="AE566" i="14"/>
  <c r="AF566" i="14"/>
  <c r="AG566" i="14"/>
  <c r="AH566" i="14"/>
  <c r="AE567" i="14"/>
  <c r="AF567" i="14"/>
  <c r="AG567" i="14"/>
  <c r="AH567" i="14"/>
  <c r="AE568" i="14"/>
  <c r="AF568" i="14"/>
  <c r="AG568" i="14"/>
  <c r="AH568" i="14"/>
  <c r="AE569" i="14"/>
  <c r="AF569" i="14"/>
  <c r="AG569" i="14"/>
  <c r="AH569" i="14"/>
  <c r="AE570" i="14"/>
  <c r="AF570" i="14"/>
  <c r="AG570" i="14"/>
  <c r="AH570" i="14"/>
  <c r="AE571" i="14"/>
  <c r="AF571" i="14"/>
  <c r="AG571" i="14"/>
  <c r="AH571" i="14"/>
  <c r="AE572" i="14"/>
  <c r="AF572" i="14"/>
  <c r="AG572" i="14"/>
  <c r="AH572" i="14"/>
  <c r="AE573" i="14"/>
  <c r="AF573" i="14"/>
  <c r="AG573" i="14"/>
  <c r="AH573" i="14"/>
  <c r="AE574" i="14"/>
  <c r="AF574" i="14"/>
  <c r="AG574" i="14"/>
  <c r="AH574" i="14"/>
  <c r="AE575" i="14"/>
  <c r="AF575" i="14"/>
  <c r="AG575" i="14"/>
  <c r="AH575" i="14"/>
  <c r="AE576" i="14"/>
  <c r="AF576" i="14"/>
  <c r="AG576" i="14"/>
  <c r="AH576" i="14"/>
  <c r="AE577" i="14"/>
  <c r="AF577" i="14"/>
  <c r="AG577" i="14"/>
  <c r="AH577" i="14"/>
  <c r="AC578" i="14"/>
  <c r="AG578" i="14" s="1"/>
  <c r="AE578" i="14"/>
  <c r="AF578" i="14"/>
  <c r="AH578" i="14"/>
  <c r="AB579" i="14"/>
  <c r="AC579" i="14" s="1"/>
  <c r="AG579" i="14" s="1"/>
  <c r="AE579" i="14"/>
  <c r="AH579" i="14"/>
  <c r="AE580" i="14"/>
  <c r="AF580" i="14"/>
  <c r="AG580" i="14"/>
  <c r="AH580" i="14"/>
  <c r="AE581" i="14"/>
  <c r="AF581" i="14"/>
  <c r="AG581" i="14"/>
  <c r="AH581" i="14"/>
  <c r="AE582" i="14"/>
  <c r="AF582" i="14"/>
  <c r="AG582" i="14"/>
  <c r="AH582" i="14"/>
  <c r="AE583" i="14"/>
  <c r="AF583" i="14"/>
  <c r="AG583" i="14"/>
  <c r="AH583" i="14"/>
  <c r="AB584" i="14"/>
  <c r="AF584" i="14" s="1"/>
  <c r="AE584" i="14"/>
  <c r="AH584" i="14"/>
  <c r="AB585" i="14"/>
  <c r="AC585" i="14" s="1"/>
  <c r="AG585" i="14" s="1"/>
  <c r="AE585" i="14"/>
  <c r="AH585" i="14"/>
  <c r="AB586" i="14"/>
  <c r="AF586" i="14" s="1"/>
  <c r="AE586" i="14"/>
  <c r="AH586" i="14"/>
  <c r="AB587" i="14"/>
  <c r="AC587" i="14" s="1"/>
  <c r="AG587" i="14" s="1"/>
  <c r="AE587" i="14"/>
  <c r="AH587" i="14"/>
  <c r="AB588" i="14"/>
  <c r="AF588" i="14" s="1"/>
  <c r="AE588" i="14"/>
  <c r="AH588" i="14"/>
  <c r="AB589" i="14"/>
  <c r="AC589" i="14" s="1"/>
  <c r="AG589" i="14" s="1"/>
  <c r="AE589" i="14"/>
  <c r="AH589" i="14"/>
  <c r="AB590" i="14"/>
  <c r="AF590" i="14" s="1"/>
  <c r="AE590" i="14"/>
  <c r="AH590" i="14"/>
  <c r="AE591" i="14"/>
  <c r="AF591" i="14"/>
  <c r="AG591" i="14"/>
  <c r="AH591" i="14"/>
  <c r="AE592" i="14"/>
  <c r="AF592" i="14"/>
  <c r="AG592" i="14"/>
  <c r="AH592" i="14"/>
  <c r="AE593" i="14"/>
  <c r="AF593" i="14"/>
  <c r="AG593" i="14"/>
  <c r="AH593" i="14"/>
  <c r="AE594" i="14"/>
  <c r="AF594" i="14"/>
  <c r="AG594" i="14"/>
  <c r="AH594" i="14"/>
  <c r="AE595" i="14"/>
  <c r="AF595" i="14"/>
  <c r="AG595" i="14"/>
  <c r="AH595" i="14"/>
  <c r="AE596" i="14"/>
  <c r="AF596" i="14"/>
  <c r="AG596" i="14"/>
  <c r="AH596" i="14"/>
  <c r="AE597" i="14"/>
  <c r="AF597" i="14"/>
  <c r="AG597" i="14"/>
  <c r="AH597" i="14"/>
  <c r="AE598" i="14"/>
  <c r="AF598" i="14"/>
  <c r="AG598" i="14"/>
  <c r="AH598" i="14"/>
  <c r="AE599" i="14"/>
  <c r="AF599" i="14"/>
  <c r="AG599" i="14"/>
  <c r="AH599" i="14"/>
  <c r="AE600" i="14"/>
  <c r="AF600" i="14"/>
  <c r="AG600" i="14"/>
  <c r="AH600" i="14"/>
  <c r="AE601" i="14"/>
  <c r="AF601" i="14"/>
  <c r="AG601" i="14"/>
  <c r="AH601" i="14"/>
  <c r="AE602" i="14"/>
  <c r="AF602" i="14"/>
  <c r="AG602" i="14"/>
  <c r="AH602" i="14"/>
  <c r="AE603" i="14"/>
  <c r="AF603" i="14"/>
  <c r="AG603" i="14"/>
  <c r="AH603" i="14"/>
  <c r="AE604" i="14"/>
  <c r="AF604" i="14"/>
  <c r="AG604" i="14"/>
  <c r="AH604" i="14"/>
  <c r="AE605" i="14"/>
  <c r="AF605" i="14"/>
  <c r="AG605" i="14"/>
  <c r="AH605" i="14"/>
  <c r="AE606" i="14"/>
  <c r="AF606" i="14"/>
  <c r="AG606" i="14"/>
  <c r="AH606" i="14"/>
  <c r="AE607" i="14"/>
  <c r="AF607" i="14"/>
  <c r="AG607" i="14"/>
  <c r="AH607" i="14"/>
  <c r="Y608" i="14"/>
  <c r="Z608" i="14"/>
  <c r="AA608" i="14"/>
  <c r="AB608" i="14" s="1"/>
  <c r="AD608" i="14"/>
  <c r="AH608" i="14" s="1"/>
  <c r="AE608" i="14"/>
  <c r="AI608" i="14"/>
  <c r="AJ608" i="14"/>
  <c r="AK608" i="14"/>
  <c r="AL608" i="14" s="1"/>
  <c r="AN608" i="14"/>
  <c r="Y609" i="14"/>
  <c r="Z609" i="14"/>
  <c r="AB609" i="14" s="1"/>
  <c r="AA609" i="14"/>
  <c r="AD609" i="14"/>
  <c r="AH609" i="14" s="1"/>
  <c r="AE609" i="14"/>
  <c r="AI609" i="14"/>
  <c r="AJ609" i="14"/>
  <c r="AK609" i="14"/>
  <c r="AN609" i="14"/>
  <c r="Y610" i="14"/>
  <c r="AE610" i="14" s="1"/>
  <c r="Z610" i="14"/>
  <c r="AB610" i="14" s="1"/>
  <c r="AA610" i="14"/>
  <c r="AD610" i="14"/>
  <c r="AH610" i="14" s="1"/>
  <c r="AI610" i="14"/>
  <c r="AJ610" i="14"/>
  <c r="AK610" i="14"/>
  <c r="AN610" i="14"/>
  <c r="Y611" i="14"/>
  <c r="AE611" i="14" s="1"/>
  <c r="Z611" i="14"/>
  <c r="AB611" i="14" s="1"/>
  <c r="AA611" i="14"/>
  <c r="AD611" i="14"/>
  <c r="AH611" i="14" s="1"/>
  <c r="AI611" i="14"/>
  <c r="AJ611" i="14"/>
  <c r="AK611" i="14"/>
  <c r="AL611" i="14" s="1"/>
  <c r="AN611" i="14"/>
  <c r="Y612" i="14"/>
  <c r="Z612" i="14"/>
  <c r="AA612" i="14"/>
  <c r="AB612" i="14" s="1"/>
  <c r="AD612" i="14"/>
  <c r="AH612" i="14" s="1"/>
  <c r="AE612" i="14"/>
  <c r="AI612" i="14"/>
  <c r="AJ612" i="14"/>
  <c r="AK612" i="14"/>
  <c r="AN612" i="14"/>
  <c r="Y613" i="14"/>
  <c r="Z613" i="14"/>
  <c r="AB613" i="14" s="1"/>
  <c r="AA613" i="14"/>
  <c r="AD613" i="14"/>
  <c r="AH613" i="14" s="1"/>
  <c r="AE613" i="14"/>
  <c r="AI613" i="14"/>
  <c r="AJ613" i="14"/>
  <c r="AK613" i="14"/>
  <c r="AN613" i="14"/>
  <c r="Y614" i="14"/>
  <c r="AE614" i="14" s="1"/>
  <c r="Z614" i="14"/>
  <c r="AB614" i="14" s="1"/>
  <c r="AA614" i="14"/>
  <c r="AD614" i="14"/>
  <c r="AH614" i="14" s="1"/>
  <c r="AI614" i="14"/>
  <c r="AJ614" i="14"/>
  <c r="AK614" i="14"/>
  <c r="AN614" i="14"/>
  <c r="Z615" i="14"/>
  <c r="AB615" i="14" s="1"/>
  <c r="AF615" i="14" s="1"/>
  <c r="AE615" i="14"/>
  <c r="AH615" i="14"/>
  <c r="AJ615" i="14"/>
  <c r="AL615" i="14" s="1"/>
  <c r="AM615" i="14" s="1"/>
  <c r="Z616" i="14"/>
  <c r="AB616" i="14"/>
  <c r="AF616" i="14" s="1"/>
  <c r="AE616" i="14"/>
  <c r="AH616" i="14"/>
  <c r="AJ616" i="14"/>
  <c r="AL616" i="14"/>
  <c r="AM616" i="14" s="1"/>
  <c r="AE617" i="14"/>
  <c r="AF617" i="14"/>
  <c r="AG617" i="14"/>
  <c r="AH617" i="14"/>
  <c r="AE618" i="14"/>
  <c r="AF618" i="14"/>
  <c r="AG618" i="14"/>
  <c r="AH618" i="14"/>
  <c r="AE619" i="14"/>
  <c r="AF619" i="14"/>
  <c r="AG619" i="14"/>
  <c r="AH619" i="14"/>
  <c r="AE620" i="14"/>
  <c r="AF620" i="14"/>
  <c r="AG620" i="14"/>
  <c r="AH620" i="14"/>
  <c r="AE621" i="14"/>
  <c r="AF621" i="14"/>
  <c r="AG621" i="14"/>
  <c r="AH621" i="14"/>
  <c r="AE622" i="14"/>
  <c r="AF622" i="14"/>
  <c r="AG622" i="14"/>
  <c r="AH622" i="14"/>
  <c r="AE623" i="14"/>
  <c r="AF623" i="14"/>
  <c r="AG623" i="14"/>
  <c r="AH623" i="14"/>
  <c r="AE624" i="14"/>
  <c r="AF624" i="14"/>
  <c r="AG624" i="14"/>
  <c r="AH624" i="14"/>
  <c r="AE625" i="14"/>
  <c r="AF625" i="14"/>
  <c r="AG625" i="14"/>
  <c r="AH625" i="14"/>
  <c r="AE626" i="14"/>
  <c r="AF626" i="14"/>
  <c r="AG626" i="14"/>
  <c r="AH626" i="14"/>
  <c r="AL626" i="14"/>
  <c r="AM626" i="14" s="1"/>
  <c r="AE627" i="14"/>
  <c r="AF627" i="14"/>
  <c r="AG627" i="14"/>
  <c r="AH627" i="14"/>
  <c r="AL627" i="14"/>
  <c r="AM627" i="14" s="1"/>
  <c r="BN627" i="14"/>
  <c r="BQ627" i="14"/>
  <c r="AE628" i="14"/>
  <c r="AF628" i="14"/>
  <c r="AG628" i="14"/>
  <c r="AH628" i="14"/>
  <c r="AL628" i="14"/>
  <c r="AM628" i="14" s="1"/>
  <c r="AE629" i="14"/>
  <c r="AF629" i="14"/>
  <c r="AG629" i="14"/>
  <c r="AH629" i="14"/>
  <c r="AE630" i="14"/>
  <c r="AF630" i="14"/>
  <c r="AG630" i="14"/>
  <c r="AH630" i="14"/>
  <c r="AE631" i="14"/>
  <c r="AF631" i="14"/>
  <c r="AG631" i="14"/>
  <c r="AH631" i="14"/>
  <c r="AE632" i="14"/>
  <c r="AF632" i="14"/>
  <c r="AG632" i="14"/>
  <c r="AH632" i="14"/>
  <c r="AE633" i="14"/>
  <c r="AF633" i="14"/>
  <c r="AG633" i="14"/>
  <c r="AH633" i="14"/>
  <c r="AE634" i="14"/>
  <c r="AF634" i="14"/>
  <c r="AG634" i="14"/>
  <c r="AH634" i="14"/>
  <c r="AB635" i="14"/>
  <c r="AC635" i="14" s="1"/>
  <c r="AG635" i="14" s="1"/>
  <c r="AE635" i="14"/>
  <c r="AH635" i="14"/>
  <c r="AL635" i="14"/>
  <c r="AM635" i="14" s="1"/>
  <c r="Y636" i="14"/>
  <c r="AE636" i="14" s="1"/>
  <c r="Z636" i="14"/>
  <c r="AA636" i="14"/>
  <c r="AB636" i="14" s="1"/>
  <c r="AD636" i="14"/>
  <c r="AH636" i="14" s="1"/>
  <c r="AE637" i="14"/>
  <c r="AF637" i="14"/>
  <c r="AG637" i="14"/>
  <c r="AH637" i="14"/>
  <c r="AS637" i="14"/>
  <c r="AC638" i="14"/>
  <c r="AD638" i="14"/>
  <c r="AH638" i="14" s="1"/>
  <c r="AE638" i="14"/>
  <c r="AF638" i="14"/>
  <c r="AG638" i="14"/>
  <c r="AC639" i="14"/>
  <c r="AD639" i="14"/>
  <c r="AE639" i="14"/>
  <c r="AF639" i="14"/>
  <c r="AG639" i="14"/>
  <c r="AH639" i="14"/>
  <c r="AC640" i="14"/>
  <c r="AD640" i="14"/>
  <c r="AE640" i="14"/>
  <c r="AF640" i="14"/>
  <c r="AG640" i="14"/>
  <c r="AH640" i="14"/>
  <c r="AC641" i="14"/>
  <c r="AD641" i="14"/>
  <c r="AH641" i="14" s="1"/>
  <c r="AE641" i="14"/>
  <c r="AF641" i="14"/>
  <c r="AG641" i="14"/>
  <c r="AC642" i="14"/>
  <c r="AD642" i="14"/>
  <c r="AE642" i="14"/>
  <c r="AF642" i="14"/>
  <c r="AG642" i="14"/>
  <c r="AH642" i="14"/>
  <c r="AE643" i="14"/>
  <c r="AF643" i="14"/>
  <c r="AG643" i="14"/>
  <c r="AH643" i="14"/>
  <c r="AE644" i="14"/>
  <c r="AF644" i="14"/>
  <c r="AG644" i="14"/>
  <c r="AH644" i="14"/>
  <c r="AE645" i="14"/>
  <c r="AF645" i="14"/>
  <c r="AG645" i="14"/>
  <c r="AH645" i="14"/>
  <c r="AE646" i="14"/>
  <c r="AF646" i="14"/>
  <c r="AG646" i="14"/>
  <c r="AH646" i="14"/>
  <c r="AE647" i="14"/>
  <c r="AF647" i="14"/>
  <c r="AG647" i="14"/>
  <c r="AH647" i="14"/>
  <c r="AE648" i="14"/>
  <c r="AF648" i="14"/>
  <c r="AG648" i="14"/>
  <c r="AH648" i="14"/>
  <c r="AE649" i="14"/>
  <c r="AF649" i="14"/>
  <c r="AG649" i="14"/>
  <c r="AH649" i="14"/>
  <c r="AE650" i="14"/>
  <c r="AF650" i="14"/>
  <c r="AG650" i="14"/>
  <c r="AH650" i="14"/>
  <c r="AE651" i="14"/>
  <c r="AF651" i="14"/>
  <c r="AG651" i="14"/>
  <c r="AH651" i="14"/>
  <c r="AE652" i="14"/>
  <c r="AF652" i="14"/>
  <c r="AG652" i="14"/>
  <c r="AH652" i="14"/>
  <c r="AE653" i="14"/>
  <c r="AF653" i="14"/>
  <c r="AG653" i="14"/>
  <c r="AH653" i="14"/>
  <c r="AB654" i="14"/>
  <c r="AC654" i="14" s="1"/>
  <c r="AG654" i="14" s="1"/>
  <c r="AE654" i="14"/>
  <c r="AH654" i="14"/>
  <c r="AL654" i="14"/>
  <c r="AM654" i="14" s="1"/>
  <c r="AR654" i="14"/>
  <c r="AS654" i="14" s="1"/>
  <c r="AB655" i="14"/>
  <c r="AC655" i="14" s="1"/>
  <c r="AG655" i="14" s="1"/>
  <c r="AE655" i="14"/>
  <c r="AH655" i="14"/>
  <c r="AL655" i="14"/>
  <c r="AM655" i="14" s="1"/>
  <c r="AR655" i="14"/>
  <c r="AS655" i="14" s="1"/>
  <c r="AB656" i="14"/>
  <c r="AC656" i="14" s="1"/>
  <c r="AG656" i="14" s="1"/>
  <c r="AE656" i="14"/>
  <c r="AH656" i="14"/>
  <c r="AL656" i="14"/>
  <c r="AM656" i="14" s="1"/>
  <c r="AR656" i="14"/>
  <c r="AS656" i="14" s="1"/>
  <c r="AB657" i="14"/>
  <c r="AF657" i="14" s="1"/>
  <c r="AE657" i="14"/>
  <c r="AH657" i="14"/>
  <c r="AL657" i="14"/>
  <c r="AM657" i="14" s="1"/>
  <c r="AR657" i="14"/>
  <c r="AS657" i="14" s="1"/>
  <c r="AB658" i="14"/>
  <c r="AF658" i="14" s="1"/>
  <c r="AE658" i="14"/>
  <c r="AH658" i="14"/>
  <c r="AL658" i="14"/>
  <c r="AM658" i="14" s="1"/>
  <c r="AR658" i="14"/>
  <c r="AS658" i="14" s="1"/>
  <c r="AB659" i="14"/>
  <c r="AF659" i="14" s="1"/>
  <c r="AE659" i="14"/>
  <c r="AH659" i="14"/>
  <c r="AL659" i="14"/>
  <c r="AM659" i="14" s="1"/>
  <c r="AR659" i="14"/>
  <c r="AS659" i="14" s="1"/>
  <c r="AB660" i="14"/>
  <c r="AC660" i="14" s="1"/>
  <c r="AG660" i="14" s="1"/>
  <c r="AE660" i="14"/>
  <c r="AH660" i="14"/>
  <c r="AE661" i="14"/>
  <c r="AF661" i="14"/>
  <c r="AG661" i="14"/>
  <c r="AH661" i="14"/>
  <c r="AE662" i="14"/>
  <c r="AF662" i="14"/>
  <c r="AG662" i="14"/>
  <c r="AH662" i="14"/>
  <c r="AE663" i="14"/>
  <c r="AF663" i="14"/>
  <c r="AG663" i="14"/>
  <c r="AH663" i="14"/>
  <c r="AE664" i="14"/>
  <c r="AF664" i="14"/>
  <c r="AG664" i="14"/>
  <c r="AH664" i="14"/>
  <c r="AE665" i="14"/>
  <c r="AF665" i="14"/>
  <c r="AG665" i="14"/>
  <c r="AH665" i="14"/>
  <c r="AE666" i="14"/>
  <c r="AF666" i="14"/>
  <c r="AG666" i="14"/>
  <c r="AH666" i="14"/>
  <c r="AE667" i="14"/>
  <c r="AF667" i="14"/>
  <c r="AG667" i="14"/>
  <c r="AH667" i="14"/>
  <c r="AC668" i="14"/>
  <c r="AG668" i="14" s="1"/>
  <c r="AE668" i="14"/>
  <c r="AF668" i="14"/>
  <c r="AH668" i="14"/>
  <c r="BO668" i="14"/>
  <c r="AE669" i="14"/>
  <c r="AF669" i="14"/>
  <c r="AG669" i="14"/>
  <c r="AH669" i="14"/>
  <c r="BO669" i="14"/>
  <c r="AE670" i="14"/>
  <c r="AF670" i="14"/>
  <c r="AG670" i="14"/>
  <c r="AH670" i="14"/>
  <c r="BO670" i="14"/>
  <c r="AE671" i="14"/>
  <c r="AF671" i="14"/>
  <c r="AG671" i="14"/>
  <c r="AH671" i="14"/>
  <c r="BO671" i="14"/>
  <c r="AE672" i="14"/>
  <c r="AF672" i="14"/>
  <c r="AG672" i="14"/>
  <c r="AH672" i="14"/>
  <c r="BO672" i="14"/>
  <c r="AE673" i="14"/>
  <c r="AF673" i="14"/>
  <c r="AG673" i="14"/>
  <c r="AH673" i="14"/>
  <c r="AE674" i="14"/>
  <c r="AF674" i="14"/>
  <c r="AG674" i="14"/>
  <c r="AH674" i="14"/>
  <c r="AE675" i="14"/>
  <c r="AF675" i="14"/>
  <c r="AG675" i="14"/>
  <c r="AH675" i="14"/>
  <c r="AE676" i="14"/>
  <c r="AF676" i="14"/>
  <c r="AG676" i="14"/>
  <c r="AH676" i="14"/>
  <c r="AE677" i="14"/>
  <c r="AF677" i="14"/>
  <c r="AG677" i="14"/>
  <c r="AH677" i="14"/>
  <c r="AE678" i="14"/>
  <c r="AF678" i="14"/>
  <c r="AG678" i="14"/>
  <c r="AH678" i="14"/>
  <c r="AE679" i="14"/>
  <c r="AF679" i="14"/>
  <c r="AG679" i="14"/>
  <c r="AH679" i="14"/>
  <c r="AE680" i="14"/>
  <c r="AF680" i="14"/>
  <c r="AG680" i="14"/>
  <c r="AH680" i="14"/>
  <c r="AE681" i="14"/>
  <c r="AF681" i="14"/>
  <c r="AG681" i="14"/>
  <c r="AH681" i="14"/>
  <c r="AE682" i="14"/>
  <c r="AF682" i="14"/>
  <c r="AG682" i="14"/>
  <c r="AH682" i="14"/>
  <c r="AE683" i="14"/>
  <c r="AF683" i="14"/>
  <c r="AG683" i="14"/>
  <c r="AH683" i="14"/>
  <c r="AE684" i="14"/>
  <c r="AF684" i="14"/>
  <c r="AG684" i="14"/>
  <c r="AH684" i="14"/>
  <c r="AE685" i="14"/>
  <c r="AF685" i="14"/>
  <c r="AG685" i="14"/>
  <c r="AH685" i="14"/>
  <c r="AE686" i="14"/>
  <c r="AF686" i="14"/>
  <c r="AG686" i="14"/>
  <c r="AH686" i="14"/>
  <c r="AE687" i="14"/>
  <c r="AF687" i="14"/>
  <c r="AG687" i="14"/>
  <c r="AH687" i="14"/>
  <c r="AE688" i="14"/>
  <c r="AF688" i="14"/>
  <c r="AG688" i="14"/>
  <c r="AH688" i="14"/>
  <c r="AE689" i="14"/>
  <c r="AF689" i="14"/>
  <c r="AG689" i="14"/>
  <c r="AH689" i="14"/>
  <c r="AE690" i="14"/>
  <c r="AF690" i="14"/>
  <c r="AG690" i="14"/>
  <c r="AH690" i="14"/>
  <c r="AE691" i="14"/>
  <c r="AF691" i="14"/>
  <c r="AG691" i="14"/>
  <c r="AH691" i="14"/>
  <c r="AE692" i="14"/>
  <c r="AF692" i="14"/>
  <c r="AG692" i="14"/>
  <c r="AH692" i="14"/>
  <c r="AE693" i="14"/>
  <c r="AF693" i="14"/>
  <c r="AG693" i="14"/>
  <c r="AH693" i="14"/>
  <c r="AE694" i="14"/>
  <c r="AF694" i="14"/>
  <c r="AG694" i="14"/>
  <c r="AH694" i="14"/>
  <c r="AE695" i="14"/>
  <c r="AF695" i="14"/>
  <c r="AG695" i="14"/>
  <c r="AH695" i="14"/>
  <c r="AE696" i="14"/>
  <c r="AF696" i="14"/>
  <c r="AG696" i="14"/>
  <c r="AH696" i="14"/>
  <c r="AE697" i="14"/>
  <c r="AF697" i="14"/>
  <c r="AG697" i="14"/>
  <c r="AH697" i="14"/>
  <c r="AE698" i="14"/>
  <c r="AF698" i="14"/>
  <c r="AG698" i="14"/>
  <c r="AH698" i="14"/>
  <c r="AE699" i="14"/>
  <c r="AF699" i="14"/>
  <c r="AG699" i="14"/>
  <c r="AH699" i="14"/>
  <c r="AE700" i="14"/>
  <c r="AF700" i="14"/>
  <c r="AG700" i="14"/>
  <c r="AH700" i="14"/>
  <c r="AE701" i="14"/>
  <c r="AF701" i="14"/>
  <c r="AG701" i="14"/>
  <c r="AH701" i="14"/>
  <c r="AE702" i="14"/>
  <c r="AF702" i="14"/>
  <c r="AG702" i="14"/>
  <c r="AH702" i="14"/>
  <c r="AE703" i="14"/>
  <c r="AF703" i="14"/>
  <c r="AG703" i="14"/>
  <c r="AH703" i="14"/>
  <c r="AE704" i="14"/>
  <c r="AF704" i="14"/>
  <c r="AG704" i="14"/>
  <c r="AH704" i="14"/>
  <c r="AE705" i="14"/>
  <c r="AF705" i="14"/>
  <c r="AG705" i="14"/>
  <c r="AH705" i="14"/>
  <c r="AE706" i="14"/>
  <c r="AF706" i="14"/>
  <c r="AG706" i="14"/>
  <c r="AH706" i="14"/>
  <c r="AE707" i="14"/>
  <c r="AF707" i="14"/>
  <c r="AG707" i="14"/>
  <c r="AH707" i="14"/>
  <c r="AE708" i="14"/>
  <c r="AF708" i="14"/>
  <c r="AG708" i="14"/>
  <c r="AH708" i="14"/>
  <c r="AE709" i="14"/>
  <c r="AF709" i="14"/>
  <c r="AG709" i="14"/>
  <c r="AH709" i="14"/>
  <c r="AS709" i="14"/>
  <c r="AE710" i="14"/>
  <c r="AF710" i="14"/>
  <c r="AG710" i="14"/>
  <c r="AH710" i="14"/>
  <c r="AS710" i="14"/>
  <c r="AE711" i="14"/>
  <c r="AF711" i="14"/>
  <c r="AG711" i="14"/>
  <c r="AH711" i="14"/>
  <c r="AS711" i="14"/>
  <c r="AE712" i="14"/>
  <c r="AF712" i="14"/>
  <c r="AG712" i="14"/>
  <c r="AH712" i="14"/>
  <c r="AS712" i="14"/>
  <c r="AE713" i="14"/>
  <c r="AF713" i="14"/>
  <c r="AG713" i="14"/>
  <c r="AH713" i="14"/>
  <c r="AS713" i="14"/>
  <c r="AE714" i="14"/>
  <c r="AF714" i="14"/>
  <c r="AG714" i="14"/>
  <c r="AH714" i="14"/>
  <c r="AE715" i="14"/>
  <c r="AF715" i="14"/>
  <c r="AG715" i="14"/>
  <c r="AH715" i="14"/>
  <c r="AE716" i="14"/>
  <c r="AF716" i="14"/>
  <c r="AG716" i="14"/>
  <c r="AH716" i="14"/>
  <c r="AE717" i="14"/>
  <c r="AF717" i="14"/>
  <c r="AG717" i="14"/>
  <c r="AH717" i="14"/>
  <c r="AE718" i="14"/>
  <c r="AF718" i="14"/>
  <c r="AG718" i="14"/>
  <c r="AH718" i="14"/>
  <c r="AE719" i="14"/>
  <c r="AF719" i="14"/>
  <c r="AG719" i="14"/>
  <c r="AH719" i="14"/>
  <c r="AE720" i="14"/>
  <c r="AF720" i="14"/>
  <c r="AG720" i="14"/>
  <c r="AH720" i="14"/>
  <c r="AE721" i="14"/>
  <c r="AF721" i="14"/>
  <c r="AG721" i="14"/>
  <c r="AH721" i="14"/>
  <c r="AE722" i="14"/>
  <c r="AF722" i="14"/>
  <c r="AG722" i="14"/>
  <c r="AH722" i="14"/>
  <c r="AE723" i="14"/>
  <c r="AF723" i="14"/>
  <c r="AG723" i="14"/>
  <c r="AH723" i="14"/>
  <c r="AE724" i="14"/>
  <c r="AF724" i="14"/>
  <c r="AG724" i="14"/>
  <c r="AH724" i="14"/>
  <c r="AE725" i="14"/>
  <c r="AF725" i="14"/>
  <c r="AG725" i="14"/>
  <c r="AH725" i="14"/>
  <c r="AE726" i="14"/>
  <c r="AF726" i="14"/>
  <c r="AG726" i="14"/>
  <c r="AH726" i="14"/>
  <c r="AE727" i="14"/>
  <c r="AF727" i="14"/>
  <c r="AG727" i="14"/>
  <c r="AH727" i="14"/>
  <c r="AE728" i="14"/>
  <c r="AF728" i="14"/>
  <c r="AG728" i="14"/>
  <c r="AH728" i="14"/>
  <c r="AE729" i="14"/>
  <c r="AF729" i="14"/>
  <c r="AG729" i="14"/>
  <c r="AH729" i="14"/>
  <c r="AE730" i="14"/>
  <c r="AF730" i="14"/>
  <c r="AG730" i="14"/>
  <c r="AH730" i="14"/>
  <c r="AE731" i="14"/>
  <c r="AF731" i="14"/>
  <c r="AG731" i="14"/>
  <c r="AH731" i="14"/>
  <c r="AE732" i="14"/>
  <c r="AF732" i="14"/>
  <c r="AG732" i="14"/>
  <c r="AH732" i="14"/>
  <c r="AE733" i="14"/>
  <c r="AF733" i="14"/>
  <c r="AG733" i="14"/>
  <c r="AH733" i="14"/>
  <c r="AE734" i="14"/>
  <c r="AF734" i="14"/>
  <c r="AG734" i="14"/>
  <c r="AH734" i="14"/>
  <c r="AE735" i="14"/>
  <c r="AF735" i="14"/>
  <c r="AG735" i="14"/>
  <c r="AH735" i="14"/>
  <c r="AE736" i="14"/>
  <c r="AF736" i="14"/>
  <c r="AG736" i="14"/>
  <c r="AH736" i="14"/>
  <c r="AE737" i="14"/>
  <c r="AF737" i="14"/>
  <c r="AG737" i="14"/>
  <c r="AH737" i="14"/>
  <c r="AM737" i="14"/>
  <c r="AE738" i="14"/>
  <c r="AF738" i="14"/>
  <c r="AG738" i="14"/>
  <c r="AH738" i="14"/>
  <c r="AM738" i="14"/>
  <c r="AS738" i="14"/>
  <c r="AE739" i="14"/>
  <c r="AF739" i="14"/>
  <c r="AG739" i="14"/>
  <c r="AH739" i="14"/>
  <c r="AM739" i="14"/>
  <c r="AE740" i="14"/>
  <c r="AF740" i="14"/>
  <c r="AG740" i="14"/>
  <c r="AH740" i="14"/>
  <c r="AE741" i="14"/>
  <c r="AF741" i="14"/>
  <c r="AG741" i="14"/>
  <c r="AH741" i="14"/>
  <c r="AE742" i="14"/>
  <c r="AF742" i="14"/>
  <c r="AG742" i="14"/>
  <c r="AH742" i="14"/>
  <c r="AE743" i="14"/>
  <c r="AF743" i="14"/>
  <c r="AG743" i="14"/>
  <c r="AH743" i="14"/>
  <c r="AE744" i="14"/>
  <c r="AF744" i="14"/>
  <c r="AG744" i="14"/>
  <c r="AH744" i="14"/>
  <c r="AE745" i="14"/>
  <c r="AF745" i="14"/>
  <c r="AG745" i="14"/>
  <c r="AH745" i="14"/>
  <c r="AL745" i="14"/>
  <c r="AM745" i="14" s="1"/>
  <c r="AE746" i="14"/>
  <c r="AF746" i="14"/>
  <c r="AG746" i="14"/>
  <c r="AH746" i="14"/>
  <c r="AL746" i="14"/>
  <c r="AM746" i="14" s="1"/>
  <c r="AE747" i="14"/>
  <c r="AF747" i="14"/>
  <c r="AG747" i="14"/>
  <c r="AH747" i="14"/>
  <c r="AL747" i="14"/>
  <c r="AM747" i="14" s="1"/>
  <c r="AE748" i="14"/>
  <c r="AF748" i="14"/>
  <c r="AG748" i="14"/>
  <c r="AH748" i="14"/>
  <c r="AL748" i="14"/>
  <c r="AM748" i="14" s="1"/>
  <c r="AE749" i="14"/>
  <c r="AF749" i="14"/>
  <c r="AG749" i="14"/>
  <c r="AH749" i="14"/>
  <c r="AL749" i="14"/>
  <c r="AM749" i="14" s="1"/>
  <c r="AE750" i="14"/>
  <c r="AF750" i="14"/>
  <c r="AG750" i="14"/>
  <c r="AH750" i="14"/>
  <c r="AL750" i="14"/>
  <c r="AM750" i="14" s="1"/>
  <c r="AE751" i="14"/>
  <c r="AF751" i="14"/>
  <c r="AG751" i="14"/>
  <c r="AH751" i="14"/>
  <c r="AL751" i="14"/>
  <c r="AM751" i="14" s="1"/>
  <c r="AE752" i="14"/>
  <c r="AF752" i="14"/>
  <c r="AG752" i="14"/>
  <c r="AH752" i="14"/>
  <c r="AL752" i="14"/>
  <c r="AM752" i="14" s="1"/>
  <c r="AE753" i="14"/>
  <c r="AF753" i="14"/>
  <c r="AG753" i="14"/>
  <c r="AH753" i="14"/>
  <c r="AL753" i="14"/>
  <c r="AM753" i="14" s="1"/>
  <c r="AE754" i="14"/>
  <c r="AF754" i="14"/>
  <c r="AG754" i="14"/>
  <c r="AH754" i="14"/>
  <c r="AL754" i="14"/>
  <c r="AM754" i="14" s="1"/>
  <c r="AE755" i="14"/>
  <c r="AF755" i="14"/>
  <c r="AG755" i="14"/>
  <c r="AH755" i="14"/>
  <c r="AL755" i="14"/>
  <c r="AM755" i="14" s="1"/>
  <c r="AE756" i="14"/>
  <c r="AF756" i="14"/>
  <c r="AG756" i="14"/>
  <c r="AH756" i="14"/>
  <c r="AL756" i="14"/>
  <c r="AM756" i="14" s="1"/>
  <c r="AE757" i="14"/>
  <c r="AF757" i="14"/>
  <c r="AG757" i="14"/>
  <c r="AH757" i="14"/>
  <c r="AE758" i="14"/>
  <c r="AF758" i="14"/>
  <c r="AG758" i="14"/>
  <c r="AH758" i="14"/>
  <c r="AE759" i="14"/>
  <c r="AF759" i="14"/>
  <c r="AG759" i="14"/>
  <c r="AH759" i="14"/>
  <c r="AE760" i="14"/>
  <c r="AF760" i="14"/>
  <c r="AG760" i="14"/>
  <c r="AH760" i="14"/>
  <c r="AE761" i="14"/>
  <c r="AF761" i="14"/>
  <c r="AG761" i="14"/>
  <c r="AH761" i="14"/>
  <c r="AE762" i="14"/>
  <c r="AF762" i="14"/>
  <c r="AG762" i="14"/>
  <c r="AH762" i="14"/>
  <c r="AE763" i="14"/>
  <c r="AF763" i="14"/>
  <c r="AG763" i="14"/>
  <c r="AH763" i="14"/>
  <c r="AE764" i="14"/>
  <c r="AF764" i="14"/>
  <c r="AG764" i="14"/>
  <c r="AH764" i="14"/>
  <c r="AE765" i="14"/>
  <c r="AF765" i="14"/>
  <c r="AG765" i="14"/>
  <c r="AH765" i="14"/>
  <c r="AE766" i="14"/>
  <c r="AF766" i="14"/>
  <c r="AG766" i="14"/>
  <c r="AH766" i="14"/>
  <c r="AL766" i="14"/>
  <c r="AR766" i="14"/>
  <c r="AS766" i="14" s="1"/>
  <c r="AE767" i="14"/>
  <c r="AF767" i="14"/>
  <c r="AG767" i="14"/>
  <c r="AH767" i="14"/>
  <c r="AE768" i="14"/>
  <c r="AF768" i="14"/>
  <c r="AG768" i="14"/>
  <c r="AH768" i="14"/>
  <c r="AE769" i="14"/>
  <c r="AF769" i="14"/>
  <c r="AG769" i="14"/>
  <c r="AH769" i="14"/>
  <c r="AE770" i="14"/>
  <c r="AF770" i="14"/>
  <c r="AG770" i="14"/>
  <c r="AH770" i="14"/>
  <c r="AE771" i="14"/>
  <c r="AF771" i="14"/>
  <c r="AG771" i="14"/>
  <c r="AH771" i="14"/>
  <c r="AE772" i="14"/>
  <c r="AF772" i="14"/>
  <c r="AG772" i="14"/>
  <c r="AH772" i="14"/>
  <c r="AE773" i="14"/>
  <c r="AF773" i="14"/>
  <c r="AG773" i="14"/>
  <c r="AH773" i="14"/>
  <c r="AB774" i="14"/>
  <c r="AC774" i="14" s="1"/>
  <c r="AG774" i="14" s="1"/>
  <c r="AE774" i="14"/>
  <c r="AH774" i="14"/>
  <c r="AB775" i="14"/>
  <c r="AF775" i="14" s="1"/>
  <c r="AE775" i="14"/>
  <c r="AH775" i="14"/>
  <c r="AB776" i="14"/>
  <c r="AC776" i="14" s="1"/>
  <c r="AG776" i="14" s="1"/>
  <c r="AE776" i="14"/>
  <c r="AH776" i="14"/>
  <c r="AB777" i="14"/>
  <c r="AF777" i="14" s="1"/>
  <c r="AE777" i="14"/>
  <c r="AH777" i="14"/>
  <c r="AB778" i="14"/>
  <c r="AF778" i="14" s="1"/>
  <c r="AE778" i="14"/>
  <c r="AH778" i="14"/>
  <c r="AB779" i="14"/>
  <c r="AF779" i="14" s="1"/>
  <c r="AE779" i="14"/>
  <c r="AH779" i="14"/>
  <c r="AB780" i="14"/>
  <c r="AF780" i="14" s="1"/>
  <c r="AE780" i="14"/>
  <c r="AH780" i="14"/>
  <c r="AE781" i="14"/>
  <c r="AF781" i="14"/>
  <c r="AG781" i="14"/>
  <c r="AH781" i="14"/>
  <c r="AE782" i="14"/>
  <c r="AF782" i="14"/>
  <c r="AG782" i="14"/>
  <c r="AH782" i="14"/>
  <c r="AE783" i="14"/>
  <c r="AF783" i="14"/>
  <c r="AG783" i="14"/>
  <c r="AH783" i="14"/>
  <c r="AE784" i="14"/>
  <c r="AF784" i="14"/>
  <c r="AG784" i="14"/>
  <c r="AH784" i="14"/>
  <c r="AE785" i="14"/>
  <c r="AF785" i="14"/>
  <c r="AG785" i="14"/>
  <c r="AH785" i="14"/>
  <c r="AE786" i="14"/>
  <c r="AF786" i="14"/>
  <c r="AG786" i="14"/>
  <c r="AH786" i="14"/>
  <c r="AE787" i="14"/>
  <c r="AF787" i="14"/>
  <c r="AG787" i="14"/>
  <c r="AH787" i="14"/>
  <c r="AE788" i="14"/>
  <c r="AF788" i="14"/>
  <c r="AG788" i="14"/>
  <c r="AH788" i="14"/>
  <c r="AE789" i="14"/>
  <c r="AF789" i="14"/>
  <c r="AG789" i="14"/>
  <c r="AH789" i="14"/>
  <c r="AE790" i="14"/>
  <c r="AF790" i="14"/>
  <c r="AG790" i="14"/>
  <c r="AH790" i="14"/>
  <c r="AE791" i="14"/>
  <c r="AF791" i="14"/>
  <c r="AG791" i="14"/>
  <c r="AH791" i="14"/>
  <c r="AL792" i="14"/>
  <c r="AM792" i="14" s="1"/>
  <c r="AL793" i="14"/>
  <c r="AM793" i="14" s="1"/>
  <c r="AF799" i="14"/>
  <c r="AE799" i="14"/>
  <c r="AH799" i="14"/>
  <c r="AE800" i="14"/>
  <c r="AF800" i="14"/>
  <c r="AG800" i="14"/>
  <c r="AH800" i="14"/>
  <c r="AE801" i="14"/>
  <c r="AE802" i="14"/>
  <c r="AE803" i="14"/>
  <c r="AE804" i="14"/>
  <c r="AE805" i="14"/>
  <c r="AE806" i="14"/>
  <c r="AE807" i="14"/>
  <c r="AF807" i="14"/>
  <c r="AG807" i="14"/>
  <c r="AH807" i="14"/>
  <c r="AE808" i="14"/>
  <c r="AF808" i="14"/>
  <c r="AG808" i="14"/>
  <c r="AH808" i="14"/>
  <c r="AE809" i="14"/>
  <c r="AF809" i="14"/>
  <c r="AG809" i="14"/>
  <c r="AH809" i="14"/>
  <c r="AE810" i="14"/>
  <c r="AF810" i="14"/>
  <c r="AG810" i="14"/>
  <c r="AH810" i="14"/>
  <c r="AE811" i="14"/>
  <c r="AF811" i="14"/>
  <c r="AG811" i="14"/>
  <c r="AH811" i="14"/>
  <c r="AE812" i="14"/>
  <c r="AF812" i="14"/>
  <c r="AG812" i="14"/>
  <c r="AH812" i="14"/>
  <c r="AE813" i="14"/>
  <c r="AF813" i="14"/>
  <c r="AG813" i="14"/>
  <c r="AH813" i="14"/>
  <c r="AE814" i="14"/>
  <c r="AF814" i="14"/>
  <c r="AG814" i="14"/>
  <c r="AH814" i="14"/>
  <c r="AE815" i="14"/>
  <c r="AF815" i="14"/>
  <c r="AG815" i="14"/>
  <c r="AH815" i="14"/>
  <c r="AE816" i="14"/>
  <c r="AF816" i="14"/>
  <c r="AG816" i="14"/>
  <c r="AH816" i="14"/>
  <c r="AE817" i="14"/>
  <c r="AF817" i="14"/>
  <c r="AG817" i="14"/>
  <c r="AH817" i="14"/>
  <c r="AE818" i="14"/>
  <c r="AF818" i="14"/>
  <c r="AG818" i="14"/>
  <c r="AH818" i="14"/>
  <c r="AE819" i="14"/>
  <c r="AF819" i="14"/>
  <c r="AG819" i="14"/>
  <c r="AH819" i="14"/>
  <c r="AE820" i="14"/>
  <c r="AF820" i="14"/>
  <c r="AG820" i="14"/>
  <c r="AH820" i="14"/>
  <c r="AE821" i="14"/>
  <c r="AF821" i="14"/>
  <c r="AG821" i="14"/>
  <c r="AH821" i="14"/>
  <c r="AE822" i="14"/>
  <c r="AF822" i="14"/>
  <c r="AG822" i="14"/>
  <c r="AH822" i="14"/>
  <c r="AE823" i="14"/>
  <c r="AF823" i="14"/>
  <c r="AG823" i="14"/>
  <c r="AH823" i="14"/>
  <c r="AE824" i="14"/>
  <c r="AF824" i="14"/>
  <c r="AG824" i="14"/>
  <c r="AH824" i="14"/>
  <c r="AE825" i="14"/>
  <c r="AF825" i="14"/>
  <c r="AG825" i="14"/>
  <c r="AH825" i="14"/>
  <c r="AE826" i="14"/>
  <c r="AF826" i="14"/>
  <c r="AG826" i="14"/>
  <c r="AH826" i="14"/>
  <c r="AE827" i="14"/>
  <c r="AF827" i="14"/>
  <c r="AG827" i="14"/>
  <c r="AH827" i="14"/>
  <c r="AE828" i="14"/>
  <c r="AF828" i="14"/>
  <c r="AG828" i="14"/>
  <c r="AH828" i="14"/>
  <c r="AE829" i="14"/>
  <c r="AF829" i="14"/>
  <c r="AG829" i="14"/>
  <c r="AH829" i="14"/>
  <c r="AE830" i="14"/>
  <c r="AF830" i="14"/>
  <c r="AG830" i="14"/>
  <c r="AH830" i="14"/>
  <c r="AE831" i="14"/>
  <c r="AF831" i="14"/>
  <c r="AG831" i="14"/>
  <c r="AH831" i="14"/>
  <c r="AE832" i="14"/>
  <c r="AF832" i="14"/>
  <c r="AG832" i="14"/>
  <c r="AH832" i="14"/>
  <c r="AE833" i="14"/>
  <c r="AF833" i="14"/>
  <c r="AG833" i="14"/>
  <c r="AH833" i="14"/>
  <c r="AE834" i="14"/>
  <c r="AF834" i="14"/>
  <c r="AG834" i="14"/>
  <c r="AH834" i="14"/>
  <c r="AE835" i="14"/>
  <c r="AF835" i="14"/>
  <c r="AG835" i="14"/>
  <c r="AH835" i="14"/>
  <c r="AE836" i="14"/>
  <c r="AF836" i="14"/>
  <c r="AG836" i="14"/>
  <c r="AH836" i="14"/>
  <c r="AE837" i="14"/>
  <c r="AF837" i="14"/>
  <c r="AG837" i="14"/>
  <c r="AH837" i="14"/>
  <c r="AE838" i="14"/>
  <c r="AF838" i="14"/>
  <c r="AG838" i="14"/>
  <c r="AH838" i="14"/>
  <c r="AE839" i="14"/>
  <c r="AF839" i="14"/>
  <c r="AG839" i="14"/>
  <c r="AH839" i="14"/>
  <c r="AE840" i="14"/>
  <c r="AF840" i="14"/>
  <c r="AG840" i="14"/>
  <c r="AH840" i="14"/>
  <c r="AE841" i="14"/>
  <c r="AF841" i="14"/>
  <c r="AG841" i="14"/>
  <c r="AH841" i="14"/>
  <c r="AE842" i="14"/>
  <c r="AF842" i="14"/>
  <c r="AG842" i="14"/>
  <c r="AH842" i="14"/>
  <c r="AE843" i="14"/>
  <c r="AF843" i="14"/>
  <c r="AG843" i="14"/>
  <c r="AH843" i="14"/>
  <c r="AE844" i="14"/>
  <c r="AF844" i="14"/>
  <c r="AG844" i="14"/>
  <c r="AH844" i="14"/>
  <c r="AE845" i="14"/>
  <c r="AF845" i="14"/>
  <c r="AG845" i="14"/>
  <c r="AH845" i="14"/>
  <c r="AE846" i="14"/>
  <c r="AF846" i="14"/>
  <c r="AG846" i="14"/>
  <c r="AH846" i="14"/>
  <c r="AE847" i="14"/>
  <c r="AF847" i="14"/>
  <c r="AG847" i="14"/>
  <c r="AH847" i="14"/>
  <c r="AE848" i="14"/>
  <c r="AF848" i="14"/>
  <c r="AG848" i="14"/>
  <c r="AH848" i="14"/>
  <c r="AE849" i="14"/>
  <c r="AF849" i="14"/>
  <c r="AG849" i="14"/>
  <c r="AH849" i="14"/>
  <c r="AE850" i="14"/>
  <c r="AF850" i="14"/>
  <c r="AG850" i="14"/>
  <c r="AH850" i="14"/>
  <c r="AJ229" i="11"/>
  <c r="AJ191" i="11"/>
  <c r="AJ37" i="11"/>
  <c r="AC16" i="14" l="1"/>
  <c r="AG16" i="14" s="1"/>
  <c r="AF14" i="14"/>
  <c r="AF656" i="14"/>
  <c r="AF776" i="14"/>
  <c r="AC780" i="14"/>
  <c r="AG780" i="14" s="1"/>
  <c r="AC779" i="14"/>
  <c r="AG779" i="14" s="1"/>
  <c r="AC778" i="14"/>
  <c r="AG778" i="14" s="1"/>
  <c r="AC777" i="14"/>
  <c r="AG777" i="14" s="1"/>
  <c r="AC64" i="14"/>
  <c r="AG64" i="14" s="1"/>
  <c r="AC616" i="14"/>
  <c r="AG616" i="14" s="1"/>
  <c r="AM611" i="14"/>
  <c r="AC346" i="14"/>
  <c r="AG346" i="14" s="1"/>
  <c r="AC657" i="14"/>
  <c r="AG657" i="14" s="1"/>
  <c r="AC501" i="14"/>
  <c r="AG501" i="14" s="1"/>
  <c r="AF18" i="14"/>
  <c r="AM77" i="14"/>
  <c r="AF66" i="14"/>
  <c r="AC775" i="14"/>
  <c r="AG775" i="14" s="1"/>
  <c r="AC658" i="14"/>
  <c r="AG658" i="14" s="1"/>
  <c r="AC584" i="14"/>
  <c r="AG584" i="14" s="1"/>
  <c r="AF579" i="14"/>
  <c r="AL457" i="14"/>
  <c r="AF17" i="14"/>
  <c r="AG799" i="14"/>
  <c r="AC588" i="14"/>
  <c r="AG588" i="14" s="1"/>
  <c r="AF587" i="14"/>
  <c r="AF614" i="14"/>
  <c r="AC614" i="14"/>
  <c r="AG614" i="14" s="1"/>
  <c r="AC613" i="14"/>
  <c r="AG613" i="14" s="1"/>
  <c r="AF613" i="14"/>
  <c r="AC609" i="14"/>
  <c r="AG609" i="14" s="1"/>
  <c r="AF609" i="14"/>
  <c r="AF611" i="14"/>
  <c r="AC611" i="14"/>
  <c r="AG611" i="14" s="1"/>
  <c r="AF610" i="14"/>
  <c r="AC610" i="14"/>
  <c r="AG610" i="14" s="1"/>
  <c r="AF660" i="14"/>
  <c r="AF654" i="14"/>
  <c r="AL609" i="14"/>
  <c r="AM609" i="14" s="1"/>
  <c r="AF354" i="14"/>
  <c r="AF278" i="14"/>
  <c r="AF199" i="14"/>
  <c r="AC65" i="14"/>
  <c r="AG65" i="14" s="1"/>
  <c r="AF63" i="14"/>
  <c r="AF15" i="14"/>
  <c r="AF774" i="14"/>
  <c r="AL614" i="14"/>
  <c r="AM614" i="14" s="1"/>
  <c r="AM608" i="14"/>
  <c r="AB421" i="14"/>
  <c r="AF421" i="14" s="1"/>
  <c r="AC659" i="14"/>
  <c r="AG659" i="14" s="1"/>
  <c r="AC615" i="14"/>
  <c r="AG615" i="14" s="1"/>
  <c r="AL612" i="14"/>
  <c r="AM612" i="14" s="1"/>
  <c r="AL610" i="14"/>
  <c r="AM610" i="14" s="1"/>
  <c r="AM191" i="14"/>
  <c r="BN191" i="14"/>
  <c r="AF612" i="14"/>
  <c r="AC612" i="14"/>
  <c r="AG612" i="14" s="1"/>
  <c r="AF636" i="14"/>
  <c r="AC636" i="14"/>
  <c r="AG636" i="14" s="1"/>
  <c r="AF608" i="14"/>
  <c r="AC608" i="14"/>
  <c r="AG608" i="14" s="1"/>
  <c r="AF464" i="14"/>
  <c r="AC464" i="14"/>
  <c r="AG464" i="14" s="1"/>
  <c r="AC536" i="14"/>
  <c r="AG536" i="14" s="1"/>
  <c r="AF536" i="14"/>
  <c r="AF373" i="14"/>
  <c r="AC373" i="14"/>
  <c r="AG373" i="14" s="1"/>
  <c r="AF347" i="14"/>
  <c r="AC347" i="14"/>
  <c r="AG347" i="14" s="1"/>
  <c r="AC192" i="14"/>
  <c r="AG192" i="14" s="1"/>
  <c r="AF192" i="14"/>
  <c r="AF182" i="14"/>
  <c r="AC182" i="14"/>
  <c r="AG182" i="14" s="1"/>
  <c r="AC84" i="14"/>
  <c r="AG84" i="14" s="1"/>
  <c r="AF84" i="14"/>
  <c r="AF655" i="14"/>
  <c r="AC535" i="14"/>
  <c r="AG535" i="14" s="1"/>
  <c r="AF535" i="14"/>
  <c r="AF383" i="14"/>
  <c r="AC383" i="14"/>
  <c r="AG383" i="14" s="1"/>
  <c r="AC381" i="14"/>
  <c r="AG381" i="14" s="1"/>
  <c r="AF381" i="14"/>
  <c r="AF380" i="14"/>
  <c r="AC380" i="14"/>
  <c r="AG380" i="14" s="1"/>
  <c r="AF271" i="14"/>
  <c r="AC271" i="14"/>
  <c r="AG271" i="14" s="1"/>
  <c r="AF185" i="14"/>
  <c r="AC185" i="14"/>
  <c r="AG185" i="14" s="1"/>
  <c r="AC104" i="14"/>
  <c r="AG104" i="14" s="1"/>
  <c r="AF104" i="14"/>
  <c r="AC590" i="14"/>
  <c r="AG590" i="14" s="1"/>
  <c r="AF589" i="14"/>
  <c r="AC586" i="14"/>
  <c r="AG586" i="14" s="1"/>
  <c r="AF585" i="14"/>
  <c r="AC376" i="14"/>
  <c r="AG376" i="14" s="1"/>
  <c r="AC345" i="14"/>
  <c r="AG345" i="14" s="1"/>
  <c r="AF345" i="14"/>
  <c r="AC330" i="14"/>
  <c r="AG330" i="14" s="1"/>
  <c r="AF330" i="14"/>
  <c r="AF184" i="14"/>
  <c r="AC184" i="14"/>
  <c r="AG184" i="14" s="1"/>
  <c r="AC181" i="14"/>
  <c r="AG181" i="14" s="1"/>
  <c r="AF181" i="14"/>
  <c r="AC80" i="14"/>
  <c r="AG80" i="14" s="1"/>
  <c r="AF80" i="14"/>
  <c r="AF635" i="14"/>
  <c r="AL613" i="14"/>
  <c r="AM613" i="14" s="1"/>
  <c r="AC537" i="14"/>
  <c r="AG537" i="14" s="1"/>
  <c r="AF537" i="14"/>
  <c r="AF534" i="14"/>
  <c r="AC534" i="14"/>
  <c r="AG534" i="14" s="1"/>
  <c r="AF420" i="14"/>
  <c r="AC420" i="14"/>
  <c r="AG420" i="14" s="1"/>
  <c r="AB191" i="14"/>
  <c r="AF183" i="14"/>
  <c r="AC183" i="14"/>
  <c r="AG183" i="14" s="1"/>
  <c r="AC82" i="14"/>
  <c r="AG82" i="14" s="1"/>
  <c r="AF82" i="14"/>
  <c r="AC105" i="14"/>
  <c r="AG105" i="14" s="1"/>
  <c r="AC85" i="14"/>
  <c r="AG85" i="14" s="1"/>
  <c r="AC83" i="14"/>
  <c r="AG83" i="14" s="1"/>
  <c r="AC81" i="14"/>
  <c r="AG81" i="14" s="1"/>
  <c r="AJ185" i="11"/>
  <c r="AF191" i="14" l="1"/>
  <c r="AC191" i="14"/>
  <c r="AG191" i="14" s="1"/>
  <c r="I8" i="5" l="1"/>
</calcChain>
</file>

<file path=xl/sharedStrings.xml><?xml version="1.0" encoding="utf-8"?>
<sst xmlns="http://schemas.openxmlformats.org/spreadsheetml/2006/main" count="16372" uniqueCount="2028">
  <si>
    <t>Country</t>
  </si>
  <si>
    <t>Source</t>
  </si>
  <si>
    <t>Year</t>
  </si>
  <si>
    <t>Country Code</t>
  </si>
  <si>
    <t>GNI per capita, Atlas method (current US$)</t>
  </si>
  <si>
    <t>Population, total</t>
  </si>
  <si>
    <t>Income Group</t>
  </si>
  <si>
    <t>Region</t>
  </si>
  <si>
    <t>Source of MSME Data</t>
  </si>
  <si>
    <t>Website</t>
  </si>
  <si>
    <t>MSME Definitions 
(number of employees)</t>
  </si>
  <si>
    <t>MSME Definitions 
(assets,
local currency, unless otherwise noted)</t>
  </si>
  <si>
    <t>Currency</t>
  </si>
  <si>
    <t>MSME Definitions 
(turnover,
local currency, unless otherwise noted)</t>
  </si>
  <si>
    <t>Number of Enterprises</t>
  </si>
  <si>
    <t>MSME Participation in the Economy
(Employment (#))</t>
  </si>
  <si>
    <t>MSME Participation in the Economy
(value added, local currency, unless otherwise noted)</t>
  </si>
  <si>
    <t>MSME loan quality</t>
  </si>
  <si>
    <t>Micro</t>
  </si>
  <si>
    <t>Small</t>
  </si>
  <si>
    <t>Medium</t>
  </si>
  <si>
    <t>Large</t>
  </si>
  <si>
    <t>SMEs</t>
  </si>
  <si>
    <t>MSMEs</t>
  </si>
  <si>
    <t>Micro Ent. 
per 1,000 people</t>
  </si>
  <si>
    <t>SMEs 
per 1,000 people</t>
  </si>
  <si>
    <t>MSMEs 
per 1,000 people</t>
  </si>
  <si>
    <t>Large Ent. 
per 1,000 people</t>
  </si>
  <si>
    <t>Data</t>
  </si>
  <si>
    <t>Afghanistan</t>
  </si>
  <si>
    <t>Source 1</t>
  </si>
  <si>
    <t>AFG</t>
  </si>
  <si>
    <t>Low income</t>
  </si>
  <si>
    <t>South Asia</t>
  </si>
  <si>
    <t>1-5</t>
  </si>
  <si>
    <t>6-20</t>
  </si>
  <si>
    <t>21-100</t>
  </si>
  <si>
    <t>&gt;100</t>
  </si>
  <si>
    <t>&lt;1,000,000 Services; &lt;2,500,000 Manufacturing</t>
  </si>
  <si>
    <t>AFN</t>
  </si>
  <si>
    <t>Albania</t>
  </si>
  <si>
    <t>ALB</t>
  </si>
  <si>
    <t>Upper middle income</t>
  </si>
  <si>
    <t>Europe &amp; Central Asia</t>
  </si>
  <si>
    <t>INSTAT. Statistical Register of Enterprises</t>
  </si>
  <si>
    <t>http://databaza.instat.gov.al/pxweb/sq/DST/?rxid=ba88cbff-4baa-438f-9954-bb5584c94c77</t>
  </si>
  <si>
    <t>1-4</t>
  </si>
  <si>
    <t>5-9</t>
  </si>
  <si>
    <t>10-49</t>
  </si>
  <si>
    <t>&gt;49</t>
  </si>
  <si>
    <t>ALL</t>
  </si>
  <si>
    <t>http://databaza.instat.gov.al/pxweb/sq/DST/START__BR__BR0/NewBR0004/table/tableViewLayout2/?rxid=ba88cbff-4baa-438f-9954-bb5584c94c77</t>
  </si>
  <si>
    <t>Source 2</t>
  </si>
  <si>
    <t>OECD (2016), SME Policy Index: Western Balkans and Turkey 2016</t>
  </si>
  <si>
    <t>https://www.oecd-ilibrary.org/docserver/9789264254473-en.pdf?expires=1549999831&amp;id=id&amp;accname=ocid195787&amp;checksum=7BC2519284EF67AD31E934D4C5F46351</t>
  </si>
  <si>
    <t>EUR</t>
  </si>
  <si>
    <t>Algeria</t>
  </si>
  <si>
    <t>DZA</t>
  </si>
  <si>
    <t>Middle East &amp; North Africa</t>
  </si>
  <si>
    <t>République Algérienne Démocratique et Populaire Ministère de I'Industrie et des Mines -- SME</t>
  </si>
  <si>
    <t>http://www.mdipi.gov.dz/?Bulletin-de-veille-statistique</t>
  </si>
  <si>
    <t>&lt;10</t>
  </si>
  <si>
    <t>50-249</t>
  </si>
  <si>
    <t>&gt;249</t>
  </si>
  <si>
    <t>DZD</t>
  </si>
  <si>
    <t>N_31, page 14, it divides SME into PME Privees and PME Publiques, but only private SMEs are included</t>
  </si>
  <si>
    <t>http://www.mdipi.gov.dz/?Bulletin-de-veille-statistiqueN_31 (Information Bulletin number)</t>
  </si>
  <si>
    <t>http://www.mdipi.gov.dz/?Bulletin-de-veille-statistiqueN_31</t>
  </si>
  <si>
    <t>For 2016 and 2017, the December bulletin is used</t>
  </si>
  <si>
    <t>http://www.mdipi.gov.dz/?Bulletin-de-veille-statistiqueN_30</t>
  </si>
  <si>
    <t>For 2015, the September bulletin is used</t>
  </si>
  <si>
    <t>http://www.mdipi.gov.dz/?Bulletin-de-veille-statistiqueN_27</t>
  </si>
  <si>
    <t>Segmentation data only for newly created enterprises</t>
  </si>
  <si>
    <t>http://www.mdipi.gov.dz/?Bulletin-de-veille-statistiqueN_26</t>
  </si>
  <si>
    <t>http://www.mdipi.gov.dz/?Bulletin-de-veille-statistiqueN_24</t>
  </si>
  <si>
    <t>American Samoa</t>
  </si>
  <si>
    <t>ASM</t>
  </si>
  <si>
    <t>East Asia &amp; Pacific</t>
  </si>
  <si>
    <t>U.S. Census Bureau, County Business Patterns.</t>
  </si>
  <si>
    <t>https://factfinder.census.gov/faces/tableservices/jsf/pages/productview.xhtml?pid=BP_2016_00A5&amp;prodType=table</t>
  </si>
  <si>
    <t>10-19</t>
  </si>
  <si>
    <t>&gt;19</t>
  </si>
  <si>
    <t>GDP per capita data from CIA Factbook (2016 est.)</t>
  </si>
  <si>
    <t>GDP per capita data from CIA Factbook (2015 est.)</t>
  </si>
  <si>
    <t>GDP per capita data from CIA Factbook (2014 est.)</t>
  </si>
  <si>
    <t>Angola</t>
  </si>
  <si>
    <t>Low figures possibly due to political context (civil war, large procurement companies under dictatorship and high informality)</t>
  </si>
  <si>
    <t>AGO</t>
  </si>
  <si>
    <t>Lower middle income</t>
  </si>
  <si>
    <t>Sub-Saharan Africa</t>
  </si>
  <si>
    <t>INE - Instituto Nacional de Estadistica. Anuario de Statistica das Empresas</t>
  </si>
  <si>
    <t>https://www.ine.gov.ao/publicacoes/economia-e-financas-artigos/202-anuario-de-estatistica-das-empresas</t>
  </si>
  <si>
    <t>1-9</t>
  </si>
  <si>
    <t>AOA</t>
  </si>
  <si>
    <t>Medium and Large enterprises are aggregated</t>
  </si>
  <si>
    <t>http://www.ine.gov.ao/publicacoes/economia-e-financas-artigos/202-anuario-de-estatistica-das-empresas</t>
  </si>
  <si>
    <t>Ministry of Economy. Lei das Micro Pequenas e Médias Empresas</t>
  </si>
  <si>
    <t>http://abcempreendedor.com/conteudos/documentos/lei30-11_13set.pdf</t>
  </si>
  <si>
    <t>&lt;11</t>
  </si>
  <si>
    <t>11-100</t>
  </si>
  <si>
    <t>101-200</t>
  </si>
  <si>
    <t>&gt;200</t>
  </si>
  <si>
    <t>USD</t>
  </si>
  <si>
    <t>&lt;250,000</t>
  </si>
  <si>
    <t>250,000-3,000,000</t>
  </si>
  <si>
    <t>3,000,001-10,000,000</t>
  </si>
  <si>
    <t>&gt;10,000,000</t>
  </si>
  <si>
    <t>Antigua and Barbuda</t>
  </si>
  <si>
    <t>ATG</t>
  </si>
  <si>
    <t>High income</t>
  </si>
  <si>
    <t>Latin America &amp; Caribbean</t>
  </si>
  <si>
    <t>The Small Business Development Act, 2007. Page 6</t>
  </si>
  <si>
    <t>&lt;25</t>
  </si>
  <si>
    <t>&lt;3,000,000</t>
  </si>
  <si>
    <t>XCD</t>
  </si>
  <si>
    <t>&lt;2,000,000</t>
  </si>
  <si>
    <t>Argentina</t>
  </si>
  <si>
    <t>ARG</t>
  </si>
  <si>
    <t>OEDE. Serie de empresas. Cuadro 6</t>
  </si>
  <si>
    <t>http://www.trabajo.gob.ar/downloads/estadisticas/oede/nacional_Serie_empresas.xlsx</t>
  </si>
  <si>
    <t>&lt;5 Industry; &lt;5 Trade;  &lt;4 Services</t>
  </si>
  <si>
    <t>6-24 Industry; 6-23 Trade; 5-17 Services</t>
  </si>
  <si>
    <t>25-96 Industry; 24-67 Trade; 18-66 Services</t>
  </si>
  <si>
    <t>&gt;96 Industry; &gt;67 Trade; &gt;66 Services</t>
  </si>
  <si>
    <t>Cuadro 9 at http://www.trabajo.gob.ar/downloads/estadisticas/oede/nacional_Serie_empresas.xlsx</t>
  </si>
  <si>
    <t>Definition: "Metodologia" tab. MSME number of employees categories were determined according to Resolution 24/2001 from Secretariat of Small and Medium Enterprise (SEPyME), Ministry of Economy.</t>
  </si>
  <si>
    <t>Ministerio de modernizacion. GPS Empresas: cantidad de empresas por tamaño</t>
  </si>
  <si>
    <t>http://datos.gob.ar/dataset/siep-gps-empresas/archivo/siep_3.13</t>
  </si>
  <si>
    <t>50-200</t>
  </si>
  <si>
    <t>Used data from 1/1/2018 and 10/1/2007-2017</t>
  </si>
  <si>
    <t>Data is presented quarterly</t>
  </si>
  <si>
    <t>Used data from 1/1/2018 and 10/1/2007-2018</t>
  </si>
  <si>
    <t>Used data from 1/1/2018 and 10/1/2007-2019</t>
  </si>
  <si>
    <t>Used data from 1/1/2018 and 10/1/2007-2020</t>
  </si>
  <si>
    <t>Used data from 1/1/2018 and 10/1/2007-2021</t>
  </si>
  <si>
    <t>Used data from 1/1/2018 and 10/1/2007-2022</t>
  </si>
  <si>
    <t>Used data from 1/1/2018 and 10/1/2007-2023</t>
  </si>
  <si>
    <t>Used data from 1/1/2018 and 10/1/2007-2024</t>
  </si>
  <si>
    <t>Used data from 1/1/2018 and 10/1/2007-2025</t>
  </si>
  <si>
    <t>Used data from 1/1/2018 and 10/1/2007-2026</t>
  </si>
  <si>
    <t>Used data from 1/1/2018 and 10/1/2007-2027</t>
  </si>
  <si>
    <t>Used data from 1/1/2018 and 10/1/2007-2028</t>
  </si>
  <si>
    <t>Source 3</t>
  </si>
  <si>
    <t>Banco Central de la Republica de Argentina</t>
  </si>
  <si>
    <t>http://www.bcra.gob.ar/Pdfs/PublicacionesEstadisticas/perser_priv.xls</t>
  </si>
  <si>
    <t>&lt;270,000 Agriculture; &lt;900,000 Industry; &lt;1,800,000 Trade; &lt;450,000 Services; &lt;400,000 Construction</t>
  </si>
  <si>
    <t>270,000-1,800,000 Agriculture; 900,000-5,400,000 Industry; 1,800,000-10,8000,000 Trade; 450,000-3,240,000 Services; 400,000-2,500,000 Construction</t>
  </si>
  <si>
    <t>1,800,000-10,800,000 Agriculture; 5,400,000-43,200,000 Industry; 10,800,000-86,400,000 Trade; 3,240,000-21,600,000 Services; 2,500,000-20,000,000 Construction</t>
  </si>
  <si>
    <t>&gt;10,800,000 Agriculture; &gt;43,200,000 Industry; &gt;86,400,000 Trade; &gt;21,600,000 Services; &gt;20,000,000 Construction</t>
  </si>
  <si>
    <t>MSME definition available at: http://www.bcra.gov.ar/pdfs/texord/texcomp/A4266n.pdf</t>
  </si>
  <si>
    <t>Source 4</t>
  </si>
  <si>
    <t>Ministerio de Produccion</t>
  </si>
  <si>
    <t>https://www.produccion.gob.ar/pymesregistradas/</t>
  </si>
  <si>
    <t>&lt;12 Construction; &lt;7 Services; &lt;7 Trade; &lt;15 Industry; &lt;5 Agriculture</t>
  </si>
  <si>
    <t>12-45 Construction; 7-30 Services; 7-35 Trade; 15-60 Industry; 5-10 Agriculture</t>
  </si>
  <si>
    <t>46-590 Construction; 31-535 Services; 36-345 Trade; 61-655 Industry; 11-215 Agriculture</t>
  </si>
  <si>
    <t>&gt;590 Construction; &gt;535 Services; &gt;345 Trade; &gt;655 Industry; &gt;215 Agriculture</t>
  </si>
  <si>
    <t>&lt;7,400,000 Construction; &lt;5,800,000 Services; &lt;19,800,000 Trade; &lt;16,800,000 Industry; &lt;4,800,000 Agriculture</t>
  </si>
  <si>
    <t>7,400,001-47,300,000 Construction; 5,800,001-34,600,000 Services; 19,800,001-119,200,000 Trade; 16,800,001-102,200,000 Industry; 4,800,001-30,000,000 Agriculture</t>
  </si>
  <si>
    <t>47,300,001-568,300,000 Construction; 34,600,001-412,800,000 Services; 119,200,001-1,431,200,000 Trade; 102,200,001-1,212,800,000 Industry; 30,000,001-363,100,000 Agriculture</t>
  </si>
  <si>
    <t>&gt;568,300,000 Construction; &gt;412,800,000 Services; &gt;1,431,200,000 Trade; &gt;1,212,800,000 Industry; &gt;363,100,000 Agriculture</t>
  </si>
  <si>
    <t>Armenia</t>
  </si>
  <si>
    <t>ARM</t>
  </si>
  <si>
    <t>Ministry of Economic Development and Investments</t>
  </si>
  <si>
    <t xml:space="preserve">http://mineconomy.am/en/449 </t>
  </si>
  <si>
    <t>10-50</t>
  </si>
  <si>
    <t>51-250</t>
  </si>
  <si>
    <t>&gt;250</t>
  </si>
  <si>
    <t>&lt;10,000,000</t>
  </si>
  <si>
    <t>10,000,000-50,000,000</t>
  </si>
  <si>
    <t>50,000,001-1,500,000,000</t>
  </si>
  <si>
    <t>&gt;1,500,000,000</t>
  </si>
  <si>
    <t>AMD</t>
  </si>
  <si>
    <t>Number of active taxpayers, following EU4 Business report guidelines.</t>
  </si>
  <si>
    <t>http://mineconomy.am/en/449 Same website, number of employees in SMEs</t>
  </si>
  <si>
    <t>http://mineconomy.am/en/450</t>
  </si>
  <si>
    <t>http://mineconomy.am/en/451</t>
  </si>
  <si>
    <t>Australia</t>
  </si>
  <si>
    <t>AUS</t>
  </si>
  <si>
    <t>Australian Bureau of Statistics. Counts of Australian Businesses</t>
  </si>
  <si>
    <t>http://www.abs.gov.au/ausstats/abs@.nsf/DetailsPage/8165.0June%202014%20to%20June%202018?OpenDocument</t>
  </si>
  <si>
    <t>0-4</t>
  </si>
  <si>
    <t>5-19</t>
  </si>
  <si>
    <t>20-199</t>
  </si>
  <si>
    <t>&gt;199</t>
  </si>
  <si>
    <t>AUD</t>
  </si>
  <si>
    <t>Austria</t>
  </si>
  <si>
    <t>AUT</t>
  </si>
  <si>
    <t>Eurostat. Annual enterprise statistics by size class for special aggregates of activities (NACE Rev. 2) [sbs_sc_sca_r2].</t>
  </si>
  <si>
    <t>http://appsso.eurostat.ec.europa.eu/nui/show.do?dataset=sbs_sc_sca_r2&amp;lang=en</t>
  </si>
  <si>
    <t>0-9</t>
  </si>
  <si>
    <t xml:space="preserve">http://appsso.eurostat.ec.europa.eu/nui/show.do?dataset=sbs_sc_sca_r2&amp;lang=en </t>
  </si>
  <si>
    <t>:</t>
  </si>
  <si>
    <t>https://ec.europa.eu/growth/smes/business-friendly-environment/performance-review_en</t>
  </si>
  <si>
    <t>OECD (2018), "Austria" in Financing SMEs and Entrepreneurs 2018: An OECD Scoreboard</t>
  </si>
  <si>
    <t>Compilation of official sources</t>
  </si>
  <si>
    <t>The previous entry is 2010</t>
  </si>
  <si>
    <t>Azerbaijan</t>
  </si>
  <si>
    <t>AZE</t>
  </si>
  <si>
    <t>The State Statistical Committee of the Republic of Azerbaijan</t>
  </si>
  <si>
    <t>https://www.stat.gov.az/source/entrepreneurship/?lang=en</t>
  </si>
  <si>
    <t>25-125</t>
  </si>
  <si>
    <t>&gt;125</t>
  </si>
  <si>
    <t>&lt;20,000</t>
  </si>
  <si>
    <t>20,000-1,250,000</t>
  </si>
  <si>
    <t>&gt;1,250,000</t>
  </si>
  <si>
    <t>AZN</t>
  </si>
  <si>
    <t>According to the website, it seems the country does not differentiate micro from small, then MSMEs captures all of them.</t>
  </si>
  <si>
    <t xml:space="preserve">https://www.stat.gov.az/source/entrepreneurship/?lang=en </t>
  </si>
  <si>
    <t>From 2014, we only have excel data from the website, for 2015, the excel and the yearbook are different sometimes</t>
  </si>
  <si>
    <t>Bahamas, The</t>
  </si>
  <si>
    <t>No data</t>
  </si>
  <si>
    <t>Bahrain</t>
  </si>
  <si>
    <t>BHR</t>
  </si>
  <si>
    <t>Ministry of Commerce and Industry (MOCI)</t>
  </si>
  <si>
    <t>https://wbiworldconpro.com/uploads/london-conference-2016-july/management/1467266700.pdf</t>
  </si>
  <si>
    <t>11-100 Construction; 11-50 Other</t>
  </si>
  <si>
    <t>101-400 Construction; 51-250 Other</t>
  </si>
  <si>
    <t>&gt;400 Construction; &gt;250 Other</t>
  </si>
  <si>
    <t>BHD</t>
  </si>
  <si>
    <t>&lt;100,000</t>
  </si>
  <si>
    <t>100,001-1,000,000</t>
  </si>
  <si>
    <t>1,000,001-5,000,000</t>
  </si>
  <si>
    <t>&gt;5,000,001</t>
  </si>
  <si>
    <t xml:space="preserve">https://wbiworldconpro.com/uploads/london-conference-2016-july/management/1467266700.pdf </t>
  </si>
  <si>
    <t>Bangladesh</t>
  </si>
  <si>
    <t>BGD</t>
  </si>
  <si>
    <t>Bangladesh Bureau of Statistics. Economic Census</t>
  </si>
  <si>
    <t>http://203.112.218.65:8008/WebTestApplication/userfiles/Image/EcoCen13/FinalReport%20Part%201.pdf</t>
  </si>
  <si>
    <t>&lt;10 Services; &lt;25 Manufacturing</t>
  </si>
  <si>
    <t>50-100 Services; 100-250 Manufacturing</t>
  </si>
  <si>
    <t>&gt;100 Services; &gt;250 Manufacturing</t>
  </si>
  <si>
    <t>500,000-10,000,000 Services; 5,000,000-100,000,000 Manufacturing</t>
  </si>
  <si>
    <t>10,000,000-150,000,000 Services; 100,000,000-300,000,000 Manufacturing</t>
  </si>
  <si>
    <t>&gt;150,000,000 Services; &gt;300,000,000 Manufacturing</t>
  </si>
  <si>
    <t>BDT</t>
  </si>
  <si>
    <t>Page 61 at  http://203.112.218.65:8008/WebTestApplication/userfiles/Image/EcoCen13/FinalReport%20Part%201.pdf</t>
  </si>
  <si>
    <t>Barbados</t>
  </si>
  <si>
    <t>BRB</t>
  </si>
  <si>
    <t>Small Business Association SBA</t>
  </si>
  <si>
    <t>https://www.sba.bb/sba/index.php/news-research/research/send/2-research/3-the-state-of-small-business-in-barbados</t>
  </si>
  <si>
    <t>&lt;5</t>
  </si>
  <si>
    <t>5-25</t>
  </si>
  <si>
    <t>26-50</t>
  </si>
  <si>
    <t>&gt;50</t>
  </si>
  <si>
    <t>Page 7 at https://www.sba.bb/sba/index.php/news-research/research/send/2-research/3-the-state-of-small-business-in-barbados</t>
  </si>
  <si>
    <t>Information for women's owned business corresponds to MSMEs.</t>
  </si>
  <si>
    <t>Value added data does not include agriculture sector</t>
  </si>
  <si>
    <t>National Government. Subcommittee for the Development of a National Policy Framework for MSMEs</t>
  </si>
  <si>
    <t>https://www.barbadosparliament.com/uploads/sittings/attachments/f74aa9334153f34176d8189afe1a4414.pdf</t>
  </si>
  <si>
    <t>5-30</t>
  </si>
  <si>
    <t>30-100</t>
  </si>
  <si>
    <t>&lt;500,000</t>
  </si>
  <si>
    <t>500,000-3,000,000</t>
  </si>
  <si>
    <t>3,000,000-8,000,000</t>
  </si>
  <si>
    <t>&gt;8,000,000</t>
  </si>
  <si>
    <t>BBD</t>
  </si>
  <si>
    <t>Belarus</t>
  </si>
  <si>
    <t>BLR</t>
  </si>
  <si>
    <t>National Statistical Committee of the Republic of Belarus</t>
  </si>
  <si>
    <t>http://www.belstat.gov.by/en/ofitsialnaya-statistika/real-sector-of-the-economy/maloe-predprinimatelstvo/</t>
  </si>
  <si>
    <t>&lt;16</t>
  </si>
  <si>
    <t>16-100</t>
  </si>
  <si>
    <t>101-250</t>
  </si>
  <si>
    <t>BYN</t>
  </si>
  <si>
    <t>Source MSME number does not match the SME+Micro calculation. Manual calculation was done.</t>
  </si>
  <si>
    <t xml:space="preserve">http://www.belstat.gov.by/en/ofitsialnaya-statistika/real-sector-of-the-economy/maloe-predprinimatelstvo/ofitsialnye-publikatsii_14/ </t>
  </si>
  <si>
    <t>http://www.belstat.gov.by/en/ofitsialnaya-statistika/real-sector-of-the-economy/maloe-predprinimatelstvo/ofitsialnye-publikatsii_14/</t>
  </si>
  <si>
    <t>Belgium</t>
  </si>
  <si>
    <t>BEL</t>
  </si>
  <si>
    <t>OECD (2018), "Belgium" in Financing SMEs and Entrepreneurs 2018: An OECD Scoreboard</t>
  </si>
  <si>
    <t>http://www.oecd.org/cfe/smes/financing-smes-and-entrepreneurs-23065265.htm</t>
  </si>
  <si>
    <t>Belize</t>
  </si>
  <si>
    <t>BLZ</t>
  </si>
  <si>
    <t>Statistical Institute of Belize. Business Establishment Survey 2016</t>
  </si>
  <si>
    <t>https://ambergriscaye.com/art5/BESOct2016.pdf</t>
  </si>
  <si>
    <t>20-50</t>
  </si>
  <si>
    <t>&lt;50,000</t>
  </si>
  <si>
    <t>50,000-150,000</t>
  </si>
  <si>
    <t>150,000-500,000</t>
  </si>
  <si>
    <t>&gt;500,000</t>
  </si>
  <si>
    <t>BZD</t>
  </si>
  <si>
    <t>100,000-500,000</t>
  </si>
  <si>
    <t>500,000-1,500,000</t>
  </si>
  <si>
    <t>&gt;1,500,000</t>
  </si>
  <si>
    <t>http://sib.org.bz/statistics/businessestablishmentsurvey/</t>
  </si>
  <si>
    <t>Belize Trade and Investment Development Services BELTRAIDE. MSME Policy and Strategy Report</t>
  </si>
  <si>
    <t>https://www.belizeinvest.org.bz/uploads/6/4/9/6/64967361/belize-msme-final.pdf</t>
  </si>
  <si>
    <t>Benin</t>
  </si>
  <si>
    <t>BEN</t>
  </si>
  <si>
    <t>INSAE Institut National de la Statistique et de l’Analyse Economique - RGE 2</t>
  </si>
  <si>
    <t>https://www.insae-bj.org/images/docs/insae-statistiques/enquetes-recensements/Recensement-General-des-Entreprises/Rapport-general-2010-RGE2.pdf</t>
  </si>
  <si>
    <t>&lt;10,000</t>
  </si>
  <si>
    <t>10,000-1,000,000</t>
  </si>
  <si>
    <t>1,000,000-100,000,000</t>
  </si>
  <si>
    <t>&gt;100,000,000</t>
  </si>
  <si>
    <t>CFA</t>
  </si>
  <si>
    <t>https://www.insae-bj.org/statistiques/enquetes-et-recensements#recensement-general-des-entreprises</t>
  </si>
  <si>
    <t>Bermuda</t>
  </si>
  <si>
    <t>BMU</t>
  </si>
  <si>
    <t>North America</t>
  </si>
  <si>
    <t xml:space="preserve">Department of Statistics, Government of Bermuda (BGDS), "Employment Survey Tabulation Set". </t>
  </si>
  <si>
    <t>https://www.gov.bm/employment-statistics</t>
  </si>
  <si>
    <t>https://www.gov.bm/sites/default/files/2017-Employment-Survey-Detailed-Tabulations-Aug%207.pdf</t>
  </si>
  <si>
    <t>GNI per capita information from 2013 was used.</t>
  </si>
  <si>
    <t>Bhutan</t>
  </si>
  <si>
    <t>BTN</t>
  </si>
  <si>
    <t>National Statistic Bureau</t>
  </si>
  <si>
    <t xml:space="preserve">https://www.adb.org/sites/default/files/project-document/74673/39221-022-bhu-prtr.pdf
http://www.nsb.gov.bt/publication/files/SYB_2016.pdf
http://www.nsb.gov.bt/publication/files/pub10ss7733bo.pdf
</t>
  </si>
  <si>
    <t>20-99</t>
  </si>
  <si>
    <t>&gt;99</t>
  </si>
  <si>
    <t xml:space="preserve">Micro enterprises are "cottage scale".
</t>
  </si>
  <si>
    <t>Bolivia</t>
  </si>
  <si>
    <t>BOL</t>
  </si>
  <si>
    <t>CEPAL - Apoyando a las pymes: Políticas de fomento en América Latina y el Caribe</t>
  </si>
  <si>
    <t>https://repositorio.cepal.org/bitstream/handle/11362/35359/1/S1100762_es.pdf</t>
  </si>
  <si>
    <t>5-14</t>
  </si>
  <si>
    <t>15-49</t>
  </si>
  <si>
    <t>216,064 Micro and Small enterprises</t>
  </si>
  <si>
    <t>Value Added for Small and Medium enterprises: $10,526,372,000 BOB</t>
  </si>
  <si>
    <t>Decreto Supremo N° 3567 de 24/05/2018</t>
  </si>
  <si>
    <t>https://bolivia.infoleyes.com/norma/6750/decreto-supremo-3567</t>
  </si>
  <si>
    <t>Bosnia and Herzegovina</t>
  </si>
  <si>
    <t>BIH</t>
  </si>
  <si>
    <t xml:space="preserve">Agency for Statistics of Bosnia and Herzegovina </t>
  </si>
  <si>
    <t>http://www.bhas.ba/index.php?option=com_publikacija&amp;view=publikacija_pregled&amp;ids=3&amp;id=33&amp;n=Statisti%C4%8Dki%20poslovni%20registar&amp;Itemid=&amp;lang=en</t>
  </si>
  <si>
    <t>&lt;4,000,000</t>
  </si>
  <si>
    <t>4,000,000-19,999,999</t>
  </si>
  <si>
    <t>20,000,000-99,999,999</t>
  </si>
  <si>
    <t>&gt;99,000,000</t>
  </si>
  <si>
    <t>BAM</t>
  </si>
  <si>
    <t xml:space="preserve">Active enterprises in SBR in terms of a framework for conducting of statistical surveys by sections of KD BiH 2010 (NACE Rev.2) and employment classes </t>
  </si>
  <si>
    <t>Botswana</t>
  </si>
  <si>
    <t>BWA</t>
  </si>
  <si>
    <t>Statistics of Botswana. 2016 Census of enterprises and establishments</t>
  </si>
  <si>
    <t>statsbots.org.bw/sites/default/files/publications/CEE%20PHASE%201_2016%20REPORT.pdf</t>
  </si>
  <si>
    <t>5-29</t>
  </si>
  <si>
    <t>30-49</t>
  </si>
  <si>
    <t>http://statsbots.org.bw/sites/default/files/publications/CEE%20PHASE%201_2016%20REPORT.pdf</t>
  </si>
  <si>
    <t>Botswana Statistical Yearbook, 2010</t>
  </si>
  <si>
    <t>www.gobotswana.com/sites/default/files/Botswana%20Statistical520Year%20Book%20Book%202010.pdf</t>
  </si>
  <si>
    <t>30-99</t>
  </si>
  <si>
    <t>Brazil</t>
  </si>
  <si>
    <t>BRA</t>
  </si>
  <si>
    <t>IBGE - Estatisticas do Cadastro Central de Empresas 2016</t>
  </si>
  <si>
    <t>https://sidra.ibge.gov.br/tabela/993</t>
  </si>
  <si>
    <t>Cadastro Central de Empresas - Tabela 993 https://sidra.ibge.gov.br/tabela/993</t>
  </si>
  <si>
    <t>Serviço Brasileiro de Apoio às Micro e Pequenas Empresas – Sebrae and Departamento Intersindical de Estatistica – DISEE</t>
  </si>
  <si>
    <t>https://www.dieese.org.br/anuario/2017/anuarioDosTrabalhadoresPequenosNegocios.html</t>
  </si>
  <si>
    <t>&lt;20 Industry, Mining, Construction; &lt;10 Trade, Agriculture, Services</t>
  </si>
  <si>
    <t>20-99 Industry, Mining, Construction; 10-49 Trade, Agriculture, Services</t>
  </si>
  <si>
    <t>100-499 Industry, Mining, Construction; 50-99 Trade, Agriculture, Services</t>
  </si>
  <si>
    <t>&gt;500 Industry, Mining, Construction; &gt;100 Trade, Agriculture, Services</t>
  </si>
  <si>
    <t>Number of Employees: SEBRAE. http://www.bibliotecas.sebrae.com.br/chronus/ARQUIVOS_CHRONUS/bds/bds.nsf/cd949ce3599faa1e095bea15e2ac8ba5/$File/5861.pdf</t>
  </si>
  <si>
    <t>Annual Turnover: The thresholds include an extra category Medium-Large Businesses. It was accounted as Large Businesses for analysis purposes. UNIDO. https://www.unido.org/sites/default/files/2017-10/WP_14.pdf</t>
  </si>
  <si>
    <t>Women employers and entrepreneurs</t>
  </si>
  <si>
    <t>OECD (2018), "Brazil" in Financing SMEs and Entrepreneurs 2018: An OECD Scoreboard</t>
  </si>
  <si>
    <t>https://www-oecd-ilibrary-org.libproxy-wb.imf.org/industry-and-services/financing-smes-and-entrepreneurs-2018/brazil_fin_sme_ent-2018-16-en</t>
  </si>
  <si>
    <t>&lt;2,400,000</t>
  </si>
  <si>
    <t xml:space="preserve">2,400,000-16,000,000 </t>
  </si>
  <si>
    <t xml:space="preserve">16,000,000-90,000,000 </t>
  </si>
  <si>
    <t>&gt;90,000,000</t>
  </si>
  <si>
    <t>BRL</t>
  </si>
  <si>
    <t>NPL of SMEs: % of total SME loans</t>
  </si>
  <si>
    <t>Source 5</t>
  </si>
  <si>
    <t xml:space="preserve">ETCO-Instituto Brasileiro de Ética Concorrencial and Instituto Brasileiro de Economia da Fundação Getúlio Vargas (FGV/IBRE) </t>
  </si>
  <si>
    <t>http://www.etco.org.br/economia-subterranea/?sub=indice_historico</t>
  </si>
  <si>
    <t>Brunei Darussalam</t>
  </si>
  <si>
    <t>BRN</t>
  </si>
  <si>
    <t>Labor Department, Ministry of Home Department. Brunei Darussalam Statistical Year Book 2010.</t>
  </si>
  <si>
    <t>http://www.depd.gov.bn/SitePages/Statistical%20Publications.aspx</t>
  </si>
  <si>
    <t>6-50</t>
  </si>
  <si>
    <t>51-100</t>
  </si>
  <si>
    <t>Bulgaria</t>
  </si>
  <si>
    <t>BGR</t>
  </si>
  <si>
    <t>http://ec.europa.eu/eurostat/tgm/refreshTableAction.do?tab=table&amp;plugin=1&amp;pcode=tin00148&amp;language=en</t>
  </si>
  <si>
    <t>Burkina Faso</t>
  </si>
  <si>
    <t>BFA</t>
  </si>
  <si>
    <t>Charte des Petites et Moyennes Entreprises. Executive act signed by Ministry of Commerce and Economy.</t>
  </si>
  <si>
    <t>10-29</t>
  </si>
  <si>
    <t>15,000,001-50,000,000</t>
  </si>
  <si>
    <t>50,000,001-999,999,999</t>
  </si>
  <si>
    <t>Burundi</t>
  </si>
  <si>
    <t>BDI</t>
  </si>
  <si>
    <t xml:space="preserve">L'Institut de Statistiques et d’Etudes Economiques du Burundi (ISTEEBU). Annuaire Statistique 2016. Répartition des entreprises selon le nombre de travailleurs actifs (au 31 décembre) page 138
</t>
  </si>
  <si>
    <t>http://www.isteebu.bi/index.php/publications/annuaires-statistiques/annuaires-statistiques</t>
  </si>
  <si>
    <t>1-25</t>
  </si>
  <si>
    <t>Cabo Verde</t>
  </si>
  <si>
    <t>CPV</t>
  </si>
  <si>
    <t xml:space="preserve">Instituto Nacional de Estatistica. IV Recensamento Empresarial 2012. </t>
  </si>
  <si>
    <t>http://ine.cv/publicacoes/ivo-recenseamento-empresarial-2012-relatorio-final-2/</t>
  </si>
  <si>
    <t>0-5</t>
  </si>
  <si>
    <t>6-10</t>
  </si>
  <si>
    <t>11-20</t>
  </si>
  <si>
    <t>&gt;20</t>
  </si>
  <si>
    <t>CVE</t>
  </si>
  <si>
    <t>Census conducted every 6 years.</t>
  </si>
  <si>
    <t>Cambodia</t>
  </si>
  <si>
    <t>KHM</t>
  </si>
  <si>
    <t>Ministry of Planning, National Institute of Statistics - Economic Census of Cambodia (Inter-census)</t>
  </si>
  <si>
    <t>http://www.stat.go.jp/info/meetings/cambodia/pdf/ciesfn00.pdf</t>
  </si>
  <si>
    <t>1-10</t>
  </si>
  <si>
    <t>11-50</t>
  </si>
  <si>
    <t>Ministry of Planning, National Institute of Statistics - Economic Census</t>
  </si>
  <si>
    <t>https://www.nis.gov.kh/nis/EC2011/EC2011_Final_Results_Revised.pdf</t>
  </si>
  <si>
    <t>Ministry of Planning, National Institute of Statistics - 2009 Establishment Listing</t>
  </si>
  <si>
    <t>http://www.stat.go.jp/english/info/meetings/cambodia/e9f_tbl1.html</t>
  </si>
  <si>
    <t>50-99</t>
  </si>
  <si>
    <t>Cameroon</t>
  </si>
  <si>
    <t>CMR</t>
  </si>
  <si>
    <t>http://slmp-550-104.slc.westdc.net/~stat54/downloads/2018/Rapport_principal_RGE-2_version_finale.pdf</t>
  </si>
  <si>
    <t>&lt;15,000,000</t>
  </si>
  <si>
    <t xml:space="preserve">15,000,000-250,000,000 </t>
  </si>
  <si>
    <t>250,000,000-3,000,000,000</t>
  </si>
  <si>
    <t>&gt;3,000,000,000</t>
  </si>
  <si>
    <t>http://www.statistics-cameroon.org/news.php?id=493</t>
  </si>
  <si>
    <t>Promoteur/Principal dirigeant</t>
  </si>
  <si>
    <t>&gt;1,000,000,000</t>
  </si>
  <si>
    <t>Canada</t>
  </si>
  <si>
    <t>CAN</t>
  </si>
  <si>
    <t>IC Canada - Key Small Business Statistics</t>
  </si>
  <si>
    <t>5-99</t>
  </si>
  <si>
    <t>100-499</t>
  </si>
  <si>
    <t>&gt;500</t>
  </si>
  <si>
    <t>Majority owned</t>
  </si>
  <si>
    <t>Central African Republic</t>
  </si>
  <si>
    <t>Chad</t>
  </si>
  <si>
    <t>Chile</t>
  </si>
  <si>
    <t>CHL</t>
  </si>
  <si>
    <t>SII Servicio de Impuestos Internos</t>
  </si>
  <si>
    <t>http://www.sii.cl/estadisticas/empresas_tamano_ventas.htm</t>
  </si>
  <si>
    <t>OECD (2018), "Chile" in Financing SMEs and Entrepreneurs 2018: An OECD Scoreboard</t>
  </si>
  <si>
    <t>https://doi.org/10.1787/fin_sme_ent-2018-en</t>
  </si>
  <si>
    <t>China</t>
  </si>
  <si>
    <t>CHN</t>
  </si>
  <si>
    <t xml:space="preserve">&lt;5 Wholesale; &lt;10 Retail, Accomodation, Restaurant, Information, Software, Tenancy, Other; &lt;20 Heavy Industry, Transportation, Warehouse, Postal; &lt;100 Property management </t>
  </si>
  <si>
    <t>5-20 Wholesale; 10-50 Retail; 20-100 Warehouse; 10-100 Accomodation, Restaurant, Software, Tenancy, Information, Other; 20-300 Heavy Industry, Transportation, Postal; 100-300 Property management</t>
  </si>
  <si>
    <t>20-200 Wholesale; 50-300 Retail; 100-200 Warehouse; 100-300 Accomodation, Restaurant, Software, Tenancy, Other; 100-2000 Information; 300-1000 Heavy Industry, Transportation, Postal, Property management</t>
  </si>
  <si>
    <t>&gt;200 Wholesale; &gt;200 Warehouse; &gt;300 Accomodation, Restaurant, Software, Tenancy, Retail, Other; &gt;1000 Heavy Industry, Transportation, Postal, Property management; &gt;2000 Information</t>
  </si>
  <si>
    <t>&lt;3,000,000 Construction; &lt;20,000,000 Real Estate; &lt;1,000,000 Leasing and Commercial Services</t>
  </si>
  <si>
    <t>3,000,000-50,000,000 Construction; 20,000,000-50,000,000 Real Estate; 1,000,000-80,000,000 Leasing and Commercial Services</t>
  </si>
  <si>
    <t>50,000,000-800,000,000 Construction; 50,000,000-100,000,000 Real Estate; 80,000,000-120,000,000 Leasing and Commercial Services</t>
  </si>
  <si>
    <t>&gt;800,000,000 Construction; &gt;100,000,000 Real Estate; &gt;120,000,000 Leasing and Commercial Services</t>
  </si>
  <si>
    <t>&lt;500,000 Software; &lt;1,000,000 Retail, Warehouse, Postal, Accomodation, Restaurant, Information, Real Estate, Tenancy; &lt;2,000,000 Transportation; &lt;3,000,000 Heavy Industry, Construction; &lt;5,000,000 Property management;  &lt;10,000,000 Wholesale</t>
  </si>
  <si>
    <t>500,000-10,000,000 Software; 1,000,000-5,000,000 Retail; 1,000,000-10,000,000 Warehouse, Information, Real Estate; 1,000,000-20,000,000 Postal, Accomodation, Restaurant; 1,000,000-80,000,000 Tenancy; 2,000,000-30,000,000 Transportation; 3,000,000-20,000,000 Heavy Industry; 3,000,000-60,000,000 Construction; 5,000,000-10,000,000 Property management;  10,000,000-50,000,000 Wholesale</t>
  </si>
  <si>
    <t>10,000,0000-100,000,000 Software; 5,000,000-200,000,000 Retail; 10,000,000-300,000,000 Warehouse; 10,000,000-1,000,000,000 Information; 10,000,000-2,000,000,000 Real Estate; 20,000,000-300,000,000 Postal; 20,000,000-100,000,000 Accomodation, Restaurant; 80,000,000-1,200,000,000 Tenancy; 30,000,000-300,000,000 Transportation; 20,000,000-400,000,000 Heavy Industry; 60,000,000-800,000,000 Construction; 10,000,000-50,000,000 Property management;  50,000,000-400,000,000 Wholesale</t>
  </si>
  <si>
    <t xml:space="preserve"> &gt;50,000,000 Property management; &gt;100,000,000 Software, Accomodation, Restaurant; &gt;200,000,000 Retail; &gt;300,000,000 Warehouse, Postal, Transportation; &gt;400,000,000 Heavy Industry, Wholesale; &gt;800,000,000 Construction; &gt;1,000,000,000 Information; &gt;1,200,000,000 Tenancy; &gt;2,000,000,000 Real Estate</t>
  </si>
  <si>
    <t xml:space="preserve">CHN </t>
  </si>
  <si>
    <t>Colombia</t>
  </si>
  <si>
    <t>COL</t>
  </si>
  <si>
    <t>MSME Directorate under the Ministry of Commerce, Industry and Tourism (MinCIT). Reporte Pymes No. 3</t>
  </si>
  <si>
    <t>http://www.confecamaras.org.co/phocadownload/2018/Cuadernos_An%C3%A1lisis_Econ%C3%B3mico/Cuaderno_demografia_empresarial/Cartilla17.pdf</t>
  </si>
  <si>
    <t>51-200</t>
  </si>
  <si>
    <t>COP</t>
  </si>
  <si>
    <t xml:space="preserve">Employment data does not match MSME definition. (Page 11). </t>
  </si>
  <si>
    <t>Colombia's definition is expressed in (SMMLV - Legal monthly minimum wage in force), this was converted to the average yearly wage.</t>
  </si>
  <si>
    <t>Confecámaras.</t>
  </si>
  <si>
    <t>http://www.confecamaras.org.co/phocadownload/Cuadernos_de_analisis_economico/Cuaderno_de_An%D0%B0lisis_Economico_N_11.pdf</t>
  </si>
  <si>
    <t>https://www.superfinanciera.gov.co/publicacion/saldos-de-cartera-por-producto-61036</t>
  </si>
  <si>
    <t>Lending share from total commercial loans.</t>
  </si>
  <si>
    <t>NPL defined as outstanding loans for 90 or more days.</t>
  </si>
  <si>
    <t>Superintendencia Financiera</t>
  </si>
  <si>
    <t>https://www-oecd-ilibrary-org.libproxy-wb.imf.org/docserver/fin_sme_ent-2018-16-en.pdf?expires=1532032442&amp;id=id&amp;accname=ocid195787&amp;checksum=7E28B2E64E25956478A72480EFB5CDE1</t>
  </si>
  <si>
    <t>Classification of SMEs in Colombia according to the parameters contained in Law 905 of 2004</t>
  </si>
  <si>
    <t>NPLs: Total capital value of current credit operations for which payment delays exceed 90 days</t>
  </si>
  <si>
    <t>OECD (2018), "Colombia" in Financing SMEs and Entrepreneurs 2018: An OECD Scoreboard</t>
  </si>
  <si>
    <t>http://www.mipymes.gov.co/loader.php?lServicio=Documentos&amp;lFuncion=verPdf&amp;id=41096&amp;name=ReporteMipymes03.pdf&amp;prefijo=file</t>
  </si>
  <si>
    <t>Page 5 at http://www.mipymes.gov.co/loader.php?lServicio=Documentos&amp;lFuncion=verPdf&amp;id=41096&amp;name=ReporteMipymes03.pdf&amp;prefijo=file</t>
  </si>
  <si>
    <t>Page 6 at http://www.mipymes.gov.co/loader.php?lServicio=Documentos&amp;lFuncion=verPdf&amp;id=41096&amp;name=ReporteMipymes03.pdf&amp;prefijo=file</t>
  </si>
  <si>
    <t>Informality defined as not being registered</t>
  </si>
  <si>
    <t>ANIF executes a bi-annual study on Small and Medium Enterprises (La Gran Encuesta PYME). The caveat of the study is that the results are based on samples.</t>
  </si>
  <si>
    <t>Comoros</t>
  </si>
  <si>
    <t>Congo, Dem. Rep.</t>
  </si>
  <si>
    <t>Congo, Rep.</t>
  </si>
  <si>
    <t>Costa Rica</t>
  </si>
  <si>
    <t>CRI</t>
  </si>
  <si>
    <t>INEC Instituto Nacional de Estadistica y Censos. Directorio de Empresas y Establecimientos 2010-2017</t>
  </si>
  <si>
    <t>http://www.inec.go.cr/economia/directorio-de-empresas-y-establecimientos-0</t>
  </si>
  <si>
    <t>6-30</t>
  </si>
  <si>
    <t>31-100</t>
  </si>
  <si>
    <t>Data is published annually</t>
  </si>
  <si>
    <t>Enterprises: DEE. Total de empresas según intervalo de trabajadores</t>
  </si>
  <si>
    <t>Employment: DEE. Total de trabajadores según intervalo de trabajadores</t>
  </si>
  <si>
    <t>Côte d'Ivoire</t>
  </si>
  <si>
    <t>CIV</t>
  </si>
  <si>
    <t>Institut National de la Statistique</t>
  </si>
  <si>
    <t>http://www.ins.ci/n/REPARTITIONDESENTREPRISESSELONLEURTAILLE.pdf</t>
  </si>
  <si>
    <t>&lt;150,000,000</t>
  </si>
  <si>
    <t>150,000,000 - 1,000,000,000</t>
  </si>
  <si>
    <t>FCFA</t>
  </si>
  <si>
    <t>Micro and small entreprises are aggregated.</t>
  </si>
  <si>
    <t>Secrétariat Général du Gouvernement</t>
  </si>
  <si>
    <t>http://www.sgg.gouv.ci/photo_doc/1373647988Decret%20N_2012-05.pdf</t>
  </si>
  <si>
    <t>&lt;50</t>
  </si>
  <si>
    <t>&lt;200</t>
  </si>
  <si>
    <t>&lt;30,000,000</t>
  </si>
  <si>
    <t>30,000,000 - 150,000,000</t>
  </si>
  <si>
    <t>&lt;1,000,000,000</t>
  </si>
  <si>
    <t>Croatia</t>
  </si>
  <si>
    <t>HRV</t>
  </si>
  <si>
    <t>http://ec.europa.eu/eurostat/tgm/refreshTableAction.do?tab=table&amp;plugin=1&amp;pcode=tin00145&amp;language=en</t>
  </si>
  <si>
    <t>&gt;43,000,000</t>
  </si>
  <si>
    <t>&lt;50,000,000</t>
  </si>
  <si>
    <t>&gt;50,000,000</t>
  </si>
  <si>
    <t>0-10</t>
  </si>
  <si>
    <t>Cyprus</t>
  </si>
  <si>
    <t>CYP</t>
  </si>
  <si>
    <t>SBA Fact Sheet, European Comission</t>
  </si>
  <si>
    <t>https://ec.europa.eu/commission/index_en</t>
  </si>
  <si>
    <t>Czech Republic</t>
  </si>
  <si>
    <t>CZE</t>
  </si>
  <si>
    <t>Denmark</t>
  </si>
  <si>
    <t>DNK</t>
  </si>
  <si>
    <t>Djibouti</t>
  </si>
  <si>
    <t>Dominica</t>
  </si>
  <si>
    <t>Dominican Republic</t>
  </si>
  <si>
    <t>DOM</t>
  </si>
  <si>
    <t>Oficina Nacional de Estadistica (ONE) Directorio de Empresas y Establecimientos 2016 and Anuario de Estadisticas Economicas 2013.</t>
  </si>
  <si>
    <t>https://www.one.gob.do/censos/directorio-de-empresas-y-establecimientos</t>
  </si>
  <si>
    <t>Pages 45-52 at https://www.one.gob.do/Multimedia/Download?ObjId=63471</t>
  </si>
  <si>
    <t>Pages 45-52 at https://www.one.gob.do/Multimedia/Download?ObjId=63472</t>
  </si>
  <si>
    <t>Report is published annually</t>
  </si>
  <si>
    <t>Definition: page 19 (2016). Enterprises: page 73 (2016) and page 201 (2010-2013)</t>
  </si>
  <si>
    <t>Report 2010-2013: https://www.one.gob.do/Multimedia/Download?ObjId=2316</t>
  </si>
  <si>
    <t>ENHOGAR-2016 has information about total number of women-owned enterprises.</t>
  </si>
  <si>
    <t>Ministerio de Industria, Comercio y Mipymes. Informe de gestión Mipymes 2017-2018. According to Ley No. 187-17</t>
  </si>
  <si>
    <t>https://micm.gob.do/images/pdf/publicaciones/informes/IG-2018-mipymes.pdf</t>
  </si>
  <si>
    <t>50-150</t>
  </si>
  <si>
    <t>&gt;150</t>
  </si>
  <si>
    <t>3,000,000-12,000,000</t>
  </si>
  <si>
    <t>12,000,000-40,000,000</t>
  </si>
  <si>
    <t>&gt;40,000,000</t>
  </si>
  <si>
    <t>DOP</t>
  </si>
  <si>
    <t>&lt;8,000,000</t>
  </si>
  <si>
    <t>8,000,000-54,000,000</t>
  </si>
  <si>
    <t>54,000,000-202,000,000</t>
  </si>
  <si>
    <t>&gt;202,000,000</t>
  </si>
  <si>
    <t>Ecuador</t>
  </si>
  <si>
    <t>ECU</t>
  </si>
  <si>
    <t>INE. Instituto Nacional de Estadisticas y censos. Directorio de Empresas</t>
  </si>
  <si>
    <t>http://produccion.ecuadorencifras.gob.ec/QvAJAXZfc/opendoc.htm?document=empresas_test.qvw&amp;host=QVS%40virtualqv&amp;anonymous=true</t>
  </si>
  <si>
    <t>50-199</t>
  </si>
  <si>
    <t>&lt;100,001</t>
  </si>
  <si>
    <t>&gt;5,000,000</t>
  </si>
  <si>
    <t>Definition available at http://www.ecuadorencifras.gob.ec/documentos/web-inec/Estadisticas_Economicas/DirectorioEmpresas/Directorio_Empresas_2016/Principales_Resultados_DIEE_2016.pdf</t>
  </si>
  <si>
    <t>Egypt, Arab Rep.</t>
  </si>
  <si>
    <t>EGY</t>
  </si>
  <si>
    <t>10-100</t>
  </si>
  <si>
    <t>El Salvador</t>
  </si>
  <si>
    <t>SLV</t>
  </si>
  <si>
    <t>DIGESTYC Directorio General de Estadistica y Censos. Directorio de Unidades Economicas 2011-2012. Page 21</t>
  </si>
  <si>
    <t>http://www.digestyc.gob.sv/index.php/novedades/avisos/aviso-empresa/264-directorio-de-unidades-economicas-2011-2012.pdf</t>
  </si>
  <si>
    <t>1,000,001-7,000,000</t>
  </si>
  <si>
    <t>&gt;7,000,000</t>
  </si>
  <si>
    <t>Equatorial Guinea</t>
  </si>
  <si>
    <t>Eritrea</t>
  </si>
  <si>
    <t>Estonia</t>
  </si>
  <si>
    <t>EST</t>
  </si>
  <si>
    <t>Eswatini</t>
  </si>
  <si>
    <t>0-3</t>
  </si>
  <si>
    <t>4-10</t>
  </si>
  <si>
    <t>SZL</t>
  </si>
  <si>
    <t>1-3</t>
  </si>
  <si>
    <t>Ethiopia</t>
  </si>
  <si>
    <t>ETH</t>
  </si>
  <si>
    <t>&lt;5 Service, Industry</t>
  </si>
  <si>
    <t>6-30 Service, Industry</t>
  </si>
  <si>
    <t>"Ministry of Finance and Economic Development"</t>
  </si>
  <si>
    <t>www.mofed.gov.et</t>
  </si>
  <si>
    <t>Fiji</t>
  </si>
  <si>
    <t>FJI</t>
  </si>
  <si>
    <t>0-6</t>
  </si>
  <si>
    <t>7-20</t>
  </si>
  <si>
    <t>21-50</t>
  </si>
  <si>
    <t>&lt;30,000</t>
  </si>
  <si>
    <t>30,000-100,000</t>
  </si>
  <si>
    <t>Finland</t>
  </si>
  <si>
    <t>FIN</t>
  </si>
  <si>
    <t>http://ec.europa.eu/eurostat/data/database?node_code=tin00147</t>
  </si>
  <si>
    <t>France</t>
  </si>
  <si>
    <t>FRA</t>
  </si>
  <si>
    <t>http://dx.doi.org/10.1787/888933667233</t>
  </si>
  <si>
    <t>"Note: Data includes financial enterprises with the exception of holding companies (ISIC Rev.4 sector 642). Non-employer enterprises are not included.OECD has different definition for SME and MSME, in OECD definition, SME equals MSMEs, before 2015, the calculation is in 2010"</t>
  </si>
  <si>
    <t>Gabon</t>
  </si>
  <si>
    <t>GAB</t>
  </si>
  <si>
    <t>http://www.oecd.org/fr/dev/34883788.pdf</t>
  </si>
  <si>
    <t>Gambia, The</t>
  </si>
  <si>
    <t>GMB</t>
  </si>
  <si>
    <t>African Development Fund</t>
  </si>
  <si>
    <t>http://www.ciam.gm/_library/2012/6/poverty_study_gambia.pdf</t>
  </si>
  <si>
    <t>&gt;5</t>
  </si>
  <si>
    <t>GMD</t>
  </si>
  <si>
    <t>Georgia</t>
  </si>
  <si>
    <t>GEO</t>
  </si>
  <si>
    <t>National Statistics Office of Georgia</t>
  </si>
  <si>
    <t>http://www.geostat.ge/index.php?action=page&amp;p_id=212&amp;lang=eng</t>
  </si>
  <si>
    <t>&lt;12,000,000</t>
  </si>
  <si>
    <t>12,000,000-60,000,000</t>
  </si>
  <si>
    <t>&gt;60,000,000</t>
  </si>
  <si>
    <t>GEL</t>
  </si>
  <si>
    <t>&lt;20</t>
  </si>
  <si>
    <t>20-100</t>
  </si>
  <si>
    <t>&lt;5,000,000</t>
  </si>
  <si>
    <t>Micro and small enterprises are aggregated.</t>
  </si>
  <si>
    <t>Germany</t>
  </si>
  <si>
    <t>DEU</t>
  </si>
  <si>
    <t>Ghana</t>
  </si>
  <si>
    <t>GHA</t>
  </si>
  <si>
    <t>10-30</t>
  </si>
  <si>
    <t>GHS</t>
  </si>
  <si>
    <t>Greece</t>
  </si>
  <si>
    <t>GRC</t>
  </si>
  <si>
    <t>Grenada</t>
  </si>
  <si>
    <t>GRD</t>
  </si>
  <si>
    <t>Small Business Policy, 2010</t>
  </si>
  <si>
    <t>https://www.caribank.org/publications-and-resources/resource-library/thematic-papers/micro-small-and-medium-enterprise-development-caribbean-towards-new-frontier</t>
  </si>
  <si>
    <t>&gt;370,370</t>
  </si>
  <si>
    <t>&lt;37,040</t>
  </si>
  <si>
    <t>&lt;185,185</t>
  </si>
  <si>
    <t>&lt;740,740</t>
  </si>
  <si>
    <t>Guam</t>
  </si>
  <si>
    <t>GUM</t>
  </si>
  <si>
    <t>20-49</t>
  </si>
  <si>
    <t>GDP per capita information from CIA Factbook</t>
  </si>
  <si>
    <t>Guatemala</t>
  </si>
  <si>
    <t>GTM</t>
  </si>
  <si>
    <t>Ministerio de Economia - Sistema Nacional de Informacion Mipyme</t>
  </si>
  <si>
    <t>http://www.mineco.gob.gt/sites/default/files/Comunicacion%20Social/sistema_nacional_de_informacion_mipyme_guatemala_ano_base_2015.pdf</t>
  </si>
  <si>
    <t>11-80</t>
  </si>
  <si>
    <t>81-200</t>
  </si>
  <si>
    <t>&lt;454,860</t>
  </si>
  <si>
    <t>454,860-8,857,800</t>
  </si>
  <si>
    <t>8,857,800-36,915,480</t>
  </si>
  <si>
    <t>GTQ</t>
  </si>
  <si>
    <t>Active and registered enterprises</t>
  </si>
  <si>
    <t>Page 19 at http://www.mineco.gob.gt/sites/default/files/Comunicacion%20Social/sistema_nacional_de_informacion_mipyme_guatemala_ano_base_2015.pdf</t>
  </si>
  <si>
    <t>Banco de Guatemala - DINEL 2013 - https://www.banguat.gob.gt/Publica/DINEL/Informe_Dinel_2013.pdf</t>
  </si>
  <si>
    <t>Superintendencia de Bancos - Evolución de la Cartera de Créditos</t>
  </si>
  <si>
    <t>https://www.sib.gob.gt/web/sib/informacion_sistema_financiero/analisis-de-evolucion</t>
  </si>
  <si>
    <t>&lt;650,000</t>
  </si>
  <si>
    <t>The criteria for clasification is the amount of credit requested. This data corresponds to 12/31/2018.</t>
  </si>
  <si>
    <t>GNI per capita and Population correspond to 2017.</t>
  </si>
  <si>
    <t>The criteria for clasification is the amount of credit requested. This data corresponds to 12/31/2017.</t>
  </si>
  <si>
    <t>The criteria for clasification is the amount of credit requested. This data corresponds to 12/31/2016.</t>
  </si>
  <si>
    <t>Guinea</t>
  </si>
  <si>
    <t>GIN</t>
  </si>
  <si>
    <t>http://www.ilo.org/wcmsp5/groups/public/@ed_emp/@emp_ent/@ifp_seed/documents/publication/wcms_117670.pdf</t>
  </si>
  <si>
    <t>5-49</t>
  </si>
  <si>
    <t>Guinea-Bissau</t>
  </si>
  <si>
    <t>Guyana</t>
  </si>
  <si>
    <t>GUY</t>
  </si>
  <si>
    <t>The Small Business Act, 2004 Page 4</t>
  </si>
  <si>
    <t>http://goinvest.gov.gy/wp-content/uploads/Small-Business-Act-2004.pdf</t>
  </si>
  <si>
    <t>&lt;20,000,000</t>
  </si>
  <si>
    <t>GYD</t>
  </si>
  <si>
    <t>&lt;60,000,000</t>
  </si>
  <si>
    <t>Haiti</t>
  </si>
  <si>
    <t>HTI</t>
  </si>
  <si>
    <t>Inter-American Development Bank, Ukaid, Compete Caribbean</t>
  </si>
  <si>
    <t>https://competecaribbean.org/wp-content/uploads/2015/02/2014-Haiti-Private-Sector-Assessment-Report.pdf</t>
  </si>
  <si>
    <t>50-250</t>
  </si>
  <si>
    <t>HTG</t>
  </si>
  <si>
    <t>5,000,000-50,000,000</t>
  </si>
  <si>
    <t>Micro enterprises: Microclients of MFIs and other micro-enterprises</t>
  </si>
  <si>
    <t>Honduras</t>
  </si>
  <si>
    <t>HND</t>
  </si>
  <si>
    <t>INE - Instituto Nacional de Estadistica. Directorio de Establecimientos Economicos</t>
  </si>
  <si>
    <t>http://170.238.108.227/binhnd/RpWebEngine.exe/Portal</t>
  </si>
  <si>
    <t>&lt;700,001</t>
  </si>
  <si>
    <t>700,001-2,000,000</t>
  </si>
  <si>
    <t>2,000,001-35,000,000</t>
  </si>
  <si>
    <t>&gt;35,000,000</t>
  </si>
  <si>
    <t>HNL</t>
  </si>
  <si>
    <t>Hong Kong SAR, China</t>
  </si>
  <si>
    <t>HKG</t>
  </si>
  <si>
    <t>HK Trade and Industry department</t>
  </si>
  <si>
    <t>https://www.success.tid.gov.hk/english/aboutus/sme/service_detail_6863.html</t>
  </si>
  <si>
    <t>Hungary</t>
  </si>
  <si>
    <t>HUN</t>
  </si>
  <si>
    <t>Iceland</t>
  </si>
  <si>
    <t>ISL</t>
  </si>
  <si>
    <t>https://www.statice.is/statistics/business-sectors/enterprises/structural-business-statistics/</t>
  </si>
  <si>
    <t>50-100</t>
  </si>
  <si>
    <t xml:space="preserve">https://www.statice.is/statistics/business-sectors/enterprises/structural-business-statistics/ </t>
  </si>
  <si>
    <t>India</t>
  </si>
  <si>
    <t>IND</t>
  </si>
  <si>
    <t>Ministry of Micro, Small and Medium Enterprises</t>
  </si>
  <si>
    <t>1,000,000-20,000,000 Services; 2,500,000-50,000,000 Manufacturing</t>
  </si>
  <si>
    <t>20,000,000-50,000,000 Services; 50,000,000-100,000,000 Manufacturing</t>
  </si>
  <si>
    <t>&gt;50,000,000 Services; &gt;100,000,000 Manufacturing</t>
  </si>
  <si>
    <t>INR</t>
  </si>
  <si>
    <t>Indonesia</t>
  </si>
  <si>
    <t>IDN</t>
  </si>
  <si>
    <t>Ministry of Cooperatives and SMEs， Indonesia Government</t>
  </si>
  <si>
    <t>http://www.depkop.go.id/</t>
  </si>
  <si>
    <t>IDR</t>
  </si>
  <si>
    <t>Iran, Islamic Rep.</t>
  </si>
  <si>
    <t>IRN</t>
  </si>
  <si>
    <t>http://isipo.ir/index.jsp?fkeyid=&amp;siteid=1&amp;pageid=643</t>
  </si>
  <si>
    <t>Iraq</t>
  </si>
  <si>
    <t>IRQ</t>
  </si>
  <si>
    <t>Central Statistical Organization of Iraq</t>
  </si>
  <si>
    <t xml:space="preserve">http://cosit.gov.iq/en/industrial-statistics </t>
  </si>
  <si>
    <t>&gt;29</t>
  </si>
  <si>
    <t>IQD</t>
  </si>
  <si>
    <t xml:space="preserve"> </t>
  </si>
  <si>
    <t>The main indicators for the extractive industries (excluding oil) and the
conversion and the report does not include data of the Kurdistan region.</t>
  </si>
  <si>
    <t>Ireland</t>
  </si>
  <si>
    <t>IRL</t>
  </si>
  <si>
    <t>13.92%</t>
  </si>
  <si>
    <t>17.16%</t>
  </si>
  <si>
    <t>23.88%</t>
  </si>
  <si>
    <t>26.14%</t>
  </si>
  <si>
    <t>23.66%</t>
  </si>
  <si>
    <t>Israel</t>
  </si>
  <si>
    <t>ISR</t>
  </si>
  <si>
    <t>5-20</t>
  </si>
  <si>
    <t>Italy</t>
  </si>
  <si>
    <t>ITA</t>
  </si>
  <si>
    <t>http://dx.doi.org/10.1787/888933668373</t>
  </si>
  <si>
    <t>Jamaica</t>
  </si>
  <si>
    <t>JAM</t>
  </si>
  <si>
    <t xml:space="preserve">MSME and Entrepreneurship Policy. Ministry of Industry, Investment and Commerce. </t>
  </si>
  <si>
    <t>http://www.micaf.gov.jm/sites/default/files/pdfs/MSME%20and%20Entrepreneurship%20Policy%20Updated%202017_0.pdf</t>
  </si>
  <si>
    <t>&lt;6</t>
  </si>
  <si>
    <t>15,000,000-75,000,000</t>
  </si>
  <si>
    <t>75,000,000-425,000,000</t>
  </si>
  <si>
    <t>&gt;425,000,000</t>
  </si>
  <si>
    <t>JMD</t>
  </si>
  <si>
    <t>Bank of Jamaica. "Financing the Micro, Small and Medium Enterprises (MSMEs) Sector in Jamaica: Constraints and Prospects for Leasing, Factoring and Microfinance", 2012,</t>
  </si>
  <si>
    <t>http://www.boj.org.jm/uploads/pdf/papers_pamphlets/papers_pamphlets_Financiang_the_MSME_Sector_in_Jamaica_-_Constraints_and_Prospects_for_Leasing,_Factoring_and_Microfinance.pdf</t>
  </si>
  <si>
    <t>50,000,000-150,000,000</t>
  </si>
  <si>
    <t>&gt;150,000,000</t>
  </si>
  <si>
    <t>Numbers are estimated from GCT Contributions</t>
  </si>
  <si>
    <t>Japan</t>
  </si>
  <si>
    <t>JPN</t>
  </si>
  <si>
    <t>Statistical Office of Japan (e-Stat - Portal Site of Official Statistics of Japan)</t>
  </si>
  <si>
    <t>https://www.e-stat.go.jp/en/</t>
  </si>
  <si>
    <t>50-300</t>
  </si>
  <si>
    <t>&gt;300</t>
  </si>
  <si>
    <t>JPY</t>
  </si>
  <si>
    <t>Jordan</t>
  </si>
  <si>
    <t>JOR</t>
  </si>
  <si>
    <t xml:space="preserve">Department of Statistics </t>
  </si>
  <si>
    <t>http://dosweb.dos.gov.jo/labourforce/employment-in-establishment/</t>
  </si>
  <si>
    <t>JOD</t>
  </si>
  <si>
    <t>Kazakhstan</t>
  </si>
  <si>
    <t>KAZ</t>
  </si>
  <si>
    <t>Committee on Statistics, Ministry of  National Economy</t>
  </si>
  <si>
    <t>http://stat.gov.kz/faces/wcnav_externalId/homeNumbersSMEnterprises;jsessionid=hN3H2E_k5j48jbtC0nALJM0mttcaHLDnb13LZAoB6FdWo7hqDmaZ!-290063826!95908683?_adf.ctrl-state=d0757vavl_38&amp;_afrLoop=4819552576902610#%40%3F_afrLoop%3D4819552576902610%26_adf.ctrl-state%3D19g51u6wqr_4</t>
  </si>
  <si>
    <t>Kenya</t>
  </si>
  <si>
    <t>KEN</t>
  </si>
  <si>
    <t xml:space="preserve"> Micro and Small Enterprise Act </t>
  </si>
  <si>
    <t>5,000,000 - 800,000,000</t>
  </si>
  <si>
    <t>KES</t>
  </si>
  <si>
    <t>Kiribati</t>
  </si>
  <si>
    <t>Korea, Rep.</t>
  </si>
  <si>
    <t>KOR</t>
  </si>
  <si>
    <t>Ministry of SMEs and Start-ups, Republic of Korea</t>
  </si>
  <si>
    <t>http://www.mss.go.kr/site/eng/02/10204000000002016111504.jsp</t>
  </si>
  <si>
    <t>KRW</t>
  </si>
  <si>
    <t>Kosovo</t>
  </si>
  <si>
    <t>XKX</t>
  </si>
  <si>
    <t>Kuwait</t>
  </si>
  <si>
    <t>KWT</t>
  </si>
  <si>
    <t>Kyrgyz Republic</t>
  </si>
  <si>
    <t>KGZ</t>
  </si>
  <si>
    <t>National Statistical Committee of the Kyrgyz Republic</t>
  </si>
  <si>
    <t>http://www.stat.kg/en/statistics/maloe-i-srednee-predprinimatelstvo/</t>
  </si>
  <si>
    <t>KGS</t>
  </si>
  <si>
    <t>Lao PDR</t>
  </si>
  <si>
    <t>LAO</t>
  </si>
  <si>
    <t>Ministry of Industry and Commerce of Laos</t>
  </si>
  <si>
    <t>LAK</t>
  </si>
  <si>
    <t>https://www.adb.org/sites/default/files/publication/173205/asia-sme-finance-monitor2014.pdf</t>
  </si>
  <si>
    <t>Latvia</t>
  </si>
  <si>
    <t>LVA</t>
  </si>
  <si>
    <t>Lebanon</t>
  </si>
  <si>
    <t>LBN</t>
  </si>
  <si>
    <t xml:space="preserve">Republic of Lebanon Ministry of Economy &amp; Trade </t>
  </si>
  <si>
    <t>https://www.economy.gov.lb/en/services/support-to-smes/whats-in-lebanon-for-smes</t>
  </si>
  <si>
    <t>500,000,000-5,000,000,000</t>
  </si>
  <si>
    <t>5,000,000,000-25,000,000,000</t>
  </si>
  <si>
    <t>&gt;25,000,000,000</t>
  </si>
  <si>
    <t>LBP</t>
  </si>
  <si>
    <t>Lesotho</t>
  </si>
  <si>
    <t>LSO</t>
  </si>
  <si>
    <t>Lesotho Beareu of Statistics</t>
  </si>
  <si>
    <t>http://www.bos.gov.ls/</t>
  </si>
  <si>
    <t>Liberia</t>
  </si>
  <si>
    <t>LBR</t>
  </si>
  <si>
    <t>4-20</t>
  </si>
  <si>
    <t>&gt; 50</t>
  </si>
  <si>
    <t>Libya</t>
  </si>
  <si>
    <t>LBY</t>
  </si>
  <si>
    <t>http://bsc.ly/?P=5&amp;sec_Id=12&amp;dep_Id=4</t>
  </si>
  <si>
    <t>Liechtenstein</t>
  </si>
  <si>
    <t>LIE</t>
  </si>
  <si>
    <t xml:space="preserve">Landesverwaltung Furstentum Liechtenstein </t>
  </si>
  <si>
    <t>https://www.llv.li/#/115387?scrollto=true</t>
  </si>
  <si>
    <t>CHF</t>
  </si>
  <si>
    <t>GNI per capita data corresponds to 2009.</t>
  </si>
  <si>
    <t>Lithuania</t>
  </si>
  <si>
    <t>LTU</t>
  </si>
  <si>
    <t>Luxembourg</t>
  </si>
  <si>
    <t>LUX</t>
  </si>
  <si>
    <t>http://dx.doi.org/10.1787/888933668848</t>
  </si>
  <si>
    <t>MKD</t>
  </si>
  <si>
    <t>Madagascar</t>
  </si>
  <si>
    <t>MDG</t>
  </si>
  <si>
    <t>Institut National de la Statistique de Madagascar (INSTAT)</t>
  </si>
  <si>
    <t>https://www.instat.mg/</t>
  </si>
  <si>
    <t>Malawi</t>
  </si>
  <si>
    <t>MWI</t>
  </si>
  <si>
    <t>info.undp.org/docs/pdc/Documents/MWI/Malawi%202012%20MSME%20Main%20Report%20-%20Final.pdf</t>
  </si>
  <si>
    <t>MK</t>
  </si>
  <si>
    <t>Malaysia</t>
  </si>
  <si>
    <t>MYS</t>
  </si>
  <si>
    <t>http://www.smecorp.gov.my/index.php/en/sme-annual-report-2015-16?id=2150</t>
  </si>
  <si>
    <t>MYR</t>
  </si>
  <si>
    <t>Economic Census 2015, Profile of Small and Medium Enterprises ,
Department of Statistics, Malaysia</t>
  </si>
  <si>
    <t>Economic Census 2014, Profile of Small and Medium Enterprises ,
Department of Statistics, Malaysia</t>
  </si>
  <si>
    <t>http://www.smecorp.gov.my/index.php/en/sme-annual-report-2015-16?id=2152</t>
  </si>
  <si>
    <t>Economic Census 2013, Profile of Small and Medium Enterprises ,
Department of Statistics, Malaysia</t>
  </si>
  <si>
    <t>http://www.smecorp.gov.my/index.php/en/sme-annual-report-2015-16?id=2153</t>
  </si>
  <si>
    <t>Economic Census 2012, Profile of Small and Medium Enterprises ,
Department of Statistics, Malaysia</t>
  </si>
  <si>
    <t>http://www.smecorp.gov.my/index.php/en/sme-annual-report-2015-16?id=2154</t>
  </si>
  <si>
    <t>Economic Census 2011, Profile of Small and Medium Enterprises ,
Department of Statistics, Malaysia</t>
  </si>
  <si>
    <t>http://www.smecorp.gov.my/index.php/en/sme-annual-report-2015-16?id=2155</t>
  </si>
  <si>
    <t>Maldives</t>
  </si>
  <si>
    <t>MDV</t>
  </si>
  <si>
    <t>Mali</t>
  </si>
  <si>
    <t>MLI</t>
  </si>
  <si>
    <t>CNPM - Conseil National du Patronat du Mali and Institute Africaine de l'Entreprise</t>
  </si>
  <si>
    <t>http://www.cnpmali.org/index.php/telechargements/doc_download/141-</t>
  </si>
  <si>
    <t xml:space="preserve">&lt;10 </t>
  </si>
  <si>
    <t>10 - 50</t>
  </si>
  <si>
    <t>50,000,000 - 200,000,000</t>
  </si>
  <si>
    <t>Malta</t>
  </si>
  <si>
    <t>MLT</t>
  </si>
  <si>
    <t>Marshall Islands</t>
  </si>
  <si>
    <t>Mauritania</t>
  </si>
  <si>
    <t>Mauritius</t>
  </si>
  <si>
    <t>MUS</t>
  </si>
  <si>
    <t>Statistics Mauritius</t>
  </si>
  <si>
    <t xml:space="preserve">1 -5 </t>
  </si>
  <si>
    <t>MUR</t>
  </si>
  <si>
    <t>Mexico</t>
  </si>
  <si>
    <t>MEX</t>
  </si>
  <si>
    <t>INEGI. Statistical Agency</t>
  </si>
  <si>
    <t>http://internet.contenidos.inegi.org.mx/contenidos/Productos/prod_serv/contenidos/espanol/bvinegi/productos/nueva_estruc/702825077952.pdf</t>
  </si>
  <si>
    <t>4,000,001 - 100,000,000</t>
  </si>
  <si>
    <t>100,000,001 - 250,000,000</t>
  </si>
  <si>
    <t>&gt;250,000,000</t>
  </si>
  <si>
    <t>Data for employment and number of enterprises is on page 19</t>
  </si>
  <si>
    <t>Data for value added: http://www.inegi.org.mx/est/contenidos/Proyectos/ce/ce2014/doc/tabulados/emprece14_01.xlsx</t>
  </si>
  <si>
    <t>For statistical purposes, the definition of enterprises for the industrial sector is used</t>
  </si>
  <si>
    <t>OECD (2018), "Mexico" in Financing SMEs and Entrepreneurs 2018: An OECD Scoreboard</t>
  </si>
  <si>
    <t>11-50 Industry; 11-30 Trade; 11-50 Services</t>
  </si>
  <si>
    <t>51-250 Industry; 31-100 Trade; 51-100 Services</t>
  </si>
  <si>
    <t>&gt;250 Industry; &gt;100 Trade; &gt;100 Services</t>
  </si>
  <si>
    <t>SME NPL from total SME lending</t>
  </si>
  <si>
    <t>MSME lending distribution within MSME loans</t>
  </si>
  <si>
    <t>CNBV - Comision Nacional Bancaria y de Valores</t>
  </si>
  <si>
    <t>http://portafolioinfo.cnbv.gob.mx</t>
  </si>
  <si>
    <t>Micronesia, Fed. Sts.</t>
  </si>
  <si>
    <t>Minsitry of Industry and Agriculture, Mogolia</t>
  </si>
  <si>
    <t>Moldova</t>
  </si>
  <si>
    <t>MDA</t>
  </si>
  <si>
    <t>MDL</t>
  </si>
  <si>
    <t>Mongolia</t>
  </si>
  <si>
    <t>MNG</t>
  </si>
  <si>
    <t>http://mofa.gov.mn/exp/blog/25/173</t>
  </si>
  <si>
    <t>MNT</t>
  </si>
  <si>
    <t>http://mofa.gov.mn/exp/blog/25/174</t>
  </si>
  <si>
    <t>http://mofa.gov.mn/exp/blog/25/175</t>
  </si>
  <si>
    <t>http://mofa.gov.mn/exp/blog/25/176</t>
  </si>
  <si>
    <t>Montenegro</t>
  </si>
  <si>
    <t>MNE</t>
  </si>
  <si>
    <t>Statistical Office of Montenegro</t>
  </si>
  <si>
    <t>0-49</t>
  </si>
  <si>
    <t>10,000,000-43,000,000</t>
  </si>
  <si>
    <t xml:space="preserve">https://www.monstat.org/eng/page.php?id=98&amp;pageid=98section data could be found in the same report </t>
  </si>
  <si>
    <t>1-49</t>
  </si>
  <si>
    <t>Morocco</t>
  </si>
  <si>
    <t>MAR</t>
  </si>
  <si>
    <t>&gt;75,000,000</t>
  </si>
  <si>
    <t>https://www.hcp.ma/downloads/Recensement-economique_t11886.html</t>
  </si>
  <si>
    <t>Small and medium enterprises are aggregated</t>
  </si>
  <si>
    <t>Mozambique</t>
  </si>
  <si>
    <t>MOZ</t>
  </si>
  <si>
    <t>National Statistical Office</t>
  </si>
  <si>
    <t>http://www.ine.gov.mz/operacoes-estatisticas/censos/censo-das-empresas</t>
  </si>
  <si>
    <t>10-99</t>
  </si>
  <si>
    <t>Myanmar</t>
  </si>
  <si>
    <t>MMR</t>
  </si>
  <si>
    <t>http://www.smedevelopmentcenter.gov.mm/?q=en/def_sme</t>
  </si>
  <si>
    <t>10-50 Services; 10-70 Manufacturing</t>
  </si>
  <si>
    <t>50-100 Services; 70-150 Manufacturing</t>
  </si>
  <si>
    <t>&gt;100 Services; &gt;150 Manufacturing</t>
  </si>
  <si>
    <t>&lt;200,000,000 Services; &lt;500,000,000 Manufacturing</t>
  </si>
  <si>
    <t>200,000,000-500,000,000 Services; 500,000,000-1,000,000,000 Manufacturing</t>
  </si>
  <si>
    <t>&gt;500,000,000 Services; &gt;1,000,000,000 Manufacturing</t>
  </si>
  <si>
    <t>MMK</t>
  </si>
  <si>
    <t>Namibia</t>
  </si>
  <si>
    <t>NAM</t>
  </si>
  <si>
    <t>http://www.mti.gov.na/downloads/MSME%20policy%20final.pdf</t>
  </si>
  <si>
    <t>11-30</t>
  </si>
  <si>
    <t>0 - 300,000</t>
  </si>
  <si>
    <t>300,001 - 3,000,000</t>
  </si>
  <si>
    <t>3,000,001 - 10,000,000</t>
  </si>
  <si>
    <t>Nauru</t>
  </si>
  <si>
    <t>Nepal</t>
  </si>
  <si>
    <t>NPL</t>
  </si>
  <si>
    <t>Central Bureau of Statistics</t>
  </si>
  <si>
    <t>http://cbs.gov.np/</t>
  </si>
  <si>
    <t>&lt;10,00,000</t>
  </si>
  <si>
    <t>Netherlands</t>
  </si>
  <si>
    <t>NLD</t>
  </si>
  <si>
    <t>New Zealand</t>
  </si>
  <si>
    <t>NZL</t>
  </si>
  <si>
    <t>New Zealand, Ministry of Business, Innovation and Employment (MBIE)</t>
  </si>
  <si>
    <t>http://www.mbie.govt.nz/info-services/sectors-industries/sectors-reports-series/the-small-business-sector-report-and-factsheet</t>
  </si>
  <si>
    <t>6-9</t>
  </si>
  <si>
    <t>9-20</t>
  </si>
  <si>
    <t>No classfication of SMEs, SMEs are defined as enterprises with 19 or fewer employees</t>
  </si>
  <si>
    <t>Nicaragua</t>
  </si>
  <si>
    <t>NIC</t>
  </si>
  <si>
    <t>Banco Central de Nicaragua</t>
  </si>
  <si>
    <t>https://www.bcn.gob.ni/publicaciones/periodicidad/anual/nicaragua_cifras/nicaragua_cifras.pdf</t>
  </si>
  <si>
    <t>4-30</t>
  </si>
  <si>
    <t>31-50</t>
  </si>
  <si>
    <t>No distinction between micro and small enterprises</t>
  </si>
  <si>
    <t>Instituto Nacional de Informacion de Desarrollo (INIDE), Censo economico Urbano, 2010</t>
  </si>
  <si>
    <t>http://www.inide.gob.ni/CensoEconomico/NacionalCEU/RNacional/assets/basic-html/page1.html</t>
  </si>
  <si>
    <t>Niger</t>
  </si>
  <si>
    <t>NER</t>
  </si>
  <si>
    <t>http://api.ning.com/files/AMgcP5snh*DffCZQtkfjUENzh0M5Dg9yMTDQ32Z-yYZbD19F3vdDLS34MGCLsbjSkYBUMID1k4izwtwzhxOb6GMHAJ-fSqzd/Ord_ChartedesPMEduNiger2.pdf</t>
  </si>
  <si>
    <t>Nigeria</t>
  </si>
  <si>
    <t>NGA</t>
  </si>
  <si>
    <t>SMEDAN and National Bureau of Statistics</t>
  </si>
  <si>
    <t>https://www.smedan.gov.ng/images/PDF/2013-MSME-Survey-Summary-Report.pdf</t>
  </si>
  <si>
    <t>NGN</t>
  </si>
  <si>
    <t>Page 22 at https://www.smedan.gov.ng/images/PDF/2013-MSME-Survey-Summary-Report.pdf</t>
  </si>
  <si>
    <t>Page 43 at https://www.smedan.gov.ng/images/PDF/2013-MSME-Survey-Summary-Report.pdf</t>
  </si>
  <si>
    <t>Informal microenterprises do not have a business registration. Page 23</t>
  </si>
  <si>
    <t>Northern Mariana Islands</t>
  </si>
  <si>
    <t>MNP</t>
  </si>
  <si>
    <t>United States Census Bureau (USCB)</t>
  </si>
  <si>
    <t>http://www.census.gov/econ/islandareas/</t>
  </si>
  <si>
    <t>302</t>
  </si>
  <si>
    <t>143</t>
  </si>
  <si>
    <t>Norway</t>
  </si>
  <si>
    <t>NOR</t>
  </si>
  <si>
    <t>1-19</t>
  </si>
  <si>
    <t>10-20</t>
  </si>
  <si>
    <t>Oman</t>
  </si>
  <si>
    <t>OMN</t>
  </si>
  <si>
    <t>Central Bank of Oman (CBO)</t>
  </si>
  <si>
    <t>https://www.amjoman.com/new-sme-definition-may-relieve-pressure-on-bank-lending-target/</t>
  </si>
  <si>
    <t>6-25</t>
  </si>
  <si>
    <t>26-99</t>
  </si>
  <si>
    <t>&lt;100000</t>
  </si>
  <si>
    <t>100,000 - 499,999</t>
  </si>
  <si>
    <t>500,000 - 2,999,999</t>
  </si>
  <si>
    <t>&gt; 2,999,999</t>
  </si>
  <si>
    <t>OMR</t>
  </si>
  <si>
    <t>Pakistan</t>
  </si>
  <si>
    <t>PAK</t>
  </si>
  <si>
    <t>http://www.pbs.gov.pk/content/economic-census-2005</t>
  </si>
  <si>
    <t>Palau</t>
  </si>
  <si>
    <t>Panama</t>
  </si>
  <si>
    <t>PAN</t>
  </si>
  <si>
    <t>Contraloria Nacional. Empresas en la republica, por naturaleza juridica, segun nivel de ingreso y provincia</t>
  </si>
  <si>
    <t>https://www.contraloria.gob.pa/inec/archivos/P5101cuadro%2013-f.xls</t>
  </si>
  <si>
    <t>&lt;150,000</t>
  </si>
  <si>
    <t>150,000-1,000,000</t>
  </si>
  <si>
    <t>1,000,000-2,500,000</t>
  </si>
  <si>
    <t>&gt;2,500,000</t>
  </si>
  <si>
    <t>PAB</t>
  </si>
  <si>
    <t>The data is for establishments</t>
  </si>
  <si>
    <t>This definition includes formal and informal enterprises</t>
  </si>
  <si>
    <t>Superintendencia de Bancos de Panamá. Resumen de Saldos de Créditos Locales a los Sectores Económicos. 2013-2018</t>
  </si>
  <si>
    <t>https://www.superbancos.gob.pa/es/fin-y-est/reportes-estadisticos</t>
  </si>
  <si>
    <t>Data corresponds to May 2018, Dec 2017, Dec 2016, Dec 2015, Dec 2014, Dec 2013</t>
  </si>
  <si>
    <t>Superintendencia de Bancos de Panamá. Resumen de Saldos de Créditos Locales a los Sectores Económicos. 2013-2019</t>
  </si>
  <si>
    <t>Superintendencia de Bancos de Panamá. Resumen de Saldos de Créditos Locales a los Sectores Económicos. 2013-2020</t>
  </si>
  <si>
    <t>Superintendencia de Bancos de Panamá. Resumen de Saldos de Créditos Locales a los Sectores Económicos. 2013-2021</t>
  </si>
  <si>
    <t>Superintendencia de Bancos de Panamá. Resumen de Saldos de Créditos Locales a los Sectores Económicos. 2013-2022</t>
  </si>
  <si>
    <t>Superintendencia de Bancos de Panamá. Resumen de Saldos de Créditos Locales a los Sectores Económicos. 2013-2023</t>
  </si>
  <si>
    <t>Papua New Guinea</t>
  </si>
  <si>
    <t>PNG</t>
  </si>
  <si>
    <t>&lt;500</t>
  </si>
  <si>
    <t>Paraguay</t>
  </si>
  <si>
    <t>PRY</t>
  </si>
  <si>
    <t>Dirección General de Estadística, Encuestas y Censos (DGEEC), "Censo Económico Nacional 2011"</t>
  </si>
  <si>
    <t>http://www.dgeec.gov.py/Publicaciones/Biblioteca/CEN2011/resultados_finales_CEN.pdf</t>
  </si>
  <si>
    <t>11-19</t>
  </si>
  <si>
    <t>Page 58 at http://www.dgeec.gov.py/Publicaciones/Biblioteca/CEN2011/resultados_finales_CEN.pdf</t>
  </si>
  <si>
    <t>Definition and enterprises: page 58</t>
  </si>
  <si>
    <t>Peru</t>
  </si>
  <si>
    <t>PER</t>
  </si>
  <si>
    <t>Ministerio de la Produccion - Las Mipyme en cifras 2011-2016</t>
  </si>
  <si>
    <t>http://ogeiee.produce.gob.pe/index.php/oee-documentos-publicaciones/publicaciones-anuales</t>
  </si>
  <si>
    <t>&lt;592,500</t>
  </si>
  <si>
    <t>592,500-6,715,000</t>
  </si>
  <si>
    <t>6,715,000-9,085,000</t>
  </si>
  <si>
    <t>&gt;9,085,000</t>
  </si>
  <si>
    <t>PEN</t>
  </si>
  <si>
    <t>Page 27 at http://ogeiee.produce.gob.pe/index.php/shortcode/oee-documentos-publicaciones/publicaciones-anuales/item/758-las-mipyme-en-cifras-2015</t>
  </si>
  <si>
    <t>Page 27 at http://ogeiee.produce.gob.pe/index.php/shortcode/oee-documentos-publicaciones/publicaciones-anuales/item/758-las-mipyme-en-cifras-2016</t>
  </si>
  <si>
    <t>Chief. Person in charge of making decisions about business operation</t>
  </si>
  <si>
    <t>Asset definition converted from UIT annual equivalent.</t>
  </si>
  <si>
    <t>Informal micro enterprises # is based on estimates</t>
  </si>
  <si>
    <t>2016 report: http://ogeiee.produce.gob.pe/images/oee/Mipyme-en-cifras-2016.pdf</t>
  </si>
  <si>
    <t>2015 report: http://ogeiee.produce.gob.pe/images/oee/publi09f3585ea5d4c9eb9_27.pdf</t>
  </si>
  <si>
    <t>&lt;577,500</t>
  </si>
  <si>
    <t>577,500-6,545,000</t>
  </si>
  <si>
    <t>6,545,000-8,855,000</t>
  </si>
  <si>
    <t>&gt;8,855,000</t>
  </si>
  <si>
    <t>&lt;570,000</t>
  </si>
  <si>
    <t>570,000-6,460,000</t>
  </si>
  <si>
    <t>6,460,000-8,740,000</t>
  </si>
  <si>
    <t>&gt;8,740,000</t>
  </si>
  <si>
    <t>2,029,031 </t>
  </si>
  <si>
    <t>&lt;555,000</t>
  </si>
  <si>
    <t>555,000-6,290,000</t>
  </si>
  <si>
    <t>6,290,000-8,510,000</t>
  </si>
  <si>
    <t>&gt;8,510,000</t>
  </si>
  <si>
    <t>2,121,756 </t>
  </si>
  <si>
    <t>&lt;547,500</t>
  </si>
  <si>
    <t>547,500-6,205,000</t>
  </si>
  <si>
    <t>6,205,000-8,395,000</t>
  </si>
  <si>
    <t>&gt;8,395,000</t>
  </si>
  <si>
    <t>2,469,697 </t>
  </si>
  <si>
    <t>&lt;540,000</t>
  </si>
  <si>
    <t>540,000-6,120,000</t>
  </si>
  <si>
    <t>6,120,000-8,280,000</t>
  </si>
  <si>
    <t>&gt;8,280,000</t>
  </si>
  <si>
    <t>&lt;532,500</t>
  </si>
  <si>
    <t>532,500-6,035,000</t>
  </si>
  <si>
    <t>6,035,000-8,165,000</t>
  </si>
  <si>
    <t>&gt;8,165,000</t>
  </si>
  <si>
    <t>INEI. Estructura Empresarial</t>
  </si>
  <si>
    <t>https://www.inei.gob.pe/media/MenuRecursivo/publicaciones_digitales/Est/Lib1445/libro.pdf</t>
  </si>
  <si>
    <t>&gt;6,715,000</t>
  </si>
  <si>
    <t xml:space="preserve"> Medium and Large Enterprises are aggregated.</t>
  </si>
  <si>
    <t>Page 25 at https://www.inei.gob.pe/media/MenuRecursivo/publicaciones_digitales/Est/Lib1382/index.html</t>
  </si>
  <si>
    <t>Company registered under a woman's personal name.</t>
  </si>
  <si>
    <t>Micro and Small definition according to D. Leg 1086. Available at: http://www.sunat.gob.pe/orientacion/mypes/normas/dl-1086.pdf</t>
  </si>
  <si>
    <t>Employment: http://www2.trabajo.gob.pe/archivos/estadisticas/anuario/Anuario_2016_020717.pdf</t>
  </si>
  <si>
    <t>&gt;6,545,000</t>
  </si>
  <si>
    <t>&gt;6,460,000</t>
  </si>
  <si>
    <t>&gt;6,290,000</t>
  </si>
  <si>
    <t>Philippines</t>
  </si>
  <si>
    <t>PHL</t>
  </si>
  <si>
    <t>PHP</t>
  </si>
  <si>
    <t>Philippines Statistical Authority, List of Establishments</t>
  </si>
  <si>
    <t>http://rsso08.psa.gov.ph/article/highlights-2016-list-establishments-le</t>
  </si>
  <si>
    <t>100-199</t>
  </si>
  <si>
    <t>15,000,001-100,000,000</t>
  </si>
  <si>
    <t>Poland</t>
  </si>
  <si>
    <t>POL</t>
  </si>
  <si>
    <t>Portugal</t>
  </si>
  <si>
    <t>PRT</t>
  </si>
  <si>
    <t>Instituto Nacional de Estatistica. INDICADORES ECONÓMICOS E PATRIMONIAIS DAS EMPRESAS NÃO FINANCEIRAS EM PORTUGAL, 2008-2016</t>
  </si>
  <si>
    <t>https://www.ine.pt/ngt_server/attachfileu.jsp?look_parentBoui=318228624&amp;att_display=n&amp;att_download=y</t>
  </si>
  <si>
    <t>2,000,000-10,000,000</t>
  </si>
  <si>
    <t>"For value added VABpm indicator was used "</t>
  </si>
  <si>
    <t>http://ec.europa.eu/eurostat/web/products-datasets/product?code=sbs_sc_sca_r3</t>
  </si>
  <si>
    <t>Published annually</t>
  </si>
  <si>
    <t>Value added is in EU</t>
  </si>
  <si>
    <t>Eurostat data and definitions. Enterprises, Value added at factor cost and Persons employed. It includes codes B to N and S95 according to NACE Rev.2. : where no data is available.</t>
  </si>
  <si>
    <t>Data for medium and large enterprises is listed as cofidential</t>
  </si>
  <si>
    <t>http://ec.europa.eu/eurostat/web/products-datasets/product?code=sbs_sc_sca_r4</t>
  </si>
  <si>
    <t>http://ec.europa.eu/eurostat/web/products-datasets/product?code=sbs_sc_sca_r5</t>
  </si>
  <si>
    <t>http://ec.europa.eu/eurostat/web/products-datasets/product?code=sbs_sc_sca_r6</t>
  </si>
  <si>
    <t>http://ec.europa.eu/eurostat/web/products-datasets/product?code=sbs_sc_sca_r7</t>
  </si>
  <si>
    <t>http://ec.europa.eu/eurostat/web/products-datasets/product?code=sbs_sc_sca_r8</t>
  </si>
  <si>
    <t>OECD (2018), "Portugal" in Financing SMEs and Entrepreneurs 2018: An OECD Scoreboard</t>
  </si>
  <si>
    <t>Puerto Rico</t>
  </si>
  <si>
    <t>PRI</t>
  </si>
  <si>
    <t>US Census Bureau - County Business Patterns</t>
  </si>
  <si>
    <t>50-499</t>
  </si>
  <si>
    <t>&gt;499</t>
  </si>
  <si>
    <t>Data in this table represent those available when this report was created; data may not be available for all NAICS industries or geographies. Excludes most government employees, railroad employees, and self-employed persons.</t>
  </si>
  <si>
    <t>Qatar</t>
  </si>
  <si>
    <t>QAT</t>
  </si>
  <si>
    <t>Romania</t>
  </si>
  <si>
    <t>ROU</t>
  </si>
  <si>
    <t>Russian Federation</t>
  </si>
  <si>
    <t>RUS</t>
  </si>
  <si>
    <t>https://rcsme.ru/index.php/en/statistics2015</t>
  </si>
  <si>
    <t>&lt;400,000,000</t>
  </si>
  <si>
    <t>RUR</t>
  </si>
  <si>
    <t>Rwanda</t>
  </si>
  <si>
    <t>RWA</t>
  </si>
  <si>
    <t>National Institute of Statistics of Rwanda (NISR). Establishment Census Report, 2017</t>
  </si>
  <si>
    <t>http://www.statistics.gov.rw/statistical-publications/subject/business%2C-establishment%2C-finance/reports?page=1</t>
  </si>
  <si>
    <t>500,000-15,000,000</t>
  </si>
  <si>
    <t>RWF</t>
  </si>
  <si>
    <t>&lt;300,000</t>
  </si>
  <si>
    <t>300,000-12,000,000</t>
  </si>
  <si>
    <t>12,000,000-50,000,000</t>
  </si>
  <si>
    <t>Owner</t>
  </si>
  <si>
    <t>National Institute of Statistics of Rwanda (NISR). Establishment Census Report, 2014</t>
  </si>
  <si>
    <t>National Institute of Statistics of Rwanda (NISR). Establishment Census Report, 2011</t>
  </si>
  <si>
    <t>Samoa</t>
  </si>
  <si>
    <t>San Marino</t>
  </si>
  <si>
    <t>SMR</t>
  </si>
  <si>
    <t>Office of Economic Planning, Data Processing and Statistics</t>
  </si>
  <si>
    <t>http://www.statistica.sm/on-line/en/home/statistics/enterprises-and-tourism.html?Categoria=5&amp;nodo=/on-line/en/home/statistics/enterprises-and-tourism/enterprises---summary.html</t>
  </si>
  <si>
    <t>GDP per capita data from CIA Factbook</t>
  </si>
  <si>
    <t>GDP per capita data from CIA Factbook. Data corresponds to 2015</t>
  </si>
  <si>
    <t>São Tomé and Principe</t>
  </si>
  <si>
    <t>Saudi Arabia</t>
  </si>
  <si>
    <t>SAU</t>
  </si>
  <si>
    <t>Small and Medium-Sized Establishments Survey 2017</t>
  </si>
  <si>
    <t>Senegal</t>
  </si>
  <si>
    <t>SEN</t>
  </si>
  <si>
    <t>Rapport global du Recensement général des Entreprises - ANSD</t>
  </si>
  <si>
    <t>http://www.ansd.sn/ressources/publications/Rapport%20global-juil-2017.pdf</t>
  </si>
  <si>
    <t>100,000,001-500,000,000</t>
  </si>
  <si>
    <t>500,000,001-2,000,000,000</t>
  </si>
  <si>
    <t>&gt;2,000,000,000</t>
  </si>
  <si>
    <t>Entrepenants and Tres pettites entreprises are aggregated in Micro.</t>
  </si>
  <si>
    <t>Serbia</t>
  </si>
  <si>
    <t>SRB</t>
  </si>
  <si>
    <t>https://doi.org/10.1787/9789264254473-en</t>
  </si>
  <si>
    <t>Value added in EUR</t>
  </si>
  <si>
    <t>Seychelles</t>
  </si>
  <si>
    <t>Sierra Leone</t>
  </si>
  <si>
    <t>Singapore</t>
  </si>
  <si>
    <t>SGP</t>
  </si>
  <si>
    <t>Statistical Office of Singapore. Topline Estimates for All Enterprises and SMEs, Annual</t>
  </si>
  <si>
    <t>http://www.tablebuilder.singstat.gov.sg/publicfacing/changeDecimalPlace.action</t>
  </si>
  <si>
    <t>SGD</t>
  </si>
  <si>
    <t>GDP per capita and population figures for 2017 were used.</t>
  </si>
  <si>
    <t>Slovak Republic</t>
  </si>
  <si>
    <t>SVK</t>
  </si>
  <si>
    <t>http://ec.europa.eu/eurostat/web/products-datasets/product?code=sbs_sc_sca_r2</t>
  </si>
  <si>
    <t>Slovenia</t>
  </si>
  <si>
    <t>SVN</t>
  </si>
  <si>
    <t>Statistical Office of Slovenia</t>
  </si>
  <si>
    <t>http://pxweb.stat.si/pxweb/Database/Economy/Economy.asp</t>
  </si>
  <si>
    <t>OECD (2018), “Slovenia”, in Financing SMEs and Entrepreneurs 2018: An OECD Scoreboard</t>
  </si>
  <si>
    <t>Data excludes non-employer enterprises</t>
  </si>
  <si>
    <t>MSME share of total business loans</t>
  </si>
  <si>
    <t>Solomon Islands</t>
  </si>
  <si>
    <t>SLB</t>
  </si>
  <si>
    <t>Solomon Islands Chamber of Commerce &amp; Industry (SICCI)</t>
  </si>
  <si>
    <t> https://www.aph.gov.au/DocumentStore.ashx?id=d95e5db0-fd3b-4632-8cd1-af3d5d73cfa6&amp;subId=253350</t>
  </si>
  <si>
    <t/>
  </si>
  <si>
    <t>Solomon Islands Government Ministry of Commerce, Industry, Labour and Immigration</t>
  </si>
  <si>
    <t>https://www.commerce.gov.sb/component/edocman/?task=document.viewdoc&amp;id=39&amp;Itemid=</t>
  </si>
  <si>
    <t>&lt;500,0000</t>
  </si>
  <si>
    <t>1,600,000-7,500,000</t>
  </si>
  <si>
    <t>&gt;7,500,000</t>
  </si>
  <si>
    <t>SBD</t>
  </si>
  <si>
    <t>300,000-10,000,000</t>
  </si>
  <si>
    <t>Somalia</t>
  </si>
  <si>
    <t>South Africa</t>
  </si>
  <si>
    <t>ZAF</t>
  </si>
  <si>
    <t>ZAR</t>
  </si>
  <si>
    <t>Small Enterprise Development Agency</t>
  </si>
  <si>
    <t>http://www.seda.org.za/Publications/Publications/The%20Small,%20Medium%20and%20Micro%20Enterprise%20Sector%20of%20South%20Africa%20Commissioned%20by%20Seda.pdf</t>
  </si>
  <si>
    <t>South Sudan</t>
  </si>
  <si>
    <t>SSD</t>
  </si>
  <si>
    <t>National Bureau of Statistics. Statistical Yearbook 2010</t>
  </si>
  <si>
    <t>http://www.ssnbss.org/sites/default/files/2016-08/statistical_year_book_for_southern_sudan_2010.pdf</t>
  </si>
  <si>
    <t>GNI per capita data corresponds to 2013.</t>
  </si>
  <si>
    <t>Spain</t>
  </si>
  <si>
    <t>ESP</t>
  </si>
  <si>
    <t>DIRCE - Ministerio de Industria, Comercio y Turismo - Retrato de la PYME 2009-2017</t>
  </si>
  <si>
    <t>http://www.ipyme.org/es-ES/publicaciones/Paginas/Publicaciones.aspx</t>
  </si>
  <si>
    <t>Data from microenterprises is disaggregated in 0 employees and 1-9 employees</t>
  </si>
  <si>
    <t>Page 3 at http://www.ipyme.org//Publicaciones/Retrato-PYME-DIRCE-1-enero-2017.pdf</t>
  </si>
  <si>
    <t>Annual</t>
  </si>
  <si>
    <t>2017 Report: http://www.ipyme.org//Publicaciones/Retrato-PYME-DIRCE-1-enero-2017.pdf</t>
  </si>
  <si>
    <t>Eurostat data and definitions. Enterprises, Value added at factor cost and Persons employed. It includes codes B to N and S95 according to NACE Rev.2.</t>
  </si>
  <si>
    <t>OECD (2018), “Spain”, in Financing SMEs and Entrepreneurs 2018: An OECD Scoreboard</t>
  </si>
  <si>
    <t>https://doi.org/10.1787/fin_sme_ent-2018-49-en</t>
  </si>
  <si>
    <t>MSME lending: Share of total outstanding business loans</t>
  </si>
  <si>
    <t>Sri Lanka</t>
  </si>
  <si>
    <t>LKA</t>
  </si>
  <si>
    <t>Department of Census and Statistics_Sri Lanka</t>
  </si>
  <si>
    <t>http://www.statistics.gov.lk/PressReleases/Files/en/EC_20150714E.pdf</t>
  </si>
  <si>
    <t>1-4 Industry, Construction, Services; 1-3 Trade</t>
  </si>
  <si>
    <t>5-24 Industry, Construction; 5-15 Services; 4-14 Trade</t>
  </si>
  <si>
    <t>25-199 Industry, Construction; 15-34 Trade; 16-74 Services</t>
  </si>
  <si>
    <t>&gt;199 Industry, Construction; &gt;34 Trade; &gt;74 Services</t>
  </si>
  <si>
    <t>St. Kitts and Nevis</t>
  </si>
  <si>
    <t>KNA</t>
  </si>
  <si>
    <t>Income Tax Act</t>
  </si>
  <si>
    <t>http://taxsummaries.pwc.com/ID/Saint-Kitts-and-Nevis-Corporate-Tax-credits-and-incentives</t>
  </si>
  <si>
    <t>=&lt;25</t>
  </si>
  <si>
    <t>&lt; 370,370</t>
  </si>
  <si>
    <t>St. Lucia</t>
  </si>
  <si>
    <t>LCA</t>
  </si>
  <si>
    <t>&lt;1,000,000</t>
  </si>
  <si>
    <t>Caribbean Development Bank</t>
  </si>
  <si>
    <t>&lt;49</t>
  </si>
  <si>
    <t>&lt;75,000</t>
  </si>
  <si>
    <t>https://www.caribank.org/sites/default/files/publication-resources/Micro-Small-and-Medium-Enterprise-Development_final.pdf</t>
  </si>
  <si>
    <t>St. Vincent and the Grenadines</t>
  </si>
  <si>
    <t>VCT</t>
  </si>
  <si>
    <t>Compete Caribbean (IDB, Ukaid, Canada)</t>
  </si>
  <si>
    <t>http://competecaribbean.org/psars/2014-st-vincent-and-the-grenadines-private-sector-assessment-report/</t>
  </si>
  <si>
    <t>&gt;999,999</t>
  </si>
  <si>
    <t>&gt;1,999,999</t>
  </si>
  <si>
    <t>Number of employees calculated from shares %(55-60% for micro, 5% for medium and 2-3% for large) out of active labor of 49,000 people.</t>
  </si>
  <si>
    <t>https://issuu.com/caribank/docs/micro__small_and_medium_enterprise_/161</t>
  </si>
  <si>
    <t>&lt;19</t>
  </si>
  <si>
    <t>&lt;370,370</t>
  </si>
  <si>
    <t>Sudan</t>
  </si>
  <si>
    <t>SDN</t>
  </si>
  <si>
    <t>Central Bank of Sudan</t>
  </si>
  <si>
    <t>http://www.mfu.gov.sd/sites/default/files/microsoft_word_-_situational_analysis_of_mf_sector_in_sudan-unicons.pdf</t>
  </si>
  <si>
    <t>Suriname</t>
  </si>
  <si>
    <t>SUR</t>
  </si>
  <si>
    <t>Vereniging Surinaams Bedrijfsleven (VSB), Suriname Trade and Industry Association, "Report on Small and Medium Sized Enterprises in Suriname", 2008, p. 12</t>
  </si>
  <si>
    <t>https://www.google.com/url?sa=t&amp;rct=j&amp;q=&amp;esrc=s&amp;source=web&amp;cd=1&amp;cad=rja&amp;uact=8&amp;ved=0CCoQFjAA&amp;url=http%3A%2F%2Fwww.vsbstia.org%2Findex.php%3Foption%3Dcom_docman%26task%3Ddoc_download%26gid%3D14%26Itemid%3D58%26lang%3Dnl&amp;ei=IPN5U_3LMsbDkwXO54DYCw&amp;usg=AFQjCNGZvm61mbXhGzOBHzZKOH-BTvH_Lw&amp;sig2=42QM71P4qFfNipSU0qCvlA</t>
  </si>
  <si>
    <t>11-25</t>
  </si>
  <si>
    <t>26-100</t>
  </si>
  <si>
    <t>Sweden</t>
  </si>
  <si>
    <t>SWE</t>
  </si>
  <si>
    <t>Statistical Office of Sweden</t>
  </si>
  <si>
    <t>http://www.statistikdatabasen.scb.se/pxweb/en/ssd/START__NV__NV0101/FDBR07/?rxid=86abd797-7854-4564-9150-c9b06ae3ab07</t>
  </si>
  <si>
    <t>11-48</t>
  </si>
  <si>
    <t>49-199</t>
  </si>
  <si>
    <t>OECD (2018), "Sweden" in Financing SMEs and Entrepreneurs 2018: An OECD Scoreboard</t>
  </si>
  <si>
    <t>Switzerland</t>
  </si>
  <si>
    <t>CHE</t>
  </si>
  <si>
    <t>Syrian Arab Republic</t>
  </si>
  <si>
    <t>SYR</t>
  </si>
  <si>
    <t>General Commission for Employment and rojects Development. Law 39/ 14-9-2006</t>
  </si>
  <si>
    <t>http://www.ncosyria.com/assets/files/studies/SME%20Development%20Policy%20in%20Syria%20and%20recommendations%20for%20a%20draft%20SME%20law.pdf</t>
  </si>
  <si>
    <t>&lt;6 Manufacturing, Services, Trade</t>
  </si>
  <si>
    <t>&lt;16 Manufacturing, Services, Trade</t>
  </si>
  <si>
    <t>GDP per capita and population data for latest year available</t>
  </si>
  <si>
    <t>International Labour Organization for Arab States. PCEED Decree</t>
  </si>
  <si>
    <t>https://www.ilo.org/wcmsp5/groups/public/---arabstates/---ro-beirut/documents/publication/wcms_204063.pdf</t>
  </si>
  <si>
    <t>6-16</t>
  </si>
  <si>
    <t>&gt;16</t>
  </si>
  <si>
    <t>100,000-1,500,000</t>
  </si>
  <si>
    <t>1,500,000-5,000,000</t>
  </si>
  <si>
    <t>5,000,000-15,000,000</t>
  </si>
  <si>
    <t>&gt;15,000,000</t>
  </si>
  <si>
    <t>SYP</t>
  </si>
  <si>
    <t>micro definition not specified</t>
  </si>
  <si>
    <t>Taiwan, China</t>
  </si>
  <si>
    <t>TWN</t>
  </si>
  <si>
    <t xml:space="preserve">the Small and Medium Enterprise Administration (SMEA), Ministry of Economic Affair (MOEA) of Chinese Taipei </t>
  </si>
  <si>
    <t>https://www.moeasmea.gov.tw/mp.asp?mp=1</t>
  </si>
  <si>
    <t>&lt;200 Manufacturing, Construction, Mining; &lt;100 Other</t>
  </si>
  <si>
    <t xml:space="preserve">&lt;80,000,000 Manufacturing, Construction, and Mining </t>
  </si>
  <si>
    <t xml:space="preserve">&gt;79,999,999 Manufacturing, Construction, and Mining </t>
  </si>
  <si>
    <t>TWD</t>
  </si>
  <si>
    <t>&lt;100,000,000</t>
  </si>
  <si>
    <t>&gt;99,999,999</t>
  </si>
  <si>
    <t>https://www.moeasmea.gov.tw/mp.asp?mp=2</t>
  </si>
  <si>
    <t>GDP per capita and population data from CIA Factbook</t>
  </si>
  <si>
    <t>GDP per capita and population data from CIA Factbook. Data corresponds to 2015.</t>
  </si>
  <si>
    <t>Tajikistan</t>
  </si>
  <si>
    <t>TJK</t>
  </si>
  <si>
    <t xml:space="preserve">Investment Climate Advisory Services (ICAS) - International Finance Corporation (IFC), Tajikistan Business Enabling Environment - SME Policy Project, International Finance Corporation. "Business Environment in Tajikistan as Seen by Small and Medium Enterprises," International Finance Corporation, 2009, p. 23. </t>
  </si>
  <si>
    <t>http://www.ifc.org/wps/wcm/connect/54a577004b59e256a29fb36eac26e1c2/TJ_BEE_Survey2009En.pdf?MOD=AJPERES&amp;attachment=true&amp;id=1339074918239</t>
  </si>
  <si>
    <t>&lt;1</t>
  </si>
  <si>
    <t>1-30</t>
  </si>
  <si>
    <t>30-200</t>
  </si>
  <si>
    <t>Tanzania</t>
  </si>
  <si>
    <t>TZA</t>
  </si>
  <si>
    <t>Ministry of Trade and Industry, FSDT. MSME in Tanzania.
Industry and Trade Development Strategy</t>
  </si>
  <si>
    <t>http://www.fsdt.or.tz//wp-content/uploads/2016/05/MSME-National-Baseline-Survey-Report.pdf</t>
  </si>
  <si>
    <t>5,000,001-200,000,000</t>
  </si>
  <si>
    <t xml:space="preserve">200,000,001-800,000,000 </t>
  </si>
  <si>
    <t>&gt;800,000,000</t>
  </si>
  <si>
    <t>TZS</t>
  </si>
  <si>
    <t>http://www.fsdt.or.tz/wp-content/uploads/2016/05/MSME-National-Baseline-Survey-Report.pdf</t>
  </si>
  <si>
    <t>Informality defined as registration under BRELA. 15.6% of small enterprises are formal, and 100% of medium.</t>
  </si>
  <si>
    <t>Thailand</t>
  </si>
  <si>
    <t>THA</t>
  </si>
  <si>
    <t>OSMEP. SMEs White Paper 2017</t>
  </si>
  <si>
    <t>http://www.industry.go.th/psd/index.php/2016-05-02-05-17-59/item/download/4061_06092e25c38dc85a170c6bde4a26ddfe</t>
  </si>
  <si>
    <t>51-200 Manufacturing, Services; 26-50 Wholesale; 16-30 Retail</t>
  </si>
  <si>
    <t>&gt;200 Manufacturing, Services; &gt;50 Wholesale; &gt;30 Retail</t>
  </si>
  <si>
    <t>50,000,001-200,000,000 Manufacturing, Services; 50,000,001-100,000,000 Wholesale; 30,000,001-60,000,000 Retail</t>
  </si>
  <si>
    <t>&gt;200,000,000 Manufacturing, Services; &gt;100,000,000 Wholesale; &gt;60,000,000 Retail</t>
  </si>
  <si>
    <t>THB</t>
  </si>
  <si>
    <t>http://www.sme.go.th/en/download.php?modulekey=94</t>
  </si>
  <si>
    <t>No value added data</t>
  </si>
  <si>
    <t>OSMEP. SMEs White Paper 2015</t>
  </si>
  <si>
    <t>OSMEP. SMEs White Paper 2014</t>
  </si>
  <si>
    <t>No dissagregated value added data</t>
  </si>
  <si>
    <t>OSMEP. SMEs White Paper 2013</t>
  </si>
  <si>
    <t>OSMEP. SMEs White Paper 2011 and Trend 2012</t>
  </si>
  <si>
    <t>OSMEP. SMEs White Paper 2009 and Trend 2010</t>
  </si>
  <si>
    <t>Timor-Leste</t>
  </si>
  <si>
    <t>TLS</t>
  </si>
  <si>
    <t>World Bank Group (WBG), "THE BUSINESS REGULATORY ENVIRONMENT", 2006, p. 45-46 based on - Urban Labor Market Study</t>
  </si>
  <si>
    <t>http://siteresources.worldbank.org/INTTIMORLESTE/Resources/Timor_Leste_Business_Regulatory_Environment_Report_English_for_web_revised.pdf</t>
  </si>
  <si>
    <t>Togo</t>
  </si>
  <si>
    <t>TGO</t>
  </si>
  <si>
    <t>Ministry of Commerce and Private Sector Promotion</t>
  </si>
  <si>
    <t>https://www.izf.net/sites/default/files/reglementation-entreprises/charte-pme-version-finalisee.pdf</t>
  </si>
  <si>
    <t>&lt;5 Wholesale, Retail; &lt;10 Manufacturing, Agriculture, Services, Mining, Forestry</t>
  </si>
  <si>
    <t>&lt;30 Retail, Services, Mining; &lt;50 Manufacturing, Agriculture, Wholesale, Forestry</t>
  </si>
  <si>
    <t>&lt;50 Wholesale, Retail, Services, Mining; &lt;100 Manufacturing, Agriculture, Forestry</t>
  </si>
  <si>
    <t xml:space="preserve">&gt;50 Wholesale, Retail, Services, Mining; &gt;100 Manufacturing, Agriculture, Forestry
</t>
  </si>
  <si>
    <t>&lt;10,000,000 Retail, Services, Mining; &lt;15,000,000 Wholesale; &lt;20,000,000 Manufacturing, Agriculture, Forestry</t>
  </si>
  <si>
    <t>&lt;50,000,000 Retail; &lt;75,000,000 Services, Mining; &lt;150,000,000 Wholesale; &lt;250,000,000 Manufacturing, Agriculture, Forestry</t>
  </si>
  <si>
    <t>&lt;250,000,000 Wholesale, Retail, Services, Mining; &lt;750,000,000 Manufacturing, Agriculture, Forestry</t>
  </si>
  <si>
    <t>&gt;250,000,000 Wholesale, Retail, Services, Mining; &gt;750,000,000 Manufacturing, Agriculture, Forestry</t>
  </si>
  <si>
    <t>&lt;30,000,000 Manufacturing, Agriculture, Forestry, Wholesale, Retail, Services, Mining</t>
  </si>
  <si>
    <t>&lt;100,000,000 Retail, Services, Mining; &lt;200,000,000 Wholesale; &lt;250,000,000 Manufacturing, Agriculture, Forestry</t>
  </si>
  <si>
    <t>&lt;250,000,000 Wholesale, Retail, Services, Mining; &lt;500,000,000 Manufacturing, Agriculture, Forestry</t>
  </si>
  <si>
    <t>&gt;250,000,000 Wholesale, Retail, Services, Mining; &gt;500,000,000 Manufacturing, Agriculture, Forestry</t>
  </si>
  <si>
    <t>UE sponsored a Recensement Général des Entreprises au Togo (RGE), which will be published later in 2018</t>
  </si>
  <si>
    <t>Definition for small and medium Wholesale enterprises is the same, i.e. &lt;50 employees</t>
  </si>
  <si>
    <t>Tonga</t>
  </si>
  <si>
    <t>TON</t>
  </si>
  <si>
    <t>Tonga Business Enterprise Centre</t>
  </si>
  <si>
    <t>http://www.tbec.to/</t>
  </si>
  <si>
    <t>6-15</t>
  </si>
  <si>
    <t>16-25</t>
  </si>
  <si>
    <t>&gt;25</t>
  </si>
  <si>
    <t>TOP</t>
  </si>
  <si>
    <t>30,000-99,999</t>
  </si>
  <si>
    <t>100,000-200,000</t>
  </si>
  <si>
    <t>&gt;200,000</t>
  </si>
  <si>
    <t>Trinidad and Tobago</t>
  </si>
  <si>
    <t>TTO</t>
  </si>
  <si>
    <t>Ministry of Labor and Small and Micro Enterprise Development</t>
  </si>
  <si>
    <t>https://www.ilo.org/dyn/youthpol/en/equest.fileutils.dochandle?p_uploaded_file_id=547</t>
  </si>
  <si>
    <t>&lt;1,500,000</t>
  </si>
  <si>
    <t>TTD</t>
  </si>
  <si>
    <t>25,000 registered Micro and Small enterprises</t>
  </si>
  <si>
    <t>Tunisia</t>
  </si>
  <si>
    <t>TUN</t>
  </si>
  <si>
    <t>INS - Institute Statistiques Tunisie. Statistiques issues du Repertoir National des Entreprises</t>
  </si>
  <si>
    <t>http://www.ins.tn/sites/default/files/publication/pdf/RNE-2017-web.pdf</t>
  </si>
  <si>
    <t>6-49</t>
  </si>
  <si>
    <t>Turkey</t>
  </si>
  <si>
    <t>TUR</t>
  </si>
  <si>
    <t>Turkish Statistical Institute</t>
  </si>
  <si>
    <t>http://www.turkstat.gov.tr/PreHaberBultenleri.do?id=21540</t>
  </si>
  <si>
    <t>&lt;40,000,000</t>
  </si>
  <si>
    <t>TRY</t>
  </si>
  <si>
    <t>http://www.turkstat.gov.tr/PreHaberBultenleri.do?id=21864</t>
  </si>
  <si>
    <t>http://www.turkstat.gov.tr/PreHaberBultenleri.do?id=18521</t>
  </si>
  <si>
    <t>http://www.turkstat.gov.tr/PreHaberBultenleri.do?id=15881</t>
  </si>
  <si>
    <t>&lt;25,000,000</t>
  </si>
  <si>
    <t>OECD (2018), "Turkey" in Financing SMEs and Entrepreneurs 2018: An OECD Scoreboard</t>
  </si>
  <si>
    <t>https://www.oecd-ilibrary.org/docserver/fin_sme_ent-2018-53-en.pdf?expires=1549999738&amp;id=id&amp;accname=ocid195787&amp;checksum=C7E09B9490E24C0C430A6873256451BE</t>
  </si>
  <si>
    <t>0-19</t>
  </si>
  <si>
    <t>Turkmenistan</t>
  </si>
  <si>
    <t>Tuvalu</t>
  </si>
  <si>
    <t>Uganda</t>
  </si>
  <si>
    <t>UGA</t>
  </si>
  <si>
    <t xml:space="preserve">Uganda Investment Authority </t>
  </si>
  <si>
    <t>http://www.ugandainvest.go.ug/sme/</t>
  </si>
  <si>
    <t>10,000,000-100,000,000</t>
  </si>
  <si>
    <t>100,000,001-360,000,000</t>
  </si>
  <si>
    <t>&gt;360,000,000</t>
  </si>
  <si>
    <t>UGX</t>
  </si>
  <si>
    <t>https://www.afdb.org/fileadmin/uploads/afdb/Documents/Generic-Documents/Eastern_Africa’s_Manufacturing_Sector_-_Promoting_Technology_-Uganda_country_report_November_2014.pdf</t>
  </si>
  <si>
    <t>https://www.ubos.org/wp-content/uploads/publications/03_20182017_Statistical_Abstract.pdf</t>
  </si>
  <si>
    <t>Uganda Business Register (UBS)</t>
  </si>
  <si>
    <t>https://www.ubos.org/wp-content/uploads/publications/03_201820067UBR_report.pdf</t>
  </si>
  <si>
    <t xml:space="preserve">The 2006/2007 Business Register update was an exercise to bring up to date the 2001/02 BR mainly on businesses employing 5 or more persons with the exception of the following areas: Health and Social Work sector; Nursery Schools; Business Services including Legal Services, Accountancy Firms and other Consultancy Firms; Financial Intermediation and Insurance; Travel Agencies and Tour Operators; Radio Stations and Posts and Telecommunication and some Manufacturing businesses. The limitation to this was mainly due the limited finances available to undertake a complete registration. </t>
  </si>
  <si>
    <t>Ukraine</t>
  </si>
  <si>
    <t>UKR</t>
  </si>
  <si>
    <t>State Statistics Service Ukraine (SSSU)</t>
  </si>
  <si>
    <t>http://www.ukrstat.gov.ua/</t>
  </si>
  <si>
    <t>UAH</t>
  </si>
  <si>
    <t xml:space="preserve">Statistical information, Economic statistics / Economic activity / Monetary and finance statistics / Basic structural indicators of economic entities activity. For Value added: Value added at factor costs of enterprises of economic activity with separation on large, medium, small and microenterprises in 2012-20171
</t>
  </si>
  <si>
    <t>United Arab Emirates</t>
  </si>
  <si>
    <t>ARE</t>
  </si>
  <si>
    <t>Agency Department of Economic Development</t>
  </si>
  <si>
    <t>http://www.sme.ae/StudiesAndResearchDocument/SME_Report_English.pdf</t>
  </si>
  <si>
    <t>&gt;75 Trade; &gt;250 Manufacturing; &gt;250 Services</t>
  </si>
  <si>
    <t>&gt;250,000,000 Trade, Manufacturing, Services</t>
  </si>
  <si>
    <t>AED</t>
  </si>
  <si>
    <t>United Kingdom</t>
  </si>
  <si>
    <t>GBR</t>
  </si>
  <si>
    <t>Office for National Statistics (ONS), "Structure of Businesses", UK Business: Activity, Size and Location</t>
  </si>
  <si>
    <t>https://www.ons.gov.uk/businessindustryandtrade/business</t>
  </si>
  <si>
    <t>&lt;2,000,001</t>
  </si>
  <si>
    <t>&lt;10,000,001</t>
  </si>
  <si>
    <t>&lt;50,000,001</t>
  </si>
  <si>
    <t xml:space="preserve">&gt;50,000,000 </t>
  </si>
  <si>
    <t>https://www.ons.gov.uk/businessindustryandtrade/business/activitysizeandlocation/datasets/ukbusinessactivitysizeandlocation</t>
  </si>
  <si>
    <t>OECD (2018), "United Kingdom" in Financing SMEs and Entrepreneurs 2018: An OECD Scoreboard</t>
  </si>
  <si>
    <t>https://dx.doi.org/10.1787/fin_sme_ent-2018-54-en</t>
  </si>
  <si>
    <t>GBP</t>
  </si>
  <si>
    <t>United States</t>
  </si>
  <si>
    <t>USA</t>
  </si>
  <si>
    <t>U.S. Census Bureau - American Fact Finder. 2012 Economic Census</t>
  </si>
  <si>
    <t>factfinder.census.gov/faces/tableservices/jsf/pages/productview.xhtml?pid=SBO_2012_00CSA09&amp;prodType=table</t>
  </si>
  <si>
    <t>https://factfinder.census.gov/faces/tableservices/jsf/pages/productview.xhtml?pid=SBO_2012_00CSA09&amp;prodType=table</t>
  </si>
  <si>
    <t>51% or more</t>
  </si>
  <si>
    <t xml:space="preserve">Small Business Administration </t>
  </si>
  <si>
    <t>www.sba.gov/advocacy/small-business-lending-united-states-2014-2015</t>
  </si>
  <si>
    <t>www.sba.gov/advocacy/small-business-lending-united-states-2014-2016</t>
  </si>
  <si>
    <t>www.sba.gov/advocacy/small-business-lending-united-states-2014-2017</t>
  </si>
  <si>
    <t>www.sba.gov/advocacy/small-business-lending-united-states-2014-2018</t>
  </si>
  <si>
    <t>www.sba.gov/advocacy/small-business-lending-united-states-2014-2019</t>
  </si>
  <si>
    <t>www.sba.gov/advocacy/small-business-lending-united-states-2014-2020</t>
  </si>
  <si>
    <t>OECD (2018), "United States" in Financing SMEs and Entrepreneurs 2018: An OECD Scoreboard</t>
  </si>
  <si>
    <t>https://www.oecd-ilibrary.org/industry-and-services/financing-smes-and-entrepreneurs-2018/the-united-states_fin_sme_ent-2018-55-en</t>
  </si>
  <si>
    <t>Uruguay</t>
  </si>
  <si>
    <t>URY</t>
  </si>
  <si>
    <t>INE - Statistical Institute. Directorio de Empresas y Establecimientos 2003-2016</t>
  </si>
  <si>
    <t>http://www.ine.gub.uy/web/guest/directorio-de-empresas-y-establecimientos</t>
  </si>
  <si>
    <t>197,997</t>
  </si>
  <si>
    <t>192,989</t>
  </si>
  <si>
    <t>390,986</t>
  </si>
  <si>
    <t>616,193</t>
  </si>
  <si>
    <t>297,899</t>
  </si>
  <si>
    <t>Number of enterprises: Entidades Jurídicas - Total País</t>
  </si>
  <si>
    <t>Employment: Personal Ocupado - Total País</t>
  </si>
  <si>
    <t>Info about financial operation for SMEs: https://www.bcu.gub.uy/Servicios-Financieros-SSF/Series%20IF/operaciones.xls#actpt</t>
  </si>
  <si>
    <t>Info about informality is focused on informal employees http://www.miem.gub.uy/sites/default/files/la_informalidad_de_las_mipymes_en_uruguay.pdf</t>
  </si>
  <si>
    <t>183,615</t>
  </si>
  <si>
    <t>192,041</t>
  </si>
  <si>
    <t>375,656</t>
  </si>
  <si>
    <t>616,515</t>
  </si>
  <si>
    <t>295,216</t>
  </si>
  <si>
    <t>185,636</t>
  </si>
  <si>
    <t>193,694</t>
  </si>
  <si>
    <t>379,330</t>
  </si>
  <si>
    <t>618,143</t>
  </si>
  <si>
    <t>301,306</t>
  </si>
  <si>
    <t>184,325</t>
  </si>
  <si>
    <t>186,153</t>
  </si>
  <si>
    <t>370,478</t>
  </si>
  <si>
    <t>572,789</t>
  </si>
  <si>
    <t>291,641</t>
  </si>
  <si>
    <t>179,926</t>
  </si>
  <si>
    <t>182,436</t>
  </si>
  <si>
    <t>362,362</t>
  </si>
  <si>
    <t>565,092</t>
  </si>
  <si>
    <t>275,497</t>
  </si>
  <si>
    <t>167,591</t>
  </si>
  <si>
    <t>166,645</t>
  </si>
  <si>
    <t>334,236</t>
  </si>
  <si>
    <t>513,311</t>
  </si>
  <si>
    <t>255,336</t>
  </si>
  <si>
    <t>150,353</t>
  </si>
  <si>
    <t>150,602</t>
  </si>
  <si>
    <t>300,955</t>
  </si>
  <si>
    <t>458,119</t>
  </si>
  <si>
    <t>240,105</t>
  </si>
  <si>
    <t>134,163</t>
  </si>
  <si>
    <t>135,490</t>
  </si>
  <si>
    <t>269,653</t>
  </si>
  <si>
    <t>424,391</t>
  </si>
  <si>
    <t>219,562</t>
  </si>
  <si>
    <t>140,508</t>
  </si>
  <si>
    <t>133,019</t>
  </si>
  <si>
    <t>273,527</t>
  </si>
  <si>
    <t>434,006</t>
  </si>
  <si>
    <t>201,563</t>
  </si>
  <si>
    <t>132,695</t>
  </si>
  <si>
    <t>130,793</t>
  </si>
  <si>
    <t>263,488</t>
  </si>
  <si>
    <t>427,859</t>
  </si>
  <si>
    <t>205,174</t>
  </si>
  <si>
    <t>124,095</t>
  </si>
  <si>
    <t>119,376</t>
  </si>
  <si>
    <t>243,471</t>
  </si>
  <si>
    <t>403,929</t>
  </si>
  <si>
    <t>187,947</t>
  </si>
  <si>
    <t>117,166</t>
  </si>
  <si>
    <t>111,245</t>
  </si>
  <si>
    <t>228,411</t>
  </si>
  <si>
    <t>379,159</t>
  </si>
  <si>
    <t>168,547</t>
  </si>
  <si>
    <t>107,125</t>
  </si>
  <si>
    <t>202,883</t>
  </si>
  <si>
    <t>319,323</t>
  </si>
  <si>
    <t>146,766</t>
  </si>
  <si>
    <t>Decreto 504/007 del 20 de diciembre de 2007</t>
  </si>
  <si>
    <t>https://www.mef.gub.uy/innovaportal/file/9820/1/20140901_politicas_apoyo_mipymes.pdf</t>
  </si>
  <si>
    <t>10,000,000-75,000,000</t>
  </si>
  <si>
    <t>UI</t>
  </si>
  <si>
    <t>Currency is indexed Unit equivalent to 3.9471 UYI on 8/20/2018</t>
  </si>
  <si>
    <t>Uzbekistan</t>
  </si>
  <si>
    <t>UZB</t>
  </si>
  <si>
    <t>The State Committee of the Republic of Uzbekistan on Statistics (SCRUS)</t>
  </si>
  <si>
    <t>https://www.stat.uz/en/official-statistics/small-business-and-entrepreneurship/270-en/ehrpo-en/4318-number-of-enterprises-and-organizations-by-area-without-dehkan-farms-and-farms-3</t>
  </si>
  <si>
    <t>&lt;20 Industry; &lt;10 Services</t>
  </si>
  <si>
    <t>&lt;100 Industry; &lt;25 Services</t>
  </si>
  <si>
    <t>There is no definition of medium enterprises in Uzbekistan </t>
  </si>
  <si>
    <t>Vanuatu</t>
  </si>
  <si>
    <t>VUT</t>
  </si>
  <si>
    <t>Reserve Bank of Vanuatu</t>
  </si>
  <si>
    <t>http://www.rbv.gov.vu/attachments/article/407/Vanuatu%20MSME%20Finance%20Survey%20Report_2016.pdf</t>
  </si>
  <si>
    <t>&lt;200,000,000</t>
  </si>
  <si>
    <t>VUV</t>
  </si>
  <si>
    <t>Venezuela, RB</t>
  </si>
  <si>
    <t>VEN</t>
  </si>
  <si>
    <t>INE - Instituto Nacional de Estadistica. IV Censo Economico 2007-2008</t>
  </si>
  <si>
    <t>http://www.ine.gov.ve/documentos/Economia/IVCensoEconomico/pdf/InformeIVCE.pdf</t>
  </si>
  <si>
    <t>The census disaggregates small and medium enterprises. They were added for analysis purposes</t>
  </si>
  <si>
    <t>Decreto Nº 1.413 from November 13, 2014. Article 5. Page 22</t>
  </si>
  <si>
    <t>http://noticias.seniat.gob.ve/images/gacetas/Gaceta%20N%C2%BA%206151.pdf</t>
  </si>
  <si>
    <t>&lt;200,000</t>
  </si>
  <si>
    <t>200,000-500,000</t>
  </si>
  <si>
    <t xml:space="preserve">UT </t>
  </si>
  <si>
    <t>This definition corresponds to industrial enterprises.</t>
  </si>
  <si>
    <t>Vietnam</t>
  </si>
  <si>
    <t>VNM</t>
  </si>
  <si>
    <t>Statistical Yearbook of Vietnam 2016, General Statistical Office</t>
  </si>
  <si>
    <t>https://www.gso.gov.vn/Default_en.aspx?tabid=766</t>
  </si>
  <si>
    <t>10-200 Agriculture, Industry, Construction; 10-50 Commerce, Services</t>
  </si>
  <si>
    <t>201-300 Agriculture, Industry, Construction; 50-100 Commerce, Services</t>
  </si>
  <si>
    <t>&gt;300 Agriculture, Industry, Construction; &gt;100 Commerce, Services</t>
  </si>
  <si>
    <t>&lt;10,000,000,000 Commerce, Services; &lt;20,000,000,000 Agriculture, Industry, Construction</t>
  </si>
  <si>
    <t>10,000,000,000-50,000,000,000 Commerce, Services; 20,000,000,000-100,000,000,000 Agriculture, Industry, Construction</t>
  </si>
  <si>
    <t>&gt;50,000,000,000 Commerce, Services; &gt;100,000,000,000 Agriculture, Industry, Construction</t>
  </si>
  <si>
    <t>VND</t>
  </si>
  <si>
    <t>Statistical Yearbook of Vietnam 2015, General Statistical Office</t>
  </si>
  <si>
    <t>Statistical Yearbook of Vietnam 2014, General Statistical Office</t>
  </si>
  <si>
    <t>Statistical Yearbook of Vietnam 2013, General Statistical Office</t>
  </si>
  <si>
    <t>Statistical Yearbook of Vietnam 2012, General Statistical Office</t>
  </si>
  <si>
    <t>Statistical Yearbook of Vietnam 2011, General Statistical Office</t>
  </si>
  <si>
    <t>Virgin Islands (U.S.)</t>
  </si>
  <si>
    <t>VIR</t>
  </si>
  <si>
    <t>U.S. Small Business Administration</t>
  </si>
  <si>
    <t>www.sba.gov/sites/default/advocacy/US_Virgin_Islands.pdf</t>
  </si>
  <si>
    <t>GDP per capita data from CIA Factbook. Data corresponds to 2014.</t>
  </si>
  <si>
    <t>West Bank and Gaza</t>
  </si>
  <si>
    <t>PSE</t>
  </si>
  <si>
    <t>Palestinian Central Bureau of Statistics (PCBS)</t>
  </si>
  <si>
    <t>http://www.pcbs.gov.ps/Downloads/book1970.pdf</t>
  </si>
  <si>
    <t>6-14</t>
  </si>
  <si>
    <t>15-50</t>
  </si>
  <si>
    <t>&lt;15000</t>
  </si>
  <si>
    <t>15,000-25000</t>
  </si>
  <si>
    <t>&gt;25000</t>
  </si>
  <si>
    <t>Yemen, Rep.</t>
  </si>
  <si>
    <t>YEM</t>
  </si>
  <si>
    <t>Central Statistical Organization (CSO)</t>
  </si>
  <si>
    <t>N/A (Data e-mailed from the CSO)</t>
  </si>
  <si>
    <t>Zambia</t>
  </si>
  <si>
    <t>ZMB</t>
  </si>
  <si>
    <t>Enterprises (SMEs) in Zambia</t>
  </si>
  <si>
    <t>http://www.ejournalofbusiness.org/archive/vol4no4/vol4no4_2.pdf</t>
  </si>
  <si>
    <t>&lt;80,000,000</t>
  </si>
  <si>
    <t>80,000,000-200,000,000 Manufacturing; 80,000,000-150,000,000 Trade, Services</t>
  </si>
  <si>
    <t>200,000,000-500,000,000 Manufacturing; 150,000,000-300,000,000 Trade and services</t>
  </si>
  <si>
    <t xml:space="preserve"> &gt;500,000,000 Manufacturing;  &gt;300,000,000 Trade, Services</t>
  </si>
  <si>
    <t>ZMW</t>
  </si>
  <si>
    <t>150,000,000-300,000,000</t>
  </si>
  <si>
    <t>300,000,000-800,000,000</t>
  </si>
  <si>
    <t>Zimbabwe</t>
  </si>
  <si>
    <t>ZWE</t>
  </si>
  <si>
    <t>ZIMRA (Zimbabwe Revenue Authority)</t>
  </si>
  <si>
    <t>https://www.zimra.co.zw/index.php?option=com_phocadownload&amp;view=category&amp;id=23:legislation&amp;Itemid=112</t>
  </si>
  <si>
    <t>10-40</t>
  </si>
  <si>
    <t>41-75</t>
  </si>
  <si>
    <t>&gt;75</t>
  </si>
  <si>
    <t xml:space="preserve">&lt;10,000  </t>
  </si>
  <si>
    <t>&lt;250,000 Agriculture, Arts, Entertainment, Culture, Education and sport, Financial services, Retail, Transport, Tourism and hospitality, Services; &lt;500,000 Energy, Manufacturing; &lt; 1,000,000 Mining and Quarrying, Construction.</t>
  </si>
  <si>
    <t>&lt;500,000 Agriculture, Arts, Entertainment, Culture, Education and sport, Financial services, Retail, Transport, Tourism and hospitality, Services; &lt;1,000,000 Energy, Manufacturing;  &lt;2,000,000 for Mining and Quarrying, Construction</t>
  </si>
  <si>
    <t>&lt;30,000 Agriculture, Arts, Entertainment, Culture, Education and sport, Manufacturing, Financial services, Transport, Services, Tourism and hospitality, Retail ; &lt;50,000 Mining and quarrying, Construction, Energy</t>
  </si>
  <si>
    <t>&lt;500,000 Agriculture, Arts, Entertainment, Culture, Education and sport, Manufacturing, Financial services, Transport, Services, Tourism and hospitality, Retail; &lt;1,000000 Energy, Construction; &lt; 1,500,000 Mining and quarrying</t>
  </si>
  <si>
    <t>&lt;1,000,000 Agriculture, Arts, Entertainment, Culture, Education and sport, Manufacturing, Financial services, Transport, Services, Tourism and hospitality, Retail; &lt;2,000,000 Energy, Construction; &lt;3,000,000 Mining and quarrying</t>
  </si>
  <si>
    <t>FinScope MSME Survey</t>
  </si>
  <si>
    <t>http://www.finmark.org.za/wp-content/uploads/2016/02/FinScope_Zimbabwe_Broch13FNL.pdf</t>
  </si>
  <si>
    <t>6-30 Agriculture, Arts, Entertainment, Culture, Education, Sport, Manufacturing, Financial services, Transport, Services, Tourism, Hospitality, Retail; 6-40 Mining and quarrying, Construction, Energy sector.</t>
  </si>
  <si>
    <t>31- 75 Agriculture, Arts, Entertainment, Culture, Education, Sport, Manufacturing, Financial services, Transport, Services, Tourism, Hospitality, Retail; 41-75 Mining and quarrying, Construction, Energy sector</t>
  </si>
  <si>
    <t>&gt;75 Agriculture, Arts, Entertainment, Culture, Education, Sport, Manufacturing, Financial services, Transport, Services, Tourism, Hospitality, Retail, Mining and quarrying, Construction, Energy sector</t>
  </si>
  <si>
    <t>No data found</t>
  </si>
  <si>
    <t>Issues found</t>
  </si>
  <si>
    <t>Cleared</t>
  </si>
  <si>
    <t>Things to improve:</t>
  </si>
  <si>
    <t>1. UK add employment figures</t>
  </si>
  <si>
    <t>2. US and Puerto Rico, add lending information from FDIC</t>
  </si>
  <si>
    <t>Row Labels</t>
  </si>
  <si>
    <t>Not Data</t>
  </si>
  <si>
    <t>Reviewed</t>
  </si>
  <si>
    <t>Pending</t>
  </si>
  <si>
    <t>Total</t>
  </si>
  <si>
    <t>(blank)</t>
  </si>
  <si>
    <t>Grand Total</t>
  </si>
  <si>
    <t xml:space="preserve">Institut National de la Statistique (INS), "Recensement Général des Entreprises (RGE 2016)", 2018, p. 67-74. </t>
  </si>
  <si>
    <t>http://www.ic.gc.ca/eic/site/061.nsf/eng/h_rd01252.html</t>
  </si>
  <si>
    <t>Please note that previous database aggregate non-employer firms from an additional source. However, the 2017 database states: "Many statistics on self-employment have been removed from Key Small Business Statistics." Innovation, Science and Economic Development Canada (ISED) defines a business based upon the number of paid employees. For this reason, self-employed and "indeterminate" businesses are generally not included in the present publication as they do not have paid employees.</t>
  </si>
  <si>
    <t>&lt;61,509,817</t>
  </si>
  <si>
    <t>&lt;59,105,041</t>
  </si>
  <si>
    <t>&lt;55,942,945</t>
  </si>
  <si>
    <t>&lt;54,817,801</t>
  </si>
  <si>
    <t>&lt;53,505,673</t>
  </si>
  <si>
    <t>&lt;51,493,321</t>
  </si>
  <si>
    <t>61,342,817-640,727,250</t>
  </si>
  <si>
    <t>59,342,041-615,677,500</t>
  </si>
  <si>
    <t>55,342,945-582,739,000</t>
  </si>
  <si>
    <t>54,342,801-571,018,750</t>
  </si>
  <si>
    <t>53,342,673-557,350,750</t>
  </si>
  <si>
    <t>51,342,321-536,388,750</t>
  </si>
  <si>
    <t>640,727,251-2,562,909,000</t>
  </si>
  <si>
    <t>615,677,501-2,462,710,000</t>
  </si>
  <si>
    <t>582,739,001-2,330,956,000</t>
  </si>
  <si>
    <t>571,018,751-2,284,075,000</t>
  </si>
  <si>
    <t>557,350,751-2,229,403,000</t>
  </si>
  <si>
    <t>536,388,751-2,145,555,000</t>
  </si>
  <si>
    <t>&gt;2,562,909,000</t>
  </si>
  <si>
    <t>&gt;2,462,710,000</t>
  </si>
  <si>
    <t>&gt;2,330,956,000</t>
  </si>
  <si>
    <t>&gt;2,284,075,000</t>
  </si>
  <si>
    <t>&gt;2,229,403,000</t>
  </si>
  <si>
    <t>&gt;2,145,555,000</t>
  </si>
  <si>
    <t>CLP</t>
  </si>
  <si>
    <t>Original definition: Micro: 0-2,400. Small: 2,401-25,000. Medium: 25,001-100,000. Large: &gt;100,000 Unidades de Fomento, indexed unit. Converted to CLP using UF annual value.</t>
  </si>
  <si>
    <t>OECD (2018), "China" in Financing SMEs and Entrepreneurs 2018: An OECD Scoreboard</t>
  </si>
  <si>
    <t>SZ</t>
  </si>
  <si>
    <t>FinMark Trust, "Finscope MSME Survey, 2017"</t>
  </si>
  <si>
    <t>http://finmark.org.za/_insights/publications/</t>
  </si>
  <si>
    <t>50,000-2,000,000</t>
  </si>
  <si>
    <t>2,000,001-5,000,000</t>
  </si>
  <si>
    <t>ADA, "Small and Growing Businesses in Ethiopia"</t>
  </si>
  <si>
    <t>https://www.iracst.org/ijcbm/papers/vol6no12017/3vol6no1.pdf</t>
  </si>
  <si>
    <t>31-100 service, industry</t>
  </si>
  <si>
    <t>50,001 - 500,000 services; 100,001 - 1,500,000 industry</t>
  </si>
  <si>
    <t>ETN</t>
  </si>
  <si>
    <t>ETB</t>
  </si>
  <si>
    <t>Reserve Bank of Fiji, "Small and Medium Enterprises Credit Guarantee Scheme Guidelines"</t>
  </si>
  <si>
    <t>https://www.rbf.gov.fj/getattachment/Left-Menu/Financial-Inclusion/Events/Forums-and-Workshops/Fiji-SME-Presentation-SP-Governors_final.pdf?lang=en-US</t>
  </si>
  <si>
    <t xml:space="preserve">This data is from a presentation by RBF </t>
  </si>
  <si>
    <t>OECD (2018), "France" in Financing SMEs and Entrepreneurs 2018: An OECD Scoreboard</t>
  </si>
  <si>
    <t>OECD (2018), "Greece" in Financing SMEs and Entrepreneurs 2018: An OECD Scoreboard</t>
  </si>
  <si>
    <t>3,000,000-15,000,000</t>
  </si>
  <si>
    <t>http://cso.gov.af/en/page/1500/1494/6</t>
  </si>
  <si>
    <t>&lt;500,000-Services; &lt;5,000,000 Manufacturing</t>
  </si>
  <si>
    <t>10-24 Services; 25-99 Manufacturing</t>
  </si>
  <si>
    <t>https://www.capmas.gov.eg/Pages/StatisticsOracle.aspx?Oracle_id=1964&amp;page_id=5109&amp;YearID=8260</t>
  </si>
  <si>
    <t>CAPMAS Establishment Census 2017</t>
  </si>
  <si>
    <t>Definition available at page 2: https://erf.org.eg/wp-content/uploads/2014/07/831.pdf</t>
  </si>
  <si>
    <t>https://msme.gov.in/relatedlinks/annual-report-ministry-micro-small-and-medium-enterprises</t>
  </si>
  <si>
    <t>Iran Statistical Yearbook. ESTABLISHMENTS COVERED BY SOCIAL SECURITY ORGANIZATION BY SIZE OF WORKERS AT THE END OF THE YEAR</t>
  </si>
  <si>
    <t>http://cosit.gov.iq/en/industrial-statistics (sector distribution can be found in the separate industrial establishments tables)</t>
  </si>
  <si>
    <t xml:space="preserve">Micro and Cottages enterprises are aggregated for analysis purposes. If on one criterion, a firm fall into the smaller category, while it falls into larger category based on the other criterion, the firm will be deemed as in the larger category. The25-50 number of employees interval is not defined within the small or medium categories.
</t>
  </si>
  <si>
    <t>Federal State Statistics Service</t>
  </si>
  <si>
    <t>http://www.gks.ru/wps/wcm/connect/rosstat_main/rosstat/ru/statistics/publications/catalog/doc_1139841601359</t>
  </si>
  <si>
    <t xml:space="preserve">In addition definition includes the following qualification: share of public bodies in the registered capital is less than 25%, share of foreign legal entities which are not SMEs is less than 49%. 
 </t>
  </si>
  <si>
    <t>Russian SME resource center</t>
  </si>
  <si>
    <t>&lt;100</t>
  </si>
  <si>
    <t>Micro enterprises include individual entrepreneurs and farms</t>
  </si>
  <si>
    <t>Organization for Economic Cooperation and Development (OECD), "Gabon", 2005, p. 272.</t>
  </si>
  <si>
    <t>≤5</t>
  </si>
  <si>
    <t>75000-149,999</t>
  </si>
  <si>
    <t>≥ 150,000</t>
  </si>
  <si>
    <t>Ghana Statistical Services, November 2016</t>
  </si>
  <si>
    <t>http://www2.statsghana.gov.gh/docfiles/IBES_Questionnaires/IBES%201%20reports/REGIONAL%20SPATIAL%20BUSINESS%20REPORT.pdf</t>
  </si>
  <si>
    <t>Bureau international du Travail</t>
  </si>
  <si>
    <t>4-60</t>
  </si>
  <si>
    <t>&gt;60</t>
  </si>
  <si>
    <t>&gt;300,000,000</t>
  </si>
  <si>
    <t>FG</t>
  </si>
  <si>
    <t>https://read.oecd-ilibrary.org/industry-and-services/financing-smes-and-entrepreneurs-2018/japan_fin_sme_ent-2018-32-en#page2</t>
  </si>
  <si>
    <t>≤20 Manufacturing, construction, transportation, other industries; ≤5 wholesale, services, retail</t>
  </si>
  <si>
    <t>≤300 Manufacturing, construction, transportation, other industries; ≤ 100 wholesale, services; ≤ 50 retail</t>
  </si>
  <si>
    <t>≤300,000,000 Manufacturing; ≤100,000,000 Wholesale; ≤50,000,000 Service and Retail</t>
  </si>
  <si>
    <t>≤300,000,000 Manufacturing; ≤100,000,000 Wholesale; ≤ 50,000,000 Service and  and Retail</t>
  </si>
  <si>
    <t>&gt;300,000,000 Manufacturing; &gt;100,000,000 Wholesale; &gt;50,000,000 Service and  and Retail</t>
  </si>
  <si>
    <t>Japan has definition for micro and SMEs (small and medium not seperated) --&gt;Source of definitions METI, SME Agency, 2017 White Paper on Small and Medium Enterprises in Japan https://www.chusho.meti.go.jp/pamflet/hakusyo/H29/download/2017hakushogaiyou_eng.pdf</t>
  </si>
  <si>
    <t>"Medium from source document refers to SMEs other than micro enterprises"</t>
  </si>
  <si>
    <t>https://www.knbs.or.ke/2016-micro-small-and-medium-enterprises-msme-survey-basic-report-2/</t>
  </si>
  <si>
    <t>≥100</t>
  </si>
  <si>
    <t>500,00 - 4,999,999</t>
  </si>
  <si>
    <t>&gt;800,000</t>
  </si>
  <si>
    <t>The number of businesses per county may differ from what is contained in the county business registers. This is because the unit of observation in the survey was the establishment as opposed to ‘business’. For example, a person who might have been issued with a single business permit but is engaged in three different economic activities, was recorded as having three establishments as opposed to one. Further, at the household level, it is likely that some of the businesses that are co-owned may independently have been reported more than once. This was not verified.
It should be noted that the number of persons reported to be engaged by the MSMEs may not be comparable with other published statistics on employment. This is because, employment in other cases is measured based on the main job held. In the 2016 MSME survey, the unit of observation was establishment. Each establishment was independently reporting the workforce that it had engaged and therefore a person may have been counted more than once based on the number of establishments one was engaged in. For example, a person who operated/worked
say in 3 different establishments might have been counted three times." p.g. 22-23</t>
  </si>
  <si>
    <t>≥50</t>
  </si>
  <si>
    <t xml:space="preserve">"The census of establishments was conducted by Bureau Of Statistics for the second time and the comprehensive BR for 2016 was produced with a reference period of 2015 calendar year. The previous census of establishment was in financial year 2013/2014 with a reference period of 2012 calendar year. All industries were covered with an exception of the establishments engaged in agriculture and government activities." </t>
  </si>
  <si>
    <t>Central Statistics Organization -Business Establishment Survey. Page 75</t>
  </si>
  <si>
    <t>OECD (2018), "Israel" in Financing SMEs and Entrepreneurs 2018: An OECD Scoreboard</t>
  </si>
  <si>
    <t>https://doi.org/10.1787/fin_sme_ent-2018-30-en</t>
  </si>
  <si>
    <t>Includes self-employed and companies without employees</t>
  </si>
  <si>
    <t>https://www.cbs.gov.il/he/publications/Pages/2018/%D7%93%D7%9E%D7%95%D7%92%D7%A8%D7%A4%D7%99%D7%94-%D7%A9%D7%9C-%D7%A2%D7%A1%D7%A7%D7%99%D7%9D-%D7%9E%D7%A7%D7%91%D7%A5-%D7%A0%D7%AA%D7%95%D7%A0%D7%99%D7%9D-%D7%A1%D7%98%D7%98%D7%99%D7%A1%D7%98%D7%99%D7%99%D7%9D-%D7%9E%D7%9E%D7%A8%D7%A9%D7%9D-%D7%94%D7%A2%D7%A1%D7%A7%D7%99%D7%9D-2016-2011.aspx</t>
  </si>
  <si>
    <t xml:space="preserve">Central Bureau of Statistics. Business Register. ACTIVE BUSINESSES, BY INDUSTRY (2011 CLASSIFICATION) AND SIZE GROUP  </t>
  </si>
  <si>
    <t>OECD (2018), "Italy" in Financing SMEs and Entrepreneurs 2018: An OECD Scoreboard</t>
  </si>
  <si>
    <t>&lt;500,000,000</t>
  </si>
  <si>
    <t>≤2,500,000,000</t>
  </si>
  <si>
    <t>2,500,000-5,000,000</t>
  </si>
  <si>
    <t>LYD</t>
  </si>
  <si>
    <t>Bureau of Statistics and Census (BSC). Used official definition for Lybia. Available at Economics &amp; ECO-Engineering Associate, Inc. (ECO-ENA), "Literature Review on Factors Influencing Accessing Bank Loan Issues of Small and Medium Enterprises (SMEs) in Libya", 2014, p. 4. Available at http://www.eco-ena.ca/f/Dr._Nasr_Ahmed_1.pdf</t>
  </si>
  <si>
    <t>≤25</t>
  </si>
  <si>
    <t>ILS</t>
  </si>
  <si>
    <t>&lt;30,000,000,000 Publication, Information and Communication, and others; &lt;20,000,000,000 Agriculture and others; &lt;10,000,000,000 Sewerage, waste management, and others; &lt;5,000,000,000 Real State</t>
  </si>
  <si>
    <t>≥30,000,000,000 Publication, Information, Communication, and others; ≥ 20,000,000,000 Agriculture and others; ≥10,000,000,000 Sewerage, waste management, and others; ≥5,000,000,000 Real State</t>
  </si>
  <si>
    <t>MSME definition can be found here: https://pdfs.semanticscholar.org/86e0/525d1256766e91a358b6af721b243e657198.pdf</t>
  </si>
  <si>
    <t>https://www.mss.go.kr/site/eng/02/10204000000002016111504.jsp#</t>
  </si>
  <si>
    <t>Ministry of Commerce and Industry, "Rationale, Policy and Implementation ramework for MSME Development in Liberia: 2011-2016"</t>
  </si>
  <si>
    <t>http://www.moci.gov.lr/doc/Final%20MSME%20Policy%20Liberia%202011-2016.pdf</t>
  </si>
  <si>
    <t>UNDP, "Finscope Malawi MSME Survey, 2012"</t>
  </si>
  <si>
    <t xml:space="preserve">&gt;100 </t>
  </si>
  <si>
    <t>≤ 120,000</t>
  </si>
  <si>
    <t>120,001 - 4,000,000</t>
  </si>
  <si>
    <t>4,000,001 - 10,000,000</t>
  </si>
  <si>
    <t>&gt; 10,000,000</t>
  </si>
  <si>
    <t xml:space="preserve">The Ministry of Industry and Trade has been desirous to conduct a national MSME survey in order to generate data that reflects the current status of the MSME sector in order to feed into policy and programme development to address current and emerging national and global realities. This desire is critical noting that the last national MSME survey was the Gemini Survey carried out in the year 2000. This report is, therefore, a nationally representative survey focusing on the status of small businesses in Malawi </t>
  </si>
  <si>
    <t>https://info.undp.org/docs/pdc/Documents/MWI/Malawi%202012%20MSME%20Main%20Report%20-%20Final.pdf</t>
  </si>
  <si>
    <t>sector classification on page 30</t>
  </si>
  <si>
    <t>51 - 200</t>
  </si>
  <si>
    <t>200,000,001 - 1,000,000,000</t>
  </si>
  <si>
    <t>http://statsmauritius.govmu.org/English/StatsbySubj/Documents/SME/SMEs_2007-2015.pdf</t>
  </si>
  <si>
    <t>≤ 2,000,000</t>
  </si>
  <si>
    <t>2,000,001 - 10,000,000</t>
  </si>
  <si>
    <t xml:space="preserve"> 10,000,001 - 50,000,000</t>
  </si>
  <si>
    <t>2015 figures are estimates</t>
  </si>
  <si>
    <t xml:space="preserve">Micro enterprises include all production units operating with one to five persons AND generating a gross output (proxy for turnover) of not more than Rs 2 million; Small enterprises are those generating an annual gross output of not more than Rs 10 million except those classified as micro enterprises; Medium enterprises are those generating a gross output of more than Rs 10 million but not more than Rs 50 million.   </t>
  </si>
  <si>
    <t>MZN</t>
  </si>
  <si>
    <t>Micro enterprises include individual entrepreneurs and farms.</t>
  </si>
  <si>
    <t xml:space="preserve">&lt;50 in agriculture, hunting and forestry; fishing and fish farming; mining industry; manufacturing industry; production and distribution of electricity, gas and water; construction. 
&lt;15 at enterprises engaged in trade; repair of cars, household goods and personal items; the provision of services by hotels and restaurants; on transport and communications; financial activities; real estate transactions, rental and provision of services to consumers; education; health care and the provision of social services; by providing communal, social and personal services.  </t>
  </si>
  <si>
    <t>51-200 in agriculture, hunting and forestry; fishing and fish farming; mining industry; manufacturing industry; production and distribution of electricity, gas and water; construction. 
16-50 at enterprises engaged in trade; repair of cars, household goods and personal items; the provision of services by hotels and restaurants; on transport and communications; financial activities; real estate transactions, rental and provision of services to consumers; education; health care and the provision of social services; by providing communal, social and personal services.</t>
  </si>
  <si>
    <t>National Bureau of Statistics of the Republic of Moldova</t>
  </si>
  <si>
    <t>http://www.statistica.md/newsview.php?l=ro&amp;idc=168&amp;id=6061</t>
  </si>
  <si>
    <t>&lt;249</t>
  </si>
  <si>
    <t xml:space="preserve">&lt;25,000,000 </t>
  </si>
  <si>
    <t>http://www.statistica.md/newsview.php?l=en&amp;id=6061&amp;idc=168</t>
  </si>
  <si>
    <t>OECD (2018), "Luxembourg" in Financing SMEs and Entrepreneurs 2018: An OECD Scoreboard</t>
  </si>
  <si>
    <t>MVR</t>
  </si>
  <si>
    <t>http://statisticsmaldives.gov.mv/yearbook2015/index.html</t>
  </si>
  <si>
    <t>Haut-Commissariat Au Plan (Statistical Institute). Economic Census</t>
  </si>
  <si>
    <t>≥200</t>
  </si>
  <si>
    <t>PFBS. Economic Census 2005</t>
  </si>
  <si>
    <t>Asian Development Bank. Asia SME Finance Monitor 2014</t>
  </si>
  <si>
    <t>PGK</t>
  </si>
  <si>
    <t>OECD (2018), "New Zealand" in Financing SMEs and Entrepreneurs 2018: An OECD Scoreboard</t>
  </si>
  <si>
    <t>https://www.mdps.gov.qa/en/statistics/Statistical%20Releases/General/Census/Outcome_Analysis_of_Census_of_Population_Housing_and_Establishments_2015_en.pdf</t>
  </si>
  <si>
    <t>Ministry of Development, Planning and Statistics. Census of Population, Housing and Establishments 2015</t>
  </si>
  <si>
    <t>https://www.stats.gov.sa/en/64</t>
  </si>
  <si>
    <t>OECD (2018), "Norway" in Financing SMEs and Entrepreneurs 2018: An OECD Scoreboard</t>
  </si>
  <si>
    <t xml:space="preserve">Statistical Yearbook Maldives 2015. </t>
  </si>
  <si>
    <t>WAMDA</t>
  </si>
  <si>
    <t>KWD</t>
  </si>
  <si>
    <t>Defined as  "projects with capita less thanl"</t>
  </si>
  <si>
    <t>http://www.wamda.com/country/info-center/kuwait/funding</t>
  </si>
  <si>
    <t>≤5 service, industry</t>
  </si>
  <si>
    <t>≤ 50,000 services; ≤100,000 industry</t>
  </si>
  <si>
    <t>500,001 - 7,500,000 service; 1,500,001 - 7,500,000 Industry</t>
  </si>
  <si>
    <t>MSME enterprise number and employment number is only for small and micro enterprises</t>
  </si>
  <si>
    <t>American Fact Finder, 2012</t>
  </si>
  <si>
    <t>https://factfinder.census.gov/faces/nav/jsf/pages/searchresults.xhtml?refresh=t</t>
  </si>
  <si>
    <t>MSME definition found here https://www.ifc.org/wps/wcm/connect/624b8f804a17abc5b4acfddd29332b51/SME-ci-note.pdf?mod=ajperes</t>
  </si>
  <si>
    <t>&lt;100 Manufacturing; &lt;50 Non-manufacturing firms (including firms engaged in construction; mining; quarrying; electricity and gas; import and export; wholesaling; retailing; catering; hotel; transport; warehouse; insurance; real estate; business service; community, social and personal service)</t>
  </si>
  <si>
    <t xml:space="preserve">Statistics Iceland Structural business statistics </t>
  </si>
  <si>
    <t>&lt; 50,000,000</t>
  </si>
  <si>
    <t>50,000,000 – 500,000,000 million</t>
  </si>
  <si>
    <t>500,000,001 – 10,000,000,000</t>
  </si>
  <si>
    <t>&gt; 10,000,000,000</t>
  </si>
  <si>
    <t>&lt; 300,000,000</t>
  </si>
  <si>
    <t>300,000,000 – 2,500,000,000</t>
  </si>
  <si>
    <t>2,500,000,001 – 50,000,000,000</t>
  </si>
  <si>
    <t>&gt; 50,000,000,000</t>
  </si>
  <si>
    <t>https://read.oecd-ilibrary.org/employment/sme-and-entrepreneurship-policy-in-indonesia-2018_9789264306264-en#page1</t>
  </si>
  <si>
    <t>https://read.oecd-ilibrary.org/employment/sme-and-entrepreneurship-policy-in-indonesia-2018_9789264306264-en#page46</t>
  </si>
  <si>
    <t>Data on page 46 (online version)</t>
  </si>
  <si>
    <t>Total enterprises  including large for this year is 245,059</t>
  </si>
  <si>
    <t>Total enterprises including large for this year is 243,433</t>
  </si>
  <si>
    <t>OECD, "Financing SMEs and Entrepreneurs 2018: An OECD Scorecard" (Ireland)</t>
  </si>
  <si>
    <t>OECD, "Financing SMEs and Entrepreneurs 2018: An OECD Scoreboard", 2018</t>
  </si>
  <si>
    <t xml:space="preserve">&lt; 10 in Manufacturing, Mining, Construction, Transportation ; &lt; 5 in other </t>
  </si>
  <si>
    <t xml:space="preserve">&lt;50 in Manufacturing, Mining, Construction, Transportation ; &lt; 10 in other </t>
  </si>
  <si>
    <t>&lt; 300 Manufacturing., Mining, Construction, Transportation; &lt;200 Agriculture; &lt;100 Others; &lt;50 Real State</t>
  </si>
  <si>
    <t>≥ 300 Manufacturing, Mining, Construction, Transportation;  ≥ 200 Agriculture; ≥ 100 Others; ≥50 Real EState</t>
  </si>
  <si>
    <t>&lt; 8,000,000,000 Manufacturing; &lt; 3,000,000,000 Mining, Construction, Transportation</t>
  </si>
  <si>
    <t>≥8,000,000,000 Manufacturing;  ≥ 3,000,000,000 Mining, Construction, Transportation</t>
  </si>
  <si>
    <t xml:space="preserve">&lt; 50 in Manufacturing, Mining, Construction, Transportation ; &lt; 10 in other </t>
  </si>
  <si>
    <t xml:space="preserve">&lt; 50 in Manufacturing., Mining, Construction, Transportation. ; &lt; 10 in other </t>
  </si>
  <si>
    <t>Kosovo SME Promotion Programme, ATK Register</t>
  </si>
  <si>
    <t>http://www.eciks.org/repository/docs/Report_on_State_of_SMEs_in_Kosovo_2014_99378.pdf</t>
  </si>
  <si>
    <t>Firms with one employee are considered as sole proprietorships rather than micro enterprises, however, these firms are accounted in the number of micro enterprises in Kosovo's official statistics.</t>
  </si>
  <si>
    <t>Sector breakdown on page 6, table 5</t>
  </si>
  <si>
    <t>https://www.eib.org/attachments/efs/assessment_of_financing_needs_of_smes_kosovo_en.pdf</t>
  </si>
  <si>
    <t>≤ 19</t>
  </si>
  <si>
    <t>≤250,000,000</t>
  </si>
  <si>
    <t>250,000,001 - 1,200,000,000 </t>
  </si>
  <si>
    <t>&gt; 1,200,000,000</t>
  </si>
  <si>
    <t>≤400 000,000</t>
  </si>
  <si>
    <t xml:space="preserve"> 400,000,001 - 1,000,000,000  </t>
  </si>
  <si>
    <t>&gt; 1,000,000,000</t>
  </si>
  <si>
    <t>5-75 Manufacturing; 5-30 Services and others</t>
  </si>
  <si>
    <t>76-200 Manufacturing; 31-75 Services  and others</t>
  </si>
  <si>
    <t>&gt;200 Manufacturing ; &gt;76 Services and others</t>
  </si>
  <si>
    <t>300,000 - 15,000,000 Manufacturing; 300,000 - 3,000,000 Services &amp; others</t>
  </si>
  <si>
    <t>15,000,001 - 50,000,000 Manufacturing; 3,000,001 - 20,000,000 Services &amp; others</t>
  </si>
  <si>
    <t>&gt; 50,000,000 Manufacturing; &gt;20,000,000 Services &amp; others</t>
  </si>
  <si>
    <t>Definition change</t>
  </si>
  <si>
    <t>76-150 Manufacturing; 31 - 50 Services  and others</t>
  </si>
  <si>
    <t>&gt;150 Manufacturing; &gt;50 Services  and others</t>
  </si>
  <si>
    <t>&lt;250,000 Manufacturing; &lt;200,000 Services &amp; others</t>
  </si>
  <si>
    <t>250,000 - 10,000,000 Manufacturing; 200,000 - 1,000,000 Services &amp; others</t>
  </si>
  <si>
    <t>10,000,001 - 25,000,000 Manufacturing; 1,000,001 - 5,000,000 Services &amp; others</t>
  </si>
  <si>
    <t>&gt;25,000,000 Manufacturing; &gt; 5,000,000 Services &amp; others</t>
  </si>
  <si>
    <t>OECD, "Financing SMEs and Entrepreneurs: An OECD Scorecard - Mongolia" 2017</t>
  </si>
  <si>
    <t>https://www.oecd-ilibrary.org/industry-and-services/financing-smes-and-entrepreneurs-2017/malaysia_fin_sme_ent-2017-33-en</t>
  </si>
  <si>
    <t>≤19 Trade; /Service</t>
  </si>
  <si>
    <t>≤19 Manufacturing; ≤ 49 Service</t>
  </si>
  <si>
    <t>≤149 Wholesale trade; ≤199 Retail Trade, Manufacturing</t>
  </si>
  <si>
    <t>&gt;149 Wholesale trade; &gt;199 Retail Trade, Manufacturing.</t>
  </si>
  <si>
    <t>≤250,000,000 Trade/Service</t>
  </si>
  <si>
    <t>≤250,000,000 Manufacturing; ≤1,000,000 Service</t>
  </si>
  <si>
    <t>≤ 1500000000 Wholesale trade, Retail Trade, Manufacturing</t>
  </si>
  <si>
    <t>&gt; 1500000000 Wholesale trade, Retail Trade, Manufacturing</t>
  </si>
  <si>
    <t>≤19 Trade/Service</t>
  </si>
  <si>
    <t>OECD, "Enhancing Access to Finance for micro, small and medium enterprises in Mongolia"</t>
  </si>
  <si>
    <t>http://www.oecd.org/eurasia/competitiveness-programme/eastern-partners/Eurasia-Peer-Review-Note-Mongolia-ENG.pdf</t>
  </si>
  <si>
    <t>≤ 9</t>
  </si>
  <si>
    <t>≤19</t>
  </si>
  <si>
    <t>≤49</t>
  </si>
  <si>
    <t>http://monstat.org/eng/publikacije_page.php?id=1518</t>
  </si>
  <si>
    <t>https://www.monstat.org/eng/publikacije_page.php?id=1066</t>
  </si>
  <si>
    <t>UNDP's Regional Bureau for Asia and the Pacific</t>
  </si>
  <si>
    <t>Ministry of Industralisation, Trade and SME Development</t>
  </si>
  <si>
    <t>Government of Niger</t>
  </si>
  <si>
    <t>FCA</t>
  </si>
  <si>
    <t>≤10,000,000</t>
  </si>
  <si>
    <t>10,000,001 - 50,000,000</t>
  </si>
  <si>
    <t>50,000,001 - 500,000,000</t>
  </si>
  <si>
    <t>&gt; 500,000,000</t>
  </si>
  <si>
    <t>5,000,000 - 49,000,000</t>
  </si>
  <si>
    <t>50,000,000 - 499,999,999</t>
  </si>
  <si>
    <t>≥500,000,000</t>
  </si>
  <si>
    <t>World Bank, "MSME Financing in South Africa", 2018</t>
  </si>
  <si>
    <t> https://worldbankgroup-my.sharepoint.com/:f:/r/personal/kkushnir_worldbank_org/Documents/MSME-CI%202018/5.%20Submitted%20for%20review%20by%20regional%20coordinator/Sub-Saharan%20Africa%20-%20Sanjay%20Kalpage/August%206,%202018?csf=1&amp;e=Mzpcth</t>
  </si>
  <si>
    <t>6 - 50</t>
  </si>
  <si>
    <t>51-100 Agriculture; 51- 200 all other sectors</t>
  </si>
  <si>
    <t>&gt;100 Agriculture; &gt;200 all other sectors</t>
  </si>
  <si>
    <t xml:space="preserve">≤10,000 </t>
  </si>
  <si>
    <t>10,001 - 3,000,000 Agriculture, Retail and Motor Trade and Repair Services, Transport, Storage and Communications, Finance and Business Services, Community, Social and Personal Services; 10,001 - 6,000,000 Mining and Quarrying; 10,001 - 5,000,000 Manufacturing, Electricity, Gas and Water, Wholesale Trade, Commercial Agents and allied Services; 10,001 - 1,000,000 Construction, Catering, Accomodation and other Trade</t>
  </si>
  <si>
    <t>3,000,001 - 5,000,000 Agriculture, Finance and Business Services; 3,000,001 - 6,000,000 Retail and Motor Trade and Repair Services, Transport, Storage and Communications,  Community, Social and Personal Services; 6,000,001 - 23,000,000 Mining and Quarrying; 5,000,001 - 19,000,000 Manufacturing, Electricity, Gas and Water; 5,000,001 - 10,000,000 Wholesale Trade, Commercial Agents and allied Services; 1,000,001 - 5,000,000 Construction, Catering, Accomodation and other Trade</t>
  </si>
  <si>
    <t>&gt; 5,000,000 Agriculture, Finance and Business Services; &gt; 6,000,000 Retail and Motor Trade and Repair Services, Transport, Storage and Communications,  Community, Social and Personal Services; &gt; 23,000,000 Mining and Quarrying; &gt; 19,000,000 Manufacturing, Electricity, Gas and Water; &gt; 10,000,000 Wholesale Trade, Commercial Agents and allied Services; &gt; 5,000,000 Construction, Catering, Accomodation and other Trade</t>
  </si>
  <si>
    <t>≤20,000</t>
  </si>
  <si>
    <t xml:space="preserve">20,001 - 3,000,000 Agriculture; 20,001 - 19,000,000 Retail and Motor Trade and Repair Services; 20,001 - 13,000,000 Finance and Business Services, Electricity, Gas and Water, Transport, Storage and Communications; 20,001 - 6,000,000 Community, Social and Personal Services, Construction, Catering, Accomodation and other Trade; 20,001 - 10,000,000 Mining and Quarrying </t>
  </si>
  <si>
    <t xml:space="preserve">3,000,001 - 5,000,000 Agriculture; 19,000,001 - 39,000,000 Retail and Motor Trade and Repair Services;13,000,001 - 26,000,000 Finance and Business Services, Transport, Storage and Communications, Constrution; 13,000,001 - 51,000,000 Electricity, Gas and Water; 6,000,001 - 13,000,000 Community, Social and Personal Services, Construction, Catering, Accomodation and other Trade; 10,000,000 - 39,000,000 Mining and Quarrying </t>
  </si>
  <si>
    <t xml:space="preserve">&gt; 5,000,000 Agriculture; &gt;39,000,000 Retail and Motor Trade and Repair Services; &gt;26,000,000 Finance and Business Services, Transport, Storage and Communications, Constrution; &gt; 51,000,000 Electricity, Gas and Water; &gt;13,000,000 Community, Social and Personal Services, Construction, Catering, Accomodation and other Trade; &gt; 39,000,000 Mining and Quarrying </t>
  </si>
  <si>
    <t>MSME number is formal enterprises only</t>
  </si>
  <si>
    <t>DMA</t>
  </si>
  <si>
    <t>agriviewcaribe.net/wp-content/uploads/2016/09/March-2016_-CARICOM-Regional-Policy-on-MSMEs-Final.pdf</t>
  </si>
  <si>
    <t>Caribbean Export Development Agency</t>
  </si>
  <si>
    <t>5-24</t>
  </si>
  <si>
    <t>25-50</t>
  </si>
  <si>
    <t>&lt;25,000</t>
  </si>
  <si>
    <t>25,000-349,999</t>
  </si>
  <si>
    <t>350,000-1,000,000</t>
  </si>
  <si>
    <t>&gt;1,000,000</t>
  </si>
  <si>
    <t>50,000-749,999</t>
  </si>
  <si>
    <t>750,000-3,000,000</t>
  </si>
  <si>
    <t>&gt;3,000,000</t>
  </si>
  <si>
    <t>10,000,000-300,000,000</t>
  </si>
  <si>
    <r>
      <rPr>
        <sz val="11"/>
        <color theme="1"/>
        <rFont val="Calibri"/>
        <family val="2"/>
      </rPr>
      <t>≤</t>
    </r>
    <r>
      <rPr>
        <sz val="11"/>
        <color theme="1"/>
        <rFont val="Calibri"/>
        <family val="2"/>
        <scheme val="minor"/>
      </rPr>
      <t>15,000,000</t>
    </r>
  </si>
  <si>
    <r>
      <rPr>
        <sz val="11"/>
        <color theme="1"/>
        <rFont val="Calibri"/>
        <family val="2"/>
      </rPr>
      <t>≥</t>
    </r>
    <r>
      <rPr>
        <sz val="11"/>
        <color theme="1"/>
        <rFont val="Calibri"/>
        <family val="2"/>
        <scheme val="minor"/>
      </rPr>
      <t>1,000,000,000</t>
    </r>
  </si>
  <si>
    <t>BOB</t>
  </si>
  <si>
    <t>BWP</t>
  </si>
  <si>
    <t xml:space="preserve">Eurostat. Annual enterprise statistics by size class for special aggregates of activities (NACE Rev.2) </t>
  </si>
  <si>
    <t>&lt;190,750,000</t>
  </si>
  <si>
    <t>190,750,001-1,907,500,000</t>
  </si>
  <si>
    <t>1,907,500,001-11,445,000,000</t>
  </si>
  <si>
    <t>&gt;11,445,000,000</t>
  </si>
  <si>
    <t>&gt;10,000,000,000</t>
  </si>
  <si>
    <t>500,000,001–10,000,000,000</t>
  </si>
  <si>
    <t>50,000,000–500,000,000</t>
  </si>
  <si>
    <t>2,500,000,001–50,000,000,000</t>
  </si>
  <si>
    <t>&gt;50,000,000,000</t>
  </si>
  <si>
    <t>300,000,000–2,500,000,000</t>
  </si>
  <si>
    <t>&lt;300,000,000</t>
  </si>
  <si>
    <r>
      <rPr>
        <sz val="11"/>
        <color theme="1"/>
        <rFont val="Calibri"/>
        <family val="2"/>
      </rPr>
      <t>≤</t>
    </r>
    <r>
      <rPr>
        <sz val="11"/>
        <color theme="1"/>
        <rFont val="Calibri"/>
        <family val="2"/>
        <scheme val="minor"/>
      </rPr>
      <t>50,000,000</t>
    </r>
  </si>
  <si>
    <t>≤2,000,000</t>
  </si>
  <si>
    <t>North Macedonia</t>
  </si>
  <si>
    <t>Definition</t>
  </si>
  <si>
    <t>SME</t>
  </si>
  <si>
    <t>MSME</t>
  </si>
  <si>
    <t>% of economy</t>
  </si>
  <si>
    <t>Informal sector</t>
  </si>
  <si>
    <t>Comments</t>
  </si>
  <si>
    <t>http://www.saic.gov.cn/</t>
  </si>
  <si>
    <t>MSMEs include micro and small enterprises.</t>
  </si>
  <si>
    <t>State Administration for Market Regulation</t>
  </si>
  <si>
    <t>MSME lending (amount in LC/% of total outstanding business loans)</t>
  </si>
  <si>
    <t>http://laws.gov.ag/acts/2007/a2007-24.pdf</t>
  </si>
  <si>
    <t>Women-Owned Enterprises</t>
  </si>
  <si>
    <r>
      <rPr>
        <sz val="11"/>
        <color theme="1"/>
        <rFont val="Calibri"/>
        <family val="2"/>
        <scheme val="minor"/>
      </rPr>
      <t>≥</t>
    </r>
    <r>
      <rPr>
        <sz val="12.65"/>
        <color theme="1"/>
        <rFont val="Calibri"/>
        <family val="2"/>
        <scheme val="minor"/>
      </rPr>
      <t>25,000,000</t>
    </r>
  </si>
  <si>
    <r>
      <t>≥40</t>
    </r>
    <r>
      <rPr>
        <sz val="12.65"/>
        <color theme="1"/>
        <rFont val="Calibri"/>
        <family val="2"/>
        <scheme val="minor"/>
      </rPr>
      <t>,000,000</t>
    </r>
  </si>
  <si>
    <t xml:space="preserve">&gt;5,000,000 Agriculture; &gt;39,000,000 Retail and Motor Trade and Repair Services; &gt;26,000,000 Finance and Business Services, Transport, Storage and Communications, Constrution; &gt; 51,000,000 Electricity, Gas and Water; &gt;13,000,000 Community, Social and Personal Services, Construction, Catering, Accomodation and other Trade; &gt; 39,000,000 Mining and Quarrying </t>
  </si>
  <si>
    <t>≥10</t>
  </si>
  <si>
    <t>≥100 Industry; ≥25 Services</t>
  </si>
  <si>
    <t>≥20</t>
  </si>
  <si>
    <t>≥200 Manufacturing, Construction, Mining; ≥100 Other</t>
  </si>
  <si>
    <t>≥500,000 Agriculture, Arts, Entertainment, Culture, Education and sport, Financial services, Retail, Transport, Tourism and hospitality, Services; ≥1,000,000 Energy, Manufacturing;  ≥2,000,000 for Mining and Quarrying, Construction</t>
  </si>
  <si>
    <t>≥36,915,480</t>
  </si>
  <si>
    <t>≥650,000</t>
  </si>
  <si>
    <t>≥200,000,000</t>
  </si>
  <si>
    <t>≥500,000</t>
  </si>
  <si>
    <t>≥1,000,000 Agriculture, Arts, Entertainment, Culture, Education and sport, Manufacturing, Financial services, Transport, Services, Tourism and hospitality, Retail; ≥2,000,000 Energy, Construction; ≥3,000,000 Mining and quarrying</t>
  </si>
  <si>
    <t>≤9 Trade;  ≤20 Manufacturing; ≤20 Services</t>
  </si>
  <si>
    <t>≤20</t>
  </si>
  <si>
    <t>≤50 Manufacturing, Services; ≤25 Wholesale;  ≤15 Retail</t>
  </si>
  <si>
    <t>≤ 35 Trade;  ≤100 Manufacturing; ≤ 100 Services</t>
  </si>
  <si>
    <t>≤50</t>
  </si>
  <si>
    <t xml:space="preserve"> ≤ 75 Trade; ≤ 250 Manufacturing; ≤250 Services</t>
  </si>
  <si>
    <t>≤37,040</t>
  </si>
  <si>
    <t>≤100,000,000</t>
  </si>
  <si>
    <t>≤185,185</t>
  </si>
  <si>
    <t>≤50,000,000 Manufacturing, Services, Wholesale;  ≤30,000,000  Retail</t>
  </si>
  <si>
    <t>≤370,370</t>
  </si>
  <si>
    <t>≤60,000</t>
  </si>
  <si>
    <t>≤9,000,000 Trade;  ≤10,000,000 Manufacturing, Services</t>
  </si>
  <si>
    <t>≤3,000,000</t>
  </si>
  <si>
    <t>≤50,000,000 Trade;  ≤100,000,000 Manufacturing, Services</t>
  </si>
  <si>
    <t>≤ 8,000,000</t>
  </si>
  <si>
    <t>≤250,000,000 Trade, Manufacturing, Services</t>
  </si>
  <si>
    <t>≤15,000,000</t>
  </si>
  <si>
    <t>≥1,000,000,000</t>
  </si>
  <si>
    <t>≥40,000,000</t>
  </si>
  <si>
    <t>≤50,000,000</t>
  </si>
  <si>
    <t>Cover Sheet - 2019 MSME Economic Indicators Database</t>
  </si>
  <si>
    <t xml:space="preserve">Terms of use and disclaimer: </t>
  </si>
  <si>
    <t xml:space="preserve">Please read the Methodology Note on the MSME Economy Indicators along with the country specific comments in the MSME-EI excel workbook before using the data. MSME-EI presents secondary data - the original data are collected by various institutions (statistical institutes, ministries, international organizations, small business promotion agencies, research institutions and others) using different methods (mainly census). Thereby, the data are not always ­­standardized across countries and time which, among other issues, may hamper data comparability and aggregation. IFC is not responsible for the quality, accuracy, reliability or completeness of the data these sources provide.   </t>
  </si>
  <si>
    <t>This workbook contains the following sheets:</t>
  </si>
  <si>
    <t>Cover Sheet</t>
  </si>
  <si>
    <t>Data for latest year available</t>
  </si>
  <si>
    <t>Time Series</t>
  </si>
  <si>
    <t>Economy coverage:</t>
  </si>
  <si>
    <t xml:space="preserve">Data collection period: </t>
  </si>
  <si>
    <t>Indicators</t>
  </si>
  <si>
    <t>MSME definition; Number of enterprises; MSME density;  MSME participation in the economy; MSME lending; MSME loan quality; Women owned enterprises (WOE); Informality; GNI per capita, Atlas method (current US$); Population, total; GDP (current LCU); Income Groups; Regional Classification.</t>
  </si>
  <si>
    <t xml:space="preserve">The data were collected between July 2018 and December 2018. The 2019 update is the fourth update since 2007, following an approximate four-year update cycle. </t>
  </si>
  <si>
    <t xml:space="preserve">If there exists a conflict on classification between employment and assets criteria (for example, if an enterprise has assets worth seven million naira (N7M) but employs 7 persons), the employment-based classification will take precedence and the enterprise would be regarded as micro.; Asset definition exludes land and builidngs; The 2013 National MSME Survey covered business enterprises in Nigeria employing below 200 persons (Micro, Small and Medium Enterprises). The survey was conducted in all the 36 States of the Federation and the Federal Capital Territory, Abuja. For micro enterprises (employing 1-9 persons) data were canvassed through the National Integrated Survey of Household (NISH) Schedule. Also rural and urban areas where small (employing 10-49 persons) and medium (employing 50-199 persons) enterprises are located were covered through the National Integrated Survey of Establishment (NISE) Module. Further, twelve (12) households enterprises were systematically selected per EA making a total of 480 Households visited in each state and the FCT. This sample was considered large enough to give estimates at state level from where states and national estimates were aggregated. Under the establishment component, 4,000 Small and Medium Enterprises were selected for study across the country in 13 sectors using the principles of Probability Proportional to Size (PPS) to allocate number of establishments to states according to the concentration of the establishments. </t>
  </si>
  <si>
    <t>Micro (%)</t>
  </si>
  <si>
    <t>Micro (amount)</t>
  </si>
  <si>
    <t>Small (amount)</t>
  </si>
  <si>
    <t>Small (%)</t>
  </si>
  <si>
    <t>Medium (amount)</t>
  </si>
  <si>
    <t>Medium (%)</t>
  </si>
  <si>
    <t>SMEs (amount)</t>
  </si>
  <si>
    <t>SMEs (%)</t>
  </si>
  <si>
    <t>MSMEs (amount)</t>
  </si>
  <si>
    <t>Large (amount)</t>
  </si>
  <si>
    <t>Large (%)</t>
  </si>
  <si>
    <t>MSMEs (%)</t>
  </si>
  <si>
    <t>Low figures possibly due to political context (war, large procurement companies under dictatorship and high informality).</t>
  </si>
  <si>
    <t>Comments (to be combined into one cell.)</t>
  </si>
  <si>
    <t>Sector Distribution</t>
  </si>
  <si>
    <t xml:space="preserve">Source for micro: </t>
  </si>
  <si>
    <t xml:space="preserve">Source for SME: </t>
  </si>
  <si>
    <t>Micro NPLs (as % of total micro loans)</t>
  </si>
  <si>
    <t>SME NPLs (as a % of total SME loans)</t>
  </si>
  <si>
    <t>MSME NPLs (as a % of total MSME loans)</t>
  </si>
  <si>
    <t>Chief person in charge of making decisions about business operation</t>
  </si>
  <si>
    <t>0&lt;Index&lt;0.035</t>
  </si>
  <si>
    <t>0.035&lt;Index&lt;0.115</t>
  </si>
  <si>
    <t>0.115&lt;Index&lt;1</t>
  </si>
  <si>
    <t>Index&gt;1</t>
  </si>
  <si>
    <t>Index calculation using annual turnover, number of employees and total assets. Formula available at: https://drive.google.com/open?id=15M14-5EQuh4fA9iOscAWnYHdyFk8OAYL</t>
  </si>
  <si>
    <t>http://www.cci.bf/sites/default/files/charte_des_pme_du_burkina_faso.pdf</t>
  </si>
  <si>
    <t>≤368,858,500</t>
  </si>
  <si>
    <t>368,858,501-3,689,322,716</t>
  </si>
  <si>
    <t>3,689,322,717-22,131,510,000</t>
  </si>
  <si>
    <t>&gt;22,131,510,000</t>
  </si>
  <si>
    <t>≤390,621,000</t>
  </si>
  <si>
    <t>390,621,001-3,906,991,241</t>
  </si>
  <si>
    <t>3,906,991,242-23,437,260,000</t>
  </si>
  <si>
    <t>&gt;23,437,260,000</t>
  </si>
  <si>
    <t>≤344,727,500</t>
  </si>
  <si>
    <t>344,727,501-3,447,964,454</t>
  </si>
  <si>
    <t>3,447,964,455-20,683,650,000</t>
  </si>
  <si>
    <t>&gt;20,683,650,000</t>
  </si>
  <si>
    <t>1,907,881,500-11,445,000,000</t>
  </si>
  <si>
    <t>190,750,001-1,907,881,499</t>
  </si>
  <si>
    <t>≤190,750,000</t>
  </si>
  <si>
    <t>&gt;12,240,000,000</t>
  </si>
  <si>
    <t>2,040,408,000-12,240,000,000</t>
  </si>
  <si>
    <t>204,000,001-2,040,407,999</t>
  </si>
  <si>
    <t>≤204,000,000</t>
  </si>
  <si>
    <t>&gt;13,011,000,000</t>
  </si>
  <si>
    <t>2,168,933,700-13,011,000,000</t>
  </si>
  <si>
    <t>216,850,001-2,168,933,699</t>
  </si>
  <si>
    <t>≤216,850,000</t>
  </si>
  <si>
    <t>&gt;13,845,000,000</t>
  </si>
  <si>
    <t>2,307,961,500-13,845,000,000</t>
  </si>
  <si>
    <t>230,750,001-2,307,961,499</t>
  </si>
  <si>
    <t>≤230,750,000</t>
  </si>
  <si>
    <t>&gt;14,907,000,000</t>
  </si>
  <si>
    <t>2,484,996,900-14,907,000,000</t>
  </si>
  <si>
    <t>248,450,001-2,484,996,899</t>
  </si>
  <si>
    <t>≤248,450,000</t>
  </si>
  <si>
    <t>&gt;15,450,000,000</t>
  </si>
  <si>
    <t>2,575,515,000-15,450,000,000</t>
  </si>
  <si>
    <t>257,500,001-2,575,514,999</t>
  </si>
  <si>
    <t>≤257,500,000</t>
  </si>
  <si>
    <t>&gt;16,068,000,000</t>
  </si>
  <si>
    <t>2,678,535,600-16,068,000,000</t>
  </si>
  <si>
    <t>267,800,001-2,678,535,599</t>
  </si>
  <si>
    <t>≤267,800,000</t>
  </si>
  <si>
    <t>&gt;17,001,000,000</t>
  </si>
  <si>
    <t>2,834,066,700-17,001,000,000</t>
  </si>
  <si>
    <t>283,350,001-2,834,066,699</t>
  </si>
  <si>
    <t>≤283,350,000</t>
  </si>
  <si>
    <t>&gt;17,685,000,000</t>
  </si>
  <si>
    <t>2,948,089,500-17,685,000,000</t>
  </si>
  <si>
    <t>294,750,001-2,948,089,499</t>
  </si>
  <si>
    <t>≤294,750,000</t>
  </si>
  <si>
    <t>&gt;18,480,000,000</t>
  </si>
  <si>
    <t>3,080616,000-18,480,000,000</t>
  </si>
  <si>
    <t>308,000,001-3,080,615,999</t>
  </si>
  <si>
    <t>≤308,000,000</t>
  </si>
  <si>
    <t>&gt;19,330,500,000</t>
  </si>
  <si>
    <t>3,222,394,350-19,330,500,000</t>
  </si>
  <si>
    <t>322,175,001-3,222,394,349</t>
  </si>
  <si>
    <t>≤322,175,000</t>
  </si>
  <si>
    <t>0&lt;Index&lt;0.035 [see comments section]</t>
  </si>
  <si>
    <t>0.035&lt;Index&lt;0.115  [see comments section]</t>
  </si>
  <si>
    <t>0.115&lt;Index&lt;1  [see comments section]</t>
  </si>
  <si>
    <t>Index&gt;1  [see comments section]</t>
  </si>
  <si>
    <t>≥100,000,000</t>
  </si>
  <si>
    <t>Micro 
per 1,000 people</t>
  </si>
  <si>
    <t>Compared to 2014 update, this update adds data for 21 new economies: Antigua and Barbuda, Barbados, Benin, Cabo Verde, Côte d'Ivoire, Dominica, Eswatini, Gambia, Grenada, Haiti, Mali, San Marino, Solomon Islands, St. Kitts and Nevis, St. Lucia, St. Vincent and the Grenadines, Syrian Arab Republic, Tonga, Vanuatu, Zambia, Zimbabwe.</t>
  </si>
  <si>
    <t>This 2019 update of the MSME-EI database covers 199 economies. No data were found for 23 of covered economies: the Bahamas; Central African Republic; Chad; Comoros; Congo, Dem. Rep.; Congo, Rep.; Djibouti; Equatorial Guinea; Eritrea; Guinea-Bissau; Kiribati; Marshall Islands; Mauritania; Micronesia, Fed. Sts.; Nauru; Palau; Samoa; São Tomé and Principe; Seychelles; Sierra Leone; Somalia; Turkmenistan; Tuvalu.</t>
  </si>
  <si>
    <t>No employers are included in the micro count.</t>
  </si>
  <si>
    <t>https://www.sba.gov/advocacy/firm-size-data</t>
  </si>
  <si>
    <t xml:space="preserve">U.S. Census Bureau - 2016 County Business Patterns &amp; Nonemployer Statistics Combined Report																			</t>
  </si>
  <si>
    <t>Ministry of Industry and Agriculture, Mogolia</t>
  </si>
  <si>
    <t>Source 1`</t>
  </si>
  <si>
    <r>
      <rPr>
        <sz val="11"/>
        <color theme="1"/>
        <rFont val="Calibri"/>
        <family val="2"/>
      </rPr>
      <t>≥</t>
    </r>
    <r>
      <rPr>
        <sz val="11"/>
        <color theme="1"/>
        <rFont val="Calibri"/>
        <family val="2"/>
        <scheme val="minor"/>
      </rPr>
      <t>500,000</t>
    </r>
  </si>
  <si>
    <t>GDP (current LCU)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</si>
</sst>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0"/>
    <numFmt numFmtId="168" formatCode="0.000"/>
  </numFmts>
  <fonts count="36"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u/>
      <sz val="10"/>
      <color indexed="8"/>
      <name val="Arial"/>
      <family val="2"/>
    </font>
    <font>
      <b/>
      <u/>
      <sz val="11"/>
      <color theme="1"/>
      <name val="Calibri"/>
      <family val="2"/>
      <scheme val="minor"/>
    </font>
    <font>
      <b/>
      <u/>
      <sz val="10"/>
      <name val="Arial"/>
      <family val="2"/>
    </font>
    <font>
      <b/>
      <u/>
      <sz val="10"/>
      <color theme="1"/>
      <name val="Arial"/>
      <family val="2"/>
    </font>
    <font>
      <b/>
      <sz val="10"/>
      <name val="Arial"/>
      <family val="2"/>
    </font>
    <font>
      <b/>
      <sz val="10"/>
      <color theme="1"/>
      <name val="Arial"/>
      <family val="2"/>
    </font>
    <font>
      <sz val="12"/>
      <color rgb="FF9C0006"/>
      <name val="Calibri"/>
      <family val="2"/>
      <scheme val="minor"/>
    </font>
    <font>
      <sz val="12"/>
      <color rgb="FF006100"/>
      <name val="Calibri"/>
      <family val="2"/>
      <scheme val="minor"/>
    </font>
    <font>
      <sz val="11"/>
      <color rgb="FF006100"/>
      <name val="Calibri"/>
      <family val="2"/>
      <scheme val="minor"/>
    </font>
    <font>
      <b/>
      <sz val="11"/>
      <color theme="0"/>
      <name val="Calibri"/>
      <family val="2"/>
      <scheme val="minor"/>
    </font>
    <font>
      <sz val="10"/>
      <name val="Arial"/>
      <family val="2"/>
    </font>
    <font>
      <sz val="11"/>
      <color theme="1"/>
      <name val="Calibri"/>
      <family val="2"/>
    </font>
    <font>
      <u/>
      <sz val="11"/>
      <color theme="10"/>
      <name val="Calibri"/>
      <family val="2"/>
      <scheme val="minor"/>
    </font>
    <font>
      <b/>
      <sz val="15"/>
      <color theme="3"/>
      <name val="Calibri"/>
      <family val="2"/>
      <scheme val="minor"/>
    </font>
    <font>
      <sz val="11"/>
      <color theme="0"/>
      <name val="Calibri"/>
      <family val="2"/>
      <scheme val="minor"/>
    </font>
    <font>
      <sz val="12.65"/>
      <color theme="1"/>
      <name val="Calibri"/>
      <family val="2"/>
      <scheme val="minor"/>
    </font>
    <font>
      <b/>
      <sz val="16"/>
      <color theme="3"/>
      <name val="Calibri"/>
      <family val="2"/>
      <scheme val="minor"/>
    </font>
    <font>
      <sz val="11"/>
      <color theme="1"/>
      <name val="Times New Roman"/>
      <family val="1"/>
    </font>
    <font>
      <b/>
      <sz val="12"/>
      <color theme="1"/>
      <name val="Times New Roman"/>
      <family val="1"/>
    </font>
    <font>
      <sz val="12"/>
      <color theme="1"/>
      <name val="Times New Roman"/>
      <family val="1"/>
    </font>
    <font>
      <sz val="14"/>
      <color theme="1"/>
      <name val="Calibri"/>
      <family val="2"/>
      <scheme val="minor"/>
    </font>
    <font>
      <sz val="16"/>
      <color theme="1"/>
      <name val="Calibri"/>
      <family val="2"/>
      <scheme val="minor"/>
    </font>
    <font>
      <sz val="14"/>
      <color theme="0"/>
      <name val="Calibri"/>
      <family val="2"/>
      <scheme val="minor"/>
    </font>
    <font>
      <sz val="16"/>
      <color theme="1"/>
      <name val="Times New Roman"/>
      <family val="1"/>
    </font>
    <font>
      <u/>
      <sz val="12"/>
      <color theme="10"/>
      <name val="Times New Roman"/>
      <family val="1"/>
    </font>
    <font>
      <sz val="14"/>
      <color theme="1"/>
      <name val="Times New Roman"/>
      <family val="1"/>
    </font>
    <font>
      <sz val="11"/>
      <name val="Calibri"/>
      <family val="2"/>
      <scheme val="minor"/>
    </font>
    <font>
      <b/>
      <u/>
      <sz val="10"/>
      <name val="Arial"/>
      <family val="2"/>
    </font>
    <font>
      <b/>
      <u/>
      <sz val="10"/>
      <color theme="1"/>
      <name val="Arial"/>
      <family val="2"/>
    </font>
    <font>
      <b/>
      <i/>
      <sz val="10"/>
      <name val="Arial"/>
      <family val="2"/>
    </font>
    <font>
      <sz val="10"/>
      <name val="Arial"/>
      <charset val="177"/>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rgb="FF00B0F0"/>
        <bgColor indexed="64"/>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59999389629810485"/>
        <bgColor indexed="65"/>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8">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1" fillId="2" borderId="0" applyNumberFormat="0" applyBorder="0" applyAlignment="0" applyProtection="0"/>
    <xf numFmtId="0" fontId="12" fillId="4" borderId="0" applyNumberFormat="0" applyBorder="0" applyAlignment="0" applyProtection="0"/>
    <xf numFmtId="0" fontId="13" fillId="4" borderId="0" applyNumberFormat="0" applyBorder="0" applyAlignment="0" applyProtection="0"/>
    <xf numFmtId="0" fontId="15" fillId="0" borderId="0"/>
    <xf numFmtId="0" fontId="17" fillId="0" borderId="0" applyNumberFormat="0" applyFill="0" applyBorder="0" applyAlignment="0" applyProtection="0"/>
    <xf numFmtId="9" fontId="1" fillId="0" borderId="0" applyFont="0" applyFill="0" applyBorder="0" applyAlignment="0" applyProtection="0"/>
    <xf numFmtId="0" fontId="18" fillId="0" borderId="8" applyNumberFormat="0" applyFill="0" applyAlignment="0" applyProtection="0"/>
    <xf numFmtId="0" fontId="19"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5" fillId="0" borderId="0"/>
    <xf numFmtId="0" fontId="15" fillId="0" borderId="0"/>
  </cellStyleXfs>
  <cellXfs count="117">
    <xf numFmtId="0" fontId="0" fillId="0" borderId="0" xfId="0"/>
    <xf numFmtId="49" fontId="7"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164" fontId="9" fillId="0" borderId="1" xfId="1" applyNumberFormat="1" applyFont="1" applyBorder="1" applyAlignment="1">
      <alignment horizontal="center" vertical="center" wrapText="1"/>
    </xf>
    <xf numFmtId="0" fontId="4" fillId="0" borderId="1" xfId="0" applyFont="1" applyBorder="1" applyAlignment="1">
      <alignment horizontal="center" vertical="center"/>
    </xf>
    <xf numFmtId="0" fontId="10" fillId="0" borderId="1" xfId="0" applyFont="1" applyBorder="1" applyAlignment="1">
      <alignment horizontal="center" vertical="center" wrapText="1"/>
    </xf>
    <xf numFmtId="0" fontId="3" fillId="3" borderId="0" xfId="3"/>
    <xf numFmtId="0" fontId="2" fillId="2" borderId="0" xfId="2"/>
    <xf numFmtId="49" fontId="0" fillId="0" borderId="0" xfId="0" applyNumberFormat="1"/>
    <xf numFmtId="0" fontId="13" fillId="4" borderId="0" xfId="6"/>
    <xf numFmtId="0" fontId="4" fillId="0" borderId="0" xfId="0" applyFont="1"/>
    <xf numFmtId="0" fontId="0" fillId="0" borderId="0" xfId="0" pivotButton="1"/>
    <xf numFmtId="0" fontId="0" fillId="0" borderId="0" xfId="0" applyAlignment="1">
      <alignment horizontal="left"/>
    </xf>
    <xf numFmtId="49" fontId="5" fillId="0" borderId="2" xfId="0" applyNumberFormat="1" applyFont="1" applyBorder="1" applyAlignment="1">
      <alignment vertical="center" wrapText="1"/>
    </xf>
    <xf numFmtId="0" fontId="0" fillId="5" borderId="0" xfId="0" applyFill="1" applyAlignment="1">
      <alignment horizontal="left"/>
    </xf>
    <xf numFmtId="0" fontId="0" fillId="0" borderId="0" xfId="0"/>
    <xf numFmtId="3" fontId="0" fillId="0" borderId="0" xfId="0" applyNumberFormat="1"/>
    <xf numFmtId="164" fontId="0" fillId="0" borderId="0" xfId="1" applyNumberFormat="1" applyFont="1"/>
    <xf numFmtId="165" fontId="9"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0" fillId="0" borderId="0" xfId="0" applyAlignment="1">
      <alignment vertical="center"/>
    </xf>
    <xf numFmtId="10" fontId="0" fillId="0" borderId="0" xfId="9" applyNumberFormat="1" applyFont="1"/>
    <xf numFmtId="0" fontId="0" fillId="0" borderId="0" xfId="0" applyFont="1"/>
    <xf numFmtId="0" fontId="22" fillId="0" borderId="0" xfId="0" applyFont="1"/>
    <xf numFmtId="0" fontId="23" fillId="0" borderId="0" xfId="0" applyFont="1"/>
    <xf numFmtId="0" fontId="24" fillId="0" borderId="0" xfId="0" applyFont="1"/>
    <xf numFmtId="0" fontId="25" fillId="7" borderId="0" xfId="12" applyFont="1" applyAlignment="1">
      <alignment vertical="center"/>
    </xf>
    <xf numFmtId="0" fontId="26" fillId="7" borderId="0" xfId="12" applyFont="1"/>
    <xf numFmtId="0" fontId="26" fillId="0" borderId="0" xfId="0" applyFont="1"/>
    <xf numFmtId="0" fontId="14" fillId="6" borderId="0" xfId="11" applyFont="1"/>
    <xf numFmtId="0" fontId="19" fillId="6" borderId="0" xfId="11"/>
    <xf numFmtId="0" fontId="14" fillId="11" borderId="0" xfId="8" applyFont="1" applyFill="1"/>
    <xf numFmtId="0" fontId="28" fillId="0" borderId="0" xfId="0" applyFont="1"/>
    <xf numFmtId="0" fontId="25" fillId="8" borderId="0" xfId="13" applyFont="1" applyAlignment="1">
      <alignment vertical="center"/>
    </xf>
    <xf numFmtId="0" fontId="1" fillId="8" borderId="0" xfId="13" applyAlignment="1">
      <alignment vertical="top" wrapText="1"/>
    </xf>
    <xf numFmtId="0" fontId="25" fillId="8" borderId="0" xfId="13" applyFont="1"/>
    <xf numFmtId="0" fontId="1" fillId="8" borderId="0" xfId="13" applyAlignment="1">
      <alignment horizontal="left" vertical="top" wrapText="1"/>
    </xf>
    <xf numFmtId="0" fontId="29" fillId="0" borderId="0" xfId="8" applyFont="1"/>
    <xf numFmtId="0" fontId="30" fillId="0" borderId="0" xfId="0" applyFont="1"/>
    <xf numFmtId="0" fontId="0" fillId="8" borderId="0" xfId="13" applyFont="1" applyAlignment="1">
      <alignment horizontal="left" vertical="top" wrapText="1"/>
    </xf>
    <xf numFmtId="2" fontId="0" fillId="0" borderId="0" xfId="0" applyNumberFormat="1"/>
    <xf numFmtId="43" fontId="0" fillId="0" borderId="0" xfId="1" applyFont="1"/>
    <xf numFmtId="10" fontId="0" fillId="0" borderId="0" xfId="0" applyNumberFormat="1"/>
    <xf numFmtId="9" fontId="0" fillId="0" borderId="0" xfId="9" applyFont="1"/>
    <xf numFmtId="166" fontId="0" fillId="0" borderId="0" xfId="9" applyNumberFormat="1" applyFont="1"/>
    <xf numFmtId="9" fontId="0" fillId="0" borderId="0" xfId="0" applyNumberFormat="1"/>
    <xf numFmtId="10" fontId="10" fillId="0" borderId="1" xfId="9" applyNumberFormat="1" applyFont="1" applyBorder="1" applyAlignment="1">
      <alignment horizontal="center" vertical="center" wrapText="1"/>
    </xf>
    <xf numFmtId="9" fontId="9" fillId="0" borderId="1" xfId="9" applyFont="1" applyBorder="1" applyAlignment="1">
      <alignment horizontal="center" vertical="center" wrapText="1"/>
    </xf>
    <xf numFmtId="0" fontId="0" fillId="8" borderId="0" xfId="13" applyFont="1" applyAlignment="1">
      <alignment vertical="top" wrapText="1"/>
    </xf>
    <xf numFmtId="0" fontId="31" fillId="0" borderId="0" xfId="2" applyFont="1" applyFill="1"/>
    <xf numFmtId="0" fontId="6" fillId="0" borderId="0" xfId="0" applyFont="1" applyAlignment="1">
      <alignment horizontal="center" vertical="center"/>
    </xf>
    <xf numFmtId="168" fontId="0" fillId="0" borderId="0" xfId="0" applyNumberFormat="1"/>
    <xf numFmtId="0" fontId="4" fillId="0" borderId="1" xfId="0" applyFont="1" applyBorder="1" applyAlignment="1">
      <alignment horizontal="center" vertical="center" wrapText="1"/>
    </xf>
    <xf numFmtId="167" fontId="9" fillId="0" borderId="1" xfId="0" applyNumberFormat="1" applyFont="1" applyBorder="1" applyAlignment="1">
      <alignment horizontal="center" vertical="center" wrapText="1"/>
    </xf>
    <xf numFmtId="10" fontId="0" fillId="0" borderId="0" xfId="1" applyNumberFormat="1" applyFont="1"/>
    <xf numFmtId="3" fontId="34" fillId="0" borderId="1" xfId="0" applyNumberFormat="1" applyFont="1" applyBorder="1" applyAlignment="1">
      <alignment horizontal="center" vertical="center" wrapText="1"/>
    </xf>
    <xf numFmtId="43" fontId="0" fillId="0" borderId="0" xfId="0" applyNumberFormat="1"/>
    <xf numFmtId="168" fontId="5" fillId="0" borderId="3" xfId="0" applyNumberFormat="1" applyFont="1" applyBorder="1" applyAlignment="1">
      <alignment horizontal="center" vertical="center" wrapText="1"/>
    </xf>
    <xf numFmtId="168" fontId="9" fillId="0" borderId="1" xfId="0" applyNumberFormat="1" applyFont="1" applyBorder="1" applyAlignment="1">
      <alignment horizontal="center" vertical="center" wrapText="1"/>
    </xf>
    <xf numFmtId="168" fontId="5" fillId="0" borderId="11" xfId="0" applyNumberFormat="1" applyFont="1" applyBorder="1" applyAlignment="1">
      <alignment horizontal="center" vertical="center" wrapText="1"/>
    </xf>
    <xf numFmtId="168" fontId="0" fillId="0" borderId="0" xfId="1" applyNumberFormat="1" applyFont="1"/>
    <xf numFmtId="0" fontId="0" fillId="0" borderId="0" xfId="0" applyAlignment="1">
      <alignment horizontal="right"/>
    </xf>
    <xf numFmtId="164" fontId="0" fillId="0" borderId="0" xfId="1" applyNumberFormat="1" applyFont="1" applyAlignment="1">
      <alignment horizontal="right"/>
    </xf>
    <xf numFmtId="0" fontId="17" fillId="0" borderId="0" xfId="8"/>
    <xf numFmtId="0" fontId="0" fillId="0" borderId="0" xfId="0" applyFill="1"/>
    <xf numFmtId="0" fontId="0" fillId="0" borderId="0" xfId="0"/>
    <xf numFmtId="3" fontId="0" fillId="0" borderId="0" xfId="0" applyNumberFormat="1"/>
    <xf numFmtId="164" fontId="0" fillId="0" borderId="0" xfId="1" applyNumberFormat="1" applyFont="1"/>
    <xf numFmtId="10" fontId="0" fillId="0" borderId="0" xfId="9" applyNumberFormat="1" applyFont="1"/>
    <xf numFmtId="2" fontId="0" fillId="0" borderId="0" xfId="0" applyNumberFormat="1"/>
    <xf numFmtId="10" fontId="0" fillId="0" borderId="0" xfId="0" applyNumberFormat="1"/>
    <xf numFmtId="9" fontId="0" fillId="0" borderId="0" xfId="9" applyFont="1"/>
    <xf numFmtId="0" fontId="0" fillId="0" borderId="0" xfId="0" applyAlignment="1">
      <alignment horizontal="right"/>
    </xf>
    <xf numFmtId="0" fontId="25" fillId="9" borderId="0" xfId="14" applyFont="1" applyAlignment="1">
      <alignment horizontal="left" vertical="top"/>
    </xf>
    <xf numFmtId="0" fontId="0" fillId="9" borderId="0" xfId="14" applyFont="1" applyAlignment="1">
      <alignment horizontal="left" vertical="top" wrapText="1"/>
    </xf>
    <xf numFmtId="0" fontId="1" fillId="9" borderId="0" xfId="14" applyAlignment="1">
      <alignment horizontal="left" vertical="top" wrapText="1"/>
    </xf>
    <xf numFmtId="0" fontId="25" fillId="10" borderId="0" xfId="15" applyFont="1" applyAlignment="1">
      <alignment horizontal="left" vertical="top"/>
    </xf>
    <xf numFmtId="0" fontId="1" fillId="10" borderId="0" xfId="15" applyAlignment="1">
      <alignment horizontal="left" vertical="top" wrapText="1"/>
    </xf>
    <xf numFmtId="0" fontId="21" fillId="0" borderId="0" xfId="10" applyFont="1" applyBorder="1" applyAlignment="1">
      <alignment horizontal="left"/>
    </xf>
    <xf numFmtId="0" fontId="0" fillId="7" borderId="0" xfId="12" applyFont="1" applyAlignment="1">
      <alignment horizontal="left" vertical="top" wrapText="1"/>
    </xf>
    <xf numFmtId="0" fontId="1" fillId="7" borderId="0" xfId="12" applyAlignment="1">
      <alignment horizontal="left" vertical="top" wrapText="1"/>
    </xf>
    <xf numFmtId="0" fontId="27" fillId="6" borderId="0" xfId="11" applyFont="1" applyAlignment="1">
      <alignment horizontal="left" vertical="top" wrapText="1"/>
    </xf>
    <xf numFmtId="49" fontId="5" fillId="0" borderId="2" xfId="0"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4" xfId="0" applyFont="1" applyBorder="1" applyAlignment="1">
      <alignment horizontal="center" vertical="center"/>
    </xf>
    <xf numFmtId="164" fontId="5" fillId="0" borderId="2"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49" fontId="7" fillId="0" borderId="5"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165" fontId="5" fillId="0" borderId="5" xfId="0" applyNumberFormat="1" applyFont="1" applyBorder="1" applyAlignment="1">
      <alignment horizontal="center" vertical="center" wrapText="1"/>
    </xf>
    <xf numFmtId="165" fontId="5" fillId="0" borderId="7" xfId="0" applyNumberFormat="1" applyFont="1" applyBorder="1" applyAlignment="1">
      <alignment horizontal="center" vertical="center" wrapText="1"/>
    </xf>
    <xf numFmtId="165" fontId="5" fillId="0" borderId="6" xfId="0" applyNumberFormat="1" applyFont="1" applyBorder="1" applyAlignment="1">
      <alignment horizontal="center" vertical="center" wrapText="1"/>
    </xf>
    <xf numFmtId="164" fontId="5" fillId="0" borderId="5" xfId="1" applyNumberFormat="1" applyFont="1" applyBorder="1" applyAlignment="1">
      <alignment horizontal="center" vertical="center" wrapText="1"/>
    </xf>
    <xf numFmtId="164" fontId="5" fillId="0" borderId="7" xfId="1" applyNumberFormat="1" applyFont="1" applyBorder="1" applyAlignment="1">
      <alignment horizontal="center" vertical="center" wrapText="1"/>
    </xf>
    <xf numFmtId="164" fontId="5" fillId="0" borderId="6" xfId="1"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49" fontId="32" fillId="0" borderId="5" xfId="0" applyNumberFormat="1" applyFont="1" applyBorder="1" applyAlignment="1">
      <alignment horizontal="center" vertical="center" wrapText="1"/>
    </xf>
    <xf numFmtId="49" fontId="32" fillId="0" borderId="7" xfId="0" applyNumberFormat="1" applyFont="1" applyBorder="1" applyAlignment="1">
      <alignment horizontal="center" vertical="center" wrapText="1"/>
    </xf>
    <xf numFmtId="49" fontId="32" fillId="0" borderId="6" xfId="0" applyNumberFormat="1" applyFont="1" applyBorder="1" applyAlignment="1">
      <alignment horizontal="center" vertical="center" wrapText="1"/>
    </xf>
    <xf numFmtId="0" fontId="33" fillId="0" borderId="9" xfId="0" applyFont="1" applyBorder="1" applyAlignment="1">
      <alignment horizontal="center" vertical="center"/>
    </xf>
    <xf numFmtId="0" fontId="33" fillId="0" borderId="10" xfId="0" applyFont="1" applyBorder="1" applyAlignment="1">
      <alignment horizontal="center" vertical="center"/>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164" fontId="5" fillId="0" borderId="7" xfId="1" applyNumberFormat="1" applyFont="1" applyBorder="1" applyAlignment="1">
      <alignment horizontal="left" vertical="center" wrapText="1"/>
    </xf>
    <xf numFmtId="0" fontId="5" fillId="0" borderId="6" xfId="0" applyFont="1" applyBorder="1" applyAlignment="1">
      <alignment horizontal="left" vertical="center" wrapText="1"/>
    </xf>
    <xf numFmtId="0" fontId="8" fillId="0" borderId="9" xfId="0" applyFont="1" applyBorder="1" applyAlignment="1">
      <alignment horizontal="center" vertical="center"/>
    </xf>
    <xf numFmtId="0" fontId="8" fillId="0" borderId="10" xfId="0" applyFont="1" applyBorder="1" applyAlignment="1">
      <alignment horizontal="center" vertical="center"/>
    </xf>
  </cellXfs>
  <cellStyles count="18">
    <cellStyle name="20% - Accent1" xfId="12" builtinId="30"/>
    <cellStyle name="20% - Accent2" xfId="13" builtinId="34"/>
    <cellStyle name="40% - Accent2" xfId="14" builtinId="35"/>
    <cellStyle name="40% - Accent6" xfId="15" builtinId="51"/>
    <cellStyle name="Accent1" xfId="11" builtinId="29"/>
    <cellStyle name="Bad" xfId="2" builtinId="27"/>
    <cellStyle name="Bad 2" xfId="4" xr:uid="{00000000-0005-0000-0000-000031000000}"/>
    <cellStyle name="Comma" xfId="1" builtinId="3"/>
    <cellStyle name="Good" xfId="6" builtinId="26"/>
    <cellStyle name="Good 2" xfId="5" xr:uid="{00000000-0005-0000-0000-000032000000}"/>
    <cellStyle name="Heading 1" xfId="10" builtinId="16"/>
    <cellStyle name="Hyperlink" xfId="8" builtinId="8"/>
    <cellStyle name="Neutral" xfId="3" builtinId="28"/>
    <cellStyle name="Normal" xfId="0" builtinId="0"/>
    <cellStyle name="Normal 2" xfId="7" xr:uid="{00000000-0005-0000-0000-000033000000}"/>
    <cellStyle name="Normal 2 2" xfId="17" xr:uid="{00000000-0005-0000-0000-000033000000}"/>
    <cellStyle name="Normal 2 3" xfId="16" xr:uid="{00000000-0005-0000-0000-000033000000}"/>
    <cellStyle name="Percent" xfId="9" builtinId="5"/>
  </cellStyles>
  <dxfs count="4">
    <dxf>
      <fill>
        <patternFill patternType="solid">
          <bgColor rgb="FF00B0F0"/>
        </patternFill>
      </fill>
    </dxf>
    <dxf>
      <fill>
        <patternFill patternType="solid">
          <bgColor rgb="FF00B0F0"/>
        </patternFill>
      </fill>
    </dxf>
    <dxf>
      <fill>
        <patternFill patternType="solid">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worldbankgroup-my.sharepoint.com/personal/kkushnir_worldbank_org/Documents/MSME-CI%202018/MASTER%20FILE/2019%20MSME-EI%20Database.xlsx#BgEIDA4ADAMGBAcBBAQECw=62.0"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Chamartin Escobar" refreshedDate="43552.609804745371" createdVersion="6" refreshedVersion="6" minRefreshableVersion="3" recordCount="496" xr:uid="{A52E3050-48D7-4DF4-8A72-076FAF86383B}">
  <cacheSource type="worksheet">
    <worksheetSource ref="E3:E1048576" sheet="Reviewed" r:id="rId2"/>
  </cacheSource>
  <cacheFields count="1">
    <cacheField name="Data" numFmtId="0">
      <sharedItems containsBlank="1" count="85">
        <s v="Albania"/>
        <s v="Algeria"/>
        <s v="American Samoa"/>
        <s v="Angola"/>
        <s v="Antigua and Barbuda"/>
        <s v="Argentina"/>
        <s v="Armenia"/>
        <s v="Australia"/>
        <s v="Austria"/>
        <s v="Azerbaijan"/>
        <s v="Bahrain"/>
        <s v="Bangladesh"/>
        <s v="Barbados"/>
        <s v="Belarus"/>
        <s v="Belgium"/>
        <s v="Belize"/>
        <s v="Benin"/>
        <s v="Bermuda"/>
        <s v="Bhutan"/>
        <s v="Bolivia"/>
        <s v="Bosnia and Herzegovina"/>
        <s v="Botswana"/>
        <s v="Brazil"/>
        <s v="Chile"/>
        <s v="Colombia"/>
        <s v="Costa Rica"/>
        <s v="Dominican Republic"/>
        <s v="Ecuador"/>
        <s v="El Salvador"/>
        <s v="Georgia"/>
        <s v="Grenada"/>
        <s v="Guatemala"/>
        <s v="Guyana"/>
        <s v="Haiti"/>
        <s v="Honduras"/>
        <s v="Jamaica"/>
        <s v="Mexico"/>
        <s v="Nicaragua"/>
        <s v="Panama"/>
        <s v="Paraguay"/>
        <s v="Peru"/>
        <s v="Puerto Rico"/>
        <s v="Senegal"/>
        <s v="Serbia"/>
        <s v="Singapore"/>
        <s v="Slovak Republic"/>
        <s v="Slovenia"/>
        <s v="Solomon Islands"/>
        <s v="South Sudan"/>
        <s v="Spain"/>
        <s v="Sri Lanka"/>
        <s v="St. Kitts and Nevis"/>
        <s v="St. Lucia"/>
        <s v="St. Vincent and the Grenadines"/>
        <s v="Sudan"/>
        <s v="Suriname"/>
        <s v="Sweden"/>
        <s v="Switzerland"/>
        <s v="Syrian Arab Republic"/>
        <s v="Taiwan, China"/>
        <s v="Tajikistan"/>
        <s v="Tanzania"/>
        <s v="Thailand"/>
        <s v="Timor-Leste"/>
        <s v="Togo"/>
        <s v="Tonga"/>
        <s v="Trinidad and Tobago"/>
        <s v="Tunisia"/>
        <s v="Turkey"/>
        <s v="Uganda"/>
        <s v="Ukraine"/>
        <s v="United Arab Emirates"/>
        <s v="United Kingdom"/>
        <s v="United States"/>
        <s v="Uruguay"/>
        <s v="Uzbekistan"/>
        <s v="Vanuatu"/>
        <s v="Venezuela, RB"/>
        <s v="Vietnam"/>
        <s v="Virgin Islands (U.S.)"/>
        <s v="West Bank and Gaza"/>
        <s v="Yemen, Rep."/>
        <s v="Zambia"/>
        <s v="Zimbabw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x v="0"/>
  </r>
  <r>
    <x v="0"/>
  </r>
  <r>
    <x v="0"/>
  </r>
  <r>
    <x v="0"/>
  </r>
  <r>
    <x v="0"/>
  </r>
  <r>
    <x v="0"/>
  </r>
  <r>
    <x v="1"/>
  </r>
  <r>
    <x v="1"/>
  </r>
  <r>
    <x v="1"/>
  </r>
  <r>
    <x v="1"/>
  </r>
  <r>
    <x v="1"/>
  </r>
  <r>
    <x v="2"/>
  </r>
  <r>
    <x v="2"/>
  </r>
  <r>
    <x v="2"/>
  </r>
  <r>
    <x v="2"/>
  </r>
  <r>
    <x v="2"/>
  </r>
  <r>
    <x v="3"/>
  </r>
  <r>
    <x v="3"/>
  </r>
  <r>
    <x v="3"/>
  </r>
  <r>
    <x v="3"/>
  </r>
  <r>
    <x v="3"/>
  </r>
  <r>
    <x v="4"/>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7"/>
  </r>
  <r>
    <x v="7"/>
  </r>
  <r>
    <x v="7"/>
  </r>
  <r>
    <x v="7"/>
  </r>
  <r>
    <x v="8"/>
  </r>
  <r>
    <x v="8"/>
  </r>
  <r>
    <x v="8"/>
  </r>
  <r>
    <x v="8"/>
  </r>
  <r>
    <x v="8"/>
  </r>
  <r>
    <x v="8"/>
  </r>
  <r>
    <x v="8"/>
  </r>
  <r>
    <x v="8"/>
  </r>
  <r>
    <x v="8"/>
  </r>
  <r>
    <x v="8"/>
  </r>
  <r>
    <x v="8"/>
  </r>
  <r>
    <x v="9"/>
  </r>
  <r>
    <x v="9"/>
  </r>
  <r>
    <x v="9"/>
  </r>
  <r>
    <x v="9"/>
  </r>
  <r>
    <x v="10"/>
  </r>
  <r>
    <x v="11"/>
  </r>
  <r>
    <x v="12"/>
  </r>
  <r>
    <x v="12"/>
  </r>
  <r>
    <x v="13"/>
  </r>
  <r>
    <x v="13"/>
  </r>
  <r>
    <x v="13"/>
  </r>
  <r>
    <x v="13"/>
  </r>
  <r>
    <x v="13"/>
  </r>
  <r>
    <x v="13"/>
  </r>
  <r>
    <x v="14"/>
  </r>
  <r>
    <x v="14"/>
  </r>
  <r>
    <x v="14"/>
  </r>
  <r>
    <x v="14"/>
  </r>
  <r>
    <x v="14"/>
  </r>
  <r>
    <x v="14"/>
  </r>
  <r>
    <x v="14"/>
  </r>
  <r>
    <x v="14"/>
  </r>
  <r>
    <x v="14"/>
  </r>
  <r>
    <x v="14"/>
  </r>
  <r>
    <x v="14"/>
  </r>
  <r>
    <x v="15"/>
  </r>
  <r>
    <x v="15"/>
  </r>
  <r>
    <x v="16"/>
  </r>
  <r>
    <x v="17"/>
  </r>
  <r>
    <x v="17"/>
  </r>
  <r>
    <x v="17"/>
  </r>
  <r>
    <x v="17"/>
  </r>
  <r>
    <x v="18"/>
  </r>
  <r>
    <x v="18"/>
  </r>
  <r>
    <x v="18"/>
  </r>
  <r>
    <x v="18"/>
  </r>
  <r>
    <x v="18"/>
  </r>
  <r>
    <x v="18"/>
  </r>
  <r>
    <x v="19"/>
  </r>
  <r>
    <x v="19"/>
  </r>
  <r>
    <x v="20"/>
  </r>
  <r>
    <x v="20"/>
  </r>
  <r>
    <x v="20"/>
  </r>
  <r>
    <x v="20"/>
  </r>
  <r>
    <x v="20"/>
  </r>
  <r>
    <x v="20"/>
  </r>
  <r>
    <x v="20"/>
  </r>
  <r>
    <x v="20"/>
  </r>
  <r>
    <x v="20"/>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4"/>
  </r>
  <r>
    <x v="24"/>
  </r>
  <r>
    <x v="24"/>
  </r>
  <r>
    <x v="24"/>
  </r>
  <r>
    <x v="24"/>
  </r>
  <r>
    <x v="24"/>
  </r>
  <r>
    <x v="24"/>
  </r>
  <r>
    <x v="24"/>
  </r>
  <r>
    <x v="24"/>
  </r>
  <r>
    <x v="24"/>
  </r>
  <r>
    <x v="24"/>
  </r>
  <r>
    <x v="25"/>
  </r>
  <r>
    <x v="25"/>
  </r>
  <r>
    <x v="25"/>
  </r>
  <r>
    <x v="25"/>
  </r>
  <r>
    <x v="25"/>
  </r>
  <r>
    <x v="25"/>
  </r>
  <r>
    <x v="25"/>
  </r>
  <r>
    <x v="25"/>
  </r>
  <r>
    <x v="26"/>
  </r>
  <r>
    <x v="26"/>
  </r>
  <r>
    <x v="26"/>
  </r>
  <r>
    <x v="26"/>
  </r>
  <r>
    <x v="26"/>
  </r>
  <r>
    <x v="26"/>
  </r>
  <r>
    <x v="26"/>
  </r>
  <r>
    <x v="27"/>
  </r>
  <r>
    <x v="27"/>
  </r>
  <r>
    <x v="27"/>
  </r>
  <r>
    <x v="27"/>
  </r>
  <r>
    <x v="27"/>
  </r>
  <r>
    <x v="28"/>
  </r>
  <r>
    <x v="29"/>
  </r>
  <r>
    <x v="29"/>
  </r>
  <r>
    <x v="29"/>
  </r>
  <r>
    <x v="29"/>
  </r>
  <r>
    <x v="29"/>
  </r>
  <r>
    <x v="29"/>
  </r>
  <r>
    <x v="30"/>
  </r>
  <r>
    <x v="31"/>
  </r>
  <r>
    <x v="31"/>
  </r>
  <r>
    <x v="31"/>
  </r>
  <r>
    <x v="31"/>
  </r>
  <r>
    <x v="32"/>
  </r>
  <r>
    <x v="33"/>
  </r>
  <r>
    <x v="34"/>
  </r>
  <r>
    <x v="35"/>
  </r>
  <r>
    <x v="35"/>
  </r>
  <r>
    <x v="35"/>
  </r>
  <r>
    <x v="35"/>
  </r>
  <r>
    <x v="36"/>
  </r>
  <r>
    <x v="36"/>
  </r>
  <r>
    <x v="36"/>
  </r>
  <r>
    <x v="36"/>
  </r>
  <r>
    <x v="36"/>
  </r>
  <r>
    <x v="36"/>
  </r>
  <r>
    <x v="36"/>
  </r>
  <r>
    <x v="36"/>
  </r>
  <r>
    <x v="36"/>
  </r>
  <r>
    <x v="36"/>
  </r>
  <r>
    <x v="36"/>
  </r>
  <r>
    <x v="36"/>
  </r>
  <r>
    <x v="36"/>
  </r>
  <r>
    <x v="36"/>
  </r>
  <r>
    <x v="36"/>
  </r>
  <r>
    <x v="36"/>
  </r>
  <r>
    <x v="37"/>
  </r>
  <r>
    <x v="37"/>
  </r>
  <r>
    <x v="38"/>
  </r>
  <r>
    <x v="38"/>
  </r>
  <r>
    <x v="38"/>
  </r>
  <r>
    <x v="38"/>
  </r>
  <r>
    <x v="38"/>
  </r>
  <r>
    <x v="38"/>
  </r>
  <r>
    <x v="38"/>
  </r>
  <r>
    <x v="39"/>
  </r>
  <r>
    <x v="40"/>
  </r>
  <r>
    <x v="40"/>
  </r>
  <r>
    <x v="40"/>
  </r>
  <r>
    <x v="40"/>
  </r>
  <r>
    <x v="40"/>
  </r>
  <r>
    <x v="40"/>
  </r>
  <r>
    <x v="40"/>
  </r>
  <r>
    <x v="40"/>
  </r>
  <r>
    <x v="40"/>
  </r>
  <r>
    <x v="40"/>
  </r>
  <r>
    <x v="40"/>
  </r>
  <r>
    <x v="40"/>
  </r>
  <r>
    <x v="41"/>
  </r>
  <r>
    <x v="41"/>
  </r>
  <r>
    <x v="42"/>
  </r>
  <r>
    <x v="43"/>
  </r>
  <r>
    <x v="44"/>
  </r>
  <r>
    <x v="44"/>
  </r>
  <r>
    <x v="44"/>
  </r>
  <r>
    <x v="44"/>
  </r>
  <r>
    <x v="44"/>
  </r>
  <r>
    <x v="45"/>
  </r>
  <r>
    <x v="45"/>
  </r>
  <r>
    <x v="45"/>
  </r>
  <r>
    <x v="45"/>
  </r>
  <r>
    <x v="45"/>
  </r>
  <r>
    <x v="46"/>
  </r>
  <r>
    <x v="46"/>
  </r>
  <r>
    <x v="46"/>
  </r>
  <r>
    <x v="46"/>
  </r>
  <r>
    <x v="46"/>
  </r>
  <r>
    <x v="46"/>
  </r>
  <r>
    <x v="46"/>
  </r>
  <r>
    <x v="46"/>
  </r>
  <r>
    <x v="46"/>
  </r>
  <r>
    <x v="46"/>
  </r>
  <r>
    <x v="46"/>
  </r>
  <r>
    <x v="46"/>
  </r>
  <r>
    <x v="46"/>
  </r>
  <r>
    <x v="46"/>
  </r>
  <r>
    <x v="46"/>
  </r>
  <r>
    <x v="46"/>
  </r>
  <r>
    <x v="46"/>
  </r>
  <r>
    <x v="46"/>
  </r>
  <r>
    <x v="47"/>
  </r>
  <r>
    <x v="47"/>
  </r>
  <r>
    <x v="48"/>
  </r>
  <r>
    <x v="49"/>
  </r>
  <r>
    <x v="49"/>
  </r>
  <r>
    <x v="49"/>
  </r>
  <r>
    <x v="49"/>
  </r>
  <r>
    <x v="49"/>
  </r>
  <r>
    <x v="49"/>
  </r>
  <r>
    <x v="49"/>
  </r>
  <r>
    <x v="49"/>
  </r>
  <r>
    <x v="49"/>
  </r>
  <r>
    <x v="49"/>
  </r>
  <r>
    <x v="49"/>
  </r>
  <r>
    <x v="49"/>
  </r>
  <r>
    <x v="49"/>
  </r>
  <r>
    <x v="49"/>
  </r>
  <r>
    <x v="49"/>
  </r>
  <r>
    <x v="49"/>
  </r>
  <r>
    <x v="49"/>
  </r>
  <r>
    <x v="49"/>
  </r>
  <r>
    <x v="49"/>
  </r>
  <r>
    <x v="49"/>
  </r>
  <r>
    <x v="50"/>
  </r>
  <r>
    <x v="51"/>
  </r>
  <r>
    <x v="52"/>
  </r>
  <r>
    <x v="52"/>
  </r>
  <r>
    <x v="53"/>
  </r>
  <r>
    <x v="53"/>
  </r>
  <r>
    <x v="54"/>
  </r>
  <r>
    <x v="55"/>
  </r>
  <r>
    <x v="56"/>
  </r>
  <r>
    <x v="56"/>
  </r>
  <r>
    <x v="56"/>
  </r>
  <r>
    <x v="56"/>
  </r>
  <r>
    <x v="56"/>
  </r>
  <r>
    <x v="56"/>
  </r>
  <r>
    <x v="56"/>
  </r>
  <r>
    <x v="56"/>
  </r>
  <r>
    <x v="56"/>
  </r>
  <r>
    <x v="56"/>
  </r>
  <r>
    <x v="56"/>
  </r>
  <r>
    <x v="56"/>
  </r>
  <r>
    <x v="56"/>
  </r>
  <r>
    <x v="56"/>
  </r>
  <r>
    <x v="56"/>
  </r>
  <r>
    <x v="56"/>
  </r>
  <r>
    <x v="56"/>
  </r>
  <r>
    <x v="57"/>
  </r>
  <r>
    <x v="57"/>
  </r>
  <r>
    <x v="57"/>
  </r>
  <r>
    <x v="58"/>
  </r>
  <r>
    <x v="58"/>
  </r>
  <r>
    <x v="59"/>
  </r>
  <r>
    <x v="59"/>
  </r>
  <r>
    <x v="59"/>
  </r>
  <r>
    <x v="59"/>
  </r>
  <r>
    <x v="59"/>
  </r>
  <r>
    <x v="59"/>
  </r>
  <r>
    <x v="60"/>
  </r>
  <r>
    <x v="61"/>
  </r>
  <r>
    <x v="62"/>
  </r>
  <r>
    <x v="62"/>
  </r>
  <r>
    <x v="62"/>
  </r>
  <r>
    <x v="62"/>
  </r>
  <r>
    <x v="62"/>
  </r>
  <r>
    <x v="62"/>
  </r>
  <r>
    <x v="62"/>
  </r>
  <r>
    <x v="62"/>
  </r>
  <r>
    <x v="63"/>
  </r>
  <r>
    <x v="64"/>
  </r>
  <r>
    <x v="65"/>
  </r>
  <r>
    <x v="66"/>
  </r>
  <r>
    <x v="67"/>
  </r>
  <r>
    <x v="67"/>
  </r>
  <r>
    <x v="67"/>
  </r>
  <r>
    <x v="67"/>
  </r>
  <r>
    <x v="67"/>
  </r>
  <r>
    <x v="67"/>
  </r>
  <r>
    <x v="67"/>
  </r>
  <r>
    <x v="67"/>
  </r>
  <r>
    <x v="67"/>
  </r>
  <r>
    <x v="67"/>
  </r>
  <r>
    <x v="67"/>
  </r>
  <r>
    <x v="67"/>
  </r>
  <r>
    <x v="67"/>
  </r>
  <r>
    <x v="67"/>
  </r>
  <r>
    <x v="67"/>
  </r>
  <r>
    <x v="67"/>
  </r>
  <r>
    <x v="67"/>
  </r>
  <r>
    <x v="68"/>
  </r>
  <r>
    <x v="68"/>
  </r>
  <r>
    <x v="68"/>
  </r>
  <r>
    <x v="68"/>
  </r>
  <r>
    <x v="68"/>
  </r>
  <r>
    <x v="68"/>
  </r>
  <r>
    <x v="68"/>
  </r>
  <r>
    <x v="68"/>
  </r>
  <r>
    <x v="68"/>
  </r>
  <r>
    <x v="68"/>
  </r>
  <r>
    <x v="69"/>
  </r>
  <r>
    <x v="69"/>
  </r>
  <r>
    <x v="70"/>
  </r>
  <r>
    <x v="70"/>
  </r>
  <r>
    <x v="70"/>
  </r>
  <r>
    <x v="70"/>
  </r>
  <r>
    <x v="70"/>
  </r>
  <r>
    <x v="70"/>
  </r>
  <r>
    <x v="70"/>
  </r>
  <r>
    <x v="71"/>
  </r>
  <r>
    <x v="72"/>
  </r>
  <r>
    <x v="72"/>
  </r>
  <r>
    <x v="72"/>
  </r>
  <r>
    <x v="72"/>
  </r>
  <r>
    <x v="72"/>
  </r>
  <r>
    <x v="72"/>
  </r>
  <r>
    <x v="72"/>
  </r>
  <r>
    <x v="72"/>
  </r>
  <r>
    <x v="72"/>
  </r>
  <r>
    <x v="72"/>
  </r>
  <r>
    <x v="73"/>
  </r>
  <r>
    <x v="73"/>
  </r>
  <r>
    <x v="73"/>
  </r>
  <r>
    <x v="73"/>
  </r>
  <r>
    <x v="73"/>
  </r>
  <r>
    <x v="73"/>
  </r>
  <r>
    <x v="73"/>
  </r>
  <r>
    <x v="73"/>
  </r>
  <r>
    <x v="73"/>
  </r>
  <r>
    <x v="73"/>
  </r>
  <r>
    <x v="73"/>
  </r>
  <r>
    <x v="73"/>
  </r>
  <r>
    <x v="73"/>
  </r>
  <r>
    <x v="73"/>
  </r>
  <r>
    <x v="73"/>
  </r>
  <r>
    <x v="73"/>
  </r>
  <r>
    <x v="73"/>
  </r>
  <r>
    <x v="73"/>
  </r>
  <r>
    <x v="73"/>
  </r>
  <r>
    <x v="73"/>
  </r>
  <r>
    <x v="73"/>
  </r>
  <r>
    <x v="74"/>
  </r>
  <r>
    <x v="74"/>
  </r>
  <r>
    <x v="74"/>
  </r>
  <r>
    <x v="74"/>
  </r>
  <r>
    <x v="74"/>
  </r>
  <r>
    <x v="74"/>
  </r>
  <r>
    <x v="74"/>
  </r>
  <r>
    <x v="74"/>
  </r>
  <r>
    <x v="74"/>
  </r>
  <r>
    <x v="74"/>
  </r>
  <r>
    <x v="74"/>
  </r>
  <r>
    <x v="74"/>
  </r>
  <r>
    <x v="74"/>
  </r>
  <r>
    <x v="74"/>
  </r>
  <r>
    <x v="74"/>
  </r>
  <r>
    <x v="75"/>
  </r>
  <r>
    <x v="75"/>
  </r>
  <r>
    <x v="75"/>
  </r>
  <r>
    <x v="75"/>
  </r>
  <r>
    <x v="75"/>
  </r>
  <r>
    <x v="76"/>
  </r>
  <r>
    <x v="77"/>
  </r>
  <r>
    <x v="77"/>
  </r>
  <r>
    <x v="78"/>
  </r>
  <r>
    <x v="78"/>
  </r>
  <r>
    <x v="78"/>
  </r>
  <r>
    <x v="78"/>
  </r>
  <r>
    <x v="78"/>
  </r>
  <r>
    <x v="78"/>
  </r>
  <r>
    <x v="79"/>
  </r>
  <r>
    <x v="79"/>
  </r>
  <r>
    <x v="80"/>
  </r>
  <r>
    <x v="80"/>
  </r>
  <r>
    <x v="80"/>
  </r>
  <r>
    <x v="81"/>
  </r>
  <r>
    <x v="82"/>
  </r>
  <r>
    <x v="83"/>
  </r>
  <r>
    <x v="83"/>
  </r>
  <r>
    <x v="84"/>
  </r>
  <r>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8B097-F02A-498C-9738-36B6EEDE030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89" firstHeaderRow="1" firstDataRow="1" firstDataCol="1"/>
  <pivotFields count="1">
    <pivotField axis="axisRow"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s>
  <rowFields count="1">
    <field x="0"/>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formats count="3">
    <format dxfId="2">
      <pivotArea dataOnly="0" labelOnly="1" fieldPosition="0">
        <references count="1">
          <reference field="0" count="1">
            <x v="11"/>
          </reference>
        </references>
      </pivotArea>
    </format>
    <format dxfId="1">
      <pivotArea dataOnly="0" labelOnly="1" fieldPosition="0">
        <references count="1">
          <reference field="0" count="1">
            <x v="21"/>
          </reference>
        </references>
      </pivotArea>
    </format>
    <format dxfId="0">
      <pivotArea dataOnly="0" labelOnly="1" fieldPosition="0">
        <references count="1">
          <reference field="0" count="1">
            <x v="5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statistica.md/newsview.php?l=ro&amp;idc=168&amp;id=6061" TargetMode="External"/><Relationship Id="rId13" Type="http://schemas.openxmlformats.org/officeDocument/2006/relationships/hyperlink" Target="https://worldbankgroup-my.sharepoint.com/:f:/r/personal/kkushnir_worldbank_org/Documents/MSME-CI%202018/5.%20Submitted%20for%20review%20by%20regional%20coordinator/Sub-Saharan%20Africa%20-%20Sanjay%20Kalpage/August%206,%202018?csf=1&amp;e=Mzpcth" TargetMode="External"/><Relationship Id="rId3" Type="http://schemas.openxmlformats.org/officeDocument/2006/relationships/hyperlink" Target="https://www.aph.gov.au/DocumentStore.ashx?id=d95e5db0-fd3b-4632-8cd1-af3d5d73cfa6&amp;subId=253350" TargetMode="External"/><Relationship Id="rId7" Type="http://schemas.openxmlformats.org/officeDocument/2006/relationships/hyperlink" Target="http://www.stat.kg/en/statistics/maloe-i-srednee-predprinimatelstvo/" TargetMode="External"/><Relationship Id="rId12" Type="http://schemas.openxmlformats.org/officeDocument/2006/relationships/hyperlink" Target="https://worldbankgroup-my.sharepoint.com/:f:/r/personal/kkushnir_worldbank_org/Documents/MSME-CI%202018/5.%20Submitted%20for%20review%20by%20regional%20coordinator/Sub-Saharan%20Africa%20-%20Sanjay%20Kalpage/August%206,%202018?csf=1&amp;e=Mzpcth" TargetMode="External"/><Relationship Id="rId17" Type="http://schemas.openxmlformats.org/officeDocument/2006/relationships/printerSettings" Target="../printerSettings/printerSettings2.bin"/><Relationship Id="rId2" Type="http://schemas.openxmlformats.org/officeDocument/2006/relationships/hyperlink" Target="https://www.ubos.org/wp-content/uploads/publications/03_201820067UBR_report.pdf" TargetMode="External"/><Relationship Id="rId16" Type="http://schemas.openxmlformats.org/officeDocument/2006/relationships/hyperlink" Target="https://factfinder.census.gov/faces/tableservices/jsf/pages/productview.xhtml?pid=BP_2016_00A5&amp;prodType=table" TargetMode="External"/><Relationship Id="rId1" Type="http://schemas.openxmlformats.org/officeDocument/2006/relationships/hyperlink" Target="http://noticias.seniat.gob.ve/images/gacetas/Gaceta%20N%C2%BA%206151.pdf" TargetMode="External"/><Relationship Id="rId6" Type="http://schemas.openxmlformats.org/officeDocument/2006/relationships/hyperlink" Target="https://www.llv.li/" TargetMode="External"/><Relationship Id="rId11" Type="http://schemas.openxmlformats.org/officeDocument/2006/relationships/hyperlink" Target="http://www.smecorp.gov.my/index.php/en/sme-annual-report-2015-16?id=2150" TargetMode="External"/><Relationship Id="rId5" Type="http://schemas.openxmlformats.org/officeDocument/2006/relationships/hyperlink" Target="http://stat.gov.kz/faces/wcnav_externalId/homeNumbersSMEnterprises;jsessionid=hN3H2E_k5j48jbtC0nALJM0mttcaHLDnb13LZAoB6FdWo7hqDmaZ!-290063826!95908683?_adf.ctrl-state=d0757vavl_38&amp;_afrLoop=4819552576902610" TargetMode="External"/><Relationship Id="rId15" Type="http://schemas.openxmlformats.org/officeDocument/2006/relationships/hyperlink" Target="http://www.saic.gov.cn/" TargetMode="External"/><Relationship Id="rId10" Type="http://schemas.openxmlformats.org/officeDocument/2006/relationships/hyperlink" Target="https://read.oecd-ilibrary.org/industry-and-services/financing-smes-and-entrepreneurs-2018/japan_fin_sme_ent-2018-32-en" TargetMode="External"/><Relationship Id="rId4" Type="http://schemas.openxmlformats.org/officeDocument/2006/relationships/hyperlink" Target="http://databaza.instat.gov.al/pxweb/sq/DST/START__BR__BR0/NewBR0004/table/tableViewLayout2/?rxid=ba88cbff-4baa-438f-9954-bb5584c94c77" TargetMode="External"/><Relationship Id="rId9" Type="http://schemas.openxmlformats.org/officeDocument/2006/relationships/hyperlink" Target="http://www.oecd.org/fr/dev/34883788.pdf" TargetMode="External"/><Relationship Id="rId14" Type="http://schemas.openxmlformats.org/officeDocument/2006/relationships/hyperlink" Target="http://www.saic.gov.c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D334-845E-455F-8EF9-F0ECE550CD6A}">
  <dimension ref="A1:C17"/>
  <sheetViews>
    <sheetView workbookViewId="0">
      <selection activeCell="B5" sqref="B5"/>
    </sheetView>
  </sheetViews>
  <sheetFormatPr defaultRowHeight="15" x14ac:dyDescent="0.25"/>
  <cols>
    <col min="1" max="1" width="33.85546875" bestFit="1" customWidth="1"/>
    <col min="2" max="2" width="155" bestFit="1" customWidth="1"/>
    <col min="3" max="3" width="0.42578125" customWidth="1"/>
  </cols>
  <sheetData>
    <row r="1" spans="1:3" ht="21" x14ac:dyDescent="0.35">
      <c r="A1" s="78" t="s">
        <v>1918</v>
      </c>
      <c r="B1" s="78"/>
      <c r="C1" s="23"/>
    </row>
    <row r="2" spans="1:3" ht="15.75" x14ac:dyDescent="0.25">
      <c r="A2" s="24"/>
      <c r="B2" s="25"/>
      <c r="C2" s="23"/>
    </row>
    <row r="3" spans="1:3" ht="18.75" customHeight="1" x14ac:dyDescent="0.25">
      <c r="A3" s="26" t="s">
        <v>1919</v>
      </c>
      <c r="B3" s="79" t="s">
        <v>1920</v>
      </c>
      <c r="C3" s="80"/>
    </row>
    <row r="4" spans="1:3" ht="49.5" customHeight="1" x14ac:dyDescent="0.35">
      <c r="A4" s="27"/>
      <c r="B4" s="80"/>
      <c r="C4" s="80"/>
    </row>
    <row r="5" spans="1:3" ht="21" x14ac:dyDescent="0.35">
      <c r="A5" s="28"/>
      <c r="B5" s="15"/>
      <c r="C5" s="15"/>
    </row>
    <row r="6" spans="1:3" ht="15" customHeight="1" x14ac:dyDescent="0.25">
      <c r="A6" s="81" t="s">
        <v>1921</v>
      </c>
      <c r="B6" s="29" t="s">
        <v>1922</v>
      </c>
      <c r="C6" s="30"/>
    </row>
    <row r="7" spans="1:3" ht="15" customHeight="1" x14ac:dyDescent="0.25">
      <c r="A7" s="81"/>
      <c r="B7" s="31" t="s">
        <v>1923</v>
      </c>
      <c r="C7" s="30"/>
    </row>
    <row r="8" spans="1:3" ht="15" customHeight="1" x14ac:dyDescent="0.25">
      <c r="A8" s="81"/>
      <c r="B8" s="31" t="s">
        <v>1924</v>
      </c>
      <c r="C8" s="30"/>
    </row>
    <row r="9" spans="1:3" ht="20.25" x14ac:dyDescent="0.3">
      <c r="A9" s="32"/>
      <c r="B9" s="25"/>
      <c r="C9" s="23"/>
    </row>
    <row r="10" spans="1:3" ht="42" customHeight="1" x14ac:dyDescent="0.25">
      <c r="A10" s="33" t="s">
        <v>1925</v>
      </c>
      <c r="B10" s="48" t="s">
        <v>2020</v>
      </c>
      <c r="C10" s="34"/>
    </row>
    <row r="11" spans="1:3" ht="36.6" customHeight="1" x14ac:dyDescent="0.3">
      <c r="A11" s="35"/>
      <c r="B11" s="39" t="s">
        <v>2019</v>
      </c>
      <c r="C11" s="36"/>
    </row>
    <row r="12" spans="1:3" ht="15.75" x14ac:dyDescent="0.25">
      <c r="A12" s="37"/>
      <c r="B12" s="25"/>
      <c r="C12" s="23"/>
    </row>
    <row r="13" spans="1:3" ht="15" customHeight="1" x14ac:dyDescent="0.25">
      <c r="A13" s="73" t="s">
        <v>1926</v>
      </c>
      <c r="B13" s="74" t="s">
        <v>1929</v>
      </c>
      <c r="C13" s="75"/>
    </row>
    <row r="14" spans="1:3" ht="21.75" customHeight="1" x14ac:dyDescent="0.25">
      <c r="A14" s="73"/>
      <c r="B14" s="75"/>
      <c r="C14" s="75"/>
    </row>
    <row r="15" spans="1:3" ht="18.75" x14ac:dyDescent="0.3">
      <c r="A15" s="38"/>
      <c r="B15" s="25"/>
      <c r="C15" s="15"/>
    </row>
    <row r="16" spans="1:3" ht="15" customHeight="1" x14ac:dyDescent="0.25">
      <c r="A16" s="76" t="s">
        <v>1927</v>
      </c>
      <c r="B16" s="77" t="s">
        <v>1928</v>
      </c>
      <c r="C16" s="77"/>
    </row>
    <row r="17" spans="1:3" ht="15" customHeight="1" x14ac:dyDescent="0.25">
      <c r="A17" s="76"/>
      <c r="B17" s="77"/>
      <c r="C17" s="77"/>
    </row>
  </sheetData>
  <mergeCells count="7">
    <mergeCell ref="A13:A14"/>
    <mergeCell ref="B13:C14"/>
    <mergeCell ref="A16:A17"/>
    <mergeCell ref="B16:C17"/>
    <mergeCell ref="A1:B1"/>
    <mergeCell ref="B3:C4"/>
    <mergeCell ref="A6:A8"/>
  </mergeCells>
  <hyperlinks>
    <hyperlink ref="B7" location="'Data for latest year available'!A1" display="Data for latest year available" xr:uid="{ABB4D26F-3C4C-4120-8452-6686C073A015}"/>
    <hyperlink ref="B8" location="'Time Series'!A1" display="Time Series" xr:uid="{7482FBB4-9983-4503-BA52-1A19FA1F2D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13DE-1C21-4B82-B666-417DABEE26B5}">
  <dimension ref="A1:CB861"/>
  <sheetViews>
    <sheetView tabSelected="1" zoomScaleNormal="100" workbookViewId="0">
      <selection activeCell="L72" sqref="L72:O72"/>
    </sheetView>
  </sheetViews>
  <sheetFormatPr defaultRowHeight="15" x14ac:dyDescent="0.25"/>
  <cols>
    <col min="1" max="1" width="28.85546875" bestFit="1" customWidth="1"/>
    <col min="2" max="3" width="9.140625" customWidth="1"/>
    <col min="4" max="4" width="8" bestFit="1" customWidth="1"/>
    <col min="5" max="5" width="12" style="61" customWidth="1"/>
    <col min="6" max="6" width="22.7109375" style="72" bestFit="1" customWidth="1"/>
    <col min="7" max="7" width="16.42578125" customWidth="1"/>
    <col min="8" max="8" width="20.42578125" bestFit="1" customWidth="1"/>
    <col min="9" max="9" width="24.7109375" bestFit="1" customWidth="1"/>
    <col min="10" max="25" width="9.140625" customWidth="1"/>
    <col min="26" max="26" width="14.28515625" customWidth="1"/>
    <col min="27" max="27" width="13.28515625" customWidth="1"/>
    <col min="28" max="28" width="11.5703125" customWidth="1"/>
    <col min="29" max="29" width="13.28515625" customWidth="1"/>
    <col min="30" max="30" width="14.28515625" customWidth="1"/>
    <col min="31" max="31" width="10.5703125" customWidth="1"/>
    <col min="32" max="33" width="10.5703125" style="51" customWidth="1"/>
    <col min="34" max="34" width="11.5703125" style="51" customWidth="1"/>
    <col min="35" max="35" width="13.140625" style="51" customWidth="1"/>
    <col min="36" max="36" width="12.5703125" customWidth="1"/>
    <col min="37" max="37" width="11.5703125" customWidth="1"/>
    <col min="38" max="38" width="13.42578125" customWidth="1"/>
    <col min="39" max="39" width="11.5703125" customWidth="1"/>
    <col min="40" max="40" width="12.5703125" customWidth="1"/>
    <col min="41" max="41" width="11.5703125" customWidth="1"/>
    <col min="42" max="45" width="18" customWidth="1"/>
    <col min="46" max="47" width="19" customWidth="1"/>
    <col min="48" max="48" width="12.85546875" customWidth="1"/>
    <col min="49" max="49" width="12.7109375" customWidth="1"/>
    <col min="50" max="50" width="21.7109375" style="17" customWidth="1"/>
    <col min="51" max="51" width="21.5703125" style="43" bestFit="1" customWidth="1"/>
    <col min="52" max="52" width="16.85546875" customWidth="1"/>
    <col min="53" max="53" width="8.85546875" style="43" customWidth="1"/>
    <col min="54" max="54" width="16.85546875" customWidth="1"/>
    <col min="55" max="55" width="8.85546875" style="15" customWidth="1"/>
    <col min="56" max="56" width="18" customWidth="1"/>
    <col min="57" max="57" width="8.85546875" style="15" customWidth="1"/>
    <col min="58" max="58" width="25.5703125" customWidth="1"/>
    <col min="59" max="59" width="8.85546875" style="15" customWidth="1"/>
    <col min="60" max="60" width="19.5703125" style="15" customWidth="1"/>
    <col min="61" max="61" width="9.42578125" customWidth="1"/>
    <col min="62" max="64" width="8.85546875" style="21" customWidth="1"/>
    <col min="66" max="67" width="14.85546875" bestFit="1" customWidth="1"/>
    <col min="68" max="68" width="12.140625" customWidth="1"/>
    <col min="69" max="69" width="13.85546875" bestFit="1" customWidth="1"/>
    <col min="76" max="76" width="39" customWidth="1"/>
    <col min="77" max="77" width="10" customWidth="1"/>
    <col min="79" max="80" width="12.7109375" bestFit="1" customWidth="1"/>
  </cols>
  <sheetData>
    <row r="1" spans="1:80" s="15" customFormat="1" ht="38.25" customHeight="1" x14ac:dyDescent="0.25">
      <c r="A1" s="82" t="s">
        <v>0</v>
      </c>
      <c r="B1" s="84" t="s">
        <v>1</v>
      </c>
      <c r="C1" s="82" t="s">
        <v>2</v>
      </c>
      <c r="D1" s="82" t="s">
        <v>3</v>
      </c>
      <c r="E1" s="86" t="s">
        <v>4</v>
      </c>
      <c r="F1" s="86" t="s">
        <v>2027</v>
      </c>
      <c r="G1" s="86" t="s">
        <v>5</v>
      </c>
      <c r="H1" s="82" t="s">
        <v>6</v>
      </c>
      <c r="I1" s="82" t="s">
        <v>7</v>
      </c>
      <c r="J1" s="82" t="s">
        <v>8</v>
      </c>
      <c r="K1" s="82" t="s">
        <v>9</v>
      </c>
      <c r="L1" s="90" t="s">
        <v>10</v>
      </c>
      <c r="M1" s="91"/>
      <c r="N1" s="91"/>
      <c r="O1" s="92"/>
      <c r="P1" s="102" t="s">
        <v>11</v>
      </c>
      <c r="Q1" s="103"/>
      <c r="R1" s="103"/>
      <c r="S1" s="103"/>
      <c r="T1" s="104"/>
      <c r="U1" s="102" t="s">
        <v>13</v>
      </c>
      <c r="V1" s="103"/>
      <c r="W1" s="103"/>
      <c r="X1" s="103"/>
      <c r="Y1" s="104"/>
      <c r="Z1" s="93" t="s">
        <v>14</v>
      </c>
      <c r="AA1" s="94"/>
      <c r="AB1" s="94"/>
      <c r="AC1" s="94"/>
      <c r="AD1" s="94"/>
      <c r="AE1" s="95"/>
      <c r="AF1" s="59"/>
      <c r="AG1" s="57"/>
      <c r="AH1" s="57"/>
      <c r="AI1" s="57"/>
      <c r="AJ1" s="96" t="s">
        <v>15</v>
      </c>
      <c r="AK1" s="97"/>
      <c r="AL1" s="97"/>
      <c r="AM1" s="97"/>
      <c r="AN1" s="97"/>
      <c r="AO1" s="98"/>
      <c r="AP1" s="99" t="s">
        <v>16</v>
      </c>
      <c r="AQ1" s="100"/>
      <c r="AR1" s="100"/>
      <c r="AS1" s="100"/>
      <c r="AT1" s="100"/>
      <c r="AU1" s="101"/>
      <c r="AV1" s="105" t="s">
        <v>1945</v>
      </c>
      <c r="AW1" s="106"/>
      <c r="AX1" s="99" t="s">
        <v>1881</v>
      </c>
      <c r="AY1" s="100"/>
      <c r="AZ1" s="100"/>
      <c r="BA1" s="100"/>
      <c r="BB1" s="100"/>
      <c r="BC1" s="100"/>
      <c r="BD1" s="100"/>
      <c r="BE1" s="100"/>
      <c r="BF1" s="100"/>
      <c r="BG1" s="100"/>
      <c r="BH1" s="100"/>
      <c r="BI1" s="101"/>
      <c r="BJ1" s="107" t="s">
        <v>17</v>
      </c>
      <c r="BK1" s="108"/>
      <c r="BL1" s="109"/>
      <c r="BM1" s="88" t="s">
        <v>1883</v>
      </c>
      <c r="BN1" s="110"/>
      <c r="BO1" s="110"/>
      <c r="BP1" s="89"/>
      <c r="BQ1" s="88" t="s">
        <v>1876</v>
      </c>
      <c r="BR1" s="110"/>
      <c r="BS1" s="89"/>
      <c r="BT1" s="88" t="s">
        <v>1877</v>
      </c>
      <c r="BU1" s="89"/>
      <c r="BV1" s="88" t="s">
        <v>1877</v>
      </c>
      <c r="BW1" s="89"/>
      <c r="BX1" s="50" t="s">
        <v>1944</v>
      </c>
      <c r="BY1" s="17"/>
      <c r="CA1" s="56"/>
      <c r="CB1" s="56"/>
    </row>
    <row r="2" spans="1:80" s="20" customFormat="1" ht="71.25" customHeight="1" x14ac:dyDescent="0.25">
      <c r="A2" s="83"/>
      <c r="B2" s="85"/>
      <c r="C2" s="83"/>
      <c r="D2" s="83"/>
      <c r="E2" s="87"/>
      <c r="F2" s="87"/>
      <c r="G2" s="87"/>
      <c r="H2" s="83"/>
      <c r="I2" s="83"/>
      <c r="J2" s="83"/>
      <c r="K2" s="83"/>
      <c r="L2" s="2" t="s">
        <v>18</v>
      </c>
      <c r="M2" s="2" t="s">
        <v>19</v>
      </c>
      <c r="N2" s="2" t="s">
        <v>20</v>
      </c>
      <c r="O2" s="2" t="s">
        <v>21</v>
      </c>
      <c r="P2" s="2" t="s">
        <v>18</v>
      </c>
      <c r="Q2" s="2" t="s">
        <v>19</v>
      </c>
      <c r="R2" s="2" t="s">
        <v>20</v>
      </c>
      <c r="S2" s="2" t="s">
        <v>21</v>
      </c>
      <c r="T2" s="1" t="s">
        <v>12</v>
      </c>
      <c r="U2" s="2" t="s">
        <v>18</v>
      </c>
      <c r="V2" s="2" t="s">
        <v>19</v>
      </c>
      <c r="W2" s="2" t="s">
        <v>20</v>
      </c>
      <c r="X2" s="2" t="s">
        <v>21</v>
      </c>
      <c r="Y2" s="1" t="s">
        <v>12</v>
      </c>
      <c r="Z2" s="3" t="s">
        <v>18</v>
      </c>
      <c r="AA2" s="3" t="s">
        <v>19</v>
      </c>
      <c r="AB2" s="3" t="s">
        <v>20</v>
      </c>
      <c r="AC2" s="3" t="s">
        <v>22</v>
      </c>
      <c r="AD2" s="3" t="s">
        <v>23</v>
      </c>
      <c r="AE2" s="3" t="s">
        <v>21</v>
      </c>
      <c r="AF2" s="58" t="s">
        <v>2018</v>
      </c>
      <c r="AG2" s="58" t="s">
        <v>25</v>
      </c>
      <c r="AH2" s="58" t="s">
        <v>26</v>
      </c>
      <c r="AI2" s="58" t="s">
        <v>27</v>
      </c>
      <c r="AJ2" s="3" t="s">
        <v>18</v>
      </c>
      <c r="AK2" s="3" t="s">
        <v>19</v>
      </c>
      <c r="AL2" s="3" t="s">
        <v>20</v>
      </c>
      <c r="AM2" s="3" t="s">
        <v>22</v>
      </c>
      <c r="AN2" s="3" t="s">
        <v>23</v>
      </c>
      <c r="AO2" s="3" t="s">
        <v>21</v>
      </c>
      <c r="AP2" s="3" t="s">
        <v>18</v>
      </c>
      <c r="AQ2" s="3" t="s">
        <v>19</v>
      </c>
      <c r="AR2" s="3" t="s">
        <v>20</v>
      </c>
      <c r="AS2" s="3" t="s">
        <v>22</v>
      </c>
      <c r="AT2" s="3" t="s">
        <v>23</v>
      </c>
      <c r="AU2" s="3" t="s">
        <v>21</v>
      </c>
      <c r="AV2" s="52" t="s">
        <v>1946</v>
      </c>
      <c r="AW2" s="52" t="s">
        <v>1947</v>
      </c>
      <c r="AX2" s="3" t="s">
        <v>1932</v>
      </c>
      <c r="AY2" s="47" t="s">
        <v>1931</v>
      </c>
      <c r="AZ2" s="18" t="s">
        <v>1933</v>
      </c>
      <c r="BA2" s="47" t="s">
        <v>1934</v>
      </c>
      <c r="BB2" s="18" t="s">
        <v>1935</v>
      </c>
      <c r="BC2" s="53" t="s">
        <v>1936</v>
      </c>
      <c r="BD2" s="18" t="s">
        <v>1937</v>
      </c>
      <c r="BE2" s="18" t="s">
        <v>1938</v>
      </c>
      <c r="BF2" s="18" t="s">
        <v>1939</v>
      </c>
      <c r="BG2" s="18" t="s">
        <v>1942</v>
      </c>
      <c r="BH2" s="18" t="s">
        <v>1940</v>
      </c>
      <c r="BI2" s="18" t="s">
        <v>1941</v>
      </c>
      <c r="BJ2" s="46" t="s">
        <v>1948</v>
      </c>
      <c r="BK2" s="46" t="s">
        <v>1949</v>
      </c>
      <c r="BL2" s="46" t="s">
        <v>1950</v>
      </c>
      <c r="BM2" s="5" t="s">
        <v>1872</v>
      </c>
      <c r="BN2" s="19" t="s">
        <v>18</v>
      </c>
      <c r="BO2" s="19" t="s">
        <v>1873</v>
      </c>
      <c r="BP2" s="19" t="s">
        <v>1874</v>
      </c>
      <c r="BQ2" s="19" t="s">
        <v>18</v>
      </c>
      <c r="BR2" s="19" t="s">
        <v>1873</v>
      </c>
      <c r="BS2" s="19" t="s">
        <v>1875</v>
      </c>
      <c r="BT2" s="19"/>
      <c r="BU2" s="19"/>
      <c r="BV2" s="19"/>
      <c r="BW2" s="19"/>
      <c r="BY2" s="17"/>
    </row>
    <row r="3" spans="1:80" x14ac:dyDescent="0.25">
      <c r="A3" t="s">
        <v>29</v>
      </c>
      <c r="B3" t="s">
        <v>30</v>
      </c>
      <c r="C3">
        <v>2015</v>
      </c>
      <c r="D3" t="s">
        <v>31</v>
      </c>
      <c r="E3" s="61">
        <v>600</v>
      </c>
      <c r="F3" s="67">
        <v>1227955128600</v>
      </c>
      <c r="G3" s="17">
        <v>33736494</v>
      </c>
      <c r="H3" t="s">
        <v>32</v>
      </c>
      <c r="I3" t="s">
        <v>33</v>
      </c>
      <c r="J3" t="s">
        <v>1676</v>
      </c>
      <c r="K3" t="s">
        <v>1634</v>
      </c>
      <c r="L3" t="s">
        <v>34</v>
      </c>
      <c r="M3" t="s">
        <v>35</v>
      </c>
      <c r="N3" t="s">
        <v>36</v>
      </c>
      <c r="O3" t="s">
        <v>37</v>
      </c>
      <c r="T3" t="s">
        <v>39</v>
      </c>
      <c r="Y3" t="s">
        <v>39</v>
      </c>
      <c r="Z3" s="17">
        <v>660110</v>
      </c>
      <c r="AA3" s="17">
        <v>24999</v>
      </c>
      <c r="AB3" s="17">
        <v>1846</v>
      </c>
      <c r="AC3" s="17">
        <v>26845</v>
      </c>
      <c r="AD3" s="17">
        <v>686955</v>
      </c>
      <c r="AE3" s="17">
        <v>103</v>
      </c>
      <c r="AF3" s="51">
        <f t="shared" ref="AF3:AF50" si="0">IF(ISERROR((Z3/$G3)*1000),"",IF((Z3/$G3)*1000=0,"",(Z3/$G3)*1000))</f>
        <v>19.566644951309996</v>
      </c>
      <c r="AG3" s="51">
        <f t="shared" ref="AG3:AG50" si="1">IF(ISERROR((AC3/$G3)*1000),"",IF((AC3/$G3)*1000=0,"",(AC3/$G3)*1000))</f>
        <v>0.79572583920546103</v>
      </c>
      <c r="AH3" s="51">
        <f t="shared" ref="AH3:AH50" si="2">IF(ISERROR((AD3/$G3)*1000),"",IF((AD3/$G3)*1000=0,"",(AD3/$G3)*1000))</f>
        <v>20.362370790515456</v>
      </c>
      <c r="AI3" s="51">
        <f t="shared" ref="AI3:AI50" si="3">IF(ISERROR((AE3/$G3)*1000),"",IF((AE3/$G3)*1000=0,"",(AE3/$G3)*1000))</f>
        <v>3.053073624070124E-3</v>
      </c>
      <c r="AJ3" s="17">
        <v>1051144</v>
      </c>
      <c r="AK3" s="17">
        <v>263432</v>
      </c>
      <c r="AL3" s="17">
        <v>56993</v>
      </c>
      <c r="AM3" s="17">
        <v>320425</v>
      </c>
      <c r="AN3" s="17">
        <v>1371569</v>
      </c>
      <c r="AO3" s="17">
        <v>37671</v>
      </c>
      <c r="AP3" s="17">
        <v>159505000000</v>
      </c>
      <c r="AQ3" s="17">
        <v>24879000000</v>
      </c>
      <c r="AR3" s="17">
        <v>14366000000</v>
      </c>
      <c r="AS3" s="17">
        <v>39245000000</v>
      </c>
      <c r="AT3" s="17">
        <v>198750000000</v>
      </c>
      <c r="AU3" s="17">
        <v>29369000000</v>
      </c>
      <c r="BN3" s="17"/>
      <c r="BO3" s="17"/>
      <c r="BP3" s="17"/>
      <c r="BQ3" s="17"/>
      <c r="BR3" s="17"/>
      <c r="BX3" s="17" t="s">
        <v>65</v>
      </c>
    </row>
    <row r="4" spans="1:80" s="15" customFormat="1" x14ac:dyDescent="0.25">
      <c r="A4" s="15" t="s">
        <v>40</v>
      </c>
      <c r="B4" s="15" t="s">
        <v>30</v>
      </c>
      <c r="C4" s="15">
        <v>2017</v>
      </c>
      <c r="D4" s="15" t="s">
        <v>41</v>
      </c>
      <c r="E4" s="62">
        <v>4320</v>
      </c>
      <c r="F4" s="67">
        <v>1552983000000</v>
      </c>
      <c r="G4" s="17">
        <v>2873457</v>
      </c>
      <c r="H4" s="15" t="s">
        <v>42</v>
      </c>
      <c r="I4" s="15" t="s">
        <v>43</v>
      </c>
      <c r="J4" s="15" t="s">
        <v>44</v>
      </c>
      <c r="K4" s="15" t="s">
        <v>45</v>
      </c>
      <c r="L4" s="15" t="s">
        <v>46</v>
      </c>
      <c r="M4" s="15" t="s">
        <v>47</v>
      </c>
      <c r="N4" s="15" t="s">
        <v>48</v>
      </c>
      <c r="O4" s="15" t="s">
        <v>49</v>
      </c>
      <c r="T4" s="15" t="s">
        <v>50</v>
      </c>
      <c r="Y4" s="15" t="s">
        <v>50</v>
      </c>
      <c r="Z4" s="17">
        <v>146304</v>
      </c>
      <c r="AA4" s="17">
        <v>8023</v>
      </c>
      <c r="AB4" s="17">
        <v>6297</v>
      </c>
      <c r="AC4" s="17">
        <v>14320</v>
      </c>
      <c r="AD4" s="17">
        <v>160624</v>
      </c>
      <c r="AE4" s="17">
        <v>1828</v>
      </c>
      <c r="AF4" s="51">
        <f t="shared" si="0"/>
        <v>50.915674046975475</v>
      </c>
      <c r="AG4" s="51">
        <f t="shared" si="1"/>
        <v>4.9835442117282422</v>
      </c>
      <c r="AH4" s="51">
        <f t="shared" si="2"/>
        <v>55.899218258703712</v>
      </c>
      <c r="AI4" s="51">
        <f t="shared" si="3"/>
        <v>0.63616751529603544</v>
      </c>
      <c r="AJ4" s="17"/>
      <c r="AK4" s="17"/>
      <c r="AL4" s="17"/>
      <c r="AM4" s="17"/>
      <c r="AN4" s="17"/>
      <c r="AO4" s="17"/>
      <c r="AP4" s="17"/>
      <c r="AQ4" s="17"/>
      <c r="AR4" s="17"/>
      <c r="AS4" s="17"/>
      <c r="AT4" s="17"/>
      <c r="AU4" s="17"/>
      <c r="AV4" s="15" t="s">
        <v>51</v>
      </c>
      <c r="AW4" s="15" t="s">
        <v>51</v>
      </c>
      <c r="AX4" s="17"/>
      <c r="AY4" s="43"/>
      <c r="BA4" s="43"/>
      <c r="BJ4" s="21"/>
      <c r="BK4" s="21"/>
      <c r="BL4" s="21"/>
      <c r="BN4" s="17">
        <v>44145</v>
      </c>
      <c r="BO4" s="17">
        <v>3606</v>
      </c>
      <c r="BP4" s="17">
        <f>BN4+BO4</f>
        <v>47751</v>
      </c>
      <c r="BQ4" s="17"/>
      <c r="BR4" s="17"/>
      <c r="BX4" s="17"/>
    </row>
    <row r="5" spans="1:80" s="15" customFormat="1" x14ac:dyDescent="0.25">
      <c r="A5" s="15" t="s">
        <v>56</v>
      </c>
      <c r="B5" s="15" t="s">
        <v>30</v>
      </c>
      <c r="C5" s="15">
        <v>2017</v>
      </c>
      <c r="D5" s="15" t="s">
        <v>57</v>
      </c>
      <c r="E5" s="61">
        <v>3960</v>
      </c>
      <c r="F5" s="67">
        <v>18906560000000</v>
      </c>
      <c r="G5" s="17">
        <v>41318142</v>
      </c>
      <c r="H5" s="15" t="s">
        <v>42</v>
      </c>
      <c r="I5" s="15" t="s">
        <v>58</v>
      </c>
      <c r="J5" s="15" t="s">
        <v>59</v>
      </c>
      <c r="K5" s="15" t="s">
        <v>60</v>
      </c>
      <c r="L5" s="15" t="s">
        <v>61</v>
      </c>
      <c r="M5" s="15" t="s">
        <v>48</v>
      </c>
      <c r="N5" s="15" t="s">
        <v>62</v>
      </c>
      <c r="O5" s="15" t="s">
        <v>63</v>
      </c>
      <c r="T5" s="15" t="s">
        <v>64</v>
      </c>
      <c r="U5" s="17"/>
      <c r="V5" s="17"/>
      <c r="W5" s="17"/>
      <c r="X5" s="17"/>
      <c r="Y5" s="17" t="s">
        <v>64</v>
      </c>
      <c r="Z5" s="17">
        <v>1035891</v>
      </c>
      <c r="AA5" s="17">
        <v>21202</v>
      </c>
      <c r="AB5" s="17">
        <v>3196</v>
      </c>
      <c r="AC5" s="17">
        <v>24398</v>
      </c>
      <c r="AD5" s="17">
        <v>1060289</v>
      </c>
      <c r="AE5" s="17"/>
      <c r="AF5" s="51">
        <f t="shared" si="0"/>
        <v>25.07109346785245</v>
      </c>
      <c r="AG5" s="51">
        <f t="shared" si="1"/>
        <v>0.59049121811914962</v>
      </c>
      <c r="AH5" s="51">
        <f t="shared" si="2"/>
        <v>25.661584685971601</v>
      </c>
      <c r="AI5" s="51" t="str">
        <f t="shared" si="3"/>
        <v/>
      </c>
      <c r="AJ5" s="17"/>
      <c r="AK5" s="17"/>
      <c r="AL5" s="17"/>
      <c r="AM5" s="17"/>
      <c r="AN5" s="17">
        <v>2601958</v>
      </c>
      <c r="AO5" s="17"/>
      <c r="AP5" s="17"/>
      <c r="AQ5" s="17"/>
      <c r="AR5" s="17"/>
      <c r="AS5" s="17"/>
      <c r="AT5" s="17"/>
      <c r="AU5" s="17"/>
      <c r="AV5" s="15" t="s">
        <v>66</v>
      </c>
      <c r="AW5" s="15" t="s">
        <v>67</v>
      </c>
      <c r="AX5" s="17"/>
      <c r="AY5" s="43"/>
      <c r="BA5" s="43"/>
      <c r="BJ5" s="21"/>
      <c r="BK5" s="21"/>
      <c r="BL5" s="21"/>
      <c r="BN5" s="17"/>
      <c r="BO5" s="17"/>
      <c r="BP5" s="17"/>
      <c r="BQ5" s="17"/>
      <c r="BR5" s="17"/>
      <c r="BX5" s="17" t="s">
        <v>94</v>
      </c>
    </row>
    <row r="6" spans="1:80" s="15" customFormat="1" x14ac:dyDescent="0.25">
      <c r="A6" s="15" t="s">
        <v>75</v>
      </c>
      <c r="B6" s="15" t="s">
        <v>30</v>
      </c>
      <c r="C6" s="15">
        <v>2016</v>
      </c>
      <c r="D6" s="15" t="s">
        <v>76</v>
      </c>
      <c r="E6" s="61">
        <v>11200</v>
      </c>
      <c r="F6" s="67">
        <v>658000000</v>
      </c>
      <c r="G6" s="17">
        <v>55599</v>
      </c>
      <c r="H6" s="15" t="s">
        <v>42</v>
      </c>
      <c r="I6" s="15" t="s">
        <v>77</v>
      </c>
      <c r="J6" s="15" t="s">
        <v>78</v>
      </c>
      <c r="K6" s="15" t="s">
        <v>79</v>
      </c>
      <c r="L6" s="15" t="s">
        <v>46</v>
      </c>
      <c r="M6" s="15" t="s">
        <v>47</v>
      </c>
      <c r="N6" s="15" t="s">
        <v>80</v>
      </c>
      <c r="O6" s="15" t="s">
        <v>81</v>
      </c>
      <c r="T6" s="15" t="s">
        <v>102</v>
      </c>
      <c r="Y6" s="15" t="s">
        <v>102</v>
      </c>
      <c r="Z6" s="17">
        <v>245</v>
      </c>
      <c r="AA6" s="17">
        <v>137</v>
      </c>
      <c r="AB6" s="17">
        <v>61</v>
      </c>
      <c r="AC6" s="17">
        <v>198</v>
      </c>
      <c r="AD6" s="17">
        <v>443</v>
      </c>
      <c r="AE6" s="17">
        <v>61</v>
      </c>
      <c r="AF6" s="51">
        <f t="shared" si="0"/>
        <v>4.4065540747135739</v>
      </c>
      <c r="AG6" s="51">
        <f t="shared" si="1"/>
        <v>3.5612151297685211</v>
      </c>
      <c r="AH6" s="51">
        <f t="shared" si="2"/>
        <v>7.9677692044820958</v>
      </c>
      <c r="AI6" s="51">
        <f t="shared" si="3"/>
        <v>1.0971420349286858</v>
      </c>
      <c r="AJ6" s="17">
        <v>458</v>
      </c>
      <c r="AK6" s="17">
        <v>886</v>
      </c>
      <c r="AL6" s="17">
        <v>829</v>
      </c>
      <c r="AM6" s="17">
        <v>1715</v>
      </c>
      <c r="AN6" s="17">
        <v>2173</v>
      </c>
      <c r="AO6" s="17">
        <v>2754</v>
      </c>
      <c r="AP6" s="17"/>
      <c r="AQ6" s="17"/>
      <c r="AR6" s="17"/>
      <c r="AS6" s="17"/>
      <c r="AT6" s="17"/>
      <c r="AU6" s="17"/>
      <c r="AV6" s="15" t="s">
        <v>79</v>
      </c>
      <c r="AX6" s="17"/>
      <c r="AY6" s="43"/>
      <c r="BA6" s="43"/>
      <c r="BJ6" s="21"/>
      <c r="BK6" s="21"/>
      <c r="BL6" s="21"/>
      <c r="BN6" s="17"/>
      <c r="BO6" s="17"/>
      <c r="BP6" s="17"/>
      <c r="BQ6" s="17"/>
      <c r="BR6" s="17"/>
      <c r="BT6" s="15" t="s">
        <v>82</v>
      </c>
      <c r="BX6" s="17"/>
    </row>
    <row r="7" spans="1:80" s="15" customFormat="1" x14ac:dyDescent="0.25">
      <c r="A7" s="15" t="s">
        <v>85</v>
      </c>
      <c r="B7" s="15" t="s">
        <v>30</v>
      </c>
      <c r="C7" s="15">
        <v>2016</v>
      </c>
      <c r="D7" s="15" t="s">
        <v>87</v>
      </c>
      <c r="E7" s="62">
        <v>3450</v>
      </c>
      <c r="F7" s="67">
        <v>15602562573100</v>
      </c>
      <c r="G7" s="17">
        <v>29784193</v>
      </c>
      <c r="H7" s="15" t="s">
        <v>88</v>
      </c>
      <c r="I7" s="15" t="s">
        <v>89</v>
      </c>
      <c r="J7" s="15" t="s">
        <v>90</v>
      </c>
      <c r="K7" s="15" t="s">
        <v>91</v>
      </c>
      <c r="L7" s="15" t="s">
        <v>92</v>
      </c>
      <c r="M7" s="15" t="s">
        <v>80</v>
      </c>
      <c r="N7" s="15" t="s">
        <v>81</v>
      </c>
      <c r="T7" s="15" t="s">
        <v>93</v>
      </c>
      <c r="Y7" s="15" t="s">
        <v>93</v>
      </c>
      <c r="Z7" s="17">
        <v>14428</v>
      </c>
      <c r="AA7" s="17">
        <v>7836</v>
      </c>
      <c r="AB7" s="17"/>
      <c r="AC7" s="17"/>
      <c r="AD7" s="17"/>
      <c r="AE7" s="17"/>
      <c r="AF7" s="51">
        <f t="shared" si="0"/>
        <v>0.48441802670295619</v>
      </c>
      <c r="AG7" s="51" t="str">
        <f t="shared" si="1"/>
        <v/>
      </c>
      <c r="AH7" s="51" t="str">
        <f t="shared" si="2"/>
        <v/>
      </c>
      <c r="AI7" s="51" t="str">
        <f t="shared" si="3"/>
        <v/>
      </c>
      <c r="AJ7" s="17"/>
      <c r="AK7" s="17"/>
      <c r="AL7" s="17"/>
      <c r="AM7" s="17"/>
      <c r="AN7" s="17"/>
      <c r="AO7" s="17"/>
      <c r="AP7" s="17"/>
      <c r="AQ7" s="17"/>
      <c r="AR7" s="17"/>
      <c r="AS7" s="17"/>
      <c r="AT7" s="17"/>
      <c r="AU7" s="17"/>
      <c r="AV7" s="15" t="s">
        <v>95</v>
      </c>
      <c r="AW7" s="15" t="s">
        <v>95</v>
      </c>
      <c r="AX7" s="17"/>
      <c r="AY7" s="43"/>
      <c r="BA7" s="43"/>
      <c r="BJ7" s="21"/>
      <c r="BK7" s="21"/>
      <c r="BL7" s="21"/>
      <c r="BN7" s="17"/>
      <c r="BO7" s="17"/>
      <c r="BP7" s="17"/>
      <c r="BQ7" s="17"/>
      <c r="BR7" s="17"/>
      <c r="BT7" s="15" t="s">
        <v>1943</v>
      </c>
      <c r="BX7" s="17"/>
    </row>
    <row r="8" spans="1:80" s="15" customFormat="1" x14ac:dyDescent="0.25">
      <c r="A8" s="15" t="s">
        <v>107</v>
      </c>
      <c r="B8" s="15" t="s">
        <v>30</v>
      </c>
      <c r="C8" s="15">
        <v>2007</v>
      </c>
      <c r="D8" s="15" t="s">
        <v>108</v>
      </c>
      <c r="E8" s="61">
        <v>13860</v>
      </c>
      <c r="F8" s="67">
        <v>3540783600.0000005</v>
      </c>
      <c r="G8" s="17">
        <v>91381</v>
      </c>
      <c r="H8" s="15" t="s">
        <v>109</v>
      </c>
      <c r="I8" s="15" t="s">
        <v>110</v>
      </c>
      <c r="J8" s="15" t="s">
        <v>111</v>
      </c>
      <c r="K8" s="15" t="s">
        <v>1882</v>
      </c>
      <c r="M8" s="15" t="s">
        <v>112</v>
      </c>
      <c r="Q8" s="15" t="s">
        <v>113</v>
      </c>
      <c r="T8" s="15" t="s">
        <v>114</v>
      </c>
      <c r="V8" s="15" t="s">
        <v>115</v>
      </c>
      <c r="Y8" s="15" t="s">
        <v>114</v>
      </c>
      <c r="Z8" s="17"/>
      <c r="AA8" s="17"/>
      <c r="AB8" s="17"/>
      <c r="AC8" s="17"/>
      <c r="AD8" s="17"/>
      <c r="AE8" s="17"/>
      <c r="AF8" s="51" t="str">
        <f t="shared" si="0"/>
        <v/>
      </c>
      <c r="AG8" s="51" t="str">
        <f t="shared" si="1"/>
        <v/>
      </c>
      <c r="AH8" s="51" t="str">
        <f t="shared" si="2"/>
        <v/>
      </c>
      <c r="AI8" s="51" t="str">
        <f t="shared" si="3"/>
        <v/>
      </c>
      <c r="AJ8" s="17"/>
      <c r="AK8" s="17"/>
      <c r="AL8" s="17"/>
      <c r="AM8" s="17"/>
      <c r="AN8" s="17"/>
      <c r="AO8" s="17"/>
      <c r="AP8" s="17"/>
      <c r="AQ8" s="17"/>
      <c r="AR8" s="17"/>
      <c r="AS8" s="17"/>
      <c r="AT8" s="17"/>
      <c r="AU8" s="17"/>
      <c r="AX8" s="17"/>
      <c r="AY8" s="43"/>
      <c r="BA8" s="43"/>
      <c r="BJ8" s="21"/>
      <c r="BK8" s="21"/>
      <c r="BL8" s="21"/>
      <c r="BN8" s="17"/>
      <c r="BO8" s="17"/>
      <c r="BP8" s="17"/>
      <c r="BQ8" s="17"/>
      <c r="BR8" s="17"/>
      <c r="BX8" s="17"/>
    </row>
    <row r="9" spans="1:80" s="15" customFormat="1" x14ac:dyDescent="0.25">
      <c r="A9" s="15" t="s">
        <v>116</v>
      </c>
      <c r="B9" s="15" t="s">
        <v>30</v>
      </c>
      <c r="C9" s="15">
        <v>2016</v>
      </c>
      <c r="D9" s="15" t="s">
        <v>117</v>
      </c>
      <c r="E9" s="65">
        <v>11940</v>
      </c>
      <c r="F9" s="67">
        <v>8188748798700</v>
      </c>
      <c r="G9" s="17">
        <v>43847430</v>
      </c>
      <c r="H9" s="15" t="s">
        <v>109</v>
      </c>
      <c r="I9" s="15" t="s">
        <v>110</v>
      </c>
      <c r="J9" s="15" t="s">
        <v>118</v>
      </c>
      <c r="K9" s="15" t="s">
        <v>119</v>
      </c>
      <c r="L9" s="15" t="s">
        <v>120</v>
      </c>
      <c r="M9" s="15" t="s">
        <v>121</v>
      </c>
      <c r="N9" s="15" t="s">
        <v>122</v>
      </c>
      <c r="O9" s="15" t="s">
        <v>123</v>
      </c>
      <c r="T9" s="15" t="s">
        <v>117</v>
      </c>
      <c r="Y9" s="15" t="s">
        <v>117</v>
      </c>
      <c r="Z9" s="17">
        <v>419348</v>
      </c>
      <c r="AA9" s="17">
        <v>137773</v>
      </c>
      <c r="AB9" s="17">
        <v>33869</v>
      </c>
      <c r="AC9" s="17">
        <v>171642</v>
      </c>
      <c r="AD9" s="17">
        <v>590990</v>
      </c>
      <c r="AE9" s="17">
        <v>11977</v>
      </c>
      <c r="AF9" s="51">
        <f t="shared" si="0"/>
        <v>9.5637988361005437</v>
      </c>
      <c r="AG9" s="51">
        <f t="shared" si="1"/>
        <v>3.9145281718905762</v>
      </c>
      <c r="AH9" s="51">
        <f t="shared" si="2"/>
        <v>13.478327007991119</v>
      </c>
      <c r="AI9" s="51">
        <f t="shared" si="3"/>
        <v>0.2731516989707265</v>
      </c>
      <c r="AJ9" s="17">
        <v>737859.75</v>
      </c>
      <c r="AK9" s="17">
        <v>1213785.25000001</v>
      </c>
      <c r="AL9" s="17">
        <v>1300223.50000001</v>
      </c>
      <c r="AM9" s="17">
        <v>2514008.75000002</v>
      </c>
      <c r="AN9" s="17">
        <v>3251868.50000002</v>
      </c>
      <c r="AO9" s="17">
        <v>3278242</v>
      </c>
      <c r="AP9" s="17"/>
      <c r="AQ9" s="17"/>
      <c r="AR9" s="17"/>
      <c r="AS9" s="17"/>
      <c r="AT9" s="17"/>
      <c r="AU9" s="17"/>
      <c r="AV9" s="15" t="s">
        <v>124</v>
      </c>
      <c r="AW9" s="15" t="s">
        <v>124</v>
      </c>
      <c r="AX9" s="65"/>
      <c r="AY9" s="65"/>
      <c r="BA9" s="65"/>
      <c r="BJ9" s="21"/>
      <c r="BK9" s="21"/>
      <c r="BL9" s="21"/>
      <c r="BN9" s="17"/>
      <c r="BO9" s="17"/>
      <c r="BP9" s="17"/>
      <c r="BQ9" s="17"/>
      <c r="BR9" s="17"/>
      <c r="BS9" s="71"/>
      <c r="BU9" s="15" t="s">
        <v>125</v>
      </c>
      <c r="BX9" s="17"/>
    </row>
    <row r="10" spans="1:80" s="15" customFormat="1" x14ac:dyDescent="0.25">
      <c r="A10" s="15" t="s">
        <v>161</v>
      </c>
      <c r="B10" s="15" t="s">
        <v>30</v>
      </c>
      <c r="C10" s="15">
        <v>2016</v>
      </c>
      <c r="D10" s="15" t="s">
        <v>162</v>
      </c>
      <c r="E10" s="72">
        <v>3770</v>
      </c>
      <c r="F10" s="67">
        <v>5067293500000</v>
      </c>
      <c r="G10" s="17">
        <v>2930450</v>
      </c>
      <c r="H10" s="15" t="s">
        <v>42</v>
      </c>
      <c r="I10" s="15" t="s">
        <v>43</v>
      </c>
      <c r="J10" s="15" t="s">
        <v>163</v>
      </c>
      <c r="K10" s="15" t="s">
        <v>164</v>
      </c>
      <c r="L10" s="15" t="s">
        <v>61</v>
      </c>
      <c r="M10" s="15" t="s">
        <v>165</v>
      </c>
      <c r="N10" s="15" t="s">
        <v>166</v>
      </c>
      <c r="O10" s="15" t="s">
        <v>167</v>
      </c>
      <c r="P10" s="15" t="s">
        <v>168</v>
      </c>
      <c r="Q10" s="15" t="s">
        <v>169</v>
      </c>
      <c r="R10" s="15" t="s">
        <v>170</v>
      </c>
      <c r="S10" s="15" t="s">
        <v>171</v>
      </c>
      <c r="T10" s="15" t="s">
        <v>172</v>
      </c>
      <c r="Y10" s="15" t="s">
        <v>172</v>
      </c>
      <c r="Z10" s="17">
        <v>71606</v>
      </c>
      <c r="AA10" s="17">
        <v>5272</v>
      </c>
      <c r="AB10" s="17">
        <v>1368</v>
      </c>
      <c r="AC10" s="17">
        <v>6640</v>
      </c>
      <c r="AD10" s="17">
        <v>78246</v>
      </c>
      <c r="AE10" s="17"/>
      <c r="AF10" s="51">
        <f t="shared" si="0"/>
        <v>24.435155010322646</v>
      </c>
      <c r="AG10" s="51">
        <f t="shared" si="1"/>
        <v>2.2658636045658516</v>
      </c>
      <c r="AH10" s="51">
        <f t="shared" si="2"/>
        <v>26.701018614888497</v>
      </c>
      <c r="AI10" s="51" t="str">
        <f t="shared" si="3"/>
        <v/>
      </c>
      <c r="AJ10" s="17">
        <v>101584</v>
      </c>
      <c r="AK10" s="17">
        <v>91947</v>
      </c>
      <c r="AL10" s="17">
        <v>108470</v>
      </c>
      <c r="AM10" s="17">
        <v>200417</v>
      </c>
      <c r="AN10" s="17">
        <v>302001</v>
      </c>
      <c r="AO10" s="17"/>
      <c r="AP10" s="17"/>
      <c r="AQ10" s="17"/>
      <c r="AR10" s="17"/>
      <c r="AS10" s="17"/>
      <c r="AT10" s="17"/>
      <c r="AU10" s="17"/>
      <c r="AV10" s="15" t="s">
        <v>174</v>
      </c>
      <c r="AW10" s="15" t="s">
        <v>174</v>
      </c>
      <c r="AX10" s="67"/>
      <c r="AY10" s="71"/>
      <c r="BA10" s="71"/>
      <c r="BJ10" s="21"/>
      <c r="BK10" s="21"/>
      <c r="BL10" s="21"/>
      <c r="BN10" s="17"/>
      <c r="BO10" s="17"/>
      <c r="BP10" s="17"/>
      <c r="BQ10" s="17"/>
      <c r="BR10" s="17"/>
      <c r="BS10" s="65"/>
      <c r="BX10" s="17"/>
    </row>
    <row r="11" spans="1:80" s="15" customFormat="1" x14ac:dyDescent="0.25">
      <c r="A11" s="15" t="s">
        <v>177</v>
      </c>
      <c r="B11" s="15" t="s">
        <v>30</v>
      </c>
      <c r="C11" s="15">
        <v>2017</v>
      </c>
      <c r="D11" s="15" t="s">
        <v>178</v>
      </c>
      <c r="E11" s="61">
        <v>51360</v>
      </c>
      <c r="F11" s="67">
        <v>1754724000000</v>
      </c>
      <c r="G11" s="17">
        <v>24598933</v>
      </c>
      <c r="H11" s="15" t="s">
        <v>109</v>
      </c>
      <c r="I11" s="15" t="s">
        <v>77</v>
      </c>
      <c r="J11" s="15" t="s">
        <v>179</v>
      </c>
      <c r="K11" s="15" t="s">
        <v>180</v>
      </c>
      <c r="L11" s="15" t="s">
        <v>181</v>
      </c>
      <c r="M11" s="15" t="s">
        <v>182</v>
      </c>
      <c r="N11" s="15" t="s">
        <v>183</v>
      </c>
      <c r="O11" s="15" t="s">
        <v>184</v>
      </c>
      <c r="T11" s="15" t="s">
        <v>185</v>
      </c>
      <c r="Y11" s="15" t="s">
        <v>185</v>
      </c>
      <c r="Z11" s="17">
        <v>2063479</v>
      </c>
      <c r="AA11" s="17">
        <v>195619</v>
      </c>
      <c r="AB11" s="17">
        <v>50338</v>
      </c>
      <c r="AC11" s="17">
        <v>245957</v>
      </c>
      <c r="AD11" s="17">
        <v>2309436</v>
      </c>
      <c r="AE11" s="17">
        <v>3855</v>
      </c>
      <c r="AF11" s="51">
        <f t="shared" si="0"/>
        <v>83.884898584828861</v>
      </c>
      <c r="AG11" s="51">
        <f t="shared" si="1"/>
        <v>9.9986857153519626</v>
      </c>
      <c r="AH11" s="51">
        <f t="shared" si="2"/>
        <v>93.883584300180829</v>
      </c>
      <c r="AI11" s="51">
        <f t="shared" si="3"/>
        <v>0.15671411438862001</v>
      </c>
      <c r="AJ11" s="17"/>
      <c r="AK11" s="17"/>
      <c r="AL11" s="17">
        <v>2616000</v>
      </c>
      <c r="AM11" s="17"/>
      <c r="AN11" s="17">
        <v>7384000</v>
      </c>
      <c r="AO11" s="17">
        <v>3498000</v>
      </c>
      <c r="AP11" s="17"/>
      <c r="AQ11" s="17"/>
      <c r="AR11" s="17">
        <v>250519000000</v>
      </c>
      <c r="AS11" s="17"/>
      <c r="AT11" s="17">
        <v>643738000000</v>
      </c>
      <c r="AU11" s="17">
        <v>490991000000</v>
      </c>
      <c r="AX11" s="17"/>
      <c r="AY11" s="43"/>
      <c r="BA11" s="43"/>
      <c r="BJ11" s="21"/>
      <c r="BK11" s="21"/>
      <c r="BL11" s="21"/>
      <c r="BN11" s="17"/>
      <c r="BO11" s="17"/>
      <c r="BP11" s="17"/>
      <c r="BQ11" s="17"/>
      <c r="BR11" s="17"/>
      <c r="BX11" s="17"/>
    </row>
    <row r="12" spans="1:80" x14ac:dyDescent="0.25">
      <c r="A12" t="s">
        <v>186</v>
      </c>
      <c r="B12" t="s">
        <v>30</v>
      </c>
      <c r="C12">
        <v>2016</v>
      </c>
      <c r="D12" t="s">
        <v>187</v>
      </c>
      <c r="E12" s="61">
        <v>45850</v>
      </c>
      <c r="F12" s="67">
        <v>353296920000</v>
      </c>
      <c r="G12" s="17">
        <v>8809212</v>
      </c>
      <c r="H12" t="s">
        <v>109</v>
      </c>
      <c r="I12" t="s">
        <v>43</v>
      </c>
      <c r="J12" t="s">
        <v>188</v>
      </c>
      <c r="K12" t="s">
        <v>189</v>
      </c>
      <c r="L12" t="s">
        <v>190</v>
      </c>
      <c r="M12" t="s">
        <v>48</v>
      </c>
      <c r="N12" t="s">
        <v>62</v>
      </c>
      <c r="O12" t="s">
        <v>63</v>
      </c>
      <c r="T12" t="s">
        <v>55</v>
      </c>
      <c r="Y12" t="s">
        <v>55</v>
      </c>
      <c r="Z12" s="17">
        <v>281806</v>
      </c>
      <c r="AA12" s="17"/>
      <c r="AB12" s="17">
        <v>535523</v>
      </c>
      <c r="AC12" s="17"/>
      <c r="AD12" s="17"/>
      <c r="AE12" s="17">
        <v>1090</v>
      </c>
      <c r="AF12" s="51">
        <f t="shared" si="0"/>
        <v>31.989921459490361</v>
      </c>
      <c r="AG12" s="51" t="str">
        <f t="shared" si="1"/>
        <v/>
      </c>
      <c r="AH12" s="51" t="str">
        <f t="shared" si="2"/>
        <v/>
      </c>
      <c r="AI12" s="51">
        <f t="shared" si="3"/>
        <v>0.12373410924836409</v>
      </c>
      <c r="AJ12" s="17">
        <v>700318</v>
      </c>
      <c r="AK12" s="17"/>
      <c r="AL12" s="17">
        <v>535523</v>
      </c>
      <c r="AM12" s="17"/>
      <c r="AN12" s="17"/>
      <c r="AO12" s="17">
        <v>865209</v>
      </c>
      <c r="AP12" s="17">
        <v>35558900000</v>
      </c>
      <c r="AQ12" s="17"/>
      <c r="AR12" s="17">
        <v>42133400000</v>
      </c>
      <c r="AS12" s="17"/>
      <c r="AT12" s="17"/>
      <c r="AU12" s="17">
        <v>69173800000</v>
      </c>
      <c r="AV12" t="s">
        <v>191</v>
      </c>
      <c r="AW12" t="s">
        <v>189</v>
      </c>
      <c r="BF12" s="65"/>
      <c r="BG12" s="65"/>
      <c r="BN12" s="17"/>
      <c r="BO12" s="17"/>
      <c r="BP12" s="17"/>
      <c r="BQ12" s="17"/>
      <c r="BR12" s="17"/>
      <c r="BX12" s="17" t="s">
        <v>207</v>
      </c>
    </row>
    <row r="13" spans="1:80" x14ac:dyDescent="0.25">
      <c r="A13" t="s">
        <v>197</v>
      </c>
      <c r="B13" t="s">
        <v>30</v>
      </c>
      <c r="C13">
        <v>2016</v>
      </c>
      <c r="D13" t="s">
        <v>198</v>
      </c>
      <c r="E13" s="61">
        <v>4760</v>
      </c>
      <c r="F13" s="67">
        <v>60425200000</v>
      </c>
      <c r="G13" s="17">
        <v>9862429</v>
      </c>
      <c r="H13" t="s">
        <v>42</v>
      </c>
      <c r="I13" t="s">
        <v>43</v>
      </c>
      <c r="J13" t="s">
        <v>199</v>
      </c>
      <c r="K13" t="s">
        <v>200</v>
      </c>
      <c r="M13" t="s">
        <v>112</v>
      </c>
      <c r="N13" t="s">
        <v>201</v>
      </c>
      <c r="O13" t="s">
        <v>202</v>
      </c>
      <c r="Q13" t="s">
        <v>203</v>
      </c>
      <c r="R13" t="s">
        <v>204</v>
      </c>
      <c r="S13" t="s">
        <v>205</v>
      </c>
      <c r="T13" t="s">
        <v>206</v>
      </c>
      <c r="Y13" t="s">
        <v>206</v>
      </c>
      <c r="Z13" s="17"/>
      <c r="AA13" s="17">
        <v>187598</v>
      </c>
      <c r="AB13" s="17">
        <v>4097</v>
      </c>
      <c r="AC13" s="17"/>
      <c r="AD13" s="17">
        <v>191695</v>
      </c>
      <c r="AE13" s="17"/>
      <c r="AF13" s="51" t="str">
        <f t="shared" si="0"/>
        <v/>
      </c>
      <c r="AG13" s="51" t="str">
        <f t="shared" si="1"/>
        <v/>
      </c>
      <c r="AH13" s="51">
        <f t="shared" si="2"/>
        <v>19.436895312503644</v>
      </c>
      <c r="AI13" s="51" t="str">
        <f t="shared" si="3"/>
        <v/>
      </c>
      <c r="AJ13" s="17"/>
      <c r="AK13" s="17">
        <v>100900</v>
      </c>
      <c r="AL13" s="17">
        <v>180100</v>
      </c>
      <c r="AM13" s="17"/>
      <c r="AN13" s="17">
        <v>281000</v>
      </c>
      <c r="AO13" s="17"/>
      <c r="AP13" s="17"/>
      <c r="AQ13" s="17">
        <v>2928000000</v>
      </c>
      <c r="AR13" s="17">
        <v>659200000</v>
      </c>
      <c r="AS13" s="17"/>
      <c r="AT13" s="17">
        <v>3587200000</v>
      </c>
      <c r="AU13" s="17"/>
      <c r="AV13" t="s">
        <v>208</v>
      </c>
      <c r="AW13" t="s">
        <v>200</v>
      </c>
      <c r="BN13" s="17"/>
      <c r="BO13" s="17"/>
      <c r="BP13" s="17"/>
      <c r="BQ13" s="17"/>
      <c r="BR13" s="17"/>
      <c r="BX13" s="17" t="s">
        <v>1643</v>
      </c>
    </row>
    <row r="14" spans="1:80" x14ac:dyDescent="0.25">
      <c r="A14" t="s">
        <v>212</v>
      </c>
      <c r="B14" t="s">
        <v>30</v>
      </c>
      <c r="C14">
        <v>2016</v>
      </c>
      <c r="D14" t="s">
        <v>213</v>
      </c>
      <c r="E14" s="61">
        <v>21350</v>
      </c>
      <c r="F14" s="67">
        <v>12089410000</v>
      </c>
      <c r="G14" s="17">
        <v>1492584</v>
      </c>
      <c r="H14" t="s">
        <v>109</v>
      </c>
      <c r="I14" t="s">
        <v>58</v>
      </c>
      <c r="J14" t="s">
        <v>214</v>
      </c>
      <c r="K14" t="s">
        <v>215</v>
      </c>
      <c r="L14" t="s">
        <v>98</v>
      </c>
      <c r="M14" t="s">
        <v>216</v>
      </c>
      <c r="N14" t="s">
        <v>217</v>
      </c>
      <c r="O14" t="s">
        <v>218</v>
      </c>
      <c r="T14" t="s">
        <v>219</v>
      </c>
      <c r="U14" t="s">
        <v>220</v>
      </c>
      <c r="V14" t="s">
        <v>221</v>
      </c>
      <c r="W14" t="s">
        <v>222</v>
      </c>
      <c r="X14" t="s">
        <v>223</v>
      </c>
      <c r="Y14" t="s">
        <v>219</v>
      </c>
      <c r="Z14" s="17">
        <v>84319</v>
      </c>
      <c r="AA14" s="17">
        <v>5485</v>
      </c>
      <c r="AB14" s="17">
        <v>907</v>
      </c>
      <c r="AC14" s="17">
        <v>6392</v>
      </c>
      <c r="AD14" s="17">
        <v>90711</v>
      </c>
      <c r="AE14" s="17">
        <v>176</v>
      </c>
      <c r="AF14" s="51">
        <f t="shared" si="0"/>
        <v>56.491962931399506</v>
      </c>
      <c r="AG14" s="51">
        <f t="shared" si="1"/>
        <v>4.2825060432109678</v>
      </c>
      <c r="AH14" s="51">
        <f t="shared" si="2"/>
        <v>60.774468974610471</v>
      </c>
      <c r="AI14" s="51">
        <f t="shared" si="3"/>
        <v>0.11791631157777385</v>
      </c>
      <c r="AJ14" s="17"/>
      <c r="AK14" s="17"/>
      <c r="AL14" s="17"/>
      <c r="AM14" s="17"/>
      <c r="AN14" s="17"/>
      <c r="AO14" s="17"/>
      <c r="AP14" s="17"/>
      <c r="AQ14" s="17"/>
      <c r="AR14" s="17"/>
      <c r="AS14" s="17"/>
      <c r="AT14" s="17"/>
      <c r="AU14" s="17"/>
      <c r="AW14" t="s">
        <v>224</v>
      </c>
      <c r="BN14" s="17"/>
      <c r="BO14" s="17"/>
      <c r="BP14" s="17"/>
      <c r="BQ14" s="17"/>
      <c r="BR14" s="17"/>
      <c r="BX14" s="17"/>
    </row>
    <row r="15" spans="1:80" x14ac:dyDescent="0.25">
      <c r="A15" t="s">
        <v>225</v>
      </c>
      <c r="B15" t="s">
        <v>30</v>
      </c>
      <c r="C15">
        <v>2013</v>
      </c>
      <c r="D15" t="s">
        <v>226</v>
      </c>
      <c r="E15" s="61">
        <v>1010</v>
      </c>
      <c r="F15" s="67">
        <v>11989231718700</v>
      </c>
      <c r="G15" s="17">
        <v>157571292</v>
      </c>
      <c r="H15" t="s">
        <v>88</v>
      </c>
      <c r="I15" t="s">
        <v>33</v>
      </c>
      <c r="J15" t="s">
        <v>227</v>
      </c>
      <c r="K15" t="s">
        <v>228</v>
      </c>
      <c r="L15" t="s">
        <v>229</v>
      </c>
      <c r="M15" t="s">
        <v>1636</v>
      </c>
      <c r="N15" t="s">
        <v>230</v>
      </c>
      <c r="O15" t="s">
        <v>231</v>
      </c>
      <c r="P15" t="s">
        <v>1635</v>
      </c>
      <c r="Q15" t="s">
        <v>232</v>
      </c>
      <c r="R15" t="s">
        <v>233</v>
      </c>
      <c r="S15" t="s">
        <v>234</v>
      </c>
      <c r="T15" t="s">
        <v>235</v>
      </c>
      <c r="Y15" t="s">
        <v>235</v>
      </c>
      <c r="Z15" s="17">
        <v>6946891</v>
      </c>
      <c r="AA15" s="17">
        <v>859318</v>
      </c>
      <c r="AB15" s="17">
        <v>7106</v>
      </c>
      <c r="AC15" s="17">
        <v>866424</v>
      </c>
      <c r="AD15" s="17">
        <v>7813315</v>
      </c>
      <c r="AE15" s="17">
        <v>5250</v>
      </c>
      <c r="AF15" s="51">
        <f t="shared" si="0"/>
        <v>44.087288438302586</v>
      </c>
      <c r="AG15" s="51">
        <f t="shared" si="1"/>
        <v>5.4986158265428191</v>
      </c>
      <c r="AH15" s="51">
        <f t="shared" si="2"/>
        <v>49.585904264845404</v>
      </c>
      <c r="AI15" s="51">
        <f t="shared" si="3"/>
        <v>3.3318251905937284E-2</v>
      </c>
      <c r="AJ15" s="17">
        <v>13727197</v>
      </c>
      <c r="AK15" s="17">
        <v>6600685</v>
      </c>
      <c r="AL15" s="17">
        <v>706112</v>
      </c>
      <c r="AM15" s="17">
        <v>7306797</v>
      </c>
      <c r="AN15" s="17">
        <v>21033994</v>
      </c>
      <c r="AO15" s="17">
        <v>3466856</v>
      </c>
      <c r="AP15" s="17"/>
      <c r="AQ15" s="17"/>
      <c r="AR15" s="17"/>
      <c r="AS15" s="17"/>
      <c r="AT15" s="17"/>
      <c r="AU15" s="17"/>
      <c r="AV15" t="s">
        <v>236</v>
      </c>
      <c r="AW15" t="s">
        <v>236</v>
      </c>
      <c r="BN15" s="17"/>
      <c r="BO15" s="17"/>
      <c r="BP15" s="17"/>
      <c r="BQ15" s="17"/>
      <c r="BR15" s="17"/>
      <c r="BX15" s="17"/>
    </row>
    <row r="16" spans="1:80" x14ac:dyDescent="0.25">
      <c r="A16" t="s">
        <v>237</v>
      </c>
      <c r="B16" t="s">
        <v>30</v>
      </c>
      <c r="C16">
        <v>2015</v>
      </c>
      <c r="D16" t="s">
        <v>238</v>
      </c>
      <c r="E16" s="61">
        <v>15310</v>
      </c>
      <c r="F16" s="67">
        <v>9168299999.9999981</v>
      </c>
      <c r="G16" s="17">
        <v>284217</v>
      </c>
      <c r="H16" t="s">
        <v>109</v>
      </c>
      <c r="I16" t="s">
        <v>110</v>
      </c>
      <c r="J16" t="s">
        <v>239</v>
      </c>
      <c r="K16" t="s">
        <v>240</v>
      </c>
      <c r="L16" t="s">
        <v>241</v>
      </c>
      <c r="M16" t="s">
        <v>242</v>
      </c>
      <c r="N16" t="s">
        <v>243</v>
      </c>
      <c r="O16" t="s">
        <v>244</v>
      </c>
      <c r="T16" t="s">
        <v>256</v>
      </c>
      <c r="Y16" t="s">
        <v>256</v>
      </c>
      <c r="Z16" s="17">
        <v>4376</v>
      </c>
      <c r="AA16" s="17">
        <v>4527</v>
      </c>
      <c r="AB16" s="17">
        <v>399</v>
      </c>
      <c r="AC16" s="17">
        <v>4926</v>
      </c>
      <c r="AD16" s="17">
        <v>9302</v>
      </c>
      <c r="AE16" s="17">
        <v>352</v>
      </c>
      <c r="AF16" s="51">
        <f t="shared" si="0"/>
        <v>15.396686334737192</v>
      </c>
      <c r="AG16" s="51">
        <f t="shared" si="1"/>
        <v>17.33182744170827</v>
      </c>
      <c r="AH16" s="51">
        <f t="shared" si="2"/>
        <v>32.728513776445467</v>
      </c>
      <c r="AI16" s="51">
        <f t="shared" si="3"/>
        <v>1.2384903084614924</v>
      </c>
      <c r="AJ16" s="17">
        <v>4375</v>
      </c>
      <c r="AK16" s="17">
        <v>41932</v>
      </c>
      <c r="AL16" s="17">
        <v>14651</v>
      </c>
      <c r="AM16" s="17">
        <v>56583</v>
      </c>
      <c r="AN16" s="17">
        <v>60958</v>
      </c>
      <c r="AO16" s="17">
        <v>39491</v>
      </c>
      <c r="AP16" s="17">
        <v>283149366</v>
      </c>
      <c r="AQ16" s="17">
        <v>3824490059</v>
      </c>
      <c r="AR16" s="17">
        <v>1014821136</v>
      </c>
      <c r="AS16" s="17">
        <v>4839311195</v>
      </c>
      <c r="AT16" s="17">
        <v>5122460561</v>
      </c>
      <c r="AU16" s="17">
        <v>2745538424</v>
      </c>
      <c r="AV16" t="s">
        <v>245</v>
      </c>
      <c r="AW16" t="s">
        <v>245</v>
      </c>
      <c r="BN16" s="17"/>
      <c r="BO16" s="17">
        <v>1695</v>
      </c>
      <c r="BP16" s="17"/>
      <c r="BQ16" s="17"/>
      <c r="BR16" s="17"/>
      <c r="BU16" t="s">
        <v>246</v>
      </c>
      <c r="BV16" t="s">
        <v>247</v>
      </c>
      <c r="BX16" s="17" t="s">
        <v>265</v>
      </c>
    </row>
    <row r="17" spans="1:76" x14ac:dyDescent="0.25">
      <c r="A17" t="s">
        <v>257</v>
      </c>
      <c r="B17" t="s">
        <v>30</v>
      </c>
      <c r="C17">
        <v>2017</v>
      </c>
      <c r="D17" t="s">
        <v>258</v>
      </c>
      <c r="E17" s="61">
        <v>5280</v>
      </c>
      <c r="F17" s="67">
        <v>105199000000</v>
      </c>
      <c r="G17" s="17">
        <v>9507875</v>
      </c>
      <c r="H17" t="s">
        <v>42</v>
      </c>
      <c r="I17" t="s">
        <v>43</v>
      </c>
      <c r="J17" t="s">
        <v>259</v>
      </c>
      <c r="K17" t="s">
        <v>260</v>
      </c>
      <c r="L17" t="s">
        <v>261</v>
      </c>
      <c r="M17" t="s">
        <v>262</v>
      </c>
      <c r="N17" t="s">
        <v>263</v>
      </c>
      <c r="O17" t="s">
        <v>167</v>
      </c>
      <c r="T17" t="s">
        <v>264</v>
      </c>
      <c r="Y17" t="s">
        <v>264</v>
      </c>
      <c r="Z17" s="17">
        <v>95854</v>
      </c>
      <c r="AA17" s="17">
        <v>11872</v>
      </c>
      <c r="AB17" s="17">
        <v>2542</v>
      </c>
      <c r="AC17" s="17">
        <v>14414</v>
      </c>
      <c r="AD17" s="17">
        <v>110268</v>
      </c>
      <c r="AE17" s="17"/>
      <c r="AF17" s="51">
        <f t="shared" si="0"/>
        <v>10.081537672718667</v>
      </c>
      <c r="AG17" s="51">
        <f t="shared" si="1"/>
        <v>1.5160064683223118</v>
      </c>
      <c r="AH17" s="51">
        <f t="shared" si="2"/>
        <v>11.597544141040979</v>
      </c>
      <c r="AI17" s="51" t="str">
        <f t="shared" si="3"/>
        <v/>
      </c>
      <c r="AJ17" s="17">
        <v>353926</v>
      </c>
      <c r="AK17" s="17">
        <v>434070</v>
      </c>
      <c r="AL17" s="17">
        <v>363620</v>
      </c>
      <c r="AM17" s="17">
        <v>797690</v>
      </c>
      <c r="AN17" s="17">
        <v>1151616</v>
      </c>
      <c r="AO17" s="17"/>
      <c r="AP17" s="17">
        <v>7469129000</v>
      </c>
      <c r="AQ17" s="17">
        <v>10625099000</v>
      </c>
      <c r="AR17" s="17">
        <v>8205522000</v>
      </c>
      <c r="AS17" s="17">
        <v>18830621000</v>
      </c>
      <c r="AT17" s="17">
        <v>26299750000</v>
      </c>
      <c r="AU17" s="17"/>
      <c r="AV17" t="s">
        <v>266</v>
      </c>
      <c r="AW17" t="s">
        <v>267</v>
      </c>
      <c r="BF17" s="65"/>
      <c r="BG17" s="65"/>
      <c r="BN17" s="17"/>
      <c r="BO17" s="17"/>
      <c r="BP17" s="17"/>
      <c r="BQ17" s="17"/>
      <c r="BR17" s="17"/>
      <c r="BX17" s="17"/>
    </row>
    <row r="18" spans="1:76" x14ac:dyDescent="0.25">
      <c r="A18" t="s">
        <v>268</v>
      </c>
      <c r="B18" t="s">
        <v>30</v>
      </c>
      <c r="C18">
        <v>2016</v>
      </c>
      <c r="D18" t="s">
        <v>269</v>
      </c>
      <c r="E18" s="61">
        <v>42640</v>
      </c>
      <c r="F18" s="67">
        <v>422677600000</v>
      </c>
      <c r="G18" s="17">
        <v>11372068</v>
      </c>
      <c r="H18" t="s">
        <v>109</v>
      </c>
      <c r="I18" t="s">
        <v>43</v>
      </c>
      <c r="J18" t="s">
        <v>188</v>
      </c>
      <c r="K18" t="s">
        <v>193</v>
      </c>
      <c r="L18" t="s">
        <v>190</v>
      </c>
      <c r="M18" t="s">
        <v>48</v>
      </c>
      <c r="N18" t="s">
        <v>62</v>
      </c>
      <c r="O18" t="s">
        <v>63</v>
      </c>
      <c r="T18" t="s">
        <v>55</v>
      </c>
      <c r="Y18" t="s">
        <v>55</v>
      </c>
      <c r="Z18" s="17">
        <v>579074</v>
      </c>
      <c r="AA18" s="17">
        <v>14069</v>
      </c>
      <c r="AB18" s="17">
        <v>4171</v>
      </c>
      <c r="AC18" s="17">
        <v>18240</v>
      </c>
      <c r="AD18" s="17">
        <v>597314</v>
      </c>
      <c r="AE18" s="17">
        <v>912</v>
      </c>
      <c r="AF18" s="51">
        <f t="shared" si="0"/>
        <v>50.92072963334374</v>
      </c>
      <c r="AG18" s="51">
        <f t="shared" si="1"/>
        <v>1.6039299096699036</v>
      </c>
      <c r="AH18" s="51">
        <f t="shared" si="2"/>
        <v>52.524659543013634</v>
      </c>
      <c r="AI18" s="51">
        <f t="shared" si="3"/>
        <v>8.0196495483495181E-2</v>
      </c>
      <c r="AJ18" s="17">
        <v>968611</v>
      </c>
      <c r="AK18" s="17">
        <v>546598</v>
      </c>
      <c r="AL18" s="17">
        <v>423503</v>
      </c>
      <c r="AM18" s="17">
        <v>970101</v>
      </c>
      <c r="AN18" s="17">
        <v>1938712</v>
      </c>
      <c r="AO18" s="17">
        <v>863715</v>
      </c>
      <c r="AP18" s="17">
        <v>51722900000</v>
      </c>
      <c r="AQ18" s="17">
        <v>41177200000</v>
      </c>
      <c r="AR18" s="17">
        <v>38543100000</v>
      </c>
      <c r="AS18" s="17">
        <v>79720300000</v>
      </c>
      <c r="AT18" s="17">
        <v>131443200000</v>
      </c>
      <c r="AU18" s="17">
        <v>80353400000</v>
      </c>
      <c r="AV18" t="s">
        <v>191</v>
      </c>
      <c r="AW18" t="s">
        <v>191</v>
      </c>
      <c r="BN18" s="17"/>
      <c r="BO18" s="17"/>
      <c r="BP18" s="17"/>
      <c r="BQ18" s="17"/>
      <c r="BR18" s="17"/>
      <c r="BX18" s="17"/>
    </row>
    <row r="19" spans="1:76" x14ac:dyDescent="0.25">
      <c r="A19" t="s">
        <v>272</v>
      </c>
      <c r="B19" t="s">
        <v>30</v>
      </c>
      <c r="C19">
        <v>2016</v>
      </c>
      <c r="D19" t="s">
        <v>273</v>
      </c>
      <c r="E19" s="61">
        <v>4480</v>
      </c>
      <c r="F19" s="67">
        <v>3640317100</v>
      </c>
      <c r="G19" s="17">
        <v>366954</v>
      </c>
      <c r="H19" t="s">
        <v>42</v>
      </c>
      <c r="I19" t="s">
        <v>110</v>
      </c>
      <c r="J19" t="s">
        <v>274</v>
      </c>
      <c r="K19" t="s">
        <v>275</v>
      </c>
      <c r="L19" t="s">
        <v>241</v>
      </c>
      <c r="M19" t="s">
        <v>182</v>
      </c>
      <c r="N19" t="s">
        <v>276</v>
      </c>
      <c r="O19" t="s">
        <v>244</v>
      </c>
      <c r="P19" t="s">
        <v>277</v>
      </c>
      <c r="Q19" t="s">
        <v>278</v>
      </c>
      <c r="R19" t="s">
        <v>279</v>
      </c>
      <c r="S19" t="s">
        <v>280</v>
      </c>
      <c r="T19" t="s">
        <v>281</v>
      </c>
      <c r="U19" t="s">
        <v>220</v>
      </c>
      <c r="V19" t="s">
        <v>282</v>
      </c>
      <c r="W19" t="s">
        <v>283</v>
      </c>
      <c r="X19" t="s">
        <v>284</v>
      </c>
      <c r="Y19" t="s">
        <v>281</v>
      </c>
      <c r="Z19" s="17">
        <v>5374</v>
      </c>
      <c r="AA19" s="17">
        <v>1565</v>
      </c>
      <c r="AB19" s="17">
        <v>477</v>
      </c>
      <c r="AC19" s="17">
        <v>2042</v>
      </c>
      <c r="AD19" s="17">
        <v>7416</v>
      </c>
      <c r="AE19" s="17">
        <v>558</v>
      </c>
      <c r="AF19" s="51">
        <f t="shared" si="0"/>
        <v>14.644887370079084</v>
      </c>
      <c r="AG19" s="51">
        <f t="shared" si="1"/>
        <v>5.5647301841647723</v>
      </c>
      <c r="AH19" s="51">
        <f t="shared" si="2"/>
        <v>20.209617554243856</v>
      </c>
      <c r="AI19" s="51">
        <f t="shared" si="3"/>
        <v>1.5206265635474747</v>
      </c>
      <c r="AJ19" s="17"/>
      <c r="AK19" s="17"/>
      <c r="AL19" s="17"/>
      <c r="AM19" s="17"/>
      <c r="AN19" s="17"/>
      <c r="AO19" s="17"/>
      <c r="AP19" s="17"/>
      <c r="AQ19" s="17"/>
      <c r="AR19" s="17"/>
      <c r="AS19" s="17"/>
      <c r="AT19" s="17"/>
      <c r="AU19" s="17"/>
      <c r="AV19" t="s">
        <v>285</v>
      </c>
      <c r="AW19" t="s">
        <v>285</v>
      </c>
      <c r="BN19" s="17"/>
      <c r="BO19" s="17"/>
      <c r="BP19" s="17"/>
      <c r="BQ19" s="17"/>
      <c r="BR19" s="17"/>
      <c r="BX19" s="17"/>
    </row>
    <row r="20" spans="1:76" x14ac:dyDescent="0.25">
      <c r="A20" t="s">
        <v>288</v>
      </c>
      <c r="B20" t="s">
        <v>30</v>
      </c>
      <c r="C20">
        <v>2008</v>
      </c>
      <c r="D20" t="s">
        <v>289</v>
      </c>
      <c r="E20" s="61">
        <v>750</v>
      </c>
      <c r="F20" s="67">
        <v>3194100000000</v>
      </c>
      <c r="G20" s="17">
        <v>8696916</v>
      </c>
      <c r="H20" t="s">
        <v>32</v>
      </c>
      <c r="I20" t="s">
        <v>89</v>
      </c>
      <c r="J20" t="s">
        <v>290</v>
      </c>
      <c r="K20" t="s">
        <v>291</v>
      </c>
      <c r="P20" t="s">
        <v>292</v>
      </c>
      <c r="Q20" t="s">
        <v>293</v>
      </c>
      <c r="R20" t="s">
        <v>294</v>
      </c>
      <c r="S20" t="s">
        <v>295</v>
      </c>
      <c r="T20" t="s">
        <v>296</v>
      </c>
      <c r="Y20" t="s">
        <v>296</v>
      </c>
      <c r="Z20" s="17">
        <v>4003</v>
      </c>
      <c r="AA20" s="17">
        <v>117507</v>
      </c>
      <c r="AB20" s="17">
        <v>16137</v>
      </c>
      <c r="AC20" s="17">
        <v>133644</v>
      </c>
      <c r="AD20" s="17">
        <v>137647</v>
      </c>
      <c r="AE20" s="17">
        <v>216</v>
      </c>
      <c r="AF20" s="51">
        <f t="shared" si="0"/>
        <v>0.46027810318048373</v>
      </c>
      <c r="AG20" s="51">
        <f t="shared" si="1"/>
        <v>15.366826585424073</v>
      </c>
      <c r="AH20" s="51">
        <f t="shared" si="2"/>
        <v>15.827104688604557</v>
      </c>
      <c r="AI20" s="51">
        <f t="shared" si="3"/>
        <v>2.4836390279036846E-2</v>
      </c>
      <c r="AJ20" s="17"/>
      <c r="AK20" s="17"/>
      <c r="AL20" s="17"/>
      <c r="AM20" s="17"/>
      <c r="AN20" s="17"/>
      <c r="AO20" s="17"/>
      <c r="AP20" s="17"/>
      <c r="AQ20" s="17"/>
      <c r="AR20" s="17"/>
      <c r="AS20" s="17"/>
      <c r="AT20" s="17"/>
      <c r="AU20" s="17"/>
      <c r="AV20" t="s">
        <v>297</v>
      </c>
      <c r="AW20" t="s">
        <v>297</v>
      </c>
      <c r="BN20" s="17"/>
      <c r="BO20" s="17"/>
      <c r="BP20" s="17"/>
      <c r="BQ20" s="17"/>
      <c r="BR20" s="17"/>
      <c r="BX20" s="17" t="s">
        <v>311</v>
      </c>
    </row>
    <row r="21" spans="1:76" x14ac:dyDescent="0.25">
      <c r="A21" t="s">
        <v>298</v>
      </c>
      <c r="B21" t="s">
        <v>30</v>
      </c>
      <c r="C21">
        <v>2017</v>
      </c>
      <c r="D21" t="s">
        <v>299</v>
      </c>
      <c r="E21" s="61">
        <v>106140</v>
      </c>
      <c r="F21" s="67">
        <v>0</v>
      </c>
      <c r="G21" s="17">
        <v>65441</v>
      </c>
      <c r="H21" t="s">
        <v>109</v>
      </c>
      <c r="I21" t="s">
        <v>300</v>
      </c>
      <c r="J21" t="s">
        <v>301</v>
      </c>
      <c r="K21" t="s">
        <v>302</v>
      </c>
      <c r="L21" t="s">
        <v>46</v>
      </c>
      <c r="M21" t="s">
        <v>47</v>
      </c>
      <c r="N21" t="s">
        <v>48</v>
      </c>
      <c r="O21" t="s">
        <v>49</v>
      </c>
      <c r="T21" t="s">
        <v>281</v>
      </c>
      <c r="U21" t="s">
        <v>220</v>
      </c>
      <c r="V21" t="s">
        <v>282</v>
      </c>
      <c r="W21" t="s">
        <v>283</v>
      </c>
      <c r="X21" t="s">
        <v>284</v>
      </c>
      <c r="Y21" t="s">
        <v>281</v>
      </c>
      <c r="Z21" s="17">
        <v>3033</v>
      </c>
      <c r="AA21" s="17">
        <v>502</v>
      </c>
      <c r="AB21" s="17">
        <v>411</v>
      </c>
      <c r="AC21" s="17">
        <v>913</v>
      </c>
      <c r="AD21" s="17">
        <v>3946</v>
      </c>
      <c r="AE21" s="17">
        <v>123</v>
      </c>
      <c r="AF21" s="51">
        <f t="shared" si="0"/>
        <v>46.347091273055121</v>
      </c>
      <c r="AG21" s="51">
        <f t="shared" si="1"/>
        <v>13.951498296175181</v>
      </c>
      <c r="AH21" s="51">
        <f t="shared" si="2"/>
        <v>60.298589569230302</v>
      </c>
      <c r="AI21" s="51">
        <f t="shared" si="3"/>
        <v>1.8795556302623737</v>
      </c>
      <c r="AJ21" s="17">
        <v>4763</v>
      </c>
      <c r="AK21" s="17">
        <v>3315</v>
      </c>
      <c r="AL21" s="17">
        <v>8355</v>
      </c>
      <c r="AM21" s="17">
        <v>11670</v>
      </c>
      <c r="AN21" s="17">
        <v>16433</v>
      </c>
      <c r="AO21" s="17">
        <v>17220</v>
      </c>
      <c r="AP21" s="17"/>
      <c r="AQ21" s="17"/>
      <c r="AR21" s="17"/>
      <c r="AS21" s="17"/>
      <c r="AT21" s="17"/>
      <c r="AU21" s="17"/>
      <c r="AV21" t="s">
        <v>303</v>
      </c>
      <c r="AW21" t="s">
        <v>303</v>
      </c>
      <c r="BN21" s="17"/>
      <c r="BO21" s="17"/>
      <c r="BP21" s="17"/>
      <c r="BQ21" s="17"/>
      <c r="BR21" s="17"/>
      <c r="BU21" t="s">
        <v>304</v>
      </c>
      <c r="BX21" s="17" t="s">
        <v>318</v>
      </c>
    </row>
    <row r="22" spans="1:76" x14ac:dyDescent="0.25">
      <c r="A22" t="s">
        <v>305</v>
      </c>
      <c r="B22" t="s">
        <v>30</v>
      </c>
      <c r="C22">
        <v>2017</v>
      </c>
      <c r="D22" t="s">
        <v>306</v>
      </c>
      <c r="E22" s="61">
        <v>2720</v>
      </c>
      <c r="F22" s="67">
        <v>170806000000</v>
      </c>
      <c r="G22" s="17">
        <v>807610</v>
      </c>
      <c r="H22" t="s">
        <v>88</v>
      </c>
      <c r="I22" t="s">
        <v>33</v>
      </c>
      <c r="J22" t="s">
        <v>307</v>
      </c>
      <c r="K22" t="s">
        <v>308</v>
      </c>
      <c r="L22" t="s">
        <v>46</v>
      </c>
      <c r="M22" t="s">
        <v>182</v>
      </c>
      <c r="N22" t="s">
        <v>309</v>
      </c>
      <c r="O22" t="s">
        <v>310</v>
      </c>
      <c r="T22" t="s">
        <v>306</v>
      </c>
      <c r="Y22" t="s">
        <v>306</v>
      </c>
      <c r="Z22" s="17">
        <v>14003</v>
      </c>
      <c r="AA22" s="17">
        <v>4029</v>
      </c>
      <c r="AB22" s="17">
        <v>1576</v>
      </c>
      <c r="AC22" s="17">
        <v>5605</v>
      </c>
      <c r="AD22" s="17">
        <v>19608</v>
      </c>
      <c r="AE22" s="17">
        <v>485</v>
      </c>
      <c r="AF22" s="51">
        <f t="shared" si="0"/>
        <v>17.338814526813685</v>
      </c>
      <c r="AG22" s="51">
        <f t="shared" si="1"/>
        <v>6.9402310521167392</v>
      </c>
      <c r="AH22" s="51">
        <f t="shared" si="2"/>
        <v>24.279045578930422</v>
      </c>
      <c r="AI22" s="51">
        <f t="shared" si="3"/>
        <v>0.60053738809573931</v>
      </c>
      <c r="AJ22" s="17"/>
      <c r="AK22" s="17"/>
      <c r="AL22" s="17"/>
      <c r="AM22" s="17"/>
      <c r="AN22" s="17"/>
      <c r="AO22" s="17"/>
      <c r="AP22" s="17"/>
      <c r="AQ22" s="17"/>
      <c r="AR22" s="17"/>
      <c r="AS22" s="17"/>
      <c r="AT22" s="17"/>
      <c r="AU22" s="17"/>
      <c r="BN22" s="17"/>
      <c r="BO22" s="17"/>
      <c r="BP22" s="17"/>
      <c r="BQ22" s="17"/>
      <c r="BR22" s="17"/>
      <c r="BX22" s="17"/>
    </row>
    <row r="23" spans="1:76" x14ac:dyDescent="0.25">
      <c r="A23" t="s">
        <v>312</v>
      </c>
      <c r="B23" t="s">
        <v>30</v>
      </c>
      <c r="C23">
        <v>2010</v>
      </c>
      <c r="D23" t="s">
        <v>313</v>
      </c>
      <c r="E23" s="61">
        <v>1810</v>
      </c>
      <c r="F23" s="67">
        <v>137875568000</v>
      </c>
      <c r="G23" s="17">
        <v>9918242</v>
      </c>
      <c r="H23" t="s">
        <v>88</v>
      </c>
      <c r="I23" t="s">
        <v>110</v>
      </c>
      <c r="J23" t="s">
        <v>314</v>
      </c>
      <c r="K23" t="s">
        <v>315</v>
      </c>
      <c r="L23" t="s">
        <v>46</v>
      </c>
      <c r="M23" t="s">
        <v>316</v>
      </c>
      <c r="N23" t="s">
        <v>317</v>
      </c>
      <c r="O23" t="s">
        <v>49</v>
      </c>
      <c r="T23" t="s">
        <v>1855</v>
      </c>
      <c r="Y23" t="s">
        <v>1855</v>
      </c>
      <c r="Z23" s="17"/>
      <c r="AA23" s="17"/>
      <c r="AB23" s="17"/>
      <c r="AC23" s="17"/>
      <c r="AD23" s="17"/>
      <c r="AE23" s="17"/>
      <c r="AF23" s="51" t="str">
        <f t="shared" si="0"/>
        <v/>
      </c>
      <c r="AG23" s="51" t="str">
        <f t="shared" si="1"/>
        <v/>
      </c>
      <c r="AH23" s="51" t="str">
        <f t="shared" si="2"/>
        <v/>
      </c>
      <c r="AI23" s="51" t="str">
        <f t="shared" si="3"/>
        <v/>
      </c>
      <c r="AJ23" s="17"/>
      <c r="AK23" s="17"/>
      <c r="AL23" s="17">
        <v>800375.43930000009</v>
      </c>
      <c r="AM23" s="17"/>
      <c r="AN23" s="17">
        <v>3170196.9385000002</v>
      </c>
      <c r="AO23" s="17">
        <v>701788.62219999998</v>
      </c>
      <c r="AP23" s="17"/>
      <c r="AQ23" s="17"/>
      <c r="AR23" s="17"/>
      <c r="AS23" s="17"/>
      <c r="AT23" s="17"/>
      <c r="AU23" s="17"/>
      <c r="BN23" s="17"/>
      <c r="BO23" s="17"/>
      <c r="BP23" s="17"/>
      <c r="BQ23" s="17"/>
      <c r="BR23" s="17"/>
      <c r="BU23" t="s">
        <v>319</v>
      </c>
      <c r="BX23" s="17"/>
    </row>
    <row r="24" spans="1:76" x14ac:dyDescent="0.25">
      <c r="A24" t="s">
        <v>322</v>
      </c>
      <c r="B24" t="s">
        <v>30</v>
      </c>
      <c r="C24">
        <v>2015</v>
      </c>
      <c r="D24" t="s">
        <v>323</v>
      </c>
      <c r="E24" s="61">
        <v>5050</v>
      </c>
      <c r="F24" s="67">
        <v>28585811000</v>
      </c>
      <c r="G24" s="17">
        <v>3535961</v>
      </c>
      <c r="H24" t="s">
        <v>42</v>
      </c>
      <c r="I24" t="s">
        <v>43</v>
      </c>
      <c r="J24" t="s">
        <v>188</v>
      </c>
      <c r="K24" t="s">
        <v>189</v>
      </c>
      <c r="L24" t="s">
        <v>190</v>
      </c>
      <c r="M24" t="s">
        <v>48</v>
      </c>
      <c r="N24" t="s">
        <v>62</v>
      </c>
      <c r="O24" t="s">
        <v>63</v>
      </c>
      <c r="T24" t="s">
        <v>55</v>
      </c>
      <c r="Y24" t="s">
        <v>55</v>
      </c>
      <c r="Z24" s="17">
        <v>59540</v>
      </c>
      <c r="AA24" s="17">
        <v>4991</v>
      </c>
      <c r="AB24" s="17">
        <v>1076</v>
      </c>
      <c r="AC24" s="17">
        <v>6067</v>
      </c>
      <c r="AD24" s="17">
        <v>65607</v>
      </c>
      <c r="AE24" s="17">
        <v>193</v>
      </c>
      <c r="AF24" s="51">
        <f t="shared" si="0"/>
        <v>16.838421011996456</v>
      </c>
      <c r="AG24" s="51">
        <f t="shared" si="1"/>
        <v>1.7157994672452554</v>
      </c>
      <c r="AH24" s="51">
        <f t="shared" si="2"/>
        <v>18.554220479241714</v>
      </c>
      <c r="AI24" s="51">
        <f t="shared" si="3"/>
        <v>5.4582049971705002E-2</v>
      </c>
      <c r="AJ24" s="17">
        <v>134933</v>
      </c>
      <c r="AK24" s="17">
        <v>101307</v>
      </c>
      <c r="AL24" s="17">
        <v>107022</v>
      </c>
      <c r="AM24" s="17">
        <v>208329</v>
      </c>
      <c r="AN24" s="17">
        <v>343262</v>
      </c>
      <c r="AO24" s="17">
        <v>136608</v>
      </c>
      <c r="AP24" s="17">
        <v>1555500000</v>
      </c>
      <c r="AQ24" s="17">
        <v>1585500000</v>
      </c>
      <c r="AR24" s="17">
        <v>1561000000</v>
      </c>
      <c r="AS24" s="17">
        <v>3146500000</v>
      </c>
      <c r="AT24" s="17">
        <v>4702000000</v>
      </c>
      <c r="AU24" s="17">
        <v>2467000000</v>
      </c>
      <c r="AV24" t="s">
        <v>191</v>
      </c>
      <c r="AW24" t="s">
        <v>189</v>
      </c>
      <c r="BN24" s="17"/>
      <c r="BO24" s="17"/>
      <c r="BP24" s="17"/>
      <c r="BQ24" s="17"/>
      <c r="BR24" s="17"/>
      <c r="BX24" s="17"/>
    </row>
    <row r="25" spans="1:76" x14ac:dyDescent="0.25">
      <c r="A25" t="s">
        <v>332</v>
      </c>
      <c r="B25" t="s">
        <v>30</v>
      </c>
      <c r="C25">
        <v>2016</v>
      </c>
      <c r="D25" t="s">
        <v>333</v>
      </c>
      <c r="E25" s="61">
        <v>6760</v>
      </c>
      <c r="F25" s="67">
        <v>170588900000</v>
      </c>
      <c r="G25" s="17">
        <v>2291661</v>
      </c>
      <c r="H25" t="s">
        <v>42</v>
      </c>
      <c r="I25" t="s">
        <v>89</v>
      </c>
      <c r="J25" t="s">
        <v>334</v>
      </c>
      <c r="K25" t="s">
        <v>335</v>
      </c>
      <c r="L25" t="s">
        <v>46</v>
      </c>
      <c r="M25" t="s">
        <v>336</v>
      </c>
      <c r="N25" t="s">
        <v>337</v>
      </c>
      <c r="O25" t="s">
        <v>49</v>
      </c>
      <c r="T25" t="s">
        <v>1856</v>
      </c>
      <c r="Y25" t="s">
        <v>1856</v>
      </c>
      <c r="Z25" s="17">
        <v>7376</v>
      </c>
      <c r="AA25" s="17">
        <v>6077</v>
      </c>
      <c r="AB25" s="17">
        <v>438</v>
      </c>
      <c r="AC25" s="17">
        <v>6515</v>
      </c>
      <c r="AD25" s="17">
        <v>13891</v>
      </c>
      <c r="AE25" s="17">
        <v>726</v>
      </c>
      <c r="AF25" s="51">
        <f t="shared" si="0"/>
        <v>3.21862614060282</v>
      </c>
      <c r="AG25" s="51">
        <f t="shared" si="1"/>
        <v>2.8429161206653166</v>
      </c>
      <c r="AH25" s="51">
        <f t="shared" si="2"/>
        <v>6.0615422612681371</v>
      </c>
      <c r="AI25" s="51">
        <f t="shared" si="3"/>
        <v>0.31680078336193707</v>
      </c>
      <c r="AJ25" s="17"/>
      <c r="AK25" s="17"/>
      <c r="AL25" s="17"/>
      <c r="AM25" s="17"/>
      <c r="AN25" s="17"/>
      <c r="AO25" s="17"/>
      <c r="AP25" s="17"/>
      <c r="AQ25" s="17"/>
      <c r="AR25" s="17"/>
      <c r="AS25" s="17"/>
      <c r="AT25" s="17"/>
      <c r="AU25" s="17"/>
      <c r="AW25" t="s">
        <v>338</v>
      </c>
      <c r="BF25" s="65"/>
      <c r="BG25" s="65"/>
      <c r="BN25" s="17"/>
      <c r="BO25" s="17"/>
      <c r="BP25" s="17"/>
      <c r="BQ25" s="17"/>
      <c r="BR25" s="17"/>
      <c r="BX25" s="17"/>
    </row>
    <row r="26" spans="1:76" x14ac:dyDescent="0.25">
      <c r="A26" t="s">
        <v>342</v>
      </c>
      <c r="B26" t="s">
        <v>30</v>
      </c>
      <c r="C26">
        <v>2016</v>
      </c>
      <c r="D26" t="s">
        <v>343</v>
      </c>
      <c r="E26" s="61">
        <v>8860</v>
      </c>
      <c r="F26" s="67">
        <v>6259227789900.001</v>
      </c>
      <c r="G26" s="17">
        <v>209288278</v>
      </c>
      <c r="H26" t="s">
        <v>42</v>
      </c>
      <c r="I26" t="s">
        <v>110</v>
      </c>
      <c r="J26" t="s">
        <v>344</v>
      </c>
      <c r="K26" t="s">
        <v>345</v>
      </c>
      <c r="L26" t="s">
        <v>190</v>
      </c>
      <c r="M26" t="s">
        <v>48</v>
      </c>
      <c r="N26" t="s">
        <v>62</v>
      </c>
      <c r="O26" t="s">
        <v>63</v>
      </c>
      <c r="T26" t="s">
        <v>362</v>
      </c>
      <c r="Y26" t="s">
        <v>362</v>
      </c>
      <c r="Z26" s="17">
        <v>4425763</v>
      </c>
      <c r="AA26" s="17">
        <v>538626</v>
      </c>
      <c r="AB26" s="17">
        <v>67300</v>
      </c>
      <c r="AC26" s="17">
        <v>605926</v>
      </c>
      <c r="AD26" s="17">
        <v>5031689</v>
      </c>
      <c r="AE26" s="17">
        <v>18926</v>
      </c>
      <c r="AF26" s="51">
        <f t="shared" si="0"/>
        <v>21.146731399835019</v>
      </c>
      <c r="AG26" s="51">
        <f t="shared" si="1"/>
        <v>2.8951740909254364</v>
      </c>
      <c r="AH26" s="51">
        <f t="shared" si="2"/>
        <v>24.041905490760453</v>
      </c>
      <c r="AI26" s="51">
        <f t="shared" si="3"/>
        <v>9.043029156176631E-2</v>
      </c>
      <c r="AJ26" s="17">
        <v>11427756</v>
      </c>
      <c r="AK26" s="17">
        <v>9775173</v>
      </c>
      <c r="AL26" s="17">
        <v>6660821</v>
      </c>
      <c r="AM26" s="17">
        <v>16435994</v>
      </c>
      <c r="AN26" s="17">
        <v>27863750</v>
      </c>
      <c r="AO26" s="17">
        <v>23547449</v>
      </c>
      <c r="AP26" s="17"/>
      <c r="AQ26" s="17"/>
      <c r="AR26" s="17"/>
      <c r="AS26" s="17"/>
      <c r="AT26" s="17"/>
      <c r="AU26" s="17"/>
      <c r="AV26" t="s">
        <v>346</v>
      </c>
      <c r="AW26" t="s">
        <v>346</v>
      </c>
      <c r="BN26" s="17"/>
      <c r="BO26" s="17"/>
      <c r="BP26" s="17"/>
      <c r="BQ26" s="17"/>
      <c r="BR26" s="17"/>
      <c r="BX26" s="17"/>
    </row>
    <row r="27" spans="1:76" x14ac:dyDescent="0.25">
      <c r="A27" t="s">
        <v>367</v>
      </c>
      <c r="B27" t="s">
        <v>30</v>
      </c>
      <c r="C27">
        <v>2008</v>
      </c>
      <c r="D27" t="s">
        <v>368</v>
      </c>
      <c r="E27" s="61">
        <v>34160</v>
      </c>
      <c r="F27" s="67">
        <v>20397900000</v>
      </c>
      <c r="G27" s="17">
        <v>379252</v>
      </c>
      <c r="H27" t="s">
        <v>109</v>
      </c>
      <c r="I27" t="s">
        <v>77</v>
      </c>
      <c r="J27" t="s">
        <v>369</v>
      </c>
      <c r="K27" t="s">
        <v>370</v>
      </c>
      <c r="L27" t="s">
        <v>34</v>
      </c>
      <c r="M27" t="s">
        <v>371</v>
      </c>
      <c r="N27" t="s">
        <v>372</v>
      </c>
      <c r="O27" t="s">
        <v>37</v>
      </c>
      <c r="U27" s="15"/>
      <c r="V27" s="15"/>
      <c r="W27" s="15"/>
      <c r="X27" s="15"/>
      <c r="Y27" s="15"/>
      <c r="Z27" s="17">
        <v>4673</v>
      </c>
      <c r="AA27" s="17"/>
      <c r="AB27" s="17"/>
      <c r="AC27" s="17">
        <v>4112</v>
      </c>
      <c r="AD27" s="17">
        <v>8785</v>
      </c>
      <c r="AE27" s="17"/>
      <c r="AF27" s="51">
        <f t="shared" si="0"/>
        <v>12.321622562306857</v>
      </c>
      <c r="AG27" s="51">
        <f t="shared" si="1"/>
        <v>10.842395030217375</v>
      </c>
      <c r="AH27" s="51">
        <f t="shared" si="2"/>
        <v>23.164017592524232</v>
      </c>
      <c r="AI27" s="51" t="str">
        <f t="shared" si="3"/>
        <v/>
      </c>
      <c r="AJ27" s="17"/>
      <c r="AK27" s="17"/>
      <c r="AL27" s="17"/>
      <c r="AM27" s="17"/>
      <c r="AN27" s="17"/>
      <c r="AO27" s="17"/>
      <c r="AP27" s="17"/>
      <c r="AQ27" s="17"/>
      <c r="AR27" s="17"/>
      <c r="AS27" s="17"/>
      <c r="AT27" s="17"/>
      <c r="AU27" s="17"/>
      <c r="BN27" s="17"/>
      <c r="BO27" s="17"/>
      <c r="BP27" s="17"/>
      <c r="BQ27" s="17"/>
      <c r="BR27" s="17"/>
      <c r="BX27" s="17"/>
    </row>
    <row r="28" spans="1:76" x14ac:dyDescent="0.25">
      <c r="A28" t="s">
        <v>373</v>
      </c>
      <c r="B28" t="s">
        <v>30</v>
      </c>
      <c r="C28">
        <v>2016</v>
      </c>
      <c r="D28" t="s">
        <v>374</v>
      </c>
      <c r="E28" s="61">
        <v>7580</v>
      </c>
      <c r="F28" s="67">
        <v>94129900000</v>
      </c>
      <c r="G28" s="17">
        <v>7075991</v>
      </c>
      <c r="H28" t="s">
        <v>42</v>
      </c>
      <c r="I28" t="s">
        <v>43</v>
      </c>
      <c r="J28" t="s">
        <v>188</v>
      </c>
      <c r="K28" t="s">
        <v>375</v>
      </c>
      <c r="L28" t="s">
        <v>190</v>
      </c>
      <c r="M28" t="s">
        <v>48</v>
      </c>
      <c r="N28" t="s">
        <v>62</v>
      </c>
      <c r="O28" t="s">
        <v>63</v>
      </c>
      <c r="Z28" s="17">
        <v>308099</v>
      </c>
      <c r="AA28" s="17">
        <v>23012</v>
      </c>
      <c r="AB28" s="17">
        <v>4268</v>
      </c>
      <c r="AC28" s="17">
        <v>27280</v>
      </c>
      <c r="AD28" s="17">
        <v>335379</v>
      </c>
      <c r="AE28" s="17">
        <v>662</v>
      </c>
      <c r="AF28" s="51">
        <f t="shared" si="0"/>
        <v>43.541462955506873</v>
      </c>
      <c r="AG28" s="51">
        <f t="shared" si="1"/>
        <v>3.8552903755813142</v>
      </c>
      <c r="AH28" s="51">
        <f t="shared" si="2"/>
        <v>47.396753331088185</v>
      </c>
      <c r="AI28" s="51">
        <f t="shared" si="3"/>
        <v>9.3555800169898465E-2</v>
      </c>
      <c r="AJ28" s="17">
        <v>592929</v>
      </c>
      <c r="AK28" s="17">
        <v>455271</v>
      </c>
      <c r="AL28" s="17">
        <v>419472</v>
      </c>
      <c r="AM28" s="17">
        <v>874743</v>
      </c>
      <c r="AN28" s="17">
        <v>1467672</v>
      </c>
      <c r="AO28" s="17">
        <v>493848</v>
      </c>
      <c r="AP28" s="17">
        <v>5026400000</v>
      </c>
      <c r="AQ28" s="17">
        <v>5023700000</v>
      </c>
      <c r="AR28" s="17">
        <v>5645800000</v>
      </c>
      <c r="AS28" s="17">
        <v>10669500000</v>
      </c>
      <c r="AT28" s="17">
        <v>15695900000</v>
      </c>
      <c r="AU28" s="17">
        <v>9106700000</v>
      </c>
      <c r="AV28" t="s">
        <v>375</v>
      </c>
      <c r="AW28" t="s">
        <v>375</v>
      </c>
      <c r="BN28" s="17"/>
      <c r="BO28" s="17"/>
      <c r="BP28" s="17"/>
      <c r="BQ28" s="17"/>
      <c r="BR28" s="17"/>
      <c r="BX28" s="17"/>
    </row>
    <row r="29" spans="1:76" x14ac:dyDescent="0.25">
      <c r="A29" t="s">
        <v>376</v>
      </c>
      <c r="B29" t="s">
        <v>30</v>
      </c>
      <c r="C29">
        <v>2017</v>
      </c>
      <c r="D29" t="s">
        <v>377</v>
      </c>
      <c r="E29" s="61">
        <v>590</v>
      </c>
      <c r="F29" s="67">
        <v>7497652208252.1807</v>
      </c>
      <c r="G29" s="17">
        <v>19193382</v>
      </c>
      <c r="H29" t="s">
        <v>32</v>
      </c>
      <c r="I29" t="s">
        <v>89</v>
      </c>
      <c r="J29" t="s">
        <v>378</v>
      </c>
      <c r="K29" t="s">
        <v>1957</v>
      </c>
      <c r="L29" t="s">
        <v>61</v>
      </c>
      <c r="M29" t="s">
        <v>379</v>
      </c>
      <c r="N29" t="s">
        <v>341</v>
      </c>
      <c r="O29" t="s">
        <v>1670</v>
      </c>
      <c r="U29" t="s">
        <v>1914</v>
      </c>
      <c r="V29" t="s">
        <v>380</v>
      </c>
      <c r="W29" t="s">
        <v>381</v>
      </c>
      <c r="X29" t="s">
        <v>1915</v>
      </c>
      <c r="Y29" t="s">
        <v>296</v>
      </c>
      <c r="Z29" s="17"/>
      <c r="AA29" s="17"/>
      <c r="AB29" s="17"/>
      <c r="AC29" s="17"/>
      <c r="AD29" s="17"/>
      <c r="AE29" s="17"/>
      <c r="AF29" s="51" t="str">
        <f t="shared" si="0"/>
        <v/>
      </c>
      <c r="AG29" s="51" t="str">
        <f t="shared" si="1"/>
        <v/>
      </c>
      <c r="AH29" s="51" t="str">
        <f t="shared" si="2"/>
        <v/>
      </c>
      <c r="AI29" s="51" t="str">
        <f t="shared" si="3"/>
        <v/>
      </c>
      <c r="AJ29" s="17"/>
      <c r="AK29" s="17"/>
      <c r="AL29" s="17"/>
      <c r="AM29" s="17"/>
      <c r="AN29" s="17"/>
      <c r="AO29" s="17"/>
      <c r="AP29" s="17"/>
      <c r="AQ29" s="17"/>
      <c r="AR29" s="17"/>
      <c r="AS29" s="17"/>
      <c r="AT29" s="17"/>
      <c r="AU29" s="17"/>
      <c r="BN29" s="17"/>
      <c r="BO29" s="17"/>
      <c r="BP29" s="17"/>
      <c r="BQ29" s="17"/>
      <c r="BR29" s="17"/>
      <c r="BX29" s="17"/>
    </row>
    <row r="30" spans="1:76" x14ac:dyDescent="0.25">
      <c r="A30" t="s">
        <v>382</v>
      </c>
      <c r="B30" t="s">
        <v>30</v>
      </c>
      <c r="C30">
        <v>2016</v>
      </c>
      <c r="D30" t="s">
        <v>383</v>
      </c>
      <c r="E30" s="61">
        <v>280</v>
      </c>
      <c r="F30" s="67">
        <v>4975430233700</v>
      </c>
      <c r="G30" s="17">
        <v>10864245</v>
      </c>
      <c r="H30" t="s">
        <v>32</v>
      </c>
      <c r="I30" t="s">
        <v>89</v>
      </c>
      <c r="J30" t="s">
        <v>384</v>
      </c>
      <c r="K30" t="s">
        <v>385</v>
      </c>
      <c r="L30" t="s">
        <v>386</v>
      </c>
      <c r="M30" t="s">
        <v>243</v>
      </c>
      <c r="N30" t="s">
        <v>166</v>
      </c>
      <c r="O30" t="s">
        <v>167</v>
      </c>
      <c r="Z30" s="17">
        <v>6272</v>
      </c>
      <c r="AA30" s="17">
        <v>360</v>
      </c>
      <c r="AB30" s="17">
        <v>347</v>
      </c>
      <c r="AC30" s="17">
        <v>707</v>
      </c>
      <c r="AD30" s="17">
        <v>6979</v>
      </c>
      <c r="AE30" s="17">
        <v>49</v>
      </c>
      <c r="AF30" s="51">
        <f t="shared" si="0"/>
        <v>0.57730656847300477</v>
      </c>
      <c r="AG30" s="51">
        <f t="shared" si="1"/>
        <v>6.5075852026532904E-2</v>
      </c>
      <c r="AH30" s="51">
        <f t="shared" si="2"/>
        <v>0.64238242049953764</v>
      </c>
      <c r="AI30" s="51">
        <f t="shared" si="3"/>
        <v>4.5102075661953497E-3</v>
      </c>
      <c r="AJ30" s="17"/>
      <c r="AK30" s="17"/>
      <c r="AL30" s="17"/>
      <c r="AM30" s="17"/>
      <c r="AN30" s="17"/>
      <c r="AO30" s="17"/>
      <c r="AP30" s="17"/>
      <c r="AQ30" s="17"/>
      <c r="AR30" s="17"/>
      <c r="AS30" s="17"/>
      <c r="AT30" s="17"/>
      <c r="AU30" s="17"/>
      <c r="BN30" s="17"/>
      <c r="BO30" s="17"/>
      <c r="BP30" s="17"/>
      <c r="BQ30" s="17"/>
      <c r="BR30" s="17"/>
      <c r="BX30" s="17"/>
    </row>
    <row r="31" spans="1:76" x14ac:dyDescent="0.25">
      <c r="A31" t="s">
        <v>387</v>
      </c>
      <c r="B31" t="s">
        <v>30</v>
      </c>
      <c r="C31">
        <v>2012</v>
      </c>
      <c r="D31" t="s">
        <v>388</v>
      </c>
      <c r="E31" s="61">
        <v>3380</v>
      </c>
      <c r="F31" s="67">
        <v>150351280900</v>
      </c>
      <c r="G31" s="17">
        <v>513979</v>
      </c>
      <c r="H31" t="s">
        <v>88</v>
      </c>
      <c r="I31" t="s">
        <v>89</v>
      </c>
      <c r="J31" t="s">
        <v>389</v>
      </c>
      <c r="K31" t="s">
        <v>390</v>
      </c>
      <c r="L31" t="s">
        <v>391</v>
      </c>
      <c r="M31" t="s">
        <v>392</v>
      </c>
      <c r="N31" t="s">
        <v>393</v>
      </c>
      <c r="O31" t="s">
        <v>394</v>
      </c>
      <c r="Y31" t="s">
        <v>395</v>
      </c>
      <c r="Z31" s="17">
        <v>7907</v>
      </c>
      <c r="AA31" s="17">
        <v>648</v>
      </c>
      <c r="AB31" s="17">
        <v>328</v>
      </c>
      <c r="AC31" s="17">
        <v>976</v>
      </c>
      <c r="AD31" s="17">
        <v>8883</v>
      </c>
      <c r="AE31" s="17">
        <v>294</v>
      </c>
      <c r="AF31" s="51">
        <f t="shared" si="0"/>
        <v>15.383897007465286</v>
      </c>
      <c r="AG31" s="51">
        <f t="shared" si="1"/>
        <v>1.8989102667618716</v>
      </c>
      <c r="AH31" s="51">
        <f t="shared" si="2"/>
        <v>17.282807274227157</v>
      </c>
      <c r="AI31" s="51">
        <f t="shared" si="3"/>
        <v>0.57200780576638344</v>
      </c>
      <c r="AJ31" s="17">
        <v>14824</v>
      </c>
      <c r="AK31" s="17">
        <v>4818</v>
      </c>
      <c r="AL31" s="17">
        <v>4664</v>
      </c>
      <c r="AM31" s="17">
        <v>9482</v>
      </c>
      <c r="AN31" s="17">
        <v>24306</v>
      </c>
      <c r="AO31" s="17">
        <v>27105</v>
      </c>
      <c r="AP31" s="17">
        <v>7757439000</v>
      </c>
      <c r="AQ31" s="17">
        <v>3915673000</v>
      </c>
      <c r="AR31" s="17">
        <v>4451522000</v>
      </c>
      <c r="AS31" s="17">
        <v>8367195000</v>
      </c>
      <c r="AT31" s="17">
        <v>16124634000</v>
      </c>
      <c r="AU31" s="17">
        <v>38587420000</v>
      </c>
      <c r="BN31" s="17"/>
      <c r="BO31" s="17"/>
      <c r="BP31" s="17"/>
      <c r="BQ31" s="17"/>
      <c r="BR31" s="17"/>
      <c r="BU31" t="s">
        <v>396</v>
      </c>
      <c r="BX31" s="17"/>
    </row>
    <row r="32" spans="1:76" s="15" customFormat="1" x14ac:dyDescent="0.25">
      <c r="A32" s="15" t="s">
        <v>397</v>
      </c>
      <c r="B32" s="15" t="s">
        <v>30</v>
      </c>
      <c r="C32" s="15">
        <v>2014</v>
      </c>
      <c r="D32" s="15" t="s">
        <v>398</v>
      </c>
      <c r="E32" s="61">
        <v>1020</v>
      </c>
      <c r="F32" s="67">
        <v>67436791276199.992</v>
      </c>
      <c r="G32" s="67">
        <v>15270790</v>
      </c>
      <c r="H32" s="15" t="s">
        <v>88</v>
      </c>
      <c r="I32" s="15" t="s">
        <v>77</v>
      </c>
      <c r="J32" s="15" t="s">
        <v>399</v>
      </c>
      <c r="K32" s="15" t="s">
        <v>400</v>
      </c>
      <c r="L32" s="15" t="s">
        <v>401</v>
      </c>
      <c r="M32" s="15" t="s">
        <v>402</v>
      </c>
      <c r="N32" s="15" t="s">
        <v>372</v>
      </c>
      <c r="O32" s="15" t="s">
        <v>37</v>
      </c>
      <c r="Z32" s="17">
        <v>501612</v>
      </c>
      <c r="AA32" s="17">
        <v>10648</v>
      </c>
      <c r="AB32" s="17">
        <v>610</v>
      </c>
      <c r="AC32" s="17">
        <v>11258</v>
      </c>
      <c r="AD32" s="17">
        <v>512870</v>
      </c>
      <c r="AE32" s="17">
        <v>889</v>
      </c>
      <c r="AF32" s="51">
        <f t="shared" si="0"/>
        <v>32.847809445352858</v>
      </c>
      <c r="AG32" s="51">
        <f t="shared" si="1"/>
        <v>0.7372244657938456</v>
      </c>
      <c r="AH32" s="51">
        <f t="shared" si="2"/>
        <v>33.585033911146709</v>
      </c>
      <c r="AI32" s="51">
        <f t="shared" si="3"/>
        <v>5.8215717719908397E-2</v>
      </c>
      <c r="AJ32" s="67">
        <v>1093496</v>
      </c>
      <c r="AK32" s="17">
        <v>207774</v>
      </c>
      <c r="AL32" s="17">
        <v>43830</v>
      </c>
      <c r="AM32" s="17">
        <v>251604</v>
      </c>
      <c r="AN32" s="17">
        <v>1345100</v>
      </c>
      <c r="AO32" s="17">
        <v>529570</v>
      </c>
      <c r="AP32" s="17">
        <v>8160968893</v>
      </c>
      <c r="AQ32" s="17">
        <v>2638723372</v>
      </c>
      <c r="AR32" s="17">
        <v>451186122</v>
      </c>
      <c r="AS32" s="17">
        <v>3089909494</v>
      </c>
      <c r="AT32" s="17">
        <v>11250878387</v>
      </c>
      <c r="AU32" s="17">
        <v>11360755435</v>
      </c>
      <c r="AV32" s="65" t="s">
        <v>400</v>
      </c>
      <c r="AW32" s="15" t="s">
        <v>400</v>
      </c>
      <c r="AX32" s="67"/>
      <c r="AY32" s="71"/>
      <c r="BA32" s="71"/>
      <c r="BJ32" s="68"/>
      <c r="BK32" s="21"/>
      <c r="BL32" s="21"/>
      <c r="BM32" s="65"/>
      <c r="BN32" s="17"/>
      <c r="BO32" s="17"/>
      <c r="BP32" s="17"/>
      <c r="BQ32" s="17"/>
      <c r="BR32" s="17"/>
      <c r="BX32" s="67"/>
    </row>
    <row r="33" spans="1:76" x14ac:dyDescent="0.25">
      <c r="A33" t="s">
        <v>408</v>
      </c>
      <c r="B33" t="s">
        <v>30</v>
      </c>
      <c r="C33">
        <v>2016</v>
      </c>
      <c r="D33" t="s">
        <v>409</v>
      </c>
      <c r="E33" s="61">
        <v>1400</v>
      </c>
      <c r="F33" s="67">
        <v>19105000000000</v>
      </c>
      <c r="G33" s="17">
        <v>23439189</v>
      </c>
      <c r="H33" t="s">
        <v>88</v>
      </c>
      <c r="I33" t="s">
        <v>89</v>
      </c>
      <c r="J33" t="s">
        <v>1587</v>
      </c>
      <c r="K33" t="s">
        <v>410</v>
      </c>
      <c r="L33" t="s">
        <v>724</v>
      </c>
      <c r="M33" t="s">
        <v>35</v>
      </c>
      <c r="N33" t="s">
        <v>36</v>
      </c>
      <c r="O33" t="s">
        <v>37</v>
      </c>
      <c r="U33" t="s">
        <v>411</v>
      </c>
      <c r="V33" t="s">
        <v>412</v>
      </c>
      <c r="W33" t="s">
        <v>413</v>
      </c>
      <c r="X33" t="s">
        <v>414</v>
      </c>
      <c r="Y33" t="s">
        <v>296</v>
      </c>
      <c r="Z33" s="17">
        <v>161094</v>
      </c>
      <c r="AA33" s="17">
        <v>39205</v>
      </c>
      <c r="AB33" s="17">
        <v>2689</v>
      </c>
      <c r="AC33" s="17">
        <v>41894</v>
      </c>
      <c r="AD33" s="17">
        <v>202988</v>
      </c>
      <c r="AE33" s="17">
        <v>431</v>
      </c>
      <c r="AF33" s="51">
        <f t="shared" si="0"/>
        <v>6.8728487150301998</v>
      </c>
      <c r="AG33" s="51">
        <f t="shared" si="1"/>
        <v>1.7873485298488783</v>
      </c>
      <c r="AH33" s="51">
        <f t="shared" si="2"/>
        <v>8.6601972448790789</v>
      </c>
      <c r="AI33" s="51">
        <f t="shared" si="3"/>
        <v>1.8388008219908974E-2</v>
      </c>
      <c r="AJ33" s="17">
        <v>165456</v>
      </c>
      <c r="AK33" s="17">
        <v>52345</v>
      </c>
      <c r="AL33" s="17">
        <v>24293</v>
      </c>
      <c r="AM33" s="17">
        <v>76638</v>
      </c>
      <c r="AN33" s="17">
        <v>242094</v>
      </c>
      <c r="AO33" s="17">
        <v>174235</v>
      </c>
      <c r="AP33" s="17"/>
      <c r="AQ33" s="17"/>
      <c r="AR33" s="17"/>
      <c r="AS33" s="17"/>
      <c r="AT33" s="17"/>
      <c r="AU33" s="17"/>
      <c r="AV33" t="s">
        <v>415</v>
      </c>
      <c r="AW33" t="s">
        <v>415</v>
      </c>
      <c r="BM33" t="s">
        <v>416</v>
      </c>
      <c r="BN33" s="17">
        <v>44154</v>
      </c>
      <c r="BO33" s="17">
        <v>9398</v>
      </c>
      <c r="BP33" s="17">
        <f>BN33+BO33</f>
        <v>53552</v>
      </c>
      <c r="BQ33" s="17"/>
      <c r="BR33" s="17"/>
      <c r="BX33" s="17"/>
    </row>
    <row r="34" spans="1:76" x14ac:dyDescent="0.25">
      <c r="A34" t="s">
        <v>418</v>
      </c>
      <c r="B34" t="s">
        <v>30</v>
      </c>
      <c r="C34">
        <v>2017</v>
      </c>
      <c r="D34" t="s">
        <v>419</v>
      </c>
      <c r="E34" s="61">
        <v>42870</v>
      </c>
      <c r="F34" s="67">
        <v>2145214000000</v>
      </c>
      <c r="G34" s="17">
        <v>36708083</v>
      </c>
      <c r="H34" t="s">
        <v>109</v>
      </c>
      <c r="I34" t="s">
        <v>300</v>
      </c>
      <c r="J34" t="s">
        <v>420</v>
      </c>
      <c r="K34" t="s">
        <v>1588</v>
      </c>
      <c r="L34" t="s">
        <v>46</v>
      </c>
      <c r="M34" t="s">
        <v>421</v>
      </c>
      <c r="N34" t="s">
        <v>422</v>
      </c>
      <c r="O34" t="s">
        <v>1084</v>
      </c>
      <c r="Z34" s="17">
        <v>634063</v>
      </c>
      <c r="AA34" s="17">
        <v>518706</v>
      </c>
      <c r="AB34" s="17">
        <v>21926</v>
      </c>
      <c r="AC34" s="17">
        <v>540632</v>
      </c>
      <c r="AD34" s="17">
        <v>1174695</v>
      </c>
      <c r="AE34" s="17">
        <v>2939</v>
      </c>
      <c r="AF34" s="51">
        <f t="shared" si="0"/>
        <v>17.273116659347206</v>
      </c>
      <c r="AG34" s="51">
        <f t="shared" si="1"/>
        <v>14.727873422319549</v>
      </c>
      <c r="AH34" s="51">
        <f t="shared" si="2"/>
        <v>32.000990081666757</v>
      </c>
      <c r="AI34" s="51">
        <f t="shared" si="3"/>
        <v>8.0064110130730615E-2</v>
      </c>
      <c r="AJ34" s="17">
        <v>4562690</v>
      </c>
      <c r="AK34" s="17">
        <v>3733110</v>
      </c>
      <c r="AL34" s="17">
        <v>2371400</v>
      </c>
      <c r="AM34" s="17">
        <v>6104510</v>
      </c>
      <c r="AN34" s="17">
        <v>10667200</v>
      </c>
      <c r="AO34" s="17">
        <v>1228300</v>
      </c>
      <c r="AP34" s="17"/>
      <c r="AQ34" s="17"/>
      <c r="AR34" s="17"/>
      <c r="AS34" s="17"/>
      <c r="AT34" s="17"/>
      <c r="AU34" s="17"/>
      <c r="BM34" t="s">
        <v>424</v>
      </c>
      <c r="BN34" s="17"/>
      <c r="BO34" s="17">
        <v>84879</v>
      </c>
      <c r="BP34" s="17"/>
      <c r="BQ34" s="17"/>
      <c r="BR34" s="17"/>
      <c r="BT34" t="s">
        <v>1589</v>
      </c>
      <c r="BX34" s="17"/>
    </row>
    <row r="35" spans="1:76" x14ac:dyDescent="0.25">
      <c r="A35" t="s">
        <v>427</v>
      </c>
      <c r="B35" t="s">
        <v>30</v>
      </c>
      <c r="C35">
        <v>2015</v>
      </c>
      <c r="D35" t="s">
        <v>428</v>
      </c>
      <c r="E35" s="61">
        <v>14270</v>
      </c>
      <c r="F35" s="67">
        <v>159605938775800</v>
      </c>
      <c r="G35" s="17">
        <v>17762681</v>
      </c>
      <c r="H35" t="s">
        <v>109</v>
      </c>
      <c r="I35" t="s">
        <v>110</v>
      </c>
      <c r="J35" t="s">
        <v>429</v>
      </c>
      <c r="K35" t="s">
        <v>430</v>
      </c>
      <c r="U35" t="s">
        <v>1590</v>
      </c>
      <c r="V35" t="s">
        <v>1596</v>
      </c>
      <c r="W35" t="s">
        <v>1602</v>
      </c>
      <c r="X35" t="s">
        <v>1608</v>
      </c>
      <c r="Y35" t="s">
        <v>1614</v>
      </c>
      <c r="Z35" s="17">
        <v>683204</v>
      </c>
      <c r="AA35" s="17">
        <v>191507</v>
      </c>
      <c r="AB35" s="17">
        <v>28446</v>
      </c>
      <c r="AC35" s="17">
        <v>219953</v>
      </c>
      <c r="AD35" s="17">
        <v>903157</v>
      </c>
      <c r="AE35" s="17">
        <v>14172</v>
      </c>
      <c r="AF35" s="51">
        <f t="shared" si="0"/>
        <v>38.462887443624076</v>
      </c>
      <c r="AG35" s="51">
        <f t="shared" si="1"/>
        <v>12.382871707260858</v>
      </c>
      <c r="AH35" s="51">
        <f t="shared" si="2"/>
        <v>50.84575915088493</v>
      </c>
      <c r="AI35" s="51">
        <f t="shared" si="3"/>
        <v>0.79785253138307211</v>
      </c>
      <c r="AJ35" s="17">
        <v>565267</v>
      </c>
      <c r="AK35" s="17">
        <v>1799797</v>
      </c>
      <c r="AL35" s="17">
        <v>1453014</v>
      </c>
      <c r="AM35" s="17">
        <v>3252811</v>
      </c>
      <c r="AN35" s="17">
        <v>3818078</v>
      </c>
      <c r="AO35" s="17">
        <v>4476986</v>
      </c>
      <c r="AP35" s="17">
        <v>385364587</v>
      </c>
      <c r="AQ35" s="17"/>
      <c r="AR35" s="17"/>
      <c r="AS35" s="17"/>
      <c r="AT35" s="17"/>
      <c r="AU35" s="17"/>
      <c r="AV35" t="s">
        <v>430</v>
      </c>
      <c r="AW35" t="s">
        <v>430</v>
      </c>
      <c r="BN35" s="17"/>
      <c r="BO35" s="17"/>
      <c r="BP35" s="17"/>
      <c r="BQ35" s="17"/>
      <c r="BR35" s="17"/>
      <c r="BT35" t="s">
        <v>1615</v>
      </c>
      <c r="BX35" s="17" t="s">
        <v>1879</v>
      </c>
    </row>
    <row r="36" spans="1:76" x14ac:dyDescent="0.25">
      <c r="A36" t="s">
        <v>433</v>
      </c>
      <c r="B36" t="s">
        <v>30</v>
      </c>
      <c r="C36">
        <v>2017</v>
      </c>
      <c r="D36" t="s">
        <v>434</v>
      </c>
      <c r="E36" s="61">
        <v>8690</v>
      </c>
      <c r="F36" s="67">
        <v>82712170000000</v>
      </c>
      <c r="G36" s="17">
        <v>1386395000</v>
      </c>
      <c r="H36" t="s">
        <v>42</v>
      </c>
      <c r="I36" t="s">
        <v>77</v>
      </c>
      <c r="J36" t="s">
        <v>1880</v>
      </c>
      <c r="K36" t="s">
        <v>1878</v>
      </c>
      <c r="L36" t="s">
        <v>435</v>
      </c>
      <c r="M36" t="s">
        <v>436</v>
      </c>
      <c r="N36" t="s">
        <v>437</v>
      </c>
      <c r="O36" t="s">
        <v>438</v>
      </c>
      <c r="P36" t="s">
        <v>439</v>
      </c>
      <c r="Q36" t="s">
        <v>440</v>
      </c>
      <c r="R36" t="s">
        <v>441</v>
      </c>
      <c r="S36" t="s">
        <v>442</v>
      </c>
      <c r="T36" t="s">
        <v>434</v>
      </c>
      <c r="U36" t="s">
        <v>443</v>
      </c>
      <c r="V36" t="s">
        <v>444</v>
      </c>
      <c r="W36" t="s">
        <v>445</v>
      </c>
      <c r="X36" t="s">
        <v>446</v>
      </c>
      <c r="Y36" t="s">
        <v>447</v>
      </c>
      <c r="Z36" s="17"/>
      <c r="AA36" s="17"/>
      <c r="AB36" s="17"/>
      <c r="AC36" s="17"/>
      <c r="AD36" s="17">
        <v>23280000</v>
      </c>
      <c r="AE36" s="17"/>
      <c r="AF36" s="51" t="str">
        <f t="shared" si="0"/>
        <v/>
      </c>
      <c r="AG36" s="51" t="str">
        <f t="shared" si="1"/>
        <v/>
      </c>
      <c r="AH36" s="51">
        <f t="shared" si="2"/>
        <v>16.791751268577858</v>
      </c>
      <c r="AI36" s="51" t="str">
        <f t="shared" si="3"/>
        <v/>
      </c>
      <c r="AJ36" s="17"/>
      <c r="AK36" s="17"/>
      <c r="AL36" s="17"/>
      <c r="AM36" s="17"/>
      <c r="AN36" s="17"/>
      <c r="AO36" s="17"/>
      <c r="AP36" s="17"/>
      <c r="AQ36" s="17"/>
      <c r="AR36" s="17"/>
      <c r="AS36" s="17"/>
      <c r="AT36" s="17"/>
      <c r="AU36" s="17"/>
      <c r="BN36" s="17"/>
      <c r="BO36" s="17"/>
      <c r="BP36" s="17"/>
      <c r="BQ36" s="17"/>
      <c r="BR36" s="17"/>
      <c r="BX36" s="17"/>
    </row>
    <row r="37" spans="1:76" x14ac:dyDescent="0.25">
      <c r="A37" t="s">
        <v>448</v>
      </c>
      <c r="B37" t="s">
        <v>30</v>
      </c>
      <c r="C37">
        <v>2017</v>
      </c>
      <c r="D37" t="s">
        <v>449</v>
      </c>
      <c r="E37" s="61">
        <v>5830</v>
      </c>
      <c r="F37" s="67">
        <v>912525000000000</v>
      </c>
      <c r="G37" s="65">
        <v>49065615</v>
      </c>
      <c r="H37" t="s">
        <v>42</v>
      </c>
      <c r="I37" t="s">
        <v>110</v>
      </c>
      <c r="J37" t="s">
        <v>450</v>
      </c>
      <c r="K37" t="s">
        <v>451</v>
      </c>
      <c r="L37" t="s">
        <v>98</v>
      </c>
      <c r="M37" t="s">
        <v>402</v>
      </c>
      <c r="N37" t="s">
        <v>452</v>
      </c>
      <c r="O37" t="s">
        <v>101</v>
      </c>
      <c r="P37" t="s">
        <v>1958</v>
      </c>
      <c r="Q37" t="s">
        <v>1959</v>
      </c>
      <c r="R37" t="s">
        <v>1960</v>
      </c>
      <c r="S37" t="s">
        <v>1961</v>
      </c>
      <c r="T37" t="s">
        <v>453</v>
      </c>
      <c r="Y37" t="s">
        <v>453</v>
      </c>
      <c r="Z37" s="17">
        <v>1425029.7000000002</v>
      </c>
      <c r="AA37" s="17">
        <v>82743.66</v>
      </c>
      <c r="AB37" s="17">
        <v>19919.77</v>
      </c>
      <c r="AC37" s="17">
        <v>102663.43000000001</v>
      </c>
      <c r="AD37" s="17">
        <v>1527693.1300000001</v>
      </c>
      <c r="AE37" s="17">
        <v>4596.87</v>
      </c>
      <c r="AF37" s="51">
        <f t="shared" si="0"/>
        <v>29.043347362506314</v>
      </c>
      <c r="AG37" s="51">
        <f t="shared" si="1"/>
        <v>2.0923701863310997</v>
      </c>
      <c r="AH37" s="51">
        <f t="shared" si="2"/>
        <v>31.135717548837409</v>
      </c>
      <c r="AI37" s="51">
        <f t="shared" si="3"/>
        <v>9.3688217298407442E-2</v>
      </c>
      <c r="AJ37" s="69">
        <f>IF(ISERROR((AE37/$G37)*1000),"",IF((AE37/$G37)*1000=0,"",(AE37/$G37)*1000))</f>
        <v>9.3688217298407442E-2</v>
      </c>
      <c r="AK37" s="17"/>
      <c r="AL37" s="17"/>
      <c r="AM37" s="17"/>
      <c r="AN37" s="17"/>
      <c r="AO37" s="17"/>
      <c r="AP37" s="17"/>
      <c r="AQ37" s="17"/>
      <c r="AR37" s="17"/>
      <c r="AS37" s="17"/>
      <c r="AT37" s="17"/>
      <c r="AU37" s="17"/>
      <c r="AV37" s="67"/>
      <c r="AX37" s="65"/>
      <c r="AY37" s="65"/>
      <c r="BA37" s="65"/>
      <c r="BJ37" s="65"/>
      <c r="BM37" s="68"/>
      <c r="BN37" s="17"/>
      <c r="BO37" s="17"/>
      <c r="BP37" s="17"/>
      <c r="BQ37" s="17"/>
      <c r="BR37" s="17"/>
      <c r="BU37" t="s">
        <v>454</v>
      </c>
      <c r="BW37" t="s">
        <v>455</v>
      </c>
      <c r="BX37" s="65"/>
    </row>
    <row r="38" spans="1:76" x14ac:dyDescent="0.25">
      <c r="A38" t="s">
        <v>474</v>
      </c>
      <c r="B38" t="s">
        <v>30</v>
      </c>
      <c r="C38">
        <v>2017</v>
      </c>
      <c r="D38" t="s">
        <v>475</v>
      </c>
      <c r="E38" s="61">
        <v>11040</v>
      </c>
      <c r="F38" s="67">
        <v>32668769180300.004</v>
      </c>
      <c r="G38" s="17">
        <v>4905769</v>
      </c>
      <c r="H38" t="s">
        <v>42</v>
      </c>
      <c r="I38" t="s">
        <v>110</v>
      </c>
      <c r="J38" t="s">
        <v>476</v>
      </c>
      <c r="K38" t="s">
        <v>477</v>
      </c>
      <c r="L38" t="s">
        <v>34</v>
      </c>
      <c r="M38" t="s">
        <v>478</v>
      </c>
      <c r="N38" t="s">
        <v>479</v>
      </c>
      <c r="O38" t="s">
        <v>37</v>
      </c>
      <c r="Z38" s="17">
        <v>24080</v>
      </c>
      <c r="AA38" s="17">
        <v>9374</v>
      </c>
      <c r="AB38" s="17">
        <v>2191</v>
      </c>
      <c r="AC38" s="17">
        <v>11565</v>
      </c>
      <c r="AD38" s="17">
        <v>35645</v>
      </c>
      <c r="AE38" s="17">
        <v>1067</v>
      </c>
      <c r="AF38" s="51">
        <f t="shared" si="0"/>
        <v>4.908506698949747</v>
      </c>
      <c r="AG38" s="51">
        <f t="shared" si="1"/>
        <v>2.3574285703220026</v>
      </c>
      <c r="AH38" s="51">
        <f t="shared" si="2"/>
        <v>7.2659352692717496</v>
      </c>
      <c r="AI38" s="51">
        <f t="shared" si="3"/>
        <v>0.21749903022339617</v>
      </c>
      <c r="AJ38" s="17">
        <v>54134</v>
      </c>
      <c r="AK38" s="17">
        <v>125193</v>
      </c>
      <c r="AL38" s="17">
        <v>120441</v>
      </c>
      <c r="AM38" s="17">
        <v>245634</v>
      </c>
      <c r="AN38" s="17">
        <v>299768</v>
      </c>
      <c r="AO38" s="17">
        <v>425856</v>
      </c>
      <c r="AP38" s="17"/>
      <c r="AQ38" s="17"/>
      <c r="AR38" s="17"/>
      <c r="AS38" s="17"/>
      <c r="AT38" s="17"/>
      <c r="AU38" s="17"/>
      <c r="BN38" s="17"/>
      <c r="BO38" s="17"/>
      <c r="BP38" s="17"/>
      <c r="BQ38" s="17"/>
      <c r="BR38" s="17"/>
      <c r="BT38" t="s">
        <v>480</v>
      </c>
      <c r="BU38" t="s">
        <v>481</v>
      </c>
      <c r="BV38" t="s">
        <v>482</v>
      </c>
      <c r="BX38" s="17"/>
    </row>
    <row r="39" spans="1:76" x14ac:dyDescent="0.25">
      <c r="A39" t="s">
        <v>483</v>
      </c>
      <c r="B39" t="s">
        <v>30</v>
      </c>
      <c r="C39">
        <v>2012</v>
      </c>
      <c r="D39" t="s">
        <v>484</v>
      </c>
      <c r="E39" s="61">
        <v>1240</v>
      </c>
      <c r="F39" s="67">
        <v>13804940000000</v>
      </c>
      <c r="G39" s="17">
        <v>21418603</v>
      </c>
      <c r="H39" t="s">
        <v>88</v>
      </c>
      <c r="I39" t="s">
        <v>89</v>
      </c>
      <c r="J39" t="s">
        <v>485</v>
      </c>
      <c r="K39" t="s">
        <v>486</v>
      </c>
      <c r="V39" t="s">
        <v>487</v>
      </c>
      <c r="W39" t="s">
        <v>488</v>
      </c>
      <c r="X39" t="s">
        <v>417</v>
      </c>
      <c r="Y39" t="s">
        <v>296</v>
      </c>
      <c r="Z39" s="17"/>
      <c r="AA39" s="17"/>
      <c r="AB39" s="17">
        <v>2765</v>
      </c>
      <c r="AC39" s="17"/>
      <c r="AD39" s="17">
        <v>12164</v>
      </c>
      <c r="AE39" s="17">
        <v>1147</v>
      </c>
      <c r="AF39" s="51" t="str">
        <f t="shared" si="0"/>
        <v/>
      </c>
      <c r="AG39" s="51" t="str">
        <f t="shared" si="1"/>
        <v/>
      </c>
      <c r="AH39" s="51">
        <f t="shared" si="2"/>
        <v>0.567917524779744</v>
      </c>
      <c r="AI39" s="51">
        <f t="shared" si="3"/>
        <v>5.355157850397619E-2</v>
      </c>
      <c r="AJ39" s="17"/>
      <c r="AK39" s="17"/>
      <c r="AL39" s="17"/>
      <c r="AM39" s="17"/>
      <c r="AN39" s="17"/>
      <c r="AO39" s="17"/>
      <c r="AP39" s="17"/>
      <c r="AQ39" s="17"/>
      <c r="AR39" s="17"/>
      <c r="AS39" s="17"/>
      <c r="AT39" s="17"/>
      <c r="AU39" s="17"/>
      <c r="BN39" s="17"/>
      <c r="BO39" s="17"/>
      <c r="BP39" s="17"/>
      <c r="BQ39" s="17"/>
      <c r="BR39" s="17"/>
      <c r="BX39" s="17"/>
    </row>
    <row r="40" spans="1:76" x14ac:dyDescent="0.25">
      <c r="A40" t="s">
        <v>498</v>
      </c>
      <c r="B40" t="s">
        <v>30</v>
      </c>
      <c r="C40">
        <v>2016</v>
      </c>
      <c r="D40" t="s">
        <v>499</v>
      </c>
      <c r="E40" s="61">
        <v>12290</v>
      </c>
      <c r="F40" s="67">
        <v>349410000000</v>
      </c>
      <c r="G40" s="17">
        <v>4125700</v>
      </c>
      <c r="H40" t="s">
        <v>109</v>
      </c>
      <c r="I40" t="s">
        <v>43</v>
      </c>
      <c r="J40" t="s">
        <v>188</v>
      </c>
      <c r="K40" t="s">
        <v>500</v>
      </c>
      <c r="L40" t="s">
        <v>190</v>
      </c>
      <c r="M40" t="s">
        <v>48</v>
      </c>
      <c r="N40" t="s">
        <v>62</v>
      </c>
      <c r="O40" t="s">
        <v>63</v>
      </c>
      <c r="Z40" s="17">
        <v>134460</v>
      </c>
      <c r="AA40" s="17">
        <v>10836</v>
      </c>
      <c r="AB40" s="17">
        <v>1795</v>
      </c>
      <c r="AC40" s="17">
        <v>12631</v>
      </c>
      <c r="AD40" s="17">
        <v>147091</v>
      </c>
      <c r="AE40" s="17">
        <v>390</v>
      </c>
      <c r="AF40" s="51">
        <f t="shared" si="0"/>
        <v>32.590833070751636</v>
      </c>
      <c r="AG40" s="51">
        <f t="shared" si="1"/>
        <v>3.061541071818116</v>
      </c>
      <c r="AH40" s="51">
        <f t="shared" si="2"/>
        <v>35.652374142569748</v>
      </c>
      <c r="AI40" s="51">
        <f t="shared" si="3"/>
        <v>9.4529413190488895E-2</v>
      </c>
      <c r="AJ40" s="17">
        <v>299791</v>
      </c>
      <c r="AK40" s="17">
        <v>206870</v>
      </c>
      <c r="AL40" s="17">
        <v>185646</v>
      </c>
      <c r="AM40" s="17">
        <v>392516</v>
      </c>
      <c r="AN40" s="17">
        <v>692307</v>
      </c>
      <c r="AO40" s="17">
        <v>305028</v>
      </c>
      <c r="AP40" s="17"/>
      <c r="AQ40" s="17"/>
      <c r="AR40" s="17"/>
      <c r="AS40" s="17"/>
      <c r="AT40" s="17"/>
      <c r="AU40" s="17"/>
      <c r="BN40" s="17"/>
      <c r="BO40" s="17"/>
      <c r="BP40" s="17"/>
      <c r="BQ40" s="17"/>
      <c r="BR40" s="17"/>
      <c r="BS40" s="65"/>
      <c r="BX40" s="17"/>
    </row>
    <row r="41" spans="1:76" x14ac:dyDescent="0.25">
      <c r="A41" t="s">
        <v>505</v>
      </c>
      <c r="B41" t="s">
        <v>30</v>
      </c>
      <c r="C41">
        <v>2016</v>
      </c>
      <c r="D41" t="s">
        <v>506</v>
      </c>
      <c r="E41" s="61">
        <v>24320</v>
      </c>
      <c r="F41" s="67">
        <v>18219100000</v>
      </c>
      <c r="G41" s="17">
        <v>1179551</v>
      </c>
      <c r="H41" t="s">
        <v>109</v>
      </c>
      <c r="I41" t="s">
        <v>43</v>
      </c>
      <c r="J41" t="s">
        <v>507</v>
      </c>
      <c r="K41" t="s">
        <v>508</v>
      </c>
      <c r="L41" t="s">
        <v>190</v>
      </c>
      <c r="M41" t="s">
        <v>48</v>
      </c>
      <c r="N41" t="s">
        <v>62</v>
      </c>
      <c r="O41" t="s">
        <v>63</v>
      </c>
      <c r="Z41" s="17">
        <v>45706</v>
      </c>
      <c r="AA41" s="17">
        <v>2762</v>
      </c>
      <c r="AB41" s="17">
        <v>447</v>
      </c>
      <c r="AC41" s="17">
        <v>3209</v>
      </c>
      <c r="AD41" s="17">
        <v>48915</v>
      </c>
      <c r="AE41" s="17">
        <v>63</v>
      </c>
      <c r="AF41" s="51">
        <f t="shared" si="0"/>
        <v>38.74864249193125</v>
      </c>
      <c r="AG41" s="51">
        <f t="shared" si="1"/>
        <v>2.7205267088917733</v>
      </c>
      <c r="AH41" s="51">
        <f t="shared" si="2"/>
        <v>41.469169200823025</v>
      </c>
      <c r="AI41" s="51">
        <f t="shared" si="3"/>
        <v>5.3410153524519076E-2</v>
      </c>
      <c r="AJ41" s="17">
        <v>84532</v>
      </c>
      <c r="AK41" s="17">
        <v>53335</v>
      </c>
      <c r="AL41" s="17">
        <v>45288</v>
      </c>
      <c r="AM41" s="17">
        <v>98623</v>
      </c>
      <c r="AN41" s="17">
        <v>183155</v>
      </c>
      <c r="AO41" s="17">
        <v>37566</v>
      </c>
      <c r="AP41" s="17">
        <v>2100000000</v>
      </c>
      <c r="AQ41" s="17">
        <v>1900000000</v>
      </c>
      <c r="AR41" s="17">
        <v>1700000000</v>
      </c>
      <c r="AS41" s="17">
        <v>3600000000</v>
      </c>
      <c r="AT41" s="17">
        <v>5700000000</v>
      </c>
      <c r="AU41" s="17">
        <v>2200000000</v>
      </c>
      <c r="BN41" s="17"/>
      <c r="BO41" s="17"/>
      <c r="BP41" s="17"/>
      <c r="BQ41" s="17"/>
      <c r="BR41" s="17"/>
      <c r="BX41" s="17"/>
    </row>
    <row r="42" spans="1:76" x14ac:dyDescent="0.25">
      <c r="A42" t="s">
        <v>509</v>
      </c>
      <c r="B42" t="s">
        <v>30</v>
      </c>
      <c r="C42">
        <v>2016</v>
      </c>
      <c r="D42" t="s">
        <v>510</v>
      </c>
      <c r="E42" s="61">
        <v>17630</v>
      </c>
      <c r="F42" s="67">
        <v>4773240000000</v>
      </c>
      <c r="G42" s="17">
        <v>10591323</v>
      </c>
      <c r="H42" t="s">
        <v>109</v>
      </c>
      <c r="I42" t="s">
        <v>43</v>
      </c>
      <c r="J42" t="s">
        <v>188</v>
      </c>
      <c r="K42" t="s">
        <v>500</v>
      </c>
      <c r="L42" t="s">
        <v>190</v>
      </c>
      <c r="M42" t="s">
        <v>48</v>
      </c>
      <c r="N42" t="s">
        <v>62</v>
      </c>
      <c r="O42" t="s">
        <v>63</v>
      </c>
      <c r="Z42" s="17">
        <v>978289</v>
      </c>
      <c r="AA42" s="17">
        <v>31849</v>
      </c>
      <c r="AB42" s="17">
        <v>6758</v>
      </c>
      <c r="AC42" s="17">
        <v>38607</v>
      </c>
      <c r="AD42" s="17">
        <v>1016896</v>
      </c>
      <c r="AE42" s="17">
        <v>1577</v>
      </c>
      <c r="AF42" s="51">
        <f t="shared" si="0"/>
        <v>92.367025347069486</v>
      </c>
      <c r="AG42" s="51">
        <f t="shared" si="1"/>
        <v>3.6451536791012793</v>
      </c>
      <c r="AH42" s="51">
        <f t="shared" si="2"/>
        <v>96.01217902617077</v>
      </c>
      <c r="AI42" s="51">
        <f t="shared" si="3"/>
        <v>0.14889546848868646</v>
      </c>
      <c r="AJ42" s="17">
        <v>1134528</v>
      </c>
      <c r="AK42" s="17">
        <v>634490</v>
      </c>
      <c r="AL42" s="17">
        <v>696211</v>
      </c>
      <c r="AM42" s="17">
        <v>1330701</v>
      </c>
      <c r="AN42" s="17">
        <v>2465229</v>
      </c>
      <c r="AO42" s="17">
        <v>1196643</v>
      </c>
      <c r="AP42" s="17"/>
      <c r="AQ42" s="17"/>
      <c r="AR42" s="17"/>
      <c r="AS42" s="17"/>
      <c r="AT42" s="17"/>
      <c r="AU42" s="17"/>
      <c r="BN42" s="17"/>
      <c r="BO42" s="17"/>
      <c r="BP42" s="17"/>
      <c r="BQ42" s="17"/>
      <c r="BR42" s="17"/>
      <c r="BX42" s="17"/>
    </row>
    <row r="43" spans="1:76" x14ac:dyDescent="0.25">
      <c r="A43" t="s">
        <v>511</v>
      </c>
      <c r="B43" t="s">
        <v>30</v>
      </c>
      <c r="C43">
        <v>2016</v>
      </c>
      <c r="D43" t="s">
        <v>512</v>
      </c>
      <c r="E43" s="61">
        <v>56990</v>
      </c>
      <c r="F43" s="67">
        <v>2065962000000</v>
      </c>
      <c r="G43" s="17">
        <v>5728010</v>
      </c>
      <c r="H43" t="s">
        <v>109</v>
      </c>
      <c r="I43" t="s">
        <v>43</v>
      </c>
      <c r="J43" t="s">
        <v>188</v>
      </c>
      <c r="K43" s="15" t="s">
        <v>500</v>
      </c>
      <c r="L43" t="s">
        <v>190</v>
      </c>
      <c r="M43" t="s">
        <v>48</v>
      </c>
      <c r="N43" t="s">
        <v>62</v>
      </c>
      <c r="O43" t="s">
        <v>63</v>
      </c>
      <c r="Z43" s="17">
        <v>194104</v>
      </c>
      <c r="AA43" s="17">
        <v>11515</v>
      </c>
      <c r="AB43" s="17">
        <v>3714</v>
      </c>
      <c r="AC43" s="17">
        <v>15229</v>
      </c>
      <c r="AD43" s="17">
        <v>209333</v>
      </c>
      <c r="AE43" s="17">
        <v>652</v>
      </c>
      <c r="AF43" s="51">
        <f t="shared" si="0"/>
        <v>33.886812348442135</v>
      </c>
      <c r="AG43" s="51">
        <f t="shared" si="1"/>
        <v>2.6586894925113609</v>
      </c>
      <c r="AH43" s="51">
        <f t="shared" si="2"/>
        <v>36.545501840953492</v>
      </c>
      <c r="AI43" s="51">
        <f t="shared" si="3"/>
        <v>0.11382661692280566</v>
      </c>
      <c r="AJ43" s="17">
        <v>343768</v>
      </c>
      <c r="AK43" s="17"/>
      <c r="AL43" s="17"/>
      <c r="AM43" s="17"/>
      <c r="AN43" s="17"/>
      <c r="AO43" s="17"/>
      <c r="AP43" s="17">
        <v>27890500000</v>
      </c>
      <c r="AQ43" s="17"/>
      <c r="AR43" s="17"/>
      <c r="AS43" s="17"/>
      <c r="AT43" s="17"/>
      <c r="AU43" s="17"/>
      <c r="BN43" s="17"/>
      <c r="BO43" s="17"/>
      <c r="BP43" s="17"/>
      <c r="BQ43" s="17"/>
      <c r="BR43" s="17"/>
      <c r="BX43" s="17"/>
    </row>
    <row r="44" spans="1:76" x14ac:dyDescent="0.25">
      <c r="A44" t="s">
        <v>514</v>
      </c>
      <c r="B44" t="s">
        <v>30</v>
      </c>
      <c r="C44">
        <v>2016</v>
      </c>
      <c r="D44" t="s">
        <v>1840</v>
      </c>
      <c r="E44" s="61">
        <v>7110</v>
      </c>
      <c r="F44" s="67">
        <v>1570006900.0000002</v>
      </c>
      <c r="G44" s="17">
        <v>73925</v>
      </c>
      <c r="H44" t="s">
        <v>42</v>
      </c>
      <c r="I44" t="s">
        <v>110</v>
      </c>
      <c r="J44" t="s">
        <v>1842</v>
      </c>
      <c r="K44" t="s">
        <v>1841</v>
      </c>
      <c r="L44" t="s">
        <v>241</v>
      </c>
      <c r="M44" t="s">
        <v>1843</v>
      </c>
      <c r="N44" t="s">
        <v>1844</v>
      </c>
      <c r="O44" t="s">
        <v>244</v>
      </c>
      <c r="P44" t="s">
        <v>1845</v>
      </c>
      <c r="Q44" t="s">
        <v>1846</v>
      </c>
      <c r="R44" t="s">
        <v>1847</v>
      </c>
      <c r="S44" t="s">
        <v>1848</v>
      </c>
      <c r="T44" t="s">
        <v>102</v>
      </c>
      <c r="U44" t="s">
        <v>277</v>
      </c>
      <c r="V44" t="s">
        <v>1849</v>
      </c>
      <c r="W44" t="s">
        <v>1850</v>
      </c>
      <c r="X44" t="s">
        <v>1851</v>
      </c>
      <c r="Y44" t="s">
        <v>102</v>
      </c>
      <c r="Z44" s="17"/>
      <c r="AA44" s="17"/>
      <c r="AB44" s="17"/>
      <c r="AC44" s="17"/>
      <c r="AD44" s="17"/>
      <c r="AE44" s="17"/>
      <c r="AF44" s="51" t="str">
        <f t="shared" si="0"/>
        <v/>
      </c>
      <c r="AG44" s="51" t="str">
        <f t="shared" si="1"/>
        <v/>
      </c>
      <c r="AH44" s="51" t="str">
        <f t="shared" si="2"/>
        <v/>
      </c>
      <c r="AI44" s="51" t="str">
        <f t="shared" si="3"/>
        <v/>
      </c>
      <c r="AJ44" s="17"/>
      <c r="AK44" s="17"/>
      <c r="AL44" s="17"/>
      <c r="AM44" s="17"/>
      <c r="AN44" s="17"/>
      <c r="AO44" s="17"/>
      <c r="AP44" s="17"/>
      <c r="AQ44" s="17"/>
      <c r="AR44" s="17"/>
      <c r="AS44" s="17"/>
      <c r="AT44" s="17"/>
      <c r="AU44" s="17"/>
      <c r="BN44" s="17"/>
      <c r="BO44" s="17"/>
      <c r="BP44" s="17"/>
      <c r="BQ44" s="17"/>
      <c r="BR44" s="17"/>
      <c r="BX44" s="17"/>
    </row>
    <row r="45" spans="1:76" x14ac:dyDescent="0.25">
      <c r="A45" t="s">
        <v>515</v>
      </c>
      <c r="B45" t="s">
        <v>30</v>
      </c>
      <c r="C45">
        <v>2016</v>
      </c>
      <c r="D45" t="s">
        <v>516</v>
      </c>
      <c r="E45" s="61">
        <v>6390</v>
      </c>
      <c r="F45" s="67">
        <v>3333419263300.0005</v>
      </c>
      <c r="G45" s="17">
        <v>10766998</v>
      </c>
      <c r="H45" t="s">
        <v>42</v>
      </c>
      <c r="I45" t="s">
        <v>110</v>
      </c>
      <c r="J45" t="s">
        <v>517</v>
      </c>
      <c r="K45" t="s">
        <v>518</v>
      </c>
      <c r="L45" t="s">
        <v>92</v>
      </c>
      <c r="M45" t="s">
        <v>48</v>
      </c>
      <c r="N45" t="s">
        <v>407</v>
      </c>
      <c r="O45" t="s">
        <v>37</v>
      </c>
      <c r="Z45" s="17">
        <v>52059</v>
      </c>
      <c r="AA45" s="17">
        <v>14438</v>
      </c>
      <c r="AB45" s="17">
        <v>1769</v>
      </c>
      <c r="AC45" s="17">
        <v>16207</v>
      </c>
      <c r="AD45" s="17">
        <v>68266</v>
      </c>
      <c r="AE45" s="17">
        <v>2021</v>
      </c>
      <c r="AF45" s="51">
        <f t="shared" si="0"/>
        <v>4.8350524445161041</v>
      </c>
      <c r="AG45" s="51">
        <f t="shared" si="1"/>
        <v>1.505247795160731</v>
      </c>
      <c r="AH45" s="51">
        <f t="shared" si="2"/>
        <v>6.3403002396768349</v>
      </c>
      <c r="AI45" s="51">
        <f t="shared" si="3"/>
        <v>0.18770320195099879</v>
      </c>
      <c r="AJ45" s="17"/>
      <c r="AK45" s="17"/>
      <c r="AL45" s="17"/>
      <c r="AM45" s="17"/>
      <c r="AN45" s="17"/>
      <c r="AO45" s="17"/>
      <c r="AP45" s="17"/>
      <c r="AQ45" s="17"/>
      <c r="AR45" s="17"/>
      <c r="AS45" s="17"/>
      <c r="AT45" s="17"/>
      <c r="AU45" s="17"/>
      <c r="AV45" t="s">
        <v>519</v>
      </c>
      <c r="AW45" t="s">
        <v>520</v>
      </c>
      <c r="BN45" s="17"/>
      <c r="BO45" s="17"/>
      <c r="BP45" s="17"/>
      <c r="BQ45" s="17"/>
      <c r="BR45" s="17"/>
      <c r="BT45" t="s">
        <v>521</v>
      </c>
      <c r="BU45" t="s">
        <v>522</v>
      </c>
      <c r="BV45" t="s">
        <v>523</v>
      </c>
      <c r="BW45" t="s">
        <v>524</v>
      </c>
      <c r="BX45" s="17"/>
    </row>
    <row r="46" spans="1:76" x14ac:dyDescent="0.25">
      <c r="A46" t="s">
        <v>537</v>
      </c>
      <c r="B46" t="s">
        <v>30</v>
      </c>
      <c r="C46">
        <v>2016</v>
      </c>
      <c r="D46" t="s">
        <v>538</v>
      </c>
      <c r="E46" s="61">
        <v>5800</v>
      </c>
      <c r="F46" s="67">
        <v>98613971999.999985</v>
      </c>
      <c r="G46" s="17">
        <v>16624858</v>
      </c>
      <c r="H46" t="s">
        <v>42</v>
      </c>
      <c r="I46" t="s">
        <v>110</v>
      </c>
      <c r="J46" t="s">
        <v>539</v>
      </c>
      <c r="K46" t="s">
        <v>540</v>
      </c>
      <c r="L46" t="s">
        <v>92</v>
      </c>
      <c r="M46" t="s">
        <v>48</v>
      </c>
      <c r="N46" t="s">
        <v>541</v>
      </c>
      <c r="O46" t="s">
        <v>184</v>
      </c>
      <c r="U46" t="s">
        <v>542</v>
      </c>
      <c r="V46" t="s">
        <v>221</v>
      </c>
      <c r="W46" t="s">
        <v>222</v>
      </c>
      <c r="X46" t="s">
        <v>543</v>
      </c>
      <c r="Y46" t="s">
        <v>102</v>
      </c>
      <c r="Z46" s="17">
        <v>763636</v>
      </c>
      <c r="AA46" s="17">
        <v>63400</v>
      </c>
      <c r="AB46" s="17">
        <v>12846</v>
      </c>
      <c r="AC46" s="17">
        <v>76246</v>
      </c>
      <c r="AD46" s="17">
        <v>839882</v>
      </c>
      <c r="AE46" s="17">
        <v>3863</v>
      </c>
      <c r="AF46" s="51">
        <f t="shared" si="0"/>
        <v>45.933384814474806</v>
      </c>
      <c r="AG46" s="51">
        <f t="shared" si="1"/>
        <v>4.5862647368176015</v>
      </c>
      <c r="AH46" s="51">
        <f t="shared" si="2"/>
        <v>50.51964955129241</v>
      </c>
      <c r="AI46" s="51">
        <f t="shared" si="3"/>
        <v>0.23236288694916973</v>
      </c>
      <c r="AJ46" s="17">
        <v>727273</v>
      </c>
      <c r="AK46" s="17">
        <v>577529</v>
      </c>
      <c r="AL46" s="17">
        <v>512767</v>
      </c>
      <c r="AM46" s="17">
        <v>1090296</v>
      </c>
      <c r="AN46" s="17">
        <v>1817569</v>
      </c>
      <c r="AO46" s="17">
        <v>1119985</v>
      </c>
      <c r="AP46" s="17">
        <v>1161511361</v>
      </c>
      <c r="AQ46" s="17">
        <v>15627076463</v>
      </c>
      <c r="AR46" s="17">
        <v>21678118725</v>
      </c>
      <c r="AS46" s="17">
        <v>37305195188</v>
      </c>
      <c r="AT46" s="17">
        <v>38466706549</v>
      </c>
      <c r="AU46" s="17">
        <v>101439511609</v>
      </c>
      <c r="BN46" s="17"/>
      <c r="BO46" s="17"/>
      <c r="BP46" s="17"/>
      <c r="BQ46" s="17"/>
      <c r="BR46" s="17"/>
      <c r="BT46" t="s">
        <v>544</v>
      </c>
      <c r="BX46" s="17"/>
    </row>
    <row r="47" spans="1:76" x14ac:dyDescent="0.25">
      <c r="A47" t="s">
        <v>545</v>
      </c>
      <c r="B47" t="s">
        <v>30</v>
      </c>
      <c r="C47">
        <v>2017</v>
      </c>
      <c r="D47" t="s">
        <v>546</v>
      </c>
      <c r="E47" s="61">
        <v>3010</v>
      </c>
      <c r="F47" s="67">
        <v>3470000000000</v>
      </c>
      <c r="G47" s="17">
        <v>97553151</v>
      </c>
      <c r="H47" t="s">
        <v>88</v>
      </c>
      <c r="I47" t="s">
        <v>58</v>
      </c>
      <c r="J47" t="s">
        <v>1638</v>
      </c>
      <c r="K47" t="s">
        <v>1637</v>
      </c>
      <c r="L47" t="s">
        <v>46</v>
      </c>
      <c r="M47" t="s">
        <v>647</v>
      </c>
      <c r="N47" t="s">
        <v>407</v>
      </c>
      <c r="O47" t="s">
        <v>310</v>
      </c>
      <c r="Z47" s="17">
        <v>3431649</v>
      </c>
      <c r="AA47" s="17">
        <v>421386</v>
      </c>
      <c r="AB47" s="17">
        <v>8311</v>
      </c>
      <c r="AC47" s="17">
        <v>429697</v>
      </c>
      <c r="AD47" s="17">
        <v>3861346</v>
      </c>
      <c r="AE47" s="17">
        <v>3040</v>
      </c>
      <c r="AF47" s="51">
        <f t="shared" si="0"/>
        <v>35.17722354247686</v>
      </c>
      <c r="AG47" s="51">
        <f t="shared" si="1"/>
        <v>4.4047475206618385</v>
      </c>
      <c r="AH47" s="51">
        <f t="shared" si="2"/>
        <v>39.581971063138695</v>
      </c>
      <c r="AI47" s="51">
        <f t="shared" si="3"/>
        <v>3.1162499302559689E-2</v>
      </c>
      <c r="AJ47" s="17">
        <v>6770117</v>
      </c>
      <c r="AK47" s="17">
        <v>4120229</v>
      </c>
      <c r="AL47" s="17">
        <v>547348</v>
      </c>
      <c r="AM47" s="17">
        <v>4667577</v>
      </c>
      <c r="AN47" s="17">
        <v>11437694</v>
      </c>
      <c r="AO47" s="17">
        <v>1407891</v>
      </c>
      <c r="AP47" s="17"/>
      <c r="AQ47" s="17"/>
      <c r="AR47" s="17"/>
      <c r="AS47" s="17"/>
      <c r="AT47" s="17"/>
      <c r="AU47" s="17"/>
      <c r="BN47" s="17"/>
      <c r="BO47" s="17"/>
      <c r="BP47" s="17"/>
      <c r="BQ47" s="17"/>
      <c r="BR47" s="17"/>
      <c r="BT47" t="s">
        <v>1639</v>
      </c>
      <c r="BX47" s="17"/>
    </row>
    <row r="48" spans="1:76" x14ac:dyDescent="0.25">
      <c r="A48" t="s">
        <v>548</v>
      </c>
      <c r="B48" t="s">
        <v>30</v>
      </c>
      <c r="C48">
        <v>2007</v>
      </c>
      <c r="D48" t="s">
        <v>549</v>
      </c>
      <c r="E48" s="61">
        <v>3200</v>
      </c>
      <c r="F48" s="67">
        <v>17011750899.999998</v>
      </c>
      <c r="G48" s="17">
        <v>6083475</v>
      </c>
      <c r="H48" t="s">
        <v>88</v>
      </c>
      <c r="I48" t="s">
        <v>110</v>
      </c>
      <c r="J48" t="s">
        <v>550</v>
      </c>
      <c r="K48" t="s">
        <v>551</v>
      </c>
      <c r="L48" t="s">
        <v>98</v>
      </c>
      <c r="M48" t="s">
        <v>402</v>
      </c>
      <c r="N48" t="s">
        <v>372</v>
      </c>
      <c r="O48" t="s">
        <v>37</v>
      </c>
      <c r="U48" t="s">
        <v>542</v>
      </c>
      <c r="V48" t="s">
        <v>221</v>
      </c>
      <c r="W48" t="s">
        <v>552</v>
      </c>
      <c r="X48" t="s">
        <v>553</v>
      </c>
      <c r="Y48" t="s">
        <v>102</v>
      </c>
      <c r="Z48" s="17">
        <v>155712</v>
      </c>
      <c r="AA48" s="17">
        <v>5153</v>
      </c>
      <c r="AB48" s="17">
        <v>575</v>
      </c>
      <c r="AC48" s="17">
        <v>5728</v>
      </c>
      <c r="AD48" s="17">
        <v>161440</v>
      </c>
      <c r="AE48" s="17">
        <v>494</v>
      </c>
      <c r="AF48" s="51">
        <f t="shared" si="0"/>
        <v>25.595897081848776</v>
      </c>
      <c r="AG48" s="51">
        <f t="shared" si="1"/>
        <v>0.94156711419049144</v>
      </c>
      <c r="AH48" s="51">
        <f t="shared" si="2"/>
        <v>26.53746419603927</v>
      </c>
      <c r="AI48" s="51">
        <f t="shared" si="3"/>
        <v>8.1203588409584984E-2</v>
      </c>
      <c r="AJ48" s="17">
        <v>322382</v>
      </c>
      <c r="AK48" s="17">
        <v>106731</v>
      </c>
      <c r="AL48" s="17">
        <v>40551</v>
      </c>
      <c r="AM48" s="17">
        <v>147282</v>
      </c>
      <c r="AN48" s="17">
        <v>469664</v>
      </c>
      <c r="AO48" s="17">
        <v>93839</v>
      </c>
      <c r="AP48" s="17"/>
      <c r="AQ48" s="17"/>
      <c r="AR48" s="17"/>
      <c r="AS48" s="17"/>
      <c r="AT48" s="17"/>
      <c r="AU48" s="17"/>
      <c r="AV48" t="s">
        <v>551</v>
      </c>
      <c r="AW48" t="s">
        <v>551</v>
      </c>
      <c r="BN48" s="17"/>
      <c r="BO48" s="17"/>
      <c r="BP48" s="17"/>
      <c r="BQ48" s="17"/>
      <c r="BR48" s="17"/>
      <c r="BX48" s="17"/>
    </row>
    <row r="49" spans="1:76" x14ac:dyDescent="0.25">
      <c r="A49" t="s">
        <v>556</v>
      </c>
      <c r="B49" t="s">
        <v>30</v>
      </c>
      <c r="C49">
        <v>2017</v>
      </c>
      <c r="D49" t="s">
        <v>557</v>
      </c>
      <c r="E49" s="61">
        <v>18670</v>
      </c>
      <c r="F49" s="67">
        <v>23002299200</v>
      </c>
      <c r="G49" s="17">
        <v>1317384</v>
      </c>
      <c r="H49" t="s">
        <v>109</v>
      </c>
      <c r="I49" t="s">
        <v>43</v>
      </c>
      <c r="J49" t="s">
        <v>507</v>
      </c>
      <c r="K49" t="s">
        <v>193</v>
      </c>
      <c r="L49" t="s">
        <v>61</v>
      </c>
      <c r="M49" t="s">
        <v>48</v>
      </c>
      <c r="N49" t="s">
        <v>62</v>
      </c>
      <c r="O49" t="s">
        <v>63</v>
      </c>
      <c r="Z49" s="17">
        <v>67080</v>
      </c>
      <c r="AA49" s="17">
        <v>5501</v>
      </c>
      <c r="AB49" s="17">
        <v>1077</v>
      </c>
      <c r="AC49" s="17">
        <v>6578</v>
      </c>
      <c r="AD49" s="17">
        <v>73658</v>
      </c>
      <c r="AE49" s="17">
        <v>181</v>
      </c>
      <c r="AF49" s="51">
        <f t="shared" si="0"/>
        <v>50.91909420487876</v>
      </c>
      <c r="AG49" s="51">
        <f t="shared" si="1"/>
        <v>4.9932290053621422</v>
      </c>
      <c r="AH49" s="51">
        <f t="shared" si="2"/>
        <v>55.912323210240899</v>
      </c>
      <c r="AI49" s="51">
        <f t="shared" si="3"/>
        <v>0.13739350105967585</v>
      </c>
      <c r="AJ49" s="17">
        <v>138685</v>
      </c>
      <c r="AK49" s="17">
        <v>106106</v>
      </c>
      <c r="AL49" s="17">
        <v>101122</v>
      </c>
      <c r="AM49" s="17">
        <v>207228</v>
      </c>
      <c r="AN49" s="17">
        <v>345913</v>
      </c>
      <c r="AO49" s="17">
        <v>98372</v>
      </c>
      <c r="AP49" s="17">
        <v>3300000000</v>
      </c>
      <c r="AQ49" s="17">
        <v>2800000000</v>
      </c>
      <c r="AR49" s="17">
        <v>3000000000</v>
      </c>
      <c r="AS49" s="17">
        <v>5800000000</v>
      </c>
      <c r="AT49" s="17">
        <v>9100000000</v>
      </c>
      <c r="AU49" s="17">
        <v>2900000000</v>
      </c>
      <c r="BN49" s="17"/>
      <c r="BO49" s="17"/>
      <c r="BP49" s="17"/>
      <c r="BQ49" s="17"/>
      <c r="BR49" s="17"/>
      <c r="BX49" s="17"/>
    </row>
    <row r="50" spans="1:76" x14ac:dyDescent="0.25">
      <c r="A50" t="s">
        <v>558</v>
      </c>
      <c r="B50" t="s">
        <v>30</v>
      </c>
      <c r="C50">
        <v>2017</v>
      </c>
      <c r="D50" t="s">
        <v>1617</v>
      </c>
      <c r="E50" s="61">
        <v>2960</v>
      </c>
      <c r="F50" s="67" t="e">
        <v>#N/A</v>
      </c>
      <c r="G50" s="17">
        <v>1367254</v>
      </c>
      <c r="H50" t="s">
        <v>88</v>
      </c>
      <c r="I50" t="s">
        <v>89</v>
      </c>
      <c r="J50" t="s">
        <v>1618</v>
      </c>
      <c r="K50" t="s">
        <v>1619</v>
      </c>
      <c r="L50" t="s">
        <v>559</v>
      </c>
      <c r="M50" t="s">
        <v>560</v>
      </c>
      <c r="N50" t="s">
        <v>402</v>
      </c>
      <c r="O50" t="s">
        <v>244</v>
      </c>
      <c r="P50" t="s">
        <v>277</v>
      </c>
      <c r="Q50" t="s">
        <v>1620</v>
      </c>
      <c r="R50" t="s">
        <v>1621</v>
      </c>
      <c r="S50" t="s">
        <v>543</v>
      </c>
      <c r="T50" t="s">
        <v>561</v>
      </c>
      <c r="U50" t="s">
        <v>1908</v>
      </c>
      <c r="V50" t="s">
        <v>1910</v>
      </c>
      <c r="W50" t="s">
        <v>1912</v>
      </c>
      <c r="X50" t="s">
        <v>255</v>
      </c>
      <c r="Y50" t="s">
        <v>561</v>
      </c>
      <c r="Z50" s="17">
        <v>12336.48</v>
      </c>
      <c r="AA50" s="17">
        <v>685.36</v>
      </c>
      <c r="AB50" s="17">
        <v>685.36</v>
      </c>
      <c r="AC50" s="17">
        <v>1370.72</v>
      </c>
      <c r="AD50" s="17">
        <v>13707.199999999999</v>
      </c>
      <c r="AE50" s="17"/>
      <c r="AF50" s="51">
        <f t="shared" si="0"/>
        <v>9.0228150731319854</v>
      </c>
      <c r="AG50" s="51">
        <f t="shared" si="1"/>
        <v>1.0025350081257762</v>
      </c>
      <c r="AH50" s="51">
        <f t="shared" si="2"/>
        <v>10.025350081257761</v>
      </c>
      <c r="AI50" s="51" t="str">
        <f t="shared" si="3"/>
        <v/>
      </c>
      <c r="AJ50" s="17">
        <v>10500</v>
      </c>
      <c r="AK50" s="17">
        <v>3900</v>
      </c>
      <c r="AL50" s="17">
        <v>600</v>
      </c>
      <c r="AM50" s="17">
        <v>4500</v>
      </c>
      <c r="AN50" s="17">
        <v>15000</v>
      </c>
      <c r="AO50" s="17"/>
      <c r="AP50" s="17"/>
      <c r="AQ50" s="17"/>
      <c r="AR50" s="17"/>
      <c r="AS50" s="17"/>
      <c r="AT50" s="17"/>
      <c r="AU50" s="17"/>
      <c r="BF50" s="65"/>
      <c r="BG50" s="65"/>
      <c r="BN50" s="17">
        <v>4934.5920000000006</v>
      </c>
      <c r="BO50" s="17">
        <v>10218.7176</v>
      </c>
      <c r="BP50" s="17">
        <f>BN50+BO50</f>
        <v>15153.309600000001</v>
      </c>
      <c r="BQ50" s="17"/>
      <c r="BR50" s="17"/>
      <c r="BS50" s="71">
        <v>0.75</v>
      </c>
      <c r="BX50" s="17" t="s">
        <v>1743</v>
      </c>
    </row>
    <row r="51" spans="1:76" x14ac:dyDescent="0.25">
      <c r="A51" t="s">
        <v>563</v>
      </c>
      <c r="B51" t="s">
        <v>30</v>
      </c>
      <c r="C51">
        <v>2010</v>
      </c>
      <c r="D51" t="s">
        <v>564</v>
      </c>
      <c r="E51" s="67">
        <v>380</v>
      </c>
      <c r="F51" s="67">
        <v>385876491199.99994</v>
      </c>
      <c r="G51" s="17">
        <v>87702670</v>
      </c>
      <c r="H51" t="s">
        <v>32</v>
      </c>
      <c r="I51" t="s">
        <v>89</v>
      </c>
      <c r="J51" t="s">
        <v>1622</v>
      </c>
      <c r="K51" t="s">
        <v>1623</v>
      </c>
      <c r="L51" t="s">
        <v>1740</v>
      </c>
      <c r="M51" t="s">
        <v>566</v>
      </c>
      <c r="N51" t="s">
        <v>1624</v>
      </c>
      <c r="P51" t="s">
        <v>1741</v>
      </c>
      <c r="Q51" t="s">
        <v>1625</v>
      </c>
      <c r="R51" t="s">
        <v>1742</v>
      </c>
      <c r="S51" t="s">
        <v>1157</v>
      </c>
      <c r="T51" t="s">
        <v>1626</v>
      </c>
      <c r="Y51" t="s">
        <v>1627</v>
      </c>
      <c r="Z51" s="17"/>
      <c r="AA51" s="17"/>
      <c r="AB51" s="17"/>
      <c r="AC51" s="17"/>
      <c r="AD51" s="17">
        <v>176543</v>
      </c>
      <c r="AE51" s="17"/>
      <c r="AF51" s="51" t="s">
        <v>1152</v>
      </c>
      <c r="AG51" s="51" t="s">
        <v>1152</v>
      </c>
      <c r="AH51" s="51">
        <v>2.0129717829571212</v>
      </c>
      <c r="AI51" s="51" t="s">
        <v>1152</v>
      </c>
      <c r="AJ51" s="17"/>
      <c r="AK51" s="17"/>
      <c r="AL51" s="17"/>
      <c r="AM51" s="17"/>
      <c r="AN51" s="17">
        <v>666192</v>
      </c>
      <c r="AO51" s="17"/>
      <c r="AP51" s="17"/>
      <c r="AQ51" s="17"/>
      <c r="AR51" s="17"/>
      <c r="AS51" s="17"/>
      <c r="AT51" s="17"/>
      <c r="AU51" s="17"/>
      <c r="AX51" s="65"/>
      <c r="AY51" s="65"/>
      <c r="BA51" s="65"/>
      <c r="BN51" s="17"/>
      <c r="BO51" s="17"/>
      <c r="BP51" s="17"/>
      <c r="BQ51" s="17"/>
      <c r="BR51" s="17"/>
      <c r="BS51" s="71"/>
      <c r="BX51" s="17" t="s">
        <v>1743</v>
      </c>
    </row>
    <row r="52" spans="1:76" x14ac:dyDescent="0.25">
      <c r="A52" t="s">
        <v>569</v>
      </c>
      <c r="B52" t="s">
        <v>30</v>
      </c>
      <c r="C52">
        <v>2014</v>
      </c>
      <c r="D52" t="s">
        <v>570</v>
      </c>
      <c r="E52" s="61">
        <v>4750</v>
      </c>
      <c r="F52" s="67">
        <v>8462000000</v>
      </c>
      <c r="G52" s="17">
        <v>885806</v>
      </c>
      <c r="H52" t="s">
        <v>42</v>
      </c>
      <c r="I52" t="s">
        <v>77</v>
      </c>
      <c r="J52" t="s">
        <v>1628</v>
      </c>
      <c r="K52" t="s">
        <v>1629</v>
      </c>
      <c r="L52" t="s">
        <v>571</v>
      </c>
      <c r="M52" t="s">
        <v>572</v>
      </c>
      <c r="N52" t="s">
        <v>573</v>
      </c>
      <c r="O52" t="s">
        <v>244</v>
      </c>
      <c r="T52" t="s">
        <v>102</v>
      </c>
      <c r="U52" t="s">
        <v>574</v>
      </c>
      <c r="V52" t="s">
        <v>575</v>
      </c>
      <c r="W52" t="s">
        <v>282</v>
      </c>
      <c r="X52" t="s">
        <v>280</v>
      </c>
      <c r="Z52" s="17"/>
      <c r="AA52" s="17"/>
      <c r="AB52" s="17"/>
      <c r="AC52" s="17">
        <v>4198</v>
      </c>
      <c r="AD52" s="17"/>
      <c r="AE52" s="17"/>
      <c r="AF52" s="51" t="str">
        <f t="shared" ref="AF52:AF83" si="4">IF(ISERROR((Z52/$G52)*1000),"",IF((Z52/$G52)*1000=0,"",(Z52/$G52)*1000))</f>
        <v/>
      </c>
      <c r="AG52" s="51">
        <f t="shared" ref="AG52:AG83" si="5">IF(ISERROR((AC52/$G52)*1000),"",IF((AC52/$G52)*1000=0,"",(AC52/$G52)*1000))</f>
        <v>4.739186684217537</v>
      </c>
      <c r="AH52" s="51" t="str">
        <f t="shared" ref="AH52:AH83" si="6">IF(ISERROR((AD52/$G52)*1000),"",IF((AD52/$G52)*1000=0,"",(AD52/$G52)*1000))</f>
        <v/>
      </c>
      <c r="AI52" s="51" t="str">
        <f t="shared" ref="AI52:AI83" si="7">IF(ISERROR((AE52/$G52)*1000),"",IF((AE52/$G52)*1000=0,"",(AE52/$G52)*1000))</f>
        <v/>
      </c>
      <c r="AJ52" s="17"/>
      <c r="AK52" s="17"/>
      <c r="AL52" s="17"/>
      <c r="AM52" s="17"/>
      <c r="AN52" s="17"/>
      <c r="AO52" s="17"/>
      <c r="AP52" s="17"/>
      <c r="AQ52" s="17"/>
      <c r="AR52" s="17"/>
      <c r="AS52" s="17"/>
      <c r="AT52" s="17"/>
      <c r="AU52" s="17"/>
      <c r="BF52" s="65"/>
      <c r="BG52" s="65"/>
      <c r="BN52" s="17"/>
      <c r="BO52" s="17"/>
      <c r="BP52" s="17"/>
      <c r="BQ52" s="17"/>
      <c r="BR52" s="17"/>
      <c r="BX52" s="17"/>
    </row>
    <row r="53" spans="1:76" x14ac:dyDescent="0.25">
      <c r="A53" s="15" t="s">
        <v>576</v>
      </c>
      <c r="B53" s="15" t="s">
        <v>30</v>
      </c>
      <c r="C53" s="15">
        <v>2016</v>
      </c>
      <c r="D53" s="15" t="s">
        <v>577</v>
      </c>
      <c r="E53" s="61">
        <v>45620</v>
      </c>
      <c r="F53" s="67">
        <v>215773000000</v>
      </c>
      <c r="G53" s="67">
        <v>5495303</v>
      </c>
      <c r="H53" s="15" t="s">
        <v>109</v>
      </c>
      <c r="I53" s="15" t="s">
        <v>43</v>
      </c>
      <c r="J53" s="15" t="s">
        <v>188</v>
      </c>
      <c r="K53" s="15" t="s">
        <v>578</v>
      </c>
      <c r="L53" s="15" t="s">
        <v>190</v>
      </c>
      <c r="M53" s="15" t="s">
        <v>48</v>
      </c>
      <c r="N53" s="15" t="s">
        <v>62</v>
      </c>
      <c r="O53" s="15" t="s">
        <v>63</v>
      </c>
      <c r="P53" s="15"/>
      <c r="Q53" s="15"/>
      <c r="R53" s="15"/>
      <c r="S53" s="15"/>
      <c r="T53" s="15" t="s">
        <v>55</v>
      </c>
      <c r="U53" s="15"/>
      <c r="V53" s="15"/>
      <c r="W53" s="15"/>
      <c r="X53" s="15"/>
      <c r="Y53" s="15"/>
      <c r="Z53" s="17">
        <v>208538</v>
      </c>
      <c r="AA53" s="17">
        <v>8912</v>
      </c>
      <c r="AB53" s="17">
        <v>2827</v>
      </c>
      <c r="AC53" s="17">
        <v>11739</v>
      </c>
      <c r="AD53" s="17">
        <v>220277</v>
      </c>
      <c r="AE53" s="17">
        <v>589</v>
      </c>
      <c r="AF53" s="51">
        <f t="shared" si="4"/>
        <v>37.948407940381081</v>
      </c>
      <c r="AG53" s="51">
        <f t="shared" si="5"/>
        <v>2.1361879408651352</v>
      </c>
      <c r="AH53" s="51">
        <f t="shared" si="6"/>
        <v>40.084595881246223</v>
      </c>
      <c r="AI53" s="51">
        <f t="shared" si="7"/>
        <v>0.10718244289714325</v>
      </c>
      <c r="AJ53" s="67">
        <v>356766</v>
      </c>
      <c r="AK53" s="17">
        <v>330594</v>
      </c>
      <c r="AL53" s="17">
        <v>275131</v>
      </c>
      <c r="AM53" s="17">
        <v>605725</v>
      </c>
      <c r="AN53" s="17">
        <v>962491</v>
      </c>
      <c r="AO53" s="17">
        <v>497573</v>
      </c>
      <c r="AP53" s="17">
        <v>18911600000</v>
      </c>
      <c r="AQ53" s="17">
        <v>19006500000</v>
      </c>
      <c r="AR53" s="17">
        <v>20307400000</v>
      </c>
      <c r="AS53" s="17">
        <v>39313900000</v>
      </c>
      <c r="AT53" s="17">
        <v>58225500000</v>
      </c>
      <c r="AU53" s="17">
        <v>37382600000</v>
      </c>
      <c r="AV53" s="65" t="s">
        <v>189</v>
      </c>
      <c r="AW53" s="15" t="s">
        <v>189</v>
      </c>
      <c r="AX53" s="67"/>
      <c r="AY53" s="71"/>
      <c r="AZ53" s="15"/>
      <c r="BA53" s="71"/>
      <c r="BB53" s="15"/>
      <c r="BD53" s="15"/>
      <c r="BF53" s="15"/>
      <c r="BI53" s="15"/>
      <c r="BJ53" s="68"/>
      <c r="BM53" s="65"/>
      <c r="BN53" s="17"/>
      <c r="BO53" s="17"/>
      <c r="BP53" s="17"/>
      <c r="BQ53" s="17"/>
      <c r="BR53" s="17"/>
      <c r="BS53" s="15"/>
      <c r="BT53" s="15"/>
      <c r="BU53" s="15"/>
      <c r="BV53" s="15"/>
      <c r="BW53" s="15"/>
      <c r="BX53" s="67"/>
    </row>
    <row r="54" spans="1:76" x14ac:dyDescent="0.25">
      <c r="A54" s="15" t="s">
        <v>579</v>
      </c>
      <c r="B54" s="15" t="s">
        <v>30</v>
      </c>
      <c r="C54" s="15">
        <v>2016</v>
      </c>
      <c r="D54" s="15" t="s">
        <v>580</v>
      </c>
      <c r="E54" s="61">
        <v>38780</v>
      </c>
      <c r="F54" s="67">
        <v>2228568000000</v>
      </c>
      <c r="G54" s="67">
        <v>67118648</v>
      </c>
      <c r="H54" s="15" t="s">
        <v>109</v>
      </c>
      <c r="I54" s="15" t="s">
        <v>43</v>
      </c>
      <c r="J54" s="15" t="s">
        <v>188</v>
      </c>
      <c r="K54" s="15" t="s">
        <v>189</v>
      </c>
      <c r="L54" s="15" t="s">
        <v>190</v>
      </c>
      <c r="M54" s="15" t="s">
        <v>48</v>
      </c>
      <c r="N54" s="15" t="s">
        <v>62</v>
      </c>
      <c r="O54" s="15" t="s">
        <v>63</v>
      </c>
      <c r="P54" s="15"/>
      <c r="Q54" s="15"/>
      <c r="R54" s="15"/>
      <c r="S54" s="15"/>
      <c r="T54" s="15" t="s">
        <v>55</v>
      </c>
      <c r="U54" s="15"/>
      <c r="V54" s="15"/>
      <c r="W54" s="15"/>
      <c r="X54" s="15"/>
      <c r="Y54" s="15" t="s">
        <v>55</v>
      </c>
      <c r="Z54" s="17">
        <v>2909125</v>
      </c>
      <c r="AA54" s="17">
        <v>125240</v>
      </c>
      <c r="AB54" s="17">
        <v>19657</v>
      </c>
      <c r="AC54" s="17">
        <v>144897</v>
      </c>
      <c r="AD54" s="17">
        <v>3054022</v>
      </c>
      <c r="AE54" s="17">
        <v>4199</v>
      </c>
      <c r="AF54" s="51">
        <f t="shared" si="4"/>
        <v>43.343021450610863</v>
      </c>
      <c r="AG54" s="51">
        <f t="shared" si="5"/>
        <v>2.1588188129176857</v>
      </c>
      <c r="AH54" s="51">
        <f t="shared" si="6"/>
        <v>45.50184026352855</v>
      </c>
      <c r="AI54" s="51">
        <f t="shared" si="7"/>
        <v>6.2560854920677186E-2</v>
      </c>
      <c r="AJ54" s="67">
        <v>4681373</v>
      </c>
      <c r="AK54" s="17">
        <v>2907593</v>
      </c>
      <c r="AL54" s="17">
        <v>2304725</v>
      </c>
      <c r="AM54" s="17">
        <v>5212318</v>
      </c>
      <c r="AN54" s="17">
        <v>9893691</v>
      </c>
      <c r="AO54" s="17">
        <v>5725748</v>
      </c>
      <c r="AP54" s="17">
        <v>216489400000</v>
      </c>
      <c r="AQ54" s="17">
        <v>159994800000</v>
      </c>
      <c r="AR54" s="17">
        <v>145473300000</v>
      </c>
      <c r="AS54" s="17">
        <v>305468100000</v>
      </c>
      <c r="AT54" s="17">
        <v>521957500000</v>
      </c>
      <c r="AU54" s="17">
        <v>419143500000</v>
      </c>
      <c r="AV54" s="65" t="s">
        <v>189</v>
      </c>
      <c r="AW54" s="15" t="s">
        <v>189</v>
      </c>
      <c r="AX54" s="67"/>
      <c r="AY54" s="71"/>
      <c r="AZ54" s="15"/>
      <c r="BA54" s="71"/>
      <c r="BB54" s="15"/>
      <c r="BD54" s="65"/>
      <c r="BE54" s="65"/>
      <c r="BF54" s="65"/>
      <c r="BG54" s="65"/>
      <c r="BH54" s="65"/>
      <c r="BI54" s="15"/>
      <c r="BM54" s="15"/>
      <c r="BN54" s="17"/>
      <c r="BO54" s="17"/>
      <c r="BP54" s="17"/>
      <c r="BQ54" s="17"/>
      <c r="BR54" s="17"/>
      <c r="BS54" s="15"/>
      <c r="BT54" s="15"/>
      <c r="BU54" s="15"/>
      <c r="BV54" s="15"/>
      <c r="BW54" s="65"/>
      <c r="BX54" s="17"/>
    </row>
    <row r="55" spans="1:76" x14ac:dyDescent="0.25">
      <c r="A55" s="15" t="s">
        <v>583</v>
      </c>
      <c r="B55" s="15" t="s">
        <v>30</v>
      </c>
      <c r="C55" s="15">
        <v>2005</v>
      </c>
      <c r="D55" s="15" t="s">
        <v>584</v>
      </c>
      <c r="E55" s="61">
        <v>8040</v>
      </c>
      <c r="F55" s="67">
        <v>5052603000000</v>
      </c>
      <c r="G55" s="67">
        <v>1930175</v>
      </c>
      <c r="H55" s="15" t="s">
        <v>42</v>
      </c>
      <c r="I55" s="15" t="s">
        <v>89</v>
      </c>
      <c r="J55" s="15" t="s">
        <v>1650</v>
      </c>
      <c r="K55" s="15" t="s">
        <v>585</v>
      </c>
      <c r="L55" s="15"/>
      <c r="M55" s="15"/>
      <c r="N55" s="15"/>
      <c r="O55" s="15"/>
      <c r="P55" s="15"/>
      <c r="Q55" s="15"/>
      <c r="R55" s="15"/>
      <c r="S55" s="15"/>
      <c r="T55" s="15"/>
      <c r="U55" s="15"/>
      <c r="V55" s="15"/>
      <c r="W55" s="15"/>
      <c r="X55" s="15"/>
      <c r="Y55" s="15"/>
      <c r="Z55" s="17"/>
      <c r="AA55" s="17"/>
      <c r="AB55" s="17"/>
      <c r="AC55" s="17">
        <v>4000</v>
      </c>
      <c r="AD55" s="17"/>
      <c r="AE55" s="17"/>
      <c r="AF55" s="51" t="str">
        <f t="shared" si="4"/>
        <v/>
      </c>
      <c r="AG55" s="51">
        <f t="shared" si="5"/>
        <v>2.0723509526338288</v>
      </c>
      <c r="AH55" s="51" t="str">
        <f t="shared" si="6"/>
        <v/>
      </c>
      <c r="AI55" s="51" t="str">
        <f t="shared" si="7"/>
        <v/>
      </c>
      <c r="AJ55" s="67"/>
      <c r="AK55" s="17"/>
      <c r="AL55" s="17"/>
      <c r="AM55" s="17"/>
      <c r="AN55" s="17"/>
      <c r="AO55" s="17"/>
      <c r="AP55" s="17"/>
      <c r="AQ55" s="17"/>
      <c r="AR55" s="17"/>
      <c r="AS55" s="17"/>
      <c r="AT55" s="67"/>
      <c r="AU55" s="17"/>
      <c r="AV55" s="65"/>
      <c r="AW55" s="15"/>
      <c r="AX55" s="67"/>
      <c r="AY55" s="71"/>
      <c r="AZ55" s="15"/>
      <c r="BA55" s="71"/>
      <c r="BB55" s="15"/>
      <c r="BD55" s="15"/>
      <c r="BF55" s="15"/>
      <c r="BI55" s="15"/>
      <c r="BM55" s="15"/>
      <c r="BN55" s="17"/>
      <c r="BO55" s="17"/>
      <c r="BP55" s="17"/>
      <c r="BQ55" s="17"/>
      <c r="BR55" s="17"/>
      <c r="BS55" s="15"/>
      <c r="BT55" s="15"/>
      <c r="BU55" s="15"/>
      <c r="BV55" s="15"/>
      <c r="BW55" s="65"/>
      <c r="BX55" s="17"/>
    </row>
    <row r="56" spans="1:76" x14ac:dyDescent="0.25">
      <c r="A56" t="s">
        <v>586</v>
      </c>
      <c r="B56" t="s">
        <v>30</v>
      </c>
      <c r="C56">
        <v>2016</v>
      </c>
      <c r="D56" t="s">
        <v>587</v>
      </c>
      <c r="E56" s="61">
        <v>430</v>
      </c>
      <c r="F56" s="67">
        <v>42251999999.999992</v>
      </c>
      <c r="G56" s="17">
        <v>2100568</v>
      </c>
      <c r="H56" t="s">
        <v>32</v>
      </c>
      <c r="I56" t="s">
        <v>89</v>
      </c>
      <c r="J56" t="s">
        <v>588</v>
      </c>
      <c r="K56" t="s">
        <v>589</v>
      </c>
      <c r="M56" t="s">
        <v>1651</v>
      </c>
      <c r="N56" t="s">
        <v>590</v>
      </c>
      <c r="P56" t="s">
        <v>1202</v>
      </c>
      <c r="Q56" t="s">
        <v>1652</v>
      </c>
      <c r="R56" t="s">
        <v>1653</v>
      </c>
      <c r="T56" t="s">
        <v>591</v>
      </c>
      <c r="Z56" s="17"/>
      <c r="AA56" s="17"/>
      <c r="AB56" s="17"/>
      <c r="AC56" s="17"/>
      <c r="AD56" s="17"/>
      <c r="AE56" s="17"/>
      <c r="AF56" s="51" t="str">
        <f t="shared" si="4"/>
        <v/>
      </c>
      <c r="AG56" s="51" t="str">
        <f t="shared" si="5"/>
        <v/>
      </c>
      <c r="AH56" s="51" t="str">
        <f t="shared" si="6"/>
        <v/>
      </c>
      <c r="AI56" s="51" t="str">
        <f t="shared" si="7"/>
        <v/>
      </c>
      <c r="AJ56" s="17"/>
      <c r="AK56" s="17"/>
      <c r="AL56" s="17"/>
      <c r="AM56" s="17"/>
      <c r="AN56" s="17"/>
      <c r="AO56" s="17"/>
      <c r="AP56" s="17"/>
      <c r="AQ56" s="17"/>
      <c r="AR56" s="17"/>
      <c r="AS56" s="17"/>
      <c r="AT56" s="17"/>
      <c r="AU56" s="17"/>
      <c r="BN56" s="17"/>
      <c r="BO56" s="17"/>
      <c r="BP56" s="17"/>
      <c r="BQ56" s="17"/>
      <c r="BR56" s="17"/>
      <c r="BX56" s="17"/>
    </row>
    <row r="57" spans="1:76" x14ac:dyDescent="0.25">
      <c r="A57" t="s">
        <v>592</v>
      </c>
      <c r="B57" t="s">
        <v>30</v>
      </c>
      <c r="C57">
        <v>2017</v>
      </c>
      <c r="D57" t="s">
        <v>593</v>
      </c>
      <c r="E57" s="61">
        <v>3790</v>
      </c>
      <c r="F57" s="67">
        <v>38042216200.000008</v>
      </c>
      <c r="G57" s="17">
        <v>3717100</v>
      </c>
      <c r="H57" t="s">
        <v>88</v>
      </c>
      <c r="I57" t="s">
        <v>43</v>
      </c>
      <c r="J57" t="s">
        <v>594</v>
      </c>
      <c r="K57" t="s">
        <v>595</v>
      </c>
      <c r="M57" t="s">
        <v>493</v>
      </c>
      <c r="N57" t="s">
        <v>62</v>
      </c>
      <c r="O57" t="s">
        <v>63</v>
      </c>
      <c r="V57" t="s">
        <v>596</v>
      </c>
      <c r="W57" t="s">
        <v>597</v>
      </c>
      <c r="X57" t="s">
        <v>598</v>
      </c>
      <c r="Y57" t="s">
        <v>599</v>
      </c>
      <c r="Z57" s="17"/>
      <c r="AA57" s="17"/>
      <c r="AB57" s="17"/>
      <c r="AC57" s="17"/>
      <c r="AD57" s="17"/>
      <c r="AE57" s="17"/>
      <c r="AF57" s="51" t="str">
        <f t="shared" si="4"/>
        <v/>
      </c>
      <c r="AG57" s="51" t="str">
        <f t="shared" si="5"/>
        <v/>
      </c>
      <c r="AH57" s="51" t="str">
        <f t="shared" si="6"/>
        <v/>
      </c>
      <c r="AI57" s="51" t="str">
        <f t="shared" si="7"/>
        <v/>
      </c>
      <c r="AJ57" s="17"/>
      <c r="AK57" s="17"/>
      <c r="AL57" s="17">
        <v>114710</v>
      </c>
      <c r="AM57" s="17"/>
      <c r="AN57" s="17">
        <v>222350</v>
      </c>
      <c r="AO57" s="17">
        <v>407526</v>
      </c>
      <c r="AP57" s="17"/>
      <c r="AQ57" s="17"/>
      <c r="AR57" s="17"/>
      <c r="AS57" s="17"/>
      <c r="AT57" s="17"/>
      <c r="AU57" s="17"/>
      <c r="AW57" t="s">
        <v>595</v>
      </c>
      <c r="BN57" s="17"/>
      <c r="BO57" s="17"/>
      <c r="BP57" s="17"/>
      <c r="BQ57" s="17"/>
      <c r="BR57" s="17"/>
      <c r="BX57" s="17"/>
    </row>
    <row r="58" spans="1:76" x14ac:dyDescent="0.25">
      <c r="A58" t="s">
        <v>604</v>
      </c>
      <c r="B58" t="s">
        <v>30</v>
      </c>
      <c r="C58">
        <v>2016</v>
      </c>
      <c r="D58" t="s">
        <v>605</v>
      </c>
      <c r="E58" s="61">
        <v>44020</v>
      </c>
      <c r="F58" s="67">
        <v>3144050000000</v>
      </c>
      <c r="G58" s="17">
        <v>82695000</v>
      </c>
      <c r="H58" t="s">
        <v>109</v>
      </c>
      <c r="I58" t="s">
        <v>43</v>
      </c>
      <c r="J58" t="s">
        <v>188</v>
      </c>
      <c r="K58" t="s">
        <v>189</v>
      </c>
      <c r="L58" t="s">
        <v>190</v>
      </c>
      <c r="M58" t="s">
        <v>48</v>
      </c>
      <c r="N58" t="s">
        <v>62</v>
      </c>
      <c r="O58" t="s">
        <v>63</v>
      </c>
      <c r="Z58" s="17">
        <v>2022140</v>
      </c>
      <c r="AA58" s="17">
        <v>184365</v>
      </c>
      <c r="AB58" s="17">
        <v>60505</v>
      </c>
      <c r="AC58" s="17">
        <v>244870</v>
      </c>
      <c r="AD58" s="17">
        <v>2267010</v>
      </c>
      <c r="AE58" s="17">
        <v>11762</v>
      </c>
      <c r="AF58" s="51">
        <f t="shared" si="4"/>
        <v>24.45298990265433</v>
      </c>
      <c r="AG58" s="51">
        <f t="shared" si="5"/>
        <v>2.9611221960215248</v>
      </c>
      <c r="AH58" s="51">
        <f t="shared" si="6"/>
        <v>27.414112098675858</v>
      </c>
      <c r="AI58" s="51">
        <f t="shared" si="7"/>
        <v>0.1422335086764617</v>
      </c>
      <c r="AJ58" s="17">
        <v>5588741</v>
      </c>
      <c r="AK58" s="17">
        <v>6982992</v>
      </c>
      <c r="AL58" s="17">
        <v>5883051</v>
      </c>
      <c r="AM58" s="17">
        <v>12866043</v>
      </c>
      <c r="AN58" s="17">
        <v>18454784</v>
      </c>
      <c r="AO58" s="17">
        <v>10631629</v>
      </c>
      <c r="AP58" s="17">
        <v>254435200000</v>
      </c>
      <c r="AQ58" s="17">
        <v>312201800000</v>
      </c>
      <c r="AR58" s="17">
        <v>340644400000</v>
      </c>
      <c r="AS58" s="17">
        <v>652846200000</v>
      </c>
      <c r="AT58" s="17">
        <v>907281400000</v>
      </c>
      <c r="AU58" s="17">
        <v>752048200000</v>
      </c>
      <c r="BN58" s="17"/>
      <c r="BO58" s="17"/>
      <c r="BP58" s="17"/>
      <c r="BQ58" s="17"/>
      <c r="BR58" s="17"/>
      <c r="BX58" s="17"/>
    </row>
    <row r="59" spans="1:76" x14ac:dyDescent="0.25">
      <c r="A59" t="s">
        <v>606</v>
      </c>
      <c r="B59" t="s">
        <v>30</v>
      </c>
      <c r="C59">
        <v>2015</v>
      </c>
      <c r="D59" t="s">
        <v>607</v>
      </c>
      <c r="E59" s="61">
        <v>1490</v>
      </c>
      <c r="F59" s="67">
        <v>136957363600.00002</v>
      </c>
      <c r="G59" s="17">
        <v>27582821</v>
      </c>
      <c r="H59" t="s">
        <v>88</v>
      </c>
      <c r="I59" t="s">
        <v>89</v>
      </c>
      <c r="J59" t="s">
        <v>1654</v>
      </c>
      <c r="K59" t="s">
        <v>1655</v>
      </c>
      <c r="L59" t="s">
        <v>92</v>
      </c>
      <c r="M59" t="s">
        <v>608</v>
      </c>
      <c r="N59" t="s">
        <v>479</v>
      </c>
      <c r="O59" t="s">
        <v>37</v>
      </c>
      <c r="T59" t="s">
        <v>609</v>
      </c>
      <c r="Z59" s="17">
        <v>1083938</v>
      </c>
      <c r="AA59" s="17">
        <v>802928</v>
      </c>
      <c r="AB59" s="17">
        <v>338372</v>
      </c>
      <c r="AC59" s="17">
        <v>1141300</v>
      </c>
      <c r="AD59" s="17">
        <v>2225238</v>
      </c>
      <c r="AE59" s="17" t="s">
        <v>1152</v>
      </c>
      <c r="AF59" s="51">
        <f t="shared" si="4"/>
        <v>39.297575835336062</v>
      </c>
      <c r="AG59" s="51">
        <f t="shared" si="5"/>
        <v>41.377203586246672</v>
      </c>
      <c r="AH59" s="51">
        <f t="shared" si="6"/>
        <v>80.674779421582727</v>
      </c>
      <c r="AI59" s="51" t="str">
        <f t="shared" si="7"/>
        <v/>
      </c>
      <c r="AJ59" s="17">
        <v>994395</v>
      </c>
      <c r="AK59" s="17">
        <v>423587</v>
      </c>
      <c r="AL59" s="17">
        <v>1417982</v>
      </c>
      <c r="AM59" s="17">
        <v>2524953</v>
      </c>
      <c r="AN59" s="17">
        <v>858253</v>
      </c>
      <c r="AO59" s="17"/>
      <c r="AP59" s="17"/>
      <c r="AQ59" s="17"/>
      <c r="AR59" s="17"/>
      <c r="AS59" s="17"/>
      <c r="AT59" s="17"/>
      <c r="AU59" s="17"/>
      <c r="BN59" s="17"/>
      <c r="BO59" s="17"/>
      <c r="BP59" s="17"/>
      <c r="BQ59" s="17"/>
      <c r="BR59" s="17"/>
      <c r="BX59" s="17"/>
    </row>
    <row r="60" spans="1:76" x14ac:dyDescent="0.25">
      <c r="A60" t="s">
        <v>610</v>
      </c>
      <c r="B60" t="s">
        <v>30</v>
      </c>
      <c r="C60">
        <v>2016</v>
      </c>
      <c r="D60" t="s">
        <v>611</v>
      </c>
      <c r="E60" s="61">
        <v>18870</v>
      </c>
      <c r="F60" s="67">
        <v>174199263900</v>
      </c>
      <c r="G60" s="17">
        <v>10760421</v>
      </c>
      <c r="H60" t="s">
        <v>109</v>
      </c>
      <c r="I60" t="s">
        <v>43</v>
      </c>
      <c r="J60" t="s">
        <v>507</v>
      </c>
      <c r="K60" t="s">
        <v>193</v>
      </c>
      <c r="L60" t="s">
        <v>190</v>
      </c>
      <c r="M60" t="s">
        <v>48</v>
      </c>
      <c r="N60" t="s">
        <v>62</v>
      </c>
      <c r="O60" t="s">
        <v>63</v>
      </c>
      <c r="Z60" s="17">
        <v>678816</v>
      </c>
      <c r="AA60" s="17">
        <v>23829</v>
      </c>
      <c r="AB60" s="17">
        <v>2684</v>
      </c>
      <c r="AC60" s="17">
        <v>26513</v>
      </c>
      <c r="AD60" s="17">
        <v>705329</v>
      </c>
      <c r="AE60" s="17">
        <v>388</v>
      </c>
      <c r="AF60" s="51">
        <f t="shared" si="4"/>
        <v>63.084520577772935</v>
      </c>
      <c r="AG60" s="51">
        <f t="shared" si="5"/>
        <v>2.4639370522770436</v>
      </c>
      <c r="AH60" s="51">
        <f t="shared" si="6"/>
        <v>65.548457630049981</v>
      </c>
      <c r="AI60" s="51">
        <f t="shared" si="7"/>
        <v>3.6058068731697396E-2</v>
      </c>
      <c r="AJ60" s="17">
        <v>1288988</v>
      </c>
      <c r="AK60" s="17">
        <v>412490</v>
      </c>
      <c r="AL60" s="17">
        <v>254639</v>
      </c>
      <c r="AM60" s="17">
        <v>667129</v>
      </c>
      <c r="AN60" s="17">
        <v>1956117</v>
      </c>
      <c r="AO60" s="17">
        <v>294094</v>
      </c>
      <c r="AP60" s="17">
        <v>17000000000</v>
      </c>
      <c r="AQ60" s="17">
        <v>9500000000</v>
      </c>
      <c r="AR60" s="17">
        <v>9800000000</v>
      </c>
      <c r="AS60" s="17">
        <v>19300000000</v>
      </c>
      <c r="AT60" s="17">
        <v>36300000000</v>
      </c>
      <c r="AU60" s="17">
        <v>13300000000</v>
      </c>
      <c r="BN60" s="17"/>
      <c r="BO60" s="17"/>
      <c r="BP60" s="17"/>
      <c r="BQ60" s="17"/>
      <c r="BR60" s="17"/>
      <c r="BX60" s="17"/>
    </row>
    <row r="61" spans="1:76" x14ac:dyDescent="0.25">
      <c r="A61" t="s">
        <v>612</v>
      </c>
      <c r="B61" t="s">
        <v>30</v>
      </c>
      <c r="C61">
        <v>2010</v>
      </c>
      <c r="D61" t="s">
        <v>613</v>
      </c>
      <c r="E61" s="61">
        <v>9100</v>
      </c>
      <c r="F61" s="67">
        <v>2081742900.0000002</v>
      </c>
      <c r="G61" s="17">
        <v>107825</v>
      </c>
      <c r="H61" t="s">
        <v>42</v>
      </c>
      <c r="I61" t="s">
        <v>110</v>
      </c>
      <c r="J61" t="s">
        <v>614</v>
      </c>
      <c r="K61" t="s">
        <v>615</v>
      </c>
      <c r="L61" t="s">
        <v>1651</v>
      </c>
      <c r="M61" t="s">
        <v>1898</v>
      </c>
      <c r="N61" t="s">
        <v>1901</v>
      </c>
      <c r="O61" t="s">
        <v>244</v>
      </c>
      <c r="P61" t="s">
        <v>1903</v>
      </c>
      <c r="Q61" t="s">
        <v>1905</v>
      </c>
      <c r="R61" t="s">
        <v>1907</v>
      </c>
      <c r="S61" t="s">
        <v>616</v>
      </c>
      <c r="T61" t="s">
        <v>102</v>
      </c>
      <c r="U61" t="s">
        <v>617</v>
      </c>
      <c r="V61" t="s">
        <v>618</v>
      </c>
      <c r="W61" t="s">
        <v>619</v>
      </c>
      <c r="Y61" t="s">
        <v>102</v>
      </c>
      <c r="Z61" s="17"/>
      <c r="AA61" s="17"/>
      <c r="AB61" s="17"/>
      <c r="AC61" s="17"/>
      <c r="AD61" s="17"/>
      <c r="AE61" s="17"/>
      <c r="AF61" s="51" t="str">
        <f t="shared" si="4"/>
        <v/>
      </c>
      <c r="AG61" s="51" t="str">
        <f t="shared" si="5"/>
        <v/>
      </c>
      <c r="AH61" s="51" t="str">
        <f t="shared" si="6"/>
        <v/>
      </c>
      <c r="AI61" s="51" t="str">
        <f t="shared" si="7"/>
        <v/>
      </c>
      <c r="AJ61" s="17"/>
      <c r="AK61" s="17"/>
      <c r="AL61" s="17"/>
      <c r="AM61" s="17"/>
      <c r="AN61" s="17"/>
      <c r="AO61" s="17"/>
      <c r="AP61" s="17"/>
      <c r="AQ61" s="17"/>
      <c r="AR61" s="17"/>
      <c r="AS61" s="17"/>
      <c r="AT61" s="17"/>
      <c r="AU61" s="17"/>
      <c r="BN61" s="17"/>
      <c r="BO61" s="17"/>
      <c r="BP61" s="17"/>
      <c r="BQ61" s="17"/>
      <c r="BR61" s="17"/>
      <c r="BX61" s="17" t="s">
        <v>634</v>
      </c>
    </row>
    <row r="62" spans="1:76" x14ac:dyDescent="0.25">
      <c r="A62" t="s">
        <v>620</v>
      </c>
      <c r="B62" t="s">
        <v>30</v>
      </c>
      <c r="C62">
        <v>2012</v>
      </c>
      <c r="D62" t="s">
        <v>621</v>
      </c>
      <c r="E62" s="61">
        <v>35600</v>
      </c>
      <c r="F62" s="67">
        <v>5199000000</v>
      </c>
      <c r="G62" s="17">
        <v>159973</v>
      </c>
      <c r="H62" t="s">
        <v>109</v>
      </c>
      <c r="I62" t="s">
        <v>77</v>
      </c>
      <c r="J62" t="s">
        <v>1744</v>
      </c>
      <c r="K62" t="s">
        <v>1745</v>
      </c>
      <c r="L62" t="s">
        <v>92</v>
      </c>
      <c r="M62" t="s">
        <v>80</v>
      </c>
      <c r="N62" t="s">
        <v>622</v>
      </c>
      <c r="O62" t="s">
        <v>49</v>
      </c>
      <c r="T62" t="s">
        <v>114</v>
      </c>
      <c r="Z62" s="17">
        <v>1878</v>
      </c>
      <c r="AA62" s="17">
        <v>556</v>
      </c>
      <c r="AB62" s="17">
        <v>390</v>
      </c>
      <c r="AC62" s="17">
        <v>946</v>
      </c>
      <c r="AD62" s="17">
        <v>2824</v>
      </c>
      <c r="AE62" s="17">
        <v>200</v>
      </c>
      <c r="AF62" s="51">
        <f t="shared" si="4"/>
        <v>11.739481037425065</v>
      </c>
      <c r="AG62" s="51">
        <f t="shared" si="5"/>
        <v>5.9134979027710921</v>
      </c>
      <c r="AH62" s="51">
        <f t="shared" si="6"/>
        <v>17.652978940196157</v>
      </c>
      <c r="AI62" s="51">
        <f t="shared" si="7"/>
        <v>1.2502109731017108</v>
      </c>
      <c r="AJ62" s="17">
        <v>7666</v>
      </c>
      <c r="AK62" s="17">
        <v>7427</v>
      </c>
      <c r="AL62" s="17">
        <v>11694</v>
      </c>
      <c r="AM62" s="17">
        <v>19121</v>
      </c>
      <c r="AN62" s="17">
        <v>26787</v>
      </c>
      <c r="AO62" s="17">
        <v>26792</v>
      </c>
      <c r="AP62" s="17"/>
      <c r="AQ62" s="17"/>
      <c r="AR62" s="17"/>
      <c r="AS62" s="17"/>
      <c r="AT62" s="17"/>
      <c r="AU62" s="17"/>
      <c r="BN62" s="17"/>
      <c r="BO62" s="17"/>
      <c r="BP62" s="17"/>
      <c r="BQ62" s="17"/>
      <c r="BR62" s="17"/>
      <c r="BU62" t="s">
        <v>623</v>
      </c>
      <c r="BX62" s="17"/>
    </row>
    <row r="63" spans="1:76" x14ac:dyDescent="0.25">
      <c r="A63" t="s">
        <v>624</v>
      </c>
      <c r="B63" t="s">
        <v>30</v>
      </c>
      <c r="C63">
        <v>2015</v>
      </c>
      <c r="D63" t="s">
        <v>625</v>
      </c>
      <c r="E63" s="61">
        <v>3610</v>
      </c>
      <c r="F63" s="67">
        <v>488128203000</v>
      </c>
      <c r="G63" s="17">
        <v>16252429</v>
      </c>
      <c r="H63" t="s">
        <v>42</v>
      </c>
      <c r="I63" t="s">
        <v>110</v>
      </c>
      <c r="J63" t="s">
        <v>626</v>
      </c>
      <c r="K63" t="s">
        <v>627</v>
      </c>
      <c r="L63" t="s">
        <v>401</v>
      </c>
      <c r="M63" t="s">
        <v>628</v>
      </c>
      <c r="N63" t="s">
        <v>629</v>
      </c>
      <c r="O63" t="s">
        <v>101</v>
      </c>
      <c r="U63" t="s">
        <v>630</v>
      </c>
      <c r="V63" t="s">
        <v>631</v>
      </c>
      <c r="W63" t="s">
        <v>632</v>
      </c>
      <c r="X63" t="s">
        <v>1892</v>
      </c>
      <c r="Y63" t="s">
        <v>633</v>
      </c>
      <c r="Z63" s="17">
        <v>330752</v>
      </c>
      <c r="AA63" s="17">
        <v>36398</v>
      </c>
      <c r="AB63" s="17">
        <v>4027</v>
      </c>
      <c r="AC63" s="17">
        <v>40425</v>
      </c>
      <c r="AD63" s="17">
        <v>371177</v>
      </c>
      <c r="AE63" s="17">
        <v>1602</v>
      </c>
      <c r="AF63" s="51">
        <f t="shared" si="4"/>
        <v>20.350927236784113</v>
      </c>
      <c r="AG63" s="51">
        <f t="shared" si="5"/>
        <v>2.4873205106756657</v>
      </c>
      <c r="AH63" s="51">
        <f t="shared" si="6"/>
        <v>22.838247747459782</v>
      </c>
      <c r="AI63" s="51">
        <f t="shared" si="7"/>
        <v>9.8569881462026387E-2</v>
      </c>
      <c r="AJ63" s="17"/>
      <c r="AK63" s="17"/>
      <c r="AL63" s="17"/>
      <c r="AM63" s="17"/>
      <c r="AN63" s="17"/>
      <c r="AO63" s="17"/>
      <c r="AP63" s="17">
        <v>22302106125.110001</v>
      </c>
      <c r="AQ63" s="17">
        <v>76315164376</v>
      </c>
      <c r="AR63" s="17">
        <v>76560261447</v>
      </c>
      <c r="AS63" s="17">
        <v>152875425823</v>
      </c>
      <c r="AT63" s="17">
        <v>175177531948.10999</v>
      </c>
      <c r="AU63" s="17">
        <v>325035775733</v>
      </c>
      <c r="AV63" t="s">
        <v>635</v>
      </c>
      <c r="AW63" t="s">
        <v>635</v>
      </c>
      <c r="BN63" s="17"/>
      <c r="BO63" s="17"/>
      <c r="BP63" s="17"/>
      <c r="BQ63" s="17"/>
      <c r="BR63" s="17"/>
      <c r="BT63" t="s">
        <v>636</v>
      </c>
      <c r="BX63" s="17"/>
    </row>
    <row r="64" spans="1:76" x14ac:dyDescent="0.25">
      <c r="A64" t="s">
        <v>644</v>
      </c>
      <c r="B64" t="s">
        <v>30</v>
      </c>
      <c r="C64">
        <v>2004</v>
      </c>
      <c r="D64" t="s">
        <v>645</v>
      </c>
      <c r="E64" s="61">
        <v>360</v>
      </c>
      <c r="F64" s="67">
        <v>8157718293700</v>
      </c>
      <c r="G64" s="17">
        <v>9379621</v>
      </c>
      <c r="H64" t="s">
        <v>32</v>
      </c>
      <c r="I64" t="s">
        <v>89</v>
      </c>
      <c r="J64" t="s">
        <v>1656</v>
      </c>
      <c r="K64" t="s">
        <v>646</v>
      </c>
      <c r="L64" t="s">
        <v>562</v>
      </c>
      <c r="M64" t="s">
        <v>1657</v>
      </c>
      <c r="N64" t="s">
        <v>1657</v>
      </c>
      <c r="O64" t="s">
        <v>1658</v>
      </c>
      <c r="P64" t="s">
        <v>168</v>
      </c>
      <c r="Q64" t="s">
        <v>1852</v>
      </c>
      <c r="R64" t="s">
        <v>1852</v>
      </c>
      <c r="S64" t="s">
        <v>1659</v>
      </c>
      <c r="T64" t="s">
        <v>1660</v>
      </c>
      <c r="Z64" s="17"/>
      <c r="AA64" s="17"/>
      <c r="AB64" s="17"/>
      <c r="AC64" s="17"/>
      <c r="AD64" s="17"/>
      <c r="AE64" s="17"/>
      <c r="AF64" s="51" t="str">
        <f t="shared" si="4"/>
        <v/>
      </c>
      <c r="AG64" s="51" t="str">
        <f t="shared" si="5"/>
        <v/>
      </c>
      <c r="AH64" s="51" t="str">
        <f t="shared" si="6"/>
        <v/>
      </c>
      <c r="AI64" s="51" t="str">
        <f t="shared" si="7"/>
        <v/>
      </c>
      <c r="AJ64" s="17"/>
      <c r="AK64" s="17"/>
      <c r="AL64" s="17"/>
      <c r="AM64" s="17"/>
      <c r="AN64" s="17"/>
      <c r="AO64" s="17"/>
      <c r="AP64" s="17"/>
      <c r="AQ64" s="17"/>
      <c r="AR64" s="17"/>
      <c r="AS64" s="17"/>
      <c r="AT64" s="17"/>
      <c r="AU64" s="17"/>
      <c r="BN64" s="17"/>
      <c r="BO64" s="17"/>
      <c r="BP64" s="17"/>
      <c r="BQ64" s="17"/>
      <c r="BR64" s="17"/>
      <c r="BX64" s="17" t="s">
        <v>663</v>
      </c>
    </row>
    <row r="65" spans="1:76" x14ac:dyDescent="0.25">
      <c r="A65" t="s">
        <v>649</v>
      </c>
      <c r="B65" t="s">
        <v>30</v>
      </c>
      <c r="C65">
        <v>2004</v>
      </c>
      <c r="D65" t="s">
        <v>650</v>
      </c>
      <c r="E65" s="61">
        <v>930</v>
      </c>
      <c r="F65" s="67">
        <v>155853586400</v>
      </c>
      <c r="G65" s="17">
        <v>751652</v>
      </c>
      <c r="H65" t="s">
        <v>42</v>
      </c>
      <c r="I65" t="s">
        <v>110</v>
      </c>
      <c r="J65" t="s">
        <v>651</v>
      </c>
      <c r="K65" t="s">
        <v>652</v>
      </c>
      <c r="M65" t="s">
        <v>112</v>
      </c>
      <c r="Q65" t="s">
        <v>653</v>
      </c>
      <c r="T65" t="s">
        <v>654</v>
      </c>
      <c r="V65" t="s">
        <v>655</v>
      </c>
      <c r="Y65" t="s">
        <v>654</v>
      </c>
      <c r="Z65" s="17"/>
      <c r="AA65" s="17"/>
      <c r="AB65" s="17"/>
      <c r="AC65" s="17"/>
      <c r="AD65" s="17"/>
      <c r="AE65" s="17"/>
      <c r="AF65" s="51" t="str">
        <f t="shared" si="4"/>
        <v/>
      </c>
      <c r="AG65" s="51" t="str">
        <f t="shared" si="5"/>
        <v/>
      </c>
      <c r="AH65" s="51" t="str">
        <f t="shared" si="6"/>
        <v/>
      </c>
      <c r="AI65" s="51" t="str">
        <f t="shared" si="7"/>
        <v/>
      </c>
      <c r="AJ65" s="17"/>
      <c r="AK65" s="17"/>
      <c r="AL65" s="17"/>
      <c r="AM65" s="17"/>
      <c r="AN65" s="17"/>
      <c r="AO65" s="17"/>
      <c r="AP65" s="17"/>
      <c r="AQ65" s="17"/>
      <c r="AR65" s="17"/>
      <c r="AS65" s="17"/>
      <c r="AT65" s="17"/>
      <c r="AU65" s="17"/>
      <c r="BN65" s="17"/>
      <c r="BO65" s="17"/>
      <c r="BP65" s="17"/>
      <c r="BQ65" s="17"/>
      <c r="BR65" s="17"/>
      <c r="BX65" s="17"/>
    </row>
    <row r="66" spans="1:76" x14ac:dyDescent="0.25">
      <c r="A66" t="s">
        <v>656</v>
      </c>
      <c r="B66" t="s">
        <v>30</v>
      </c>
      <c r="C66">
        <v>2010</v>
      </c>
      <c r="D66" t="s">
        <v>657</v>
      </c>
      <c r="E66" s="61">
        <v>650</v>
      </c>
      <c r="F66" s="67">
        <v>266952000000</v>
      </c>
      <c r="G66" s="17">
        <v>9999617</v>
      </c>
      <c r="H66" t="s">
        <v>32</v>
      </c>
      <c r="I66" t="s">
        <v>110</v>
      </c>
      <c r="J66" t="s">
        <v>658</v>
      </c>
      <c r="K66" t="s">
        <v>659</v>
      </c>
      <c r="L66" t="s">
        <v>61</v>
      </c>
      <c r="M66" t="s">
        <v>48</v>
      </c>
      <c r="N66" t="s">
        <v>660</v>
      </c>
      <c r="O66" t="s">
        <v>167</v>
      </c>
      <c r="T66" t="s">
        <v>661</v>
      </c>
      <c r="V66" t="s">
        <v>602</v>
      </c>
      <c r="W66" t="s">
        <v>662</v>
      </c>
      <c r="X66" t="s">
        <v>503</v>
      </c>
      <c r="Y66" t="s">
        <v>661</v>
      </c>
      <c r="Z66" s="17">
        <v>373134</v>
      </c>
      <c r="AA66" s="17"/>
      <c r="AB66" s="17"/>
      <c r="AC66" s="17">
        <v>10000</v>
      </c>
      <c r="AD66" s="17">
        <v>383134</v>
      </c>
      <c r="AE66" s="17">
        <v>233</v>
      </c>
      <c r="AF66" s="51">
        <f t="shared" si="4"/>
        <v>37.314829157956751</v>
      </c>
      <c r="AG66" s="51">
        <f t="shared" si="5"/>
        <v>1.0000383014669463</v>
      </c>
      <c r="AH66" s="51">
        <f t="shared" si="6"/>
        <v>38.314867459423695</v>
      </c>
      <c r="AI66" s="51">
        <f t="shared" si="7"/>
        <v>2.3300892424179848E-2</v>
      </c>
      <c r="AJ66" s="17"/>
      <c r="AK66" s="17"/>
      <c r="AL66" s="17"/>
      <c r="AM66" s="17"/>
      <c r="AN66" s="17"/>
      <c r="AO66" s="17"/>
      <c r="AP66" s="17"/>
      <c r="AQ66" s="17"/>
      <c r="AR66" s="17"/>
      <c r="AS66" s="17"/>
      <c r="AT66" s="17"/>
      <c r="AU66" s="17"/>
      <c r="BN66" s="17"/>
      <c r="BO66" s="17"/>
      <c r="BP66" s="17"/>
      <c r="BQ66" s="17"/>
      <c r="BR66" s="17"/>
      <c r="BX66" s="17"/>
    </row>
    <row r="67" spans="1:76" x14ac:dyDescent="0.25">
      <c r="A67" t="s">
        <v>664</v>
      </c>
      <c r="B67" t="s">
        <v>30</v>
      </c>
      <c r="C67">
        <v>2015</v>
      </c>
      <c r="D67" t="s">
        <v>665</v>
      </c>
      <c r="E67" s="61">
        <v>2090</v>
      </c>
      <c r="F67" s="67">
        <v>460405200000.00006</v>
      </c>
      <c r="G67" s="17">
        <v>8960829</v>
      </c>
      <c r="H67" t="s">
        <v>88</v>
      </c>
      <c r="I67" t="s">
        <v>110</v>
      </c>
      <c r="J67" t="s">
        <v>666</v>
      </c>
      <c r="K67" t="s">
        <v>667</v>
      </c>
      <c r="U67" t="s">
        <v>668</v>
      </c>
      <c r="V67" t="s">
        <v>669</v>
      </c>
      <c r="W67" t="s">
        <v>670</v>
      </c>
      <c r="X67" t="s">
        <v>671</v>
      </c>
      <c r="Y67" t="s">
        <v>672</v>
      </c>
      <c r="Z67" s="17">
        <v>20289</v>
      </c>
      <c r="AA67" s="17"/>
      <c r="AB67" s="17"/>
      <c r="AC67" s="17">
        <v>127028</v>
      </c>
      <c r="AD67" s="17">
        <v>147317</v>
      </c>
      <c r="AE67" s="17">
        <v>2028</v>
      </c>
      <c r="AF67" s="51">
        <f t="shared" si="4"/>
        <v>2.2641878335140642</v>
      </c>
      <c r="AG67" s="51">
        <f t="shared" si="5"/>
        <v>14.17592055377912</v>
      </c>
      <c r="AH67" s="51">
        <f t="shared" si="6"/>
        <v>16.440108387293186</v>
      </c>
      <c r="AI67" s="51">
        <f t="shared" si="7"/>
        <v>0.22631834621551197</v>
      </c>
      <c r="AJ67" s="17"/>
      <c r="AK67" s="17"/>
      <c r="AL67" s="17"/>
      <c r="AM67" s="17"/>
      <c r="AN67" s="17"/>
      <c r="AO67" s="17"/>
      <c r="AP67" s="17"/>
      <c r="AQ67" s="17"/>
      <c r="AR67" s="17"/>
      <c r="AS67" s="17"/>
      <c r="AT67" s="17"/>
      <c r="AU67" s="17"/>
      <c r="AV67" t="s">
        <v>667</v>
      </c>
      <c r="AW67" t="s">
        <v>667</v>
      </c>
      <c r="BN67" s="17"/>
      <c r="BO67" s="17"/>
      <c r="BP67" s="17"/>
      <c r="BQ67" s="17"/>
      <c r="BR67" s="17"/>
      <c r="BX67" s="17"/>
    </row>
    <row r="68" spans="1:76" x14ac:dyDescent="0.25">
      <c r="A68" t="s">
        <v>673</v>
      </c>
      <c r="B68" t="s">
        <v>30</v>
      </c>
      <c r="C68">
        <v>2018</v>
      </c>
      <c r="D68" t="s">
        <v>674</v>
      </c>
      <c r="E68" s="61">
        <v>46310</v>
      </c>
      <c r="F68" s="67">
        <v>2660983000000</v>
      </c>
      <c r="G68" s="17">
        <v>7391700</v>
      </c>
      <c r="H68" t="s">
        <v>109</v>
      </c>
      <c r="I68" t="s">
        <v>77</v>
      </c>
      <c r="J68" t="s">
        <v>675</v>
      </c>
      <c r="K68" t="s">
        <v>676</v>
      </c>
      <c r="M68" t="s">
        <v>1747</v>
      </c>
      <c r="N68" t="s">
        <v>1747</v>
      </c>
      <c r="Z68" s="17"/>
      <c r="AA68" s="17"/>
      <c r="AB68" s="17"/>
      <c r="AC68" s="17">
        <v>336483</v>
      </c>
      <c r="AD68" s="17"/>
      <c r="AE68" s="17"/>
      <c r="AF68" s="51" t="str">
        <f t="shared" si="4"/>
        <v/>
      </c>
      <c r="AG68" s="51">
        <f t="shared" si="5"/>
        <v>45.521733836600511</v>
      </c>
      <c r="AH68" s="51" t="str">
        <f t="shared" si="6"/>
        <v/>
      </c>
      <c r="AI68" s="51" t="str">
        <f t="shared" si="7"/>
        <v/>
      </c>
      <c r="AJ68" s="17"/>
      <c r="AK68" s="17"/>
      <c r="AL68" s="17"/>
      <c r="AM68" s="17">
        <v>1314031</v>
      </c>
      <c r="AN68" s="17"/>
      <c r="AO68" s="17"/>
      <c r="AP68" s="17"/>
      <c r="AQ68" s="17"/>
      <c r="AR68" s="17"/>
      <c r="AS68" s="17"/>
      <c r="AT68" s="17"/>
      <c r="AU68" s="17"/>
      <c r="BN68" s="17"/>
      <c r="BO68" s="17"/>
      <c r="BP68" s="17"/>
      <c r="BQ68" s="17"/>
      <c r="BR68" s="17"/>
      <c r="BX68" s="17"/>
    </row>
    <row r="69" spans="1:76" x14ac:dyDescent="0.25">
      <c r="A69" t="s">
        <v>677</v>
      </c>
      <c r="B69" t="s">
        <v>30</v>
      </c>
      <c r="C69">
        <v>2016</v>
      </c>
      <c r="D69" t="s">
        <v>678</v>
      </c>
      <c r="E69" s="61">
        <v>12500</v>
      </c>
      <c r="F69" s="67">
        <v>35420320000000</v>
      </c>
      <c r="G69" s="17">
        <v>9781127</v>
      </c>
      <c r="H69" t="s">
        <v>109</v>
      </c>
      <c r="I69" t="s">
        <v>43</v>
      </c>
      <c r="J69" t="s">
        <v>188</v>
      </c>
      <c r="K69" t="s">
        <v>1069</v>
      </c>
      <c r="L69" t="s">
        <v>190</v>
      </c>
      <c r="M69" t="s">
        <v>48</v>
      </c>
      <c r="N69" t="s">
        <v>62</v>
      </c>
      <c r="O69" t="s">
        <v>63</v>
      </c>
      <c r="Z69" s="17">
        <v>518649</v>
      </c>
      <c r="AA69" s="17">
        <v>13760</v>
      </c>
      <c r="AB69" s="17">
        <v>4471</v>
      </c>
      <c r="AC69" s="17">
        <v>18231</v>
      </c>
      <c r="AD69" s="17">
        <v>536880</v>
      </c>
      <c r="AE69" s="17">
        <v>881</v>
      </c>
      <c r="AF69" s="51">
        <f t="shared" si="4"/>
        <v>53.02548469107905</v>
      </c>
      <c r="AG69" s="51">
        <f t="shared" si="5"/>
        <v>1.8638956431094289</v>
      </c>
      <c r="AH69" s="51">
        <f t="shared" si="6"/>
        <v>54.889380334188481</v>
      </c>
      <c r="AI69" s="51">
        <f t="shared" si="7"/>
        <v>9.0071420195239268E-2</v>
      </c>
      <c r="AJ69" s="17">
        <v>905522</v>
      </c>
      <c r="AK69" s="17">
        <v>511771</v>
      </c>
      <c r="AL69" s="17">
        <v>443080</v>
      </c>
      <c r="AM69" s="17">
        <v>954851</v>
      </c>
      <c r="AN69" s="17">
        <v>1860373</v>
      </c>
      <c r="AO69" s="17">
        <v>812072</v>
      </c>
      <c r="AP69" s="17">
        <v>10284700000</v>
      </c>
      <c r="AQ69" s="17">
        <v>9556200000</v>
      </c>
      <c r="AR69" s="17">
        <v>10457100000</v>
      </c>
      <c r="AS69" s="17">
        <v>20013300000</v>
      </c>
      <c r="AT69" s="17">
        <v>30298000000</v>
      </c>
      <c r="AU69" s="17">
        <v>26287900000</v>
      </c>
      <c r="BN69" s="17"/>
      <c r="BO69" s="17"/>
      <c r="BP69" s="17"/>
      <c r="BQ69" s="17"/>
      <c r="BR69" s="17"/>
      <c r="BX69" s="17"/>
    </row>
    <row r="70" spans="1:76" x14ac:dyDescent="0.25">
      <c r="A70" t="s">
        <v>679</v>
      </c>
      <c r="B70" t="s">
        <v>30</v>
      </c>
      <c r="C70">
        <v>2017</v>
      </c>
      <c r="D70" t="s">
        <v>680</v>
      </c>
      <c r="E70" s="61">
        <v>60500</v>
      </c>
      <c r="F70" s="67">
        <v>2554565124000</v>
      </c>
      <c r="G70" s="17">
        <v>343400</v>
      </c>
      <c r="H70" t="s">
        <v>109</v>
      </c>
      <c r="I70" t="s">
        <v>43</v>
      </c>
      <c r="J70" t="s">
        <v>1748</v>
      </c>
      <c r="K70" t="s">
        <v>681</v>
      </c>
      <c r="L70" t="s">
        <v>190</v>
      </c>
      <c r="M70" t="s">
        <v>48</v>
      </c>
      <c r="N70" t="s">
        <v>682</v>
      </c>
      <c r="O70" t="s">
        <v>37</v>
      </c>
      <c r="T70" t="s">
        <v>55</v>
      </c>
      <c r="Y70" t="s">
        <v>55</v>
      </c>
      <c r="Z70" s="17">
        <v>28424</v>
      </c>
      <c r="AA70" s="17">
        <v>1608</v>
      </c>
      <c r="AB70" s="17">
        <v>181</v>
      </c>
      <c r="AC70" s="17">
        <v>1789</v>
      </c>
      <c r="AD70" s="17">
        <v>30213</v>
      </c>
      <c r="AE70" s="17">
        <v>179</v>
      </c>
      <c r="AF70" s="51">
        <f t="shared" si="4"/>
        <v>82.772277227722782</v>
      </c>
      <c r="AG70" s="51">
        <f t="shared" si="5"/>
        <v>5.2096680256260921</v>
      </c>
      <c r="AH70" s="51">
        <f t="shared" si="6"/>
        <v>87.981945253348869</v>
      </c>
      <c r="AI70" s="51">
        <f t="shared" si="7"/>
        <v>0.52125800815375656</v>
      </c>
      <c r="AJ70" s="17"/>
      <c r="AK70" s="17"/>
      <c r="AL70" s="17"/>
      <c r="AM70" s="17"/>
      <c r="AN70" s="17"/>
      <c r="AO70" s="17"/>
      <c r="AP70" s="17"/>
      <c r="AQ70" s="17"/>
      <c r="AR70" s="17"/>
      <c r="AS70" s="17"/>
      <c r="AT70" s="17"/>
      <c r="AU70" s="17"/>
      <c r="AW70" t="s">
        <v>681</v>
      </c>
      <c r="BN70" s="17"/>
      <c r="BO70" s="17"/>
      <c r="BP70" s="17"/>
      <c r="BQ70" s="17"/>
      <c r="BR70" s="17"/>
      <c r="BX70" s="17"/>
    </row>
    <row r="71" spans="1:76" x14ac:dyDescent="0.25">
      <c r="A71" t="s">
        <v>684</v>
      </c>
      <c r="B71" t="s">
        <v>30</v>
      </c>
      <c r="C71">
        <v>2015</v>
      </c>
      <c r="D71" t="s">
        <v>685</v>
      </c>
      <c r="E71" s="61">
        <v>1600</v>
      </c>
      <c r="F71" s="67">
        <v>137640372678826</v>
      </c>
      <c r="G71" s="17">
        <v>1309053980</v>
      </c>
      <c r="H71" t="s">
        <v>88</v>
      </c>
      <c r="I71" t="s">
        <v>33</v>
      </c>
      <c r="J71" t="s">
        <v>686</v>
      </c>
      <c r="K71" t="s">
        <v>1640</v>
      </c>
      <c r="P71" t="s">
        <v>38</v>
      </c>
      <c r="Q71" t="s">
        <v>687</v>
      </c>
      <c r="R71" t="s">
        <v>688</v>
      </c>
      <c r="S71" t="s">
        <v>689</v>
      </c>
      <c r="T71" t="s">
        <v>690</v>
      </c>
      <c r="Y71" t="s">
        <v>690</v>
      </c>
      <c r="Z71" s="17">
        <v>63052000</v>
      </c>
      <c r="AA71" s="17">
        <v>331000</v>
      </c>
      <c r="AB71" s="17">
        <v>5000</v>
      </c>
      <c r="AC71" s="17">
        <v>336000</v>
      </c>
      <c r="AD71" s="17">
        <v>63388000</v>
      </c>
      <c r="AE71" s="17"/>
      <c r="AF71" s="51">
        <f t="shared" si="4"/>
        <v>48.166080973987029</v>
      </c>
      <c r="AG71" s="51">
        <f t="shared" si="5"/>
        <v>0.2566739073662952</v>
      </c>
      <c r="AH71" s="51">
        <f t="shared" si="6"/>
        <v>48.422754881353328</v>
      </c>
      <c r="AI71" s="51" t="str">
        <f t="shared" si="7"/>
        <v/>
      </c>
      <c r="AJ71" s="17">
        <v>107619000</v>
      </c>
      <c r="AK71" s="17">
        <v>3195000</v>
      </c>
      <c r="AL71" s="17">
        <v>175000</v>
      </c>
      <c r="AM71" s="17">
        <v>3370000</v>
      </c>
      <c r="AN71" s="17">
        <v>110989000</v>
      </c>
      <c r="AO71" s="17"/>
      <c r="AP71" s="17"/>
      <c r="AQ71" s="17"/>
      <c r="AR71" s="17"/>
      <c r="AS71" s="17"/>
      <c r="AT71" s="17">
        <v>39367880000000</v>
      </c>
      <c r="AU71" s="17"/>
      <c r="BN71" s="17">
        <v>12435900</v>
      </c>
      <c r="BO71" s="17">
        <v>4824691</v>
      </c>
      <c r="BP71" s="17">
        <f>+BN71+BO71</f>
        <v>17260591</v>
      </c>
      <c r="BQ71" s="17"/>
      <c r="BR71" s="17"/>
      <c r="BS71" s="65"/>
      <c r="BX71" s="17" t="s">
        <v>888</v>
      </c>
    </row>
    <row r="72" spans="1:76" s="15" customFormat="1" x14ac:dyDescent="0.25">
      <c r="A72" s="15" t="s">
        <v>691</v>
      </c>
      <c r="B72" s="15" t="s">
        <v>30</v>
      </c>
      <c r="C72" s="15">
        <v>2017</v>
      </c>
      <c r="D72" s="15" t="s">
        <v>692</v>
      </c>
      <c r="E72" s="72">
        <v>3540</v>
      </c>
      <c r="F72" s="67">
        <v>1.35887973E+16</v>
      </c>
      <c r="G72" s="17">
        <v>263991379</v>
      </c>
      <c r="H72" s="15" t="s">
        <v>88</v>
      </c>
      <c r="I72" s="15" t="s">
        <v>77</v>
      </c>
      <c r="J72" s="15" t="s">
        <v>693</v>
      </c>
      <c r="K72" s="15" t="s">
        <v>694</v>
      </c>
      <c r="L72" s="15" t="s">
        <v>46</v>
      </c>
      <c r="M72" s="15" t="s">
        <v>182</v>
      </c>
      <c r="N72" s="15" t="s">
        <v>309</v>
      </c>
      <c r="O72" s="15" t="s">
        <v>310</v>
      </c>
      <c r="P72" s="15" t="s">
        <v>1749</v>
      </c>
      <c r="Q72" s="15" t="s">
        <v>1750</v>
      </c>
      <c r="R72" s="15" t="s">
        <v>1751</v>
      </c>
      <c r="S72" s="15" t="s">
        <v>1752</v>
      </c>
      <c r="T72" s="15" t="s">
        <v>695</v>
      </c>
      <c r="U72" s="15" t="s">
        <v>1753</v>
      </c>
      <c r="V72" s="15" t="s">
        <v>1754</v>
      </c>
      <c r="W72" s="15" t="s">
        <v>1755</v>
      </c>
      <c r="X72" s="15" t="s">
        <v>1756</v>
      </c>
      <c r="Y72" s="15" t="s">
        <v>695</v>
      </c>
      <c r="Z72" s="17">
        <v>62106900</v>
      </c>
      <c r="AA72" s="17">
        <v>757090</v>
      </c>
      <c r="AB72" s="17">
        <v>58627</v>
      </c>
      <c r="AC72" s="17">
        <v>815717</v>
      </c>
      <c r="AD72" s="17">
        <v>62922617</v>
      </c>
      <c r="AE72" s="17">
        <v>5460</v>
      </c>
      <c r="AF72" s="51">
        <f t="shared" si="4"/>
        <v>235.26109161314696</v>
      </c>
      <c r="AG72" s="51">
        <f t="shared" si="5"/>
        <v>3.0899380240746424</v>
      </c>
      <c r="AH72" s="51">
        <f t="shared" si="6"/>
        <v>238.35102963722161</v>
      </c>
      <c r="AI72" s="51">
        <f t="shared" si="7"/>
        <v>2.0682493574913294E-2</v>
      </c>
      <c r="AJ72" s="17">
        <v>107232992</v>
      </c>
      <c r="AK72" s="17">
        <v>5704321</v>
      </c>
      <c r="AL72" s="17">
        <v>3736103</v>
      </c>
      <c r="AM72" s="17">
        <v>9440424</v>
      </c>
      <c r="AN72" s="17">
        <v>116673416</v>
      </c>
      <c r="AO72" s="17">
        <v>3586769</v>
      </c>
      <c r="AP72" s="17">
        <v>472798940000</v>
      </c>
      <c r="AQ72" s="17">
        <v>1234210700000</v>
      </c>
      <c r="AR72" s="17">
        <v>174243570000</v>
      </c>
      <c r="AS72" s="17">
        <v>1408454270000</v>
      </c>
      <c r="AT72" s="17">
        <v>1881253210000</v>
      </c>
      <c r="AU72" s="17">
        <v>51362231000</v>
      </c>
      <c r="AX72" s="67"/>
      <c r="AY72" s="71"/>
      <c r="BA72" s="71"/>
      <c r="BJ72" s="21"/>
      <c r="BK72" s="21"/>
      <c r="BL72" s="21"/>
      <c r="BN72" s="17"/>
      <c r="BO72" s="17">
        <v>12435900</v>
      </c>
      <c r="BP72" s="17"/>
      <c r="BQ72" s="17"/>
      <c r="BR72" s="17"/>
      <c r="BS72" s="65"/>
      <c r="BX72" s="17" t="s">
        <v>706</v>
      </c>
    </row>
    <row r="73" spans="1:76" s="15" customFormat="1" x14ac:dyDescent="0.25">
      <c r="A73" s="15" t="s">
        <v>696</v>
      </c>
      <c r="B73" s="15" t="s">
        <v>30</v>
      </c>
      <c r="C73" s="15">
        <v>2016</v>
      </c>
      <c r="D73" s="15" t="s">
        <v>697</v>
      </c>
      <c r="E73" s="72">
        <v>5470</v>
      </c>
      <c r="F73" s="67">
        <v>1.315126E+16</v>
      </c>
      <c r="G73" s="17">
        <v>80277428</v>
      </c>
      <c r="H73" s="15" t="s">
        <v>42</v>
      </c>
      <c r="I73" s="15" t="s">
        <v>58</v>
      </c>
      <c r="J73" s="15" t="s">
        <v>1641</v>
      </c>
      <c r="K73" s="15" t="s">
        <v>698</v>
      </c>
      <c r="L73" s="15" t="s">
        <v>401</v>
      </c>
      <c r="M73" s="15" t="s">
        <v>402</v>
      </c>
      <c r="N73" s="15" t="s">
        <v>402</v>
      </c>
      <c r="O73" s="15" t="s">
        <v>244</v>
      </c>
      <c r="Z73" s="17">
        <v>1006204</v>
      </c>
      <c r="AA73" s="17"/>
      <c r="AB73" s="17"/>
      <c r="AC73" s="17">
        <v>136319</v>
      </c>
      <c r="AD73" s="17">
        <v>1142523</v>
      </c>
      <c r="AE73" s="17">
        <v>34534</v>
      </c>
      <c r="AF73" s="51">
        <f t="shared" si="4"/>
        <v>12.534083677917534</v>
      </c>
      <c r="AG73" s="51">
        <f t="shared" si="5"/>
        <v>1.6980987482558609</v>
      </c>
      <c r="AH73" s="51">
        <f t="shared" si="6"/>
        <v>14.232182426173395</v>
      </c>
      <c r="AI73" s="51">
        <f t="shared" si="7"/>
        <v>0.43018318922723831</v>
      </c>
      <c r="AJ73" s="17"/>
      <c r="AK73" s="17"/>
      <c r="AL73" s="17"/>
      <c r="AM73" s="17"/>
      <c r="AN73" s="17"/>
      <c r="AO73" s="17"/>
      <c r="AP73" s="17"/>
      <c r="AQ73" s="17"/>
      <c r="AR73" s="17"/>
      <c r="AS73" s="17"/>
      <c r="AT73" s="17"/>
      <c r="AU73" s="17"/>
      <c r="AX73" s="67"/>
      <c r="AY73" s="71"/>
      <c r="BA73" s="71"/>
      <c r="BJ73" s="21"/>
      <c r="BK73" s="21"/>
      <c r="BL73" s="21"/>
      <c r="BN73" s="17"/>
      <c r="BO73" s="17"/>
      <c r="BP73" s="17"/>
      <c r="BQ73" s="17"/>
      <c r="BR73" s="17"/>
      <c r="BS73" s="65"/>
      <c r="BX73" s="17" t="s">
        <v>1760</v>
      </c>
    </row>
    <row r="74" spans="1:76" x14ac:dyDescent="0.25">
      <c r="A74" t="s">
        <v>699</v>
      </c>
      <c r="B74" t="s">
        <v>30</v>
      </c>
      <c r="C74">
        <v>2016</v>
      </c>
      <c r="D74" t="s">
        <v>700</v>
      </c>
      <c r="E74" s="61">
        <v>5420</v>
      </c>
      <c r="F74" s="67">
        <v>202700000000000</v>
      </c>
      <c r="G74" s="17">
        <v>38274618</v>
      </c>
      <c r="H74" t="s">
        <v>42</v>
      </c>
      <c r="I74" t="s">
        <v>58</v>
      </c>
      <c r="J74" t="s">
        <v>701</v>
      </c>
      <c r="K74" t="s">
        <v>702</v>
      </c>
      <c r="M74" t="s">
        <v>61</v>
      </c>
      <c r="N74" t="s">
        <v>379</v>
      </c>
      <c r="O74" t="s">
        <v>703</v>
      </c>
      <c r="T74" t="s">
        <v>704</v>
      </c>
      <c r="Y74" t="s">
        <v>704</v>
      </c>
      <c r="Z74" s="17"/>
      <c r="AA74" s="17">
        <v>25966</v>
      </c>
      <c r="AB74" s="17"/>
      <c r="AC74" s="17"/>
      <c r="AD74" s="17"/>
      <c r="AE74" s="17">
        <v>586</v>
      </c>
      <c r="AF74" s="51" t="str">
        <f t="shared" si="4"/>
        <v/>
      </c>
      <c r="AG74" s="51" t="str">
        <f t="shared" si="5"/>
        <v/>
      </c>
      <c r="AH74" s="51" t="str">
        <f t="shared" si="6"/>
        <v/>
      </c>
      <c r="AI74" s="51">
        <f t="shared" si="7"/>
        <v>1.5310407539534424E-2</v>
      </c>
      <c r="AJ74" s="17"/>
      <c r="AK74" s="17">
        <v>81920</v>
      </c>
      <c r="AL74" s="17"/>
      <c r="AM74" s="17"/>
      <c r="AN74" s="17"/>
      <c r="AO74" s="17">
        <v>117020</v>
      </c>
      <c r="AP74" s="17"/>
      <c r="AQ74" s="17">
        <v>1053396000000</v>
      </c>
      <c r="AR74" s="17"/>
      <c r="AS74" s="17"/>
      <c r="AT74" s="17"/>
      <c r="AU74" s="17">
        <v>1839835000000</v>
      </c>
      <c r="AW74" t="s">
        <v>1642</v>
      </c>
      <c r="BN74" s="17"/>
      <c r="BO74" s="17"/>
      <c r="BP74" s="17"/>
      <c r="BQ74" s="17"/>
      <c r="BR74" s="17"/>
      <c r="BX74" s="17"/>
    </row>
    <row r="75" spans="1:76" x14ac:dyDescent="0.25">
      <c r="A75" t="s">
        <v>707</v>
      </c>
      <c r="B75" t="s">
        <v>30</v>
      </c>
      <c r="C75">
        <v>2016</v>
      </c>
      <c r="D75" t="s">
        <v>708</v>
      </c>
      <c r="E75" s="61">
        <v>53110</v>
      </c>
      <c r="F75" s="67">
        <v>275567100000</v>
      </c>
      <c r="G75" s="17">
        <v>4755335</v>
      </c>
      <c r="H75" t="s">
        <v>109</v>
      </c>
      <c r="I75" t="s">
        <v>43</v>
      </c>
      <c r="J75" t="s">
        <v>1857</v>
      </c>
      <c r="K75" t="s">
        <v>189</v>
      </c>
      <c r="L75" t="s">
        <v>190</v>
      </c>
      <c r="M75" t="s">
        <v>48</v>
      </c>
      <c r="N75" t="s">
        <v>62</v>
      </c>
      <c r="O75" t="s">
        <v>63</v>
      </c>
      <c r="T75" t="s">
        <v>55</v>
      </c>
      <c r="Y75" t="s">
        <v>55</v>
      </c>
      <c r="Z75" s="17">
        <v>225257</v>
      </c>
      <c r="AA75" s="17">
        <v>5982</v>
      </c>
      <c r="AB75" s="17"/>
      <c r="AC75" s="17"/>
      <c r="AD75" s="17"/>
      <c r="AE75" s="17"/>
      <c r="AF75" s="51">
        <f t="shared" si="4"/>
        <v>47.369323086596424</v>
      </c>
      <c r="AG75" s="51" t="str">
        <f t="shared" si="5"/>
        <v/>
      </c>
      <c r="AH75" s="51" t="str">
        <f t="shared" si="6"/>
        <v/>
      </c>
      <c r="AI75" s="51" t="str">
        <f t="shared" si="7"/>
        <v/>
      </c>
      <c r="AJ75" s="17">
        <v>385367</v>
      </c>
      <c r="AK75" s="17"/>
      <c r="AL75" s="17"/>
      <c r="AM75" s="17"/>
      <c r="AN75" s="17"/>
      <c r="AO75" s="17"/>
      <c r="AP75" s="17">
        <v>34329100000</v>
      </c>
      <c r="AQ75" s="17"/>
      <c r="AR75" s="17"/>
      <c r="AS75" s="17"/>
      <c r="AT75" s="17"/>
      <c r="AU75" s="17"/>
      <c r="AV75" t="s">
        <v>191</v>
      </c>
      <c r="AW75" t="s">
        <v>189</v>
      </c>
      <c r="BN75" s="17"/>
      <c r="BO75" s="17"/>
      <c r="BP75" s="17"/>
      <c r="BQ75" s="17"/>
      <c r="BR75" s="17"/>
      <c r="BX75" s="17" t="s">
        <v>1679</v>
      </c>
    </row>
    <row r="76" spans="1:76" x14ac:dyDescent="0.25">
      <c r="A76" t="s">
        <v>714</v>
      </c>
      <c r="B76" t="s">
        <v>30</v>
      </c>
      <c r="C76">
        <v>2016</v>
      </c>
      <c r="D76" t="s">
        <v>715</v>
      </c>
      <c r="E76" s="61">
        <v>36460</v>
      </c>
      <c r="F76" s="67">
        <v>1220330620100</v>
      </c>
      <c r="G76" s="17">
        <v>8546000</v>
      </c>
      <c r="H76" t="s">
        <v>109</v>
      </c>
      <c r="I76" t="s">
        <v>58</v>
      </c>
      <c r="J76" t="s">
        <v>1681</v>
      </c>
      <c r="K76" t="s">
        <v>1680</v>
      </c>
      <c r="L76" t="s">
        <v>181</v>
      </c>
      <c r="M76" t="s">
        <v>182</v>
      </c>
      <c r="N76" t="s">
        <v>601</v>
      </c>
      <c r="O76" t="s">
        <v>37</v>
      </c>
      <c r="T76" t="s">
        <v>1689</v>
      </c>
      <c r="Y76" t="s">
        <v>1689</v>
      </c>
      <c r="Z76" s="17">
        <v>475837</v>
      </c>
      <c r="AA76" s="17">
        <v>66602</v>
      </c>
      <c r="AB76" s="17">
        <v>19049</v>
      </c>
      <c r="AC76" s="17">
        <v>85651</v>
      </c>
      <c r="AD76" s="17">
        <v>561488</v>
      </c>
      <c r="AE76" s="17">
        <v>4028</v>
      </c>
      <c r="AF76" s="51">
        <f t="shared" si="4"/>
        <v>55.679499180903349</v>
      </c>
      <c r="AG76" s="51">
        <f t="shared" si="5"/>
        <v>10.022349637257197</v>
      </c>
      <c r="AH76" s="51">
        <f t="shared" si="6"/>
        <v>65.701848818160542</v>
      </c>
      <c r="AI76" s="51">
        <f t="shared" si="7"/>
        <v>0.47133161713082145</v>
      </c>
      <c r="AJ76" s="17">
        <v>353800</v>
      </c>
      <c r="AK76" s="17">
        <v>591000</v>
      </c>
      <c r="AL76" s="17">
        <v>750100</v>
      </c>
      <c r="AM76" s="17">
        <v>1341100</v>
      </c>
      <c r="AN76" s="17">
        <v>1694899.9999999998</v>
      </c>
      <c r="AO76" s="17">
        <v>2099000</v>
      </c>
      <c r="AP76" s="17"/>
      <c r="AQ76" s="17"/>
      <c r="AR76" s="17"/>
      <c r="AS76" s="17"/>
      <c r="AT76" s="17"/>
      <c r="AU76" s="17"/>
      <c r="BN76" s="17"/>
      <c r="BO76" s="17"/>
      <c r="BP76" s="17"/>
      <c r="BQ76" s="17"/>
      <c r="BR76" s="17"/>
      <c r="BX76" s="17"/>
    </row>
    <row r="77" spans="1:76" x14ac:dyDescent="0.25">
      <c r="A77" t="s">
        <v>717</v>
      </c>
      <c r="B77" t="s">
        <v>30</v>
      </c>
      <c r="C77">
        <v>2016</v>
      </c>
      <c r="D77" t="s">
        <v>718</v>
      </c>
      <c r="E77" s="61">
        <v>31700</v>
      </c>
      <c r="F77" s="67">
        <v>1680948100000</v>
      </c>
      <c r="G77" s="17">
        <v>60551416</v>
      </c>
      <c r="H77" t="s">
        <v>109</v>
      </c>
      <c r="I77" t="s">
        <v>43</v>
      </c>
      <c r="J77" t="s">
        <v>1857</v>
      </c>
      <c r="K77" t="s">
        <v>189</v>
      </c>
      <c r="L77" t="s">
        <v>190</v>
      </c>
      <c r="M77" t="s">
        <v>48</v>
      </c>
      <c r="N77" t="s">
        <v>62</v>
      </c>
      <c r="O77" t="s">
        <v>63</v>
      </c>
      <c r="T77" t="s">
        <v>55</v>
      </c>
      <c r="Y77" t="s">
        <v>55</v>
      </c>
      <c r="Z77" s="17">
        <v>3526539</v>
      </c>
      <c r="AA77" s="17">
        <v>170290</v>
      </c>
      <c r="AB77" s="17">
        <v>19518</v>
      </c>
      <c r="AC77" s="17">
        <v>189808</v>
      </c>
      <c r="AD77" s="17">
        <v>3716347</v>
      </c>
      <c r="AE77" s="17">
        <v>3249</v>
      </c>
      <c r="AF77" s="51">
        <f t="shared" si="4"/>
        <v>58.240405145934162</v>
      </c>
      <c r="AG77" s="51">
        <f t="shared" si="5"/>
        <v>3.1346583207897236</v>
      </c>
      <c r="AH77" s="51">
        <f t="shared" si="6"/>
        <v>61.37506346672388</v>
      </c>
      <c r="AI77" s="51">
        <f t="shared" si="7"/>
        <v>5.3656878973730358E-2</v>
      </c>
      <c r="AJ77" s="17">
        <v>6530641</v>
      </c>
      <c r="AK77" s="17">
        <v>3024849</v>
      </c>
      <c r="AL77" s="17">
        <v>1882976</v>
      </c>
      <c r="AM77" s="17">
        <v>4907825</v>
      </c>
      <c r="AN77" s="17">
        <v>11438466</v>
      </c>
      <c r="AO77" s="17">
        <v>3108862</v>
      </c>
      <c r="AP77" s="17">
        <v>195451700000</v>
      </c>
      <c r="AQ77" s="17">
        <v>151485900000</v>
      </c>
      <c r="AR77" s="17">
        <v>125504200000</v>
      </c>
      <c r="AS77" s="17">
        <v>276990100000</v>
      </c>
      <c r="AT77" s="17">
        <v>472441800000</v>
      </c>
      <c r="AU77" s="17">
        <v>229196800000</v>
      </c>
      <c r="AV77" t="s">
        <v>191</v>
      </c>
      <c r="AW77" t="s">
        <v>189</v>
      </c>
      <c r="BF77" s="65"/>
      <c r="BG77" s="65"/>
      <c r="BN77" s="17"/>
      <c r="BO77" s="17"/>
      <c r="BP77" s="17"/>
      <c r="BQ77" s="17"/>
      <c r="BR77" s="17"/>
      <c r="BX77" s="17"/>
    </row>
    <row r="78" spans="1:76" x14ac:dyDescent="0.25">
      <c r="A78" t="s">
        <v>720</v>
      </c>
      <c r="B78" t="s">
        <v>30</v>
      </c>
      <c r="C78">
        <v>2017</v>
      </c>
      <c r="D78" t="s">
        <v>721</v>
      </c>
      <c r="E78" s="61">
        <v>4750</v>
      </c>
      <c r="F78" s="67">
        <v>1889797000000</v>
      </c>
      <c r="G78" s="17">
        <v>2890299</v>
      </c>
      <c r="H78" t="s">
        <v>42</v>
      </c>
      <c r="I78" t="s">
        <v>110</v>
      </c>
      <c r="J78" t="s">
        <v>722</v>
      </c>
      <c r="K78" t="s">
        <v>723</v>
      </c>
      <c r="L78" t="s">
        <v>724</v>
      </c>
      <c r="M78" t="s">
        <v>35</v>
      </c>
      <c r="N78" t="s">
        <v>573</v>
      </c>
      <c r="O78" t="s">
        <v>244</v>
      </c>
      <c r="U78" t="s">
        <v>411</v>
      </c>
      <c r="V78" t="s">
        <v>725</v>
      </c>
      <c r="W78" t="s">
        <v>726</v>
      </c>
      <c r="X78" t="s">
        <v>727</v>
      </c>
      <c r="Y78" t="s">
        <v>728</v>
      </c>
      <c r="Z78" s="17"/>
      <c r="AA78" s="17"/>
      <c r="AB78" s="17"/>
      <c r="AC78" s="17"/>
      <c r="AD78" s="17"/>
      <c r="AE78" s="17"/>
      <c r="AF78" s="51" t="str">
        <f t="shared" si="4"/>
        <v/>
      </c>
      <c r="AG78" s="51" t="str">
        <f t="shared" si="5"/>
        <v/>
      </c>
      <c r="AH78" s="51" t="str">
        <f t="shared" si="6"/>
        <v/>
      </c>
      <c r="AI78" s="51" t="str">
        <f t="shared" si="7"/>
        <v/>
      </c>
      <c r="AJ78" s="17"/>
      <c r="AK78" s="17"/>
      <c r="AL78" s="17"/>
      <c r="AM78" s="17"/>
      <c r="AN78" s="17"/>
      <c r="AO78" s="17"/>
      <c r="AP78" s="17"/>
      <c r="AQ78" s="17"/>
      <c r="AR78" s="17"/>
      <c r="AS78" s="17"/>
      <c r="AT78" s="17"/>
      <c r="AU78" s="17"/>
      <c r="BN78" s="17"/>
      <c r="BO78" s="17"/>
      <c r="BP78" s="17"/>
      <c r="BQ78" s="17"/>
      <c r="BR78" s="17"/>
      <c r="BX78" s="17"/>
    </row>
    <row r="79" spans="1:76" x14ac:dyDescent="0.25">
      <c r="A79" t="s">
        <v>734</v>
      </c>
      <c r="B79" t="s">
        <v>30</v>
      </c>
      <c r="C79">
        <v>2014</v>
      </c>
      <c r="D79" t="s">
        <v>735</v>
      </c>
      <c r="E79" s="61">
        <v>43950</v>
      </c>
      <c r="F79" s="67">
        <v>513876000000000</v>
      </c>
      <c r="G79" s="17">
        <v>127276000</v>
      </c>
      <c r="H79" t="s">
        <v>109</v>
      </c>
      <c r="I79" t="s">
        <v>77</v>
      </c>
      <c r="J79" t="s">
        <v>736</v>
      </c>
      <c r="K79" t="s">
        <v>737</v>
      </c>
      <c r="L79" t="s">
        <v>92</v>
      </c>
      <c r="M79" t="s">
        <v>48</v>
      </c>
      <c r="N79" t="s">
        <v>738</v>
      </c>
      <c r="O79" t="s">
        <v>739</v>
      </c>
      <c r="T79" t="s">
        <v>740</v>
      </c>
      <c r="Y79" t="s">
        <v>740</v>
      </c>
      <c r="Z79" s="17">
        <v>4315711</v>
      </c>
      <c r="AA79" s="17">
        <v>1042097</v>
      </c>
      <c r="AB79" s="17">
        <v>150386</v>
      </c>
      <c r="AC79" s="17">
        <v>1192483</v>
      </c>
      <c r="AD79" s="17">
        <v>5508194</v>
      </c>
      <c r="AE79" s="17">
        <v>12247</v>
      </c>
      <c r="AF79" s="51">
        <f t="shared" si="4"/>
        <v>33.908285929790381</v>
      </c>
      <c r="AG79" s="51">
        <f t="shared" si="5"/>
        <v>9.3692683616707004</v>
      </c>
      <c r="AH79" s="51">
        <f t="shared" si="6"/>
        <v>43.277554291461072</v>
      </c>
      <c r="AI79" s="51">
        <f t="shared" si="7"/>
        <v>9.6223954241176649E-2</v>
      </c>
      <c r="AJ79" s="17">
        <v>14035154</v>
      </c>
      <c r="AK79" s="17">
        <v>20294448</v>
      </c>
      <c r="AL79" s="17">
        <v>14665174</v>
      </c>
      <c r="AM79" s="17">
        <v>34959622</v>
      </c>
      <c r="AN79" s="17">
        <v>48994776</v>
      </c>
      <c r="AO79" s="17">
        <v>8432928</v>
      </c>
      <c r="AP79" s="17"/>
      <c r="AQ79" s="17"/>
      <c r="AR79" s="17"/>
      <c r="AS79" s="17"/>
      <c r="AT79" s="17"/>
      <c r="AU79" s="17"/>
      <c r="BN79" s="17"/>
      <c r="BO79" s="17"/>
      <c r="BP79" s="17"/>
      <c r="BQ79" s="17"/>
      <c r="BR79" s="17"/>
      <c r="BX79" s="17"/>
    </row>
    <row r="80" spans="1:76" x14ac:dyDescent="0.25">
      <c r="A80" t="s">
        <v>741</v>
      </c>
      <c r="B80" t="s">
        <v>30</v>
      </c>
      <c r="C80">
        <v>2016</v>
      </c>
      <c r="D80" t="s">
        <v>742</v>
      </c>
      <c r="E80" s="61">
        <v>3920</v>
      </c>
      <c r="F80" s="67">
        <v>27444856700</v>
      </c>
      <c r="G80" s="17">
        <v>9702353</v>
      </c>
      <c r="H80" t="s">
        <v>42</v>
      </c>
      <c r="I80" t="s">
        <v>58</v>
      </c>
      <c r="J80" t="s">
        <v>743</v>
      </c>
      <c r="K80" t="s">
        <v>744</v>
      </c>
      <c r="L80" t="s">
        <v>181</v>
      </c>
      <c r="M80" t="s">
        <v>716</v>
      </c>
      <c r="N80" t="s">
        <v>36</v>
      </c>
      <c r="O80" t="s">
        <v>37</v>
      </c>
      <c r="T80" t="s">
        <v>745</v>
      </c>
      <c r="Y80" t="s">
        <v>745</v>
      </c>
      <c r="Z80" s="17">
        <v>166707</v>
      </c>
      <c r="AA80" s="17">
        <v>19416</v>
      </c>
      <c r="AB80" s="17">
        <v>2953</v>
      </c>
      <c r="AC80" s="17">
        <v>22369</v>
      </c>
      <c r="AD80" s="17">
        <v>189076</v>
      </c>
      <c r="AE80" s="17">
        <v>980</v>
      </c>
      <c r="AF80" s="51">
        <f t="shared" si="4"/>
        <v>17.182120667017578</v>
      </c>
      <c r="AG80" s="51">
        <f t="shared" si="5"/>
        <v>2.305523206587103</v>
      </c>
      <c r="AH80" s="51">
        <f t="shared" si="6"/>
        <v>19.487643873604682</v>
      </c>
      <c r="AI80" s="51">
        <f t="shared" si="7"/>
        <v>0.10100642596697935</v>
      </c>
      <c r="AJ80" s="17">
        <v>297768</v>
      </c>
      <c r="AK80" s="17">
        <v>149187</v>
      </c>
      <c r="AL80" s="17">
        <v>117817</v>
      </c>
      <c r="AM80" s="17">
        <v>267004</v>
      </c>
      <c r="AN80" s="17">
        <v>564772</v>
      </c>
      <c r="AO80" s="17">
        <v>596867</v>
      </c>
      <c r="AP80" s="17"/>
      <c r="AQ80" s="17"/>
      <c r="AR80" s="17"/>
      <c r="AS80" s="17"/>
      <c r="AT80" s="17"/>
      <c r="AU80" s="17"/>
      <c r="AV80" t="s">
        <v>744</v>
      </c>
      <c r="AW80" t="s">
        <v>744</v>
      </c>
      <c r="BN80" s="17"/>
      <c r="BO80" s="17"/>
      <c r="BP80" s="17"/>
      <c r="BQ80" s="17"/>
      <c r="BR80" s="17"/>
      <c r="BX80" s="17" t="s">
        <v>1673</v>
      </c>
    </row>
    <row r="81" spans="1:76" x14ac:dyDescent="0.25">
      <c r="A81" t="s">
        <v>746</v>
      </c>
      <c r="B81" t="s">
        <v>30</v>
      </c>
      <c r="C81">
        <v>2016</v>
      </c>
      <c r="D81" t="s">
        <v>747</v>
      </c>
      <c r="E81" s="61">
        <v>8800</v>
      </c>
      <c r="F81" s="67">
        <v>46971150000000</v>
      </c>
      <c r="G81" s="17">
        <v>18037646</v>
      </c>
      <c r="H81" t="s">
        <v>42</v>
      </c>
      <c r="I81" t="s">
        <v>43</v>
      </c>
      <c r="J81" t="s">
        <v>748</v>
      </c>
      <c r="K81" t="s">
        <v>749</v>
      </c>
      <c r="L81" t="s">
        <v>1648</v>
      </c>
      <c r="M81" t="s">
        <v>1648</v>
      </c>
      <c r="N81" t="s">
        <v>263</v>
      </c>
      <c r="O81" t="s">
        <v>167</v>
      </c>
      <c r="Z81" s="17">
        <v>914005</v>
      </c>
      <c r="AA81" s="17">
        <v>189637</v>
      </c>
      <c r="AB81" s="17">
        <v>2711</v>
      </c>
      <c r="AC81" s="17">
        <v>192348</v>
      </c>
      <c r="AD81" s="17">
        <v>1106353</v>
      </c>
      <c r="AE81" s="17"/>
      <c r="AF81" s="51">
        <f t="shared" si="4"/>
        <v>50.672077720119354</v>
      </c>
      <c r="AG81" s="51">
        <f t="shared" si="5"/>
        <v>10.663697469170867</v>
      </c>
      <c r="AH81" s="51">
        <f t="shared" si="6"/>
        <v>61.335775189290224</v>
      </c>
      <c r="AI81" s="51" t="str">
        <f t="shared" si="7"/>
        <v/>
      </c>
      <c r="AJ81" s="17">
        <v>1564568</v>
      </c>
      <c r="AK81" s="17">
        <v>1249270</v>
      </c>
      <c r="AL81" s="17">
        <v>352954</v>
      </c>
      <c r="AM81" s="17">
        <v>1602224</v>
      </c>
      <c r="AN81" s="17">
        <v>3166792</v>
      </c>
      <c r="AO81" s="17"/>
      <c r="AP81" s="17"/>
      <c r="AQ81" s="17"/>
      <c r="AR81" s="17"/>
      <c r="AS81" s="17"/>
      <c r="AT81" s="17"/>
      <c r="AU81" s="17"/>
      <c r="BG81" s="65"/>
      <c r="BN81" s="17"/>
      <c r="BO81" s="17"/>
      <c r="BP81" s="17"/>
      <c r="BQ81" s="17"/>
      <c r="BR81" s="17"/>
      <c r="BX81" s="17" t="s">
        <v>1692</v>
      </c>
    </row>
    <row r="82" spans="1:76" x14ac:dyDescent="0.25">
      <c r="A82" t="s">
        <v>750</v>
      </c>
      <c r="B82" t="s">
        <v>30</v>
      </c>
      <c r="C82">
        <v>2016</v>
      </c>
      <c r="D82" t="s">
        <v>751</v>
      </c>
      <c r="E82" s="61">
        <v>1380</v>
      </c>
      <c r="F82" s="67">
        <v>7194146658691.4102</v>
      </c>
      <c r="G82" s="17">
        <v>49699862</v>
      </c>
      <c r="H82" t="s">
        <v>88</v>
      </c>
      <c r="I82" t="s">
        <v>89</v>
      </c>
      <c r="J82" t="s">
        <v>752</v>
      </c>
      <c r="K82" t="s">
        <v>1669</v>
      </c>
      <c r="L82" t="s">
        <v>92</v>
      </c>
      <c r="M82" t="s">
        <v>48</v>
      </c>
      <c r="N82" t="s">
        <v>407</v>
      </c>
      <c r="O82" t="s">
        <v>1670</v>
      </c>
      <c r="U82" t="s">
        <v>252</v>
      </c>
      <c r="V82" t="s">
        <v>1671</v>
      </c>
      <c r="W82" t="s">
        <v>753</v>
      </c>
      <c r="X82" t="s">
        <v>1672</v>
      </c>
      <c r="Y82" t="s">
        <v>754</v>
      </c>
      <c r="Z82" s="17">
        <v>1438109</v>
      </c>
      <c r="AA82" s="17">
        <v>110938</v>
      </c>
      <c r="AB82" s="17">
        <v>11480</v>
      </c>
      <c r="AC82" s="17">
        <v>122418</v>
      </c>
      <c r="AD82" s="17">
        <v>1560527</v>
      </c>
      <c r="AE82" s="17"/>
      <c r="AF82" s="51">
        <f t="shared" si="4"/>
        <v>28.935875113697499</v>
      </c>
      <c r="AG82" s="51">
        <f t="shared" si="5"/>
        <v>2.4631456723159513</v>
      </c>
      <c r="AH82" s="51">
        <f t="shared" si="6"/>
        <v>31.399020786013448</v>
      </c>
      <c r="AI82" s="51" t="str">
        <f t="shared" si="7"/>
        <v/>
      </c>
      <c r="AJ82" s="17">
        <v>3465100</v>
      </c>
      <c r="AK82" s="17">
        <v>2027800</v>
      </c>
      <c r="AL82" s="17">
        <v>787600</v>
      </c>
      <c r="AM82" s="17">
        <v>2815400</v>
      </c>
      <c r="AN82" s="17">
        <v>6280500</v>
      </c>
      <c r="AO82" s="17"/>
      <c r="AP82" s="17">
        <v>506366000000</v>
      </c>
      <c r="AQ82" s="17">
        <v>647962000000</v>
      </c>
      <c r="AR82" s="17">
        <v>440016000000</v>
      </c>
      <c r="AS82" s="17">
        <v>1087978000000</v>
      </c>
      <c r="AT82" s="17">
        <v>1594344000000</v>
      </c>
      <c r="AU82" s="17"/>
      <c r="BN82" s="17"/>
      <c r="BO82" s="17"/>
      <c r="BP82" s="17">
        <v>490005</v>
      </c>
      <c r="BQ82" s="17"/>
      <c r="BR82" s="17"/>
      <c r="BX82" s="17" t="s">
        <v>1774</v>
      </c>
    </row>
    <row r="83" spans="1:76" x14ac:dyDescent="0.25">
      <c r="A83" t="s">
        <v>756</v>
      </c>
      <c r="B83" t="s">
        <v>30</v>
      </c>
      <c r="C83">
        <v>2015</v>
      </c>
      <c r="D83" t="s">
        <v>757</v>
      </c>
      <c r="E83" s="61">
        <v>27250</v>
      </c>
      <c r="F83" s="67">
        <v>1564123900000000</v>
      </c>
      <c r="G83" s="17">
        <v>51014947</v>
      </c>
      <c r="H83" t="s">
        <v>109</v>
      </c>
      <c r="I83" t="s">
        <v>77</v>
      </c>
      <c r="J83" t="s">
        <v>758</v>
      </c>
      <c r="K83" t="s">
        <v>759</v>
      </c>
      <c r="L83" t="s">
        <v>1764</v>
      </c>
      <c r="M83" t="s">
        <v>1765</v>
      </c>
      <c r="N83" t="s">
        <v>1766</v>
      </c>
      <c r="O83" t="s">
        <v>1767</v>
      </c>
      <c r="P83" t="s">
        <v>1768</v>
      </c>
      <c r="S83" t="s">
        <v>1769</v>
      </c>
      <c r="T83" t="s">
        <v>760</v>
      </c>
      <c r="W83" t="s">
        <v>1690</v>
      </c>
      <c r="X83" t="s">
        <v>1691</v>
      </c>
      <c r="Y83" t="s">
        <v>760</v>
      </c>
      <c r="Z83" s="17"/>
      <c r="AA83" s="17"/>
      <c r="AB83" s="17"/>
      <c r="AC83" s="17">
        <v>3600882</v>
      </c>
      <c r="AD83" s="17"/>
      <c r="AE83" s="17"/>
      <c r="AF83" s="51" t="str">
        <f t="shared" si="4"/>
        <v/>
      </c>
      <c r="AG83" s="51">
        <f t="shared" si="5"/>
        <v>70.584842516841192</v>
      </c>
      <c r="AH83" s="51" t="str">
        <f t="shared" si="6"/>
        <v/>
      </c>
      <c r="AI83" s="51" t="str">
        <f t="shared" si="7"/>
        <v/>
      </c>
      <c r="AJ83" s="17">
        <v>16774948</v>
      </c>
      <c r="AK83" s="17"/>
      <c r="AL83" s="17"/>
      <c r="AM83" s="17"/>
      <c r="AN83" s="17">
        <v>16774948</v>
      </c>
      <c r="AO83" s="17"/>
      <c r="AP83" s="17"/>
      <c r="AQ83" s="17"/>
      <c r="AR83" s="17"/>
      <c r="AS83" s="17"/>
      <c r="AT83" s="17"/>
      <c r="AU83" s="17"/>
      <c r="AV83" t="s">
        <v>1693</v>
      </c>
      <c r="BN83" s="17"/>
      <c r="BO83" s="17"/>
      <c r="BP83" s="17"/>
      <c r="BQ83" s="17"/>
      <c r="BR83" s="17"/>
      <c r="BX83" s="17" t="s">
        <v>1738</v>
      </c>
    </row>
    <row r="84" spans="1:76" x14ac:dyDescent="0.25">
      <c r="A84" t="s">
        <v>761</v>
      </c>
      <c r="B84" t="s">
        <v>30</v>
      </c>
      <c r="C84">
        <v>2013</v>
      </c>
      <c r="D84" t="s">
        <v>762</v>
      </c>
      <c r="E84" s="61">
        <v>3950</v>
      </c>
      <c r="F84" s="67">
        <v>5327700000</v>
      </c>
      <c r="G84" s="17">
        <v>1824100</v>
      </c>
      <c r="H84" t="s">
        <v>88</v>
      </c>
      <c r="I84" t="s">
        <v>43</v>
      </c>
      <c r="J84" t="s">
        <v>1772</v>
      </c>
      <c r="K84" t="s">
        <v>1773</v>
      </c>
      <c r="L84" t="s">
        <v>92</v>
      </c>
      <c r="M84" t="s">
        <v>48</v>
      </c>
      <c r="N84" t="s">
        <v>62</v>
      </c>
      <c r="O84" t="s">
        <v>63</v>
      </c>
      <c r="T84" t="s">
        <v>55</v>
      </c>
      <c r="Z84" s="17">
        <v>43735</v>
      </c>
      <c r="AA84" s="17">
        <v>1940</v>
      </c>
      <c r="AB84" s="17">
        <v>310</v>
      </c>
      <c r="AC84" s="17">
        <v>2250</v>
      </c>
      <c r="AD84" s="17">
        <v>45985</v>
      </c>
      <c r="AE84" s="17">
        <v>47</v>
      </c>
      <c r="AF84" s="51">
        <f t="shared" ref="AF84:AF113" si="8">IF(ISERROR((Z84/$G84)*1000),"",IF((Z84/$G84)*1000=0,"",(Z84/$G84)*1000))</f>
        <v>23.976207444767283</v>
      </c>
      <c r="AG84" s="51">
        <f t="shared" ref="AG84:AG113" si="9">IF(ISERROR((AC84/$G84)*1000),"",IF((AC84/$G84)*1000=0,"",(AC84/$G84)*1000))</f>
        <v>1.2334850063044789</v>
      </c>
      <c r="AH84" s="51">
        <f t="shared" ref="AH84:AH113" si="10">IF(ISERROR((AD84/$G84)*1000),"",IF((AD84/$G84)*1000=0,"",(AD84/$G84)*1000))</f>
        <v>25.209692451071763</v>
      </c>
      <c r="AI84" s="51">
        <f t="shared" ref="AI84:AI113" si="11">IF(ISERROR((AE84/$G84)*1000),"",IF((AE84/$G84)*1000=0,"",(AE84/$G84)*1000))</f>
        <v>2.576613124280467E-2</v>
      </c>
      <c r="AJ84" s="17">
        <v>86360</v>
      </c>
      <c r="AK84" s="17">
        <v>35546</v>
      </c>
      <c r="AL84" s="17">
        <v>31094</v>
      </c>
      <c r="AM84" s="17">
        <v>66640</v>
      </c>
      <c r="AN84" s="17">
        <v>153000</v>
      </c>
      <c r="AO84" s="17">
        <v>36623</v>
      </c>
      <c r="AP84" s="17"/>
      <c r="AQ84" s="17"/>
      <c r="AR84" s="17"/>
      <c r="AS84" s="17"/>
      <c r="AT84" s="17"/>
      <c r="AU84" s="17"/>
      <c r="AW84" t="s">
        <v>1773</v>
      </c>
      <c r="BN84" s="17"/>
      <c r="BO84" s="17"/>
      <c r="BP84" s="17"/>
      <c r="BQ84" s="17"/>
      <c r="BR84" s="17"/>
      <c r="BT84" t="s">
        <v>1775</v>
      </c>
      <c r="BW84" t="s">
        <v>1776</v>
      </c>
      <c r="BX84" s="17" t="s">
        <v>1649</v>
      </c>
    </row>
    <row r="85" spans="1:76" x14ac:dyDescent="0.25">
      <c r="A85" t="s">
        <v>763</v>
      </c>
      <c r="B85" t="s">
        <v>30</v>
      </c>
      <c r="C85">
        <v>2004</v>
      </c>
      <c r="D85" t="s">
        <v>764</v>
      </c>
      <c r="E85" s="61">
        <v>28100</v>
      </c>
      <c r="F85" s="67">
        <v>17517000000</v>
      </c>
      <c r="G85" s="17">
        <v>2207939</v>
      </c>
      <c r="H85" t="s">
        <v>109</v>
      </c>
      <c r="I85" t="s">
        <v>58</v>
      </c>
      <c r="J85" t="s">
        <v>1736</v>
      </c>
      <c r="K85" t="s">
        <v>1739</v>
      </c>
      <c r="Q85" t="s">
        <v>975</v>
      </c>
      <c r="R85" t="s">
        <v>252</v>
      </c>
      <c r="S85" t="s">
        <v>2026</v>
      </c>
      <c r="T85" t="s">
        <v>1737</v>
      </c>
      <c r="Z85" s="17">
        <v>2700</v>
      </c>
      <c r="AA85" s="17">
        <v>18750</v>
      </c>
      <c r="AB85" s="17">
        <v>5475</v>
      </c>
      <c r="AC85" s="17">
        <v>24225</v>
      </c>
      <c r="AD85" s="17">
        <v>26925</v>
      </c>
      <c r="AE85" s="17">
        <v>525</v>
      </c>
      <c r="AF85" s="51">
        <f t="shared" si="8"/>
        <v>1.222859870675775</v>
      </c>
      <c r="AG85" s="51">
        <f t="shared" si="9"/>
        <v>10.971770506340981</v>
      </c>
      <c r="AH85" s="51">
        <f t="shared" si="10"/>
        <v>12.194630377016756</v>
      </c>
      <c r="AI85" s="51">
        <f t="shared" si="11"/>
        <v>0.23777830818695625</v>
      </c>
      <c r="AJ85" s="17"/>
      <c r="AK85" s="17"/>
      <c r="AL85" s="17"/>
      <c r="AM85" s="17"/>
      <c r="AN85" s="17"/>
      <c r="AO85" s="17"/>
      <c r="AP85" s="17"/>
      <c r="AQ85" s="17"/>
      <c r="AR85" s="17"/>
      <c r="AS85" s="17"/>
      <c r="AT85" s="17"/>
      <c r="AU85" s="17"/>
      <c r="BF85" s="65"/>
      <c r="BG85" s="65"/>
      <c r="BN85" s="17"/>
      <c r="BO85" s="17"/>
      <c r="BP85" s="17"/>
      <c r="BQ85" s="17"/>
      <c r="BR85" s="17"/>
      <c r="BX85" s="17"/>
    </row>
    <row r="86" spans="1:76" x14ac:dyDescent="0.25">
      <c r="A86" t="s">
        <v>765</v>
      </c>
      <c r="B86" t="s">
        <v>30</v>
      </c>
      <c r="C86">
        <v>2016</v>
      </c>
      <c r="D86" t="s">
        <v>766</v>
      </c>
      <c r="E86" s="61">
        <v>1110</v>
      </c>
      <c r="F86" s="67">
        <v>476331200000</v>
      </c>
      <c r="G86" s="17">
        <v>6201500</v>
      </c>
      <c r="H86" t="s">
        <v>88</v>
      </c>
      <c r="I86" t="s">
        <v>43</v>
      </c>
      <c r="J86" t="s">
        <v>767</v>
      </c>
      <c r="K86" t="s">
        <v>768</v>
      </c>
      <c r="L86" t="s">
        <v>1714</v>
      </c>
      <c r="M86" t="s">
        <v>1715</v>
      </c>
      <c r="N86" t="s">
        <v>1716</v>
      </c>
      <c r="Y86" t="s">
        <v>769</v>
      </c>
      <c r="Z86" s="17">
        <v>794069</v>
      </c>
      <c r="AA86" s="17">
        <v>13592</v>
      </c>
      <c r="AB86" s="17">
        <v>776</v>
      </c>
      <c r="AC86" s="17">
        <v>14368</v>
      </c>
      <c r="AD86" s="17">
        <v>808437</v>
      </c>
      <c r="AE86" s="17"/>
      <c r="AF86" s="51">
        <f t="shared" si="8"/>
        <v>128.04466661291622</v>
      </c>
      <c r="AG86" s="51">
        <f t="shared" si="9"/>
        <v>2.3168588244779489</v>
      </c>
      <c r="AH86" s="51">
        <f t="shared" si="10"/>
        <v>130.36152543739419</v>
      </c>
      <c r="AI86" s="51" t="str">
        <f t="shared" si="11"/>
        <v/>
      </c>
      <c r="AJ86" s="17">
        <v>379200</v>
      </c>
      <c r="AK86" s="17">
        <v>52200</v>
      </c>
      <c r="AL86" s="17">
        <v>35200</v>
      </c>
      <c r="AM86" s="17">
        <v>87400</v>
      </c>
      <c r="AN86" s="17">
        <v>466600</v>
      </c>
      <c r="AO86" s="17"/>
      <c r="AP86" s="17"/>
      <c r="AQ86" s="17"/>
      <c r="AR86" s="17"/>
      <c r="AS86" s="17"/>
      <c r="AT86" s="17">
        <v>18624549920000</v>
      </c>
      <c r="AU86" s="17"/>
      <c r="BN86" s="17"/>
      <c r="BO86" s="17"/>
      <c r="BP86" s="17"/>
      <c r="BQ86" s="17"/>
      <c r="BR86" s="17"/>
      <c r="BX86" s="17"/>
    </row>
    <row r="87" spans="1:76" x14ac:dyDescent="0.25">
      <c r="A87" t="s">
        <v>770</v>
      </c>
      <c r="B87" t="s">
        <v>30</v>
      </c>
      <c r="C87">
        <v>2013</v>
      </c>
      <c r="D87" t="s">
        <v>771</v>
      </c>
      <c r="E87" s="61">
        <v>1620</v>
      </c>
      <c r="F87" s="67">
        <v>93867573852200</v>
      </c>
      <c r="G87" s="17">
        <v>6494557</v>
      </c>
      <c r="H87" t="s">
        <v>88</v>
      </c>
      <c r="I87" t="s">
        <v>77</v>
      </c>
      <c r="J87" t="s">
        <v>772</v>
      </c>
      <c r="K87" t="s">
        <v>774</v>
      </c>
      <c r="M87" t="s">
        <v>1777</v>
      </c>
      <c r="N87" t="s">
        <v>309</v>
      </c>
      <c r="O87" t="s">
        <v>310</v>
      </c>
      <c r="Q87" t="s">
        <v>1778</v>
      </c>
      <c r="R87" t="s">
        <v>1779</v>
      </c>
      <c r="S87" t="s">
        <v>1780</v>
      </c>
      <c r="T87" t="s">
        <v>773</v>
      </c>
      <c r="V87" t="s">
        <v>1781</v>
      </c>
      <c r="W87" t="s">
        <v>1782</v>
      </c>
      <c r="X87" t="s">
        <v>1783</v>
      </c>
      <c r="Y87" t="s">
        <v>773</v>
      </c>
      <c r="Z87" s="17"/>
      <c r="AA87" s="17"/>
      <c r="AB87" s="17"/>
      <c r="AC87" s="17"/>
      <c r="AD87" s="17">
        <v>124510</v>
      </c>
      <c r="AE87" s="17"/>
      <c r="AF87" s="51" t="str">
        <f t="shared" si="8"/>
        <v/>
      </c>
      <c r="AG87" s="51" t="str">
        <f t="shared" si="9"/>
        <v/>
      </c>
      <c r="AH87" s="51">
        <f t="shared" si="10"/>
        <v>19.171438483025096</v>
      </c>
      <c r="AI87" s="51" t="str">
        <f t="shared" si="11"/>
        <v/>
      </c>
      <c r="AJ87" s="17"/>
      <c r="AK87" s="17"/>
      <c r="AL87" s="17"/>
      <c r="AM87" s="17"/>
      <c r="AN87" s="17">
        <v>472231</v>
      </c>
      <c r="AO87" s="17"/>
      <c r="AP87" s="17"/>
      <c r="AQ87" s="17"/>
      <c r="AR87" s="17"/>
      <c r="AS87" s="17"/>
      <c r="AT87" s="17"/>
      <c r="AU87" s="17"/>
      <c r="AV87" t="s">
        <v>774</v>
      </c>
      <c r="AW87" t="s">
        <v>774</v>
      </c>
      <c r="BN87" s="17"/>
      <c r="BO87" s="17"/>
      <c r="BP87" s="17"/>
      <c r="BQ87" s="17"/>
      <c r="BR87" s="17"/>
      <c r="BX87" s="17"/>
    </row>
    <row r="88" spans="1:76" x14ac:dyDescent="0.25">
      <c r="A88" t="s">
        <v>775</v>
      </c>
      <c r="B88" t="s">
        <v>30</v>
      </c>
      <c r="C88">
        <v>2016</v>
      </c>
      <c r="D88" t="s">
        <v>776</v>
      </c>
      <c r="E88" s="61">
        <v>14570</v>
      </c>
      <c r="F88" s="67">
        <v>24925617000</v>
      </c>
      <c r="G88" s="17">
        <v>1940740</v>
      </c>
      <c r="H88" t="s">
        <v>109</v>
      </c>
      <c r="I88" t="s">
        <v>43</v>
      </c>
      <c r="J88" t="s">
        <v>188</v>
      </c>
      <c r="K88" t="s">
        <v>500</v>
      </c>
      <c r="L88" t="s">
        <v>190</v>
      </c>
      <c r="M88" t="s">
        <v>48</v>
      </c>
      <c r="N88" t="s">
        <v>62</v>
      </c>
      <c r="O88" t="s">
        <v>63</v>
      </c>
      <c r="T88" t="s">
        <v>55</v>
      </c>
      <c r="Y88" t="s">
        <v>55</v>
      </c>
      <c r="Z88" s="17">
        <v>106392</v>
      </c>
      <c r="AA88" s="17">
        <v>7454</v>
      </c>
      <c r="AB88" s="17">
        <v>1432</v>
      </c>
      <c r="AC88" s="17">
        <v>8886</v>
      </c>
      <c r="AD88" s="17">
        <v>115278</v>
      </c>
      <c r="AE88" s="17">
        <v>198</v>
      </c>
      <c r="AF88" s="51">
        <f t="shared" si="8"/>
        <v>54.820326267300103</v>
      </c>
      <c r="AG88" s="51">
        <f t="shared" si="9"/>
        <v>4.5786658697197975</v>
      </c>
      <c r="AH88" s="51">
        <f t="shared" si="10"/>
        <v>59.398992137019903</v>
      </c>
      <c r="AI88" s="51">
        <f t="shared" si="11"/>
        <v>0.1020229397034121</v>
      </c>
      <c r="AJ88" s="17">
        <v>216980</v>
      </c>
      <c r="AK88" s="17">
        <v>147323</v>
      </c>
      <c r="AL88" s="17">
        <v>137687</v>
      </c>
      <c r="AM88" s="17">
        <v>285010</v>
      </c>
      <c r="AN88" s="17">
        <v>501990</v>
      </c>
      <c r="AO88" s="17">
        <v>132966</v>
      </c>
      <c r="AP88" s="17"/>
      <c r="AQ88" s="17"/>
      <c r="AR88" s="17"/>
      <c r="AS88" s="17"/>
      <c r="AT88" s="17"/>
      <c r="AU88" s="17"/>
      <c r="BN88" s="17"/>
      <c r="BO88" s="17"/>
      <c r="BP88" s="17"/>
      <c r="BQ88" s="17"/>
      <c r="BR88" s="17"/>
      <c r="BX88" s="17" t="s">
        <v>1675</v>
      </c>
    </row>
    <row r="89" spans="1:76" x14ac:dyDescent="0.25">
      <c r="A89" t="s">
        <v>777</v>
      </c>
      <c r="B89" t="s">
        <v>30</v>
      </c>
      <c r="C89">
        <v>2014</v>
      </c>
      <c r="D89" t="s">
        <v>778</v>
      </c>
      <c r="E89" s="61">
        <v>8290</v>
      </c>
      <c r="F89" s="67">
        <v>72108871226800</v>
      </c>
      <c r="G89" s="17">
        <v>5603279</v>
      </c>
      <c r="H89" t="s">
        <v>42</v>
      </c>
      <c r="I89" t="s">
        <v>58</v>
      </c>
      <c r="J89" t="s">
        <v>779</v>
      </c>
      <c r="K89" t="s">
        <v>780</v>
      </c>
      <c r="L89" t="s">
        <v>61</v>
      </c>
      <c r="M89" t="s">
        <v>165</v>
      </c>
      <c r="N89" t="s">
        <v>682</v>
      </c>
      <c r="O89" t="s">
        <v>37</v>
      </c>
      <c r="P89" t="s">
        <v>1683</v>
      </c>
      <c r="Q89" t="s">
        <v>781</v>
      </c>
      <c r="R89" t="s">
        <v>782</v>
      </c>
      <c r="S89" t="s">
        <v>783</v>
      </c>
      <c r="T89" t="s">
        <v>784</v>
      </c>
      <c r="Y89" t="s">
        <v>784</v>
      </c>
      <c r="Z89" s="17"/>
      <c r="AA89" s="17"/>
      <c r="AB89" s="17"/>
      <c r="AC89" s="17"/>
      <c r="AD89" s="17"/>
      <c r="AE89" s="17"/>
      <c r="AF89" s="51" t="str">
        <f t="shared" si="8"/>
        <v/>
      </c>
      <c r="AG89" s="51" t="str">
        <f t="shared" si="9"/>
        <v/>
      </c>
      <c r="AH89" s="51" t="str">
        <f t="shared" si="10"/>
        <v/>
      </c>
      <c r="AI89" s="51" t="str">
        <f t="shared" si="11"/>
        <v/>
      </c>
      <c r="AJ89" s="17"/>
      <c r="AK89" s="17"/>
      <c r="AL89" s="17"/>
      <c r="AM89" s="17"/>
      <c r="AN89" s="17"/>
      <c r="AO89" s="17"/>
      <c r="AP89" s="17"/>
      <c r="AQ89" s="17"/>
      <c r="AR89" s="17"/>
      <c r="AS89" s="17"/>
      <c r="AT89" s="17"/>
      <c r="AU89" s="17"/>
      <c r="BD89" s="65"/>
      <c r="BH89" s="65"/>
      <c r="BN89" s="17"/>
      <c r="BO89" s="17"/>
      <c r="BP89" s="17"/>
      <c r="BQ89" s="17"/>
      <c r="BR89" s="17"/>
      <c r="BX89" s="17"/>
    </row>
    <row r="90" spans="1:76" x14ac:dyDescent="0.25">
      <c r="A90" t="s">
        <v>785</v>
      </c>
      <c r="B90" t="s">
        <v>30</v>
      </c>
      <c r="C90">
        <v>2016</v>
      </c>
      <c r="D90" t="s">
        <v>786</v>
      </c>
      <c r="E90" s="61">
        <v>1270</v>
      </c>
      <c r="F90" s="67">
        <v>33704425199.999996</v>
      </c>
      <c r="G90" s="17">
        <v>2233339</v>
      </c>
      <c r="H90" t="s">
        <v>88</v>
      </c>
      <c r="I90" t="s">
        <v>89</v>
      </c>
      <c r="J90" t="s">
        <v>787</v>
      </c>
      <c r="K90" t="s">
        <v>788</v>
      </c>
      <c r="L90" t="s">
        <v>46</v>
      </c>
      <c r="M90" t="s">
        <v>47</v>
      </c>
      <c r="N90" t="s">
        <v>48</v>
      </c>
      <c r="O90" t="s">
        <v>1674</v>
      </c>
      <c r="Z90" s="17">
        <v>7299</v>
      </c>
      <c r="AA90" s="17">
        <v>935</v>
      </c>
      <c r="AB90" s="17">
        <v>500</v>
      </c>
      <c r="AC90" s="17">
        <v>1435</v>
      </c>
      <c r="AD90" s="17">
        <v>8734</v>
      </c>
      <c r="AE90" s="17">
        <v>110</v>
      </c>
      <c r="AF90" s="51">
        <f t="shared" si="8"/>
        <v>3.2682006627744378</v>
      </c>
      <c r="AG90" s="51">
        <f t="shared" si="9"/>
        <v>0.64253568311841591</v>
      </c>
      <c r="AH90" s="51">
        <f t="shared" si="10"/>
        <v>3.9107363458928539</v>
      </c>
      <c r="AI90" s="51">
        <f t="shared" si="11"/>
        <v>4.9253606371446518E-2</v>
      </c>
      <c r="AJ90" s="17"/>
      <c r="AK90" s="17"/>
      <c r="AL90" s="17"/>
      <c r="AM90" s="17"/>
      <c r="AN90" s="17"/>
      <c r="AO90" s="17"/>
      <c r="AP90" s="17"/>
      <c r="AQ90" s="17"/>
      <c r="AR90" s="17"/>
      <c r="AS90" s="17"/>
      <c r="AT90" s="17"/>
      <c r="AU90" s="17"/>
      <c r="BN90" s="17"/>
      <c r="BO90" s="17"/>
      <c r="BP90" s="17"/>
      <c r="BQ90" s="17"/>
      <c r="BR90" s="17"/>
      <c r="BX90" s="17"/>
    </row>
    <row r="91" spans="1:76" x14ac:dyDescent="0.25">
      <c r="A91" t="s">
        <v>789</v>
      </c>
      <c r="B91" t="s">
        <v>30</v>
      </c>
      <c r="C91">
        <v>2011</v>
      </c>
      <c r="D91" t="s">
        <v>790</v>
      </c>
      <c r="E91" s="61">
        <v>320</v>
      </c>
      <c r="F91" s="67">
        <v>1545400000.0000002</v>
      </c>
      <c r="G91" s="17">
        <v>4070167</v>
      </c>
      <c r="H91" t="s">
        <v>32</v>
      </c>
      <c r="I91" t="s">
        <v>89</v>
      </c>
      <c r="J91" t="s">
        <v>1694</v>
      </c>
      <c r="K91" t="s">
        <v>1695</v>
      </c>
      <c r="L91" t="s">
        <v>559</v>
      </c>
      <c r="M91" t="s">
        <v>791</v>
      </c>
      <c r="N91" t="s">
        <v>573</v>
      </c>
      <c r="O91" t="s">
        <v>792</v>
      </c>
      <c r="Z91" s="17"/>
      <c r="AA91" s="17"/>
      <c r="AB91" s="17"/>
      <c r="AC91" s="17"/>
      <c r="AD91" s="17"/>
      <c r="AE91" s="17"/>
      <c r="AF91" s="51" t="str">
        <f t="shared" si="8"/>
        <v/>
      </c>
      <c r="AG91" s="51" t="str">
        <f t="shared" si="9"/>
        <v/>
      </c>
      <c r="AH91" s="51" t="str">
        <f t="shared" si="10"/>
        <v/>
      </c>
      <c r="AI91" s="51" t="str">
        <f t="shared" si="11"/>
        <v/>
      </c>
      <c r="AJ91" s="17"/>
      <c r="AK91" s="17"/>
      <c r="AL91" s="17"/>
      <c r="AM91" s="17"/>
      <c r="AN91" s="17"/>
      <c r="AO91" s="17"/>
      <c r="AP91" s="17"/>
      <c r="AQ91" s="17"/>
      <c r="AR91" s="17"/>
      <c r="AS91" s="17"/>
      <c r="AT91" s="17"/>
      <c r="AU91" s="17"/>
      <c r="BN91" s="17"/>
      <c r="BO91" s="17"/>
      <c r="BP91" s="17"/>
      <c r="BQ91" s="17"/>
      <c r="BR91" s="17"/>
      <c r="BX91" s="17"/>
    </row>
    <row r="92" spans="1:76" x14ac:dyDescent="0.25">
      <c r="A92" t="s">
        <v>793</v>
      </c>
      <c r="B92" t="s">
        <v>30</v>
      </c>
      <c r="C92">
        <v>2009</v>
      </c>
      <c r="D92" t="s">
        <v>794</v>
      </c>
      <c r="E92" s="61">
        <v>12930</v>
      </c>
      <c r="F92" s="67">
        <v>79006000000</v>
      </c>
      <c r="G92" s="17">
        <v>5964325</v>
      </c>
      <c r="H92" t="s">
        <v>42</v>
      </c>
      <c r="I92" t="s">
        <v>58</v>
      </c>
      <c r="J92" t="s">
        <v>1687</v>
      </c>
      <c r="K92" t="s">
        <v>795</v>
      </c>
      <c r="L92" t="s">
        <v>1688</v>
      </c>
      <c r="M92" t="s">
        <v>243</v>
      </c>
      <c r="N92" t="s">
        <v>244</v>
      </c>
      <c r="P92" t="s">
        <v>1684</v>
      </c>
      <c r="Q92" t="s">
        <v>1685</v>
      </c>
      <c r="R92" t="s">
        <v>543</v>
      </c>
      <c r="T92" t="s">
        <v>1686</v>
      </c>
      <c r="Y92" t="s">
        <v>1686</v>
      </c>
      <c r="Z92" s="17"/>
      <c r="AA92" s="17"/>
      <c r="AB92" s="17"/>
      <c r="AC92" s="17"/>
      <c r="AD92" s="17">
        <v>18277</v>
      </c>
      <c r="AE92" s="17">
        <v>88</v>
      </c>
      <c r="AF92" s="51" t="str">
        <f t="shared" si="8"/>
        <v/>
      </c>
      <c r="AG92" s="51" t="str">
        <f t="shared" si="9"/>
        <v/>
      </c>
      <c r="AH92" s="51">
        <f t="shared" si="10"/>
        <v>3.0643870010437055</v>
      </c>
      <c r="AI92" s="51">
        <f t="shared" si="11"/>
        <v>1.4754393833334033E-2</v>
      </c>
      <c r="AJ92" s="17"/>
      <c r="AK92" s="17"/>
      <c r="AL92" s="17"/>
      <c r="AM92" s="17"/>
      <c r="AN92" s="17"/>
      <c r="AO92" s="17"/>
      <c r="AP92" s="17"/>
      <c r="AQ92" s="17"/>
      <c r="AR92" s="17"/>
      <c r="AS92" s="17"/>
      <c r="AT92" s="17"/>
      <c r="AU92" s="17"/>
      <c r="BN92" s="17"/>
      <c r="BO92" s="17"/>
      <c r="BP92" s="17"/>
      <c r="BQ92" s="17"/>
      <c r="BR92" s="17"/>
      <c r="BX92" s="17"/>
    </row>
    <row r="93" spans="1:76" x14ac:dyDescent="0.25">
      <c r="A93" t="s">
        <v>796</v>
      </c>
      <c r="B93" t="s">
        <v>30</v>
      </c>
      <c r="C93">
        <v>2017</v>
      </c>
      <c r="D93" t="s">
        <v>797</v>
      </c>
      <c r="E93" s="61">
        <v>116300</v>
      </c>
      <c r="F93" s="67">
        <v>0</v>
      </c>
      <c r="G93" s="17">
        <v>37922</v>
      </c>
      <c r="H93" t="s">
        <v>109</v>
      </c>
      <c r="I93" t="s">
        <v>43</v>
      </c>
      <c r="J93" t="s">
        <v>798</v>
      </c>
      <c r="K93" t="s">
        <v>799</v>
      </c>
      <c r="L93" t="s">
        <v>190</v>
      </c>
      <c r="M93" t="s">
        <v>48</v>
      </c>
      <c r="N93" t="s">
        <v>62</v>
      </c>
      <c r="O93" t="s">
        <v>63</v>
      </c>
      <c r="T93" t="s">
        <v>800</v>
      </c>
      <c r="Y93" t="s">
        <v>800</v>
      </c>
      <c r="Z93" s="17">
        <v>4154</v>
      </c>
      <c r="AA93" s="17">
        <v>443</v>
      </c>
      <c r="AB93" s="17">
        <v>96</v>
      </c>
      <c r="AC93" s="17">
        <v>539</v>
      </c>
      <c r="AD93" s="17">
        <v>4693</v>
      </c>
      <c r="AE93" s="17">
        <v>17</v>
      </c>
      <c r="AF93" s="51">
        <f t="shared" si="8"/>
        <v>109.54063604240282</v>
      </c>
      <c r="AG93" s="51">
        <f t="shared" si="9"/>
        <v>14.213385369969938</v>
      </c>
      <c r="AH93" s="51">
        <f t="shared" si="10"/>
        <v>123.75402141237277</v>
      </c>
      <c r="AI93" s="51">
        <f t="shared" si="11"/>
        <v>0.44828859237381996</v>
      </c>
      <c r="AJ93" s="17">
        <v>9413</v>
      </c>
      <c r="AK93" s="17">
        <v>8877</v>
      </c>
      <c r="AL93" s="17">
        <v>8991</v>
      </c>
      <c r="AM93" s="17">
        <v>17868</v>
      </c>
      <c r="AN93" s="17">
        <v>27281</v>
      </c>
      <c r="AO93" s="17">
        <v>12743</v>
      </c>
      <c r="AP93" s="17"/>
      <c r="AQ93" s="17"/>
      <c r="AR93" s="17"/>
      <c r="AS93" s="17"/>
      <c r="AT93" s="17"/>
      <c r="AU93" s="17"/>
      <c r="BN93" s="17"/>
      <c r="BO93" s="17"/>
      <c r="BP93" s="17"/>
      <c r="BQ93" s="17"/>
      <c r="BR93" s="17"/>
      <c r="BU93" t="s">
        <v>801</v>
      </c>
      <c r="BX93" s="17"/>
    </row>
    <row r="94" spans="1:76" x14ac:dyDescent="0.25">
      <c r="A94" t="s">
        <v>802</v>
      </c>
      <c r="B94" t="s">
        <v>30</v>
      </c>
      <c r="C94">
        <v>2016</v>
      </c>
      <c r="D94" t="s">
        <v>803</v>
      </c>
      <c r="E94" s="61">
        <v>14790</v>
      </c>
      <c r="F94" s="67">
        <v>38668321500</v>
      </c>
      <c r="G94" s="17">
        <v>2827721</v>
      </c>
      <c r="H94" t="s">
        <v>109</v>
      </c>
      <c r="I94" t="s">
        <v>43</v>
      </c>
      <c r="J94" t="s">
        <v>1857</v>
      </c>
      <c r="K94" t="s">
        <v>189</v>
      </c>
      <c r="L94" t="s">
        <v>190</v>
      </c>
      <c r="M94" t="s">
        <v>48</v>
      </c>
      <c r="N94" t="s">
        <v>62</v>
      </c>
      <c r="O94" t="s">
        <v>63</v>
      </c>
      <c r="T94" t="s">
        <v>55</v>
      </c>
      <c r="Y94" t="s">
        <v>55</v>
      </c>
      <c r="Z94" s="17">
        <v>178530</v>
      </c>
      <c r="AA94" s="17">
        <v>11448</v>
      </c>
      <c r="AB94" s="17">
        <v>2234</v>
      </c>
      <c r="AC94" s="17">
        <v>13682</v>
      </c>
      <c r="AD94" s="17">
        <v>192212</v>
      </c>
      <c r="AE94" s="17">
        <v>345</v>
      </c>
      <c r="AF94" s="51">
        <f t="shared" si="8"/>
        <v>63.135648814009585</v>
      </c>
      <c r="AG94" s="51">
        <f t="shared" si="9"/>
        <v>4.8385254415127941</v>
      </c>
      <c r="AH94" s="51">
        <f t="shared" si="10"/>
        <v>67.974174255522385</v>
      </c>
      <c r="AI94" s="51">
        <f t="shared" si="11"/>
        <v>0.12200637898859187</v>
      </c>
      <c r="AJ94" s="17">
        <v>275218</v>
      </c>
      <c r="AK94" s="17">
        <v>227471</v>
      </c>
      <c r="AL94" s="17">
        <v>218565</v>
      </c>
      <c r="AM94" s="17">
        <v>446036</v>
      </c>
      <c r="AN94" s="17">
        <v>721254</v>
      </c>
      <c r="AO94" s="17">
        <v>233385</v>
      </c>
      <c r="AP94" s="17">
        <v>3036600000</v>
      </c>
      <c r="AQ94" s="17">
        <v>3802399999.9999995</v>
      </c>
      <c r="AR94" s="17">
        <v>4633700000</v>
      </c>
      <c r="AS94" s="17">
        <v>8436100000</v>
      </c>
      <c r="AT94" s="17">
        <v>11472700000</v>
      </c>
      <c r="AU94" s="17">
        <v>5394800000</v>
      </c>
      <c r="AV94" t="s">
        <v>189</v>
      </c>
      <c r="AW94" t="s">
        <v>189</v>
      </c>
      <c r="BN94" s="17"/>
      <c r="BO94" s="17"/>
      <c r="BP94" s="17"/>
      <c r="BQ94" s="17"/>
      <c r="BR94" s="17"/>
      <c r="BX94" s="17"/>
    </row>
    <row r="95" spans="1:76" x14ac:dyDescent="0.25">
      <c r="A95" t="s">
        <v>804</v>
      </c>
      <c r="B95" t="s">
        <v>30</v>
      </c>
      <c r="C95">
        <v>2016</v>
      </c>
      <c r="D95" t="s">
        <v>805</v>
      </c>
      <c r="E95" s="61">
        <v>71590</v>
      </c>
      <c r="F95" s="67">
        <v>53004777000</v>
      </c>
      <c r="G95" s="17">
        <v>599449</v>
      </c>
      <c r="H95" t="s">
        <v>109</v>
      </c>
      <c r="I95" t="s">
        <v>43</v>
      </c>
      <c r="J95" t="s">
        <v>1857</v>
      </c>
      <c r="K95" t="s">
        <v>189</v>
      </c>
      <c r="L95" t="s">
        <v>190</v>
      </c>
      <c r="M95" t="s">
        <v>48</v>
      </c>
      <c r="N95" t="s">
        <v>62</v>
      </c>
      <c r="O95" t="s">
        <v>63</v>
      </c>
      <c r="T95" t="s">
        <v>55</v>
      </c>
      <c r="Y95" t="s">
        <v>55</v>
      </c>
      <c r="Z95" s="17">
        <v>28054</v>
      </c>
      <c r="AA95" s="17">
        <v>3429</v>
      </c>
      <c r="AB95" s="17">
        <v>642</v>
      </c>
      <c r="AC95" s="17">
        <v>4071</v>
      </c>
      <c r="AD95" s="17">
        <v>32125</v>
      </c>
      <c r="AE95" s="17">
        <v>153</v>
      </c>
      <c r="AF95" s="51">
        <f t="shared" si="8"/>
        <v>46.799644340052282</v>
      </c>
      <c r="AG95" s="51">
        <f t="shared" si="9"/>
        <v>6.7912366189617464</v>
      </c>
      <c r="AH95" s="51">
        <f t="shared" si="10"/>
        <v>53.590880959014029</v>
      </c>
      <c r="AI95" s="51">
        <f t="shared" si="11"/>
        <v>0.25523439024837813</v>
      </c>
      <c r="AJ95" s="17">
        <v>46772</v>
      </c>
      <c r="AK95" s="17">
        <v>67276</v>
      </c>
      <c r="AL95" s="17">
        <v>64446</v>
      </c>
      <c r="AM95" s="17">
        <v>131722</v>
      </c>
      <c r="AN95" s="17">
        <v>178494</v>
      </c>
      <c r="AO95" s="17">
        <v>86543</v>
      </c>
      <c r="AP95" s="17">
        <v>4599900000</v>
      </c>
      <c r="AQ95" s="17">
        <v>4923300000</v>
      </c>
      <c r="AR95" s="17">
        <v>5593100000</v>
      </c>
      <c r="AS95" s="17">
        <v>10516400000</v>
      </c>
      <c r="AT95" s="17">
        <v>15116300000</v>
      </c>
      <c r="AU95" s="17">
        <v>8081000000</v>
      </c>
      <c r="AV95" t="s">
        <v>191</v>
      </c>
      <c r="AW95" t="s">
        <v>189</v>
      </c>
      <c r="BN95" s="17"/>
      <c r="BO95" s="17"/>
      <c r="BP95" s="17"/>
      <c r="BQ95" s="17"/>
      <c r="BR95" s="17"/>
      <c r="BX95" s="17"/>
    </row>
    <row r="96" spans="1:76" x14ac:dyDescent="0.25">
      <c r="A96" t="s">
        <v>808</v>
      </c>
      <c r="B96" t="s">
        <v>30</v>
      </c>
      <c r="C96">
        <v>2005</v>
      </c>
      <c r="D96" t="s">
        <v>809</v>
      </c>
      <c r="E96" s="61">
        <v>290</v>
      </c>
      <c r="F96" s="67">
        <v>10093833954500.002</v>
      </c>
      <c r="G96" s="17">
        <v>18336724</v>
      </c>
      <c r="H96" t="s">
        <v>32</v>
      </c>
      <c r="I96" t="s">
        <v>89</v>
      </c>
      <c r="J96" t="s">
        <v>810</v>
      </c>
      <c r="K96" t="s">
        <v>811</v>
      </c>
      <c r="L96" t="s">
        <v>61</v>
      </c>
      <c r="N96" t="s">
        <v>494</v>
      </c>
      <c r="O96" t="s">
        <v>1726</v>
      </c>
      <c r="Z96" s="17">
        <v>203581</v>
      </c>
      <c r="AA96" s="17"/>
      <c r="AB96" s="17"/>
      <c r="AC96" s="17">
        <v>7337</v>
      </c>
      <c r="AD96" s="17">
        <v>210918</v>
      </c>
      <c r="AE96" s="17">
        <v>397</v>
      </c>
      <c r="AF96" s="51">
        <f t="shared" si="8"/>
        <v>11.102364849904488</v>
      </c>
      <c r="AG96" s="51">
        <f t="shared" si="9"/>
        <v>0.4001259985153291</v>
      </c>
      <c r="AH96" s="51">
        <f t="shared" si="10"/>
        <v>11.502490848419816</v>
      </c>
      <c r="AI96" s="51">
        <f t="shared" si="11"/>
        <v>2.165054128534628E-2</v>
      </c>
      <c r="AJ96" s="17">
        <v>371398</v>
      </c>
      <c r="AK96" s="17"/>
      <c r="AL96" s="17"/>
      <c r="AM96" s="17">
        <v>114774</v>
      </c>
      <c r="AN96" s="17">
        <v>486172</v>
      </c>
      <c r="AO96" s="17">
        <v>143338</v>
      </c>
      <c r="AP96" s="17"/>
      <c r="AQ96" s="17"/>
      <c r="AR96" s="17"/>
      <c r="AS96" s="17"/>
      <c r="AT96" s="17"/>
      <c r="AU96" s="17"/>
      <c r="BN96" s="17"/>
      <c r="BO96" s="17"/>
      <c r="BP96" s="17"/>
      <c r="BQ96" s="17"/>
      <c r="BR96" s="17"/>
      <c r="BX96" s="17" t="s">
        <v>1790</v>
      </c>
    </row>
    <row r="97" spans="1:76" x14ac:dyDescent="0.25">
      <c r="A97" t="s">
        <v>812</v>
      </c>
      <c r="B97" t="s">
        <v>30</v>
      </c>
      <c r="C97">
        <v>2012</v>
      </c>
      <c r="D97" t="s">
        <v>813</v>
      </c>
      <c r="E97" s="61">
        <v>440</v>
      </c>
      <c r="F97" s="67">
        <v>1501732514000</v>
      </c>
      <c r="G97" s="17">
        <v>16097305</v>
      </c>
      <c r="H97" t="s">
        <v>32</v>
      </c>
      <c r="I97" t="s">
        <v>89</v>
      </c>
      <c r="J97" t="s">
        <v>1696</v>
      </c>
      <c r="K97" t="s">
        <v>814</v>
      </c>
      <c r="L97" t="s">
        <v>46</v>
      </c>
      <c r="M97" t="s">
        <v>716</v>
      </c>
      <c r="N97" t="s">
        <v>36</v>
      </c>
      <c r="O97" t="s">
        <v>1697</v>
      </c>
      <c r="U97" t="s">
        <v>1698</v>
      </c>
      <c r="V97" t="s">
        <v>1699</v>
      </c>
      <c r="W97" t="s">
        <v>1700</v>
      </c>
      <c r="X97" t="s">
        <v>1701</v>
      </c>
      <c r="Y97" t="s">
        <v>815</v>
      </c>
      <c r="Z97" s="17"/>
      <c r="AA97" s="17"/>
      <c r="AB97" s="17"/>
      <c r="AC97" s="17"/>
      <c r="AD97" s="17">
        <v>987480</v>
      </c>
      <c r="AE97" s="17"/>
      <c r="AF97" s="51" t="str">
        <f t="shared" si="8"/>
        <v/>
      </c>
      <c r="AG97" s="51" t="str">
        <f t="shared" si="9"/>
        <v/>
      </c>
      <c r="AH97" s="51">
        <f t="shared" si="10"/>
        <v>61.344430014837883</v>
      </c>
      <c r="AI97" s="51" t="str">
        <f t="shared" si="11"/>
        <v/>
      </c>
      <c r="AJ97" s="17">
        <v>850759.20000000007</v>
      </c>
      <c r="AK97" s="17">
        <v>178554.40000000002</v>
      </c>
      <c r="AL97" s="17">
        <v>21006.400000000001</v>
      </c>
      <c r="AM97" s="17">
        <v>199560.80000000002</v>
      </c>
      <c r="AN97" s="17">
        <v>1050320</v>
      </c>
      <c r="AO97" s="17"/>
      <c r="AP97" s="17"/>
      <c r="AQ97" s="17"/>
      <c r="AR97" s="17"/>
      <c r="AS97" s="17"/>
      <c r="AT97" s="17"/>
      <c r="AU97" s="17"/>
      <c r="AW97" t="s">
        <v>1703</v>
      </c>
      <c r="BN97" s="17"/>
      <c r="BO97" s="17"/>
      <c r="BP97" s="17">
        <v>454241</v>
      </c>
      <c r="BQ97" s="17"/>
      <c r="BR97" s="17"/>
      <c r="BT97" t="s">
        <v>1704</v>
      </c>
      <c r="BX97" s="17"/>
    </row>
    <row r="98" spans="1:76" x14ac:dyDescent="0.25">
      <c r="A98" t="s">
        <v>816</v>
      </c>
      <c r="B98" t="s">
        <v>30</v>
      </c>
      <c r="C98">
        <v>2015</v>
      </c>
      <c r="D98" t="s">
        <v>817</v>
      </c>
      <c r="E98" s="61">
        <v>10450</v>
      </c>
      <c r="F98" s="67">
        <v>1157723000000</v>
      </c>
      <c r="G98" s="17">
        <v>30723155</v>
      </c>
      <c r="H98" t="s">
        <v>42</v>
      </c>
      <c r="I98" t="s">
        <v>77</v>
      </c>
      <c r="J98" t="s">
        <v>820</v>
      </c>
      <c r="K98" t="s">
        <v>818</v>
      </c>
      <c r="L98" t="s">
        <v>241</v>
      </c>
      <c r="M98" t="s">
        <v>1784</v>
      </c>
      <c r="N98" t="s">
        <v>1785</v>
      </c>
      <c r="O98" t="s">
        <v>1786</v>
      </c>
      <c r="T98" t="s">
        <v>819</v>
      </c>
      <c r="U98" t="s">
        <v>1101</v>
      </c>
      <c r="V98" t="s">
        <v>1787</v>
      </c>
      <c r="W98" t="s">
        <v>1788</v>
      </c>
      <c r="X98" t="s">
        <v>1789</v>
      </c>
      <c r="Y98" t="s">
        <v>819</v>
      </c>
      <c r="Z98" s="17">
        <v>693670</v>
      </c>
      <c r="AA98" s="17">
        <v>192783</v>
      </c>
      <c r="AB98" s="17">
        <v>20612</v>
      </c>
      <c r="AC98" s="17">
        <v>213395</v>
      </c>
      <c r="AD98" s="17">
        <v>907065</v>
      </c>
      <c r="AE98" s="17">
        <v>13559</v>
      </c>
      <c r="AF98" s="51">
        <f t="shared" si="8"/>
        <v>22.578084835362773</v>
      </c>
      <c r="AG98" s="51">
        <f t="shared" si="9"/>
        <v>6.9457384829129687</v>
      </c>
      <c r="AH98" s="51">
        <f t="shared" si="10"/>
        <v>29.523823318275745</v>
      </c>
      <c r="AI98" s="51">
        <f t="shared" si="11"/>
        <v>0.44132837268828673</v>
      </c>
      <c r="AJ98" s="17"/>
      <c r="AK98" s="17"/>
      <c r="AL98" s="17"/>
      <c r="AM98" s="17"/>
      <c r="AN98" s="17"/>
      <c r="AO98" s="17"/>
      <c r="AP98" s="17"/>
      <c r="AQ98" s="17"/>
      <c r="AR98" s="17"/>
      <c r="AS98" s="17">
        <v>385800000000</v>
      </c>
      <c r="AT98" s="17"/>
      <c r="AU98" s="17"/>
      <c r="BM98" t="s">
        <v>1400</v>
      </c>
      <c r="BN98" s="17"/>
      <c r="BO98" s="17"/>
      <c r="BP98" s="17">
        <v>186930</v>
      </c>
      <c r="BQ98" s="17"/>
      <c r="BR98" s="17"/>
      <c r="BX98" s="17"/>
    </row>
    <row r="99" spans="1:76" x14ac:dyDescent="0.25">
      <c r="A99" t="s">
        <v>829</v>
      </c>
      <c r="B99" t="s">
        <v>30</v>
      </c>
      <c r="C99">
        <v>2007</v>
      </c>
      <c r="D99" t="s">
        <v>830</v>
      </c>
      <c r="E99" s="61">
        <v>8740</v>
      </c>
      <c r="F99" s="67">
        <v>23915308300</v>
      </c>
      <c r="G99" s="17">
        <v>436330</v>
      </c>
      <c r="H99" t="s">
        <v>42</v>
      </c>
      <c r="I99" t="s">
        <v>33</v>
      </c>
      <c r="J99" t="s">
        <v>1735</v>
      </c>
      <c r="K99" t="s">
        <v>1724</v>
      </c>
      <c r="L99" t="s">
        <v>391</v>
      </c>
      <c r="M99" t="s">
        <v>478</v>
      </c>
      <c r="N99" t="s">
        <v>479</v>
      </c>
      <c r="O99" t="s">
        <v>37</v>
      </c>
      <c r="T99" t="s">
        <v>1723</v>
      </c>
      <c r="Y99" t="s">
        <v>1723</v>
      </c>
      <c r="Z99" s="17">
        <v>11169</v>
      </c>
      <c r="AA99" s="17">
        <v>17490</v>
      </c>
      <c r="AB99" s="17">
        <v>12325</v>
      </c>
      <c r="AC99" s="17">
        <v>29815</v>
      </c>
      <c r="AD99" s="17">
        <v>40984</v>
      </c>
      <c r="AE99" s="17">
        <v>566</v>
      </c>
      <c r="AF99" s="51">
        <f t="shared" si="8"/>
        <v>25.597598148190592</v>
      </c>
      <c r="AG99" s="51">
        <f t="shared" si="9"/>
        <v>68.331308871725525</v>
      </c>
      <c r="AH99" s="51">
        <f t="shared" si="10"/>
        <v>93.92890701991611</v>
      </c>
      <c r="AI99" s="51">
        <f t="shared" si="11"/>
        <v>1.2971833245479338</v>
      </c>
      <c r="AJ99" s="17">
        <v>7455</v>
      </c>
      <c r="AK99" s="17">
        <v>35563</v>
      </c>
      <c r="AL99" s="17">
        <v>42391</v>
      </c>
      <c r="AM99" s="17">
        <v>77954</v>
      </c>
      <c r="AN99" s="17">
        <v>85409</v>
      </c>
      <c r="AO99" s="17">
        <v>106107</v>
      </c>
      <c r="AP99" s="17"/>
      <c r="AQ99" s="17"/>
      <c r="AR99" s="17"/>
      <c r="AS99" s="17"/>
      <c r="AT99" s="17"/>
      <c r="AU99" s="17"/>
      <c r="AV99" t="s">
        <v>1724</v>
      </c>
      <c r="AW99" t="s">
        <v>1724</v>
      </c>
      <c r="BN99" s="17"/>
      <c r="BO99" s="17"/>
      <c r="BP99" s="17"/>
      <c r="BQ99" s="17"/>
      <c r="BR99" s="17"/>
      <c r="BX99" s="17"/>
    </row>
    <row r="100" spans="1:76" x14ac:dyDescent="0.25">
      <c r="A100" t="s">
        <v>831</v>
      </c>
      <c r="B100" t="s">
        <v>30</v>
      </c>
      <c r="C100">
        <v>2016</v>
      </c>
      <c r="D100" t="s">
        <v>832</v>
      </c>
      <c r="E100" s="61">
        <v>780</v>
      </c>
      <c r="F100" s="67">
        <v>8322858424700</v>
      </c>
      <c r="G100" s="17">
        <v>18541980</v>
      </c>
      <c r="H100" t="s">
        <v>32</v>
      </c>
      <c r="I100" t="s">
        <v>89</v>
      </c>
      <c r="J100" t="s">
        <v>833</v>
      </c>
      <c r="K100" t="s">
        <v>834</v>
      </c>
      <c r="L100" t="s">
        <v>835</v>
      </c>
      <c r="M100" t="s">
        <v>836</v>
      </c>
      <c r="N100" t="s">
        <v>1705</v>
      </c>
      <c r="O100" t="s">
        <v>101</v>
      </c>
      <c r="P100" t="s">
        <v>502</v>
      </c>
      <c r="Q100" t="s">
        <v>837</v>
      </c>
      <c r="R100" t="s">
        <v>1706</v>
      </c>
      <c r="S100" t="s">
        <v>417</v>
      </c>
      <c r="T100" t="s">
        <v>489</v>
      </c>
      <c r="U100" t="s">
        <v>502</v>
      </c>
      <c r="V100" t="s">
        <v>837</v>
      </c>
      <c r="W100" t="s">
        <v>1706</v>
      </c>
      <c r="X100" t="s">
        <v>417</v>
      </c>
      <c r="Y100" t="s">
        <v>489</v>
      </c>
      <c r="Z100" s="17"/>
      <c r="AA100" s="17"/>
      <c r="AB100" s="17"/>
      <c r="AC100" s="17"/>
      <c r="AD100" s="17"/>
      <c r="AE100" s="17"/>
      <c r="AF100" s="51" t="str">
        <f t="shared" si="8"/>
        <v/>
      </c>
      <c r="AG100" s="51" t="str">
        <f t="shared" si="9"/>
        <v/>
      </c>
      <c r="AH100" s="51" t="str">
        <f t="shared" si="10"/>
        <v/>
      </c>
      <c r="AI100" s="51" t="str">
        <f t="shared" si="11"/>
        <v/>
      </c>
      <c r="AJ100" s="17"/>
      <c r="AK100" s="17"/>
      <c r="AL100" s="17"/>
      <c r="AM100" s="17"/>
      <c r="AN100" s="17"/>
      <c r="AO100" s="17"/>
      <c r="AP100" s="17"/>
      <c r="AQ100" s="17"/>
      <c r="AR100" s="17"/>
      <c r="AS100" s="17"/>
      <c r="AT100" s="17"/>
      <c r="AU100" s="17"/>
      <c r="BN100" s="17"/>
      <c r="BO100" s="17"/>
      <c r="BP100" s="17"/>
      <c r="BQ100" s="17"/>
      <c r="BR100" s="17"/>
      <c r="BX100" s="17" t="s">
        <v>1711</v>
      </c>
    </row>
    <row r="101" spans="1:76" x14ac:dyDescent="0.25">
      <c r="A101" t="s">
        <v>838</v>
      </c>
      <c r="B101" t="s">
        <v>30</v>
      </c>
      <c r="C101">
        <v>2016</v>
      </c>
      <c r="D101" t="s">
        <v>839</v>
      </c>
      <c r="E101" s="61">
        <v>23840</v>
      </c>
      <c r="F101" s="67">
        <v>10196700000</v>
      </c>
      <c r="G101" s="17">
        <v>465292</v>
      </c>
      <c r="H101" t="s">
        <v>109</v>
      </c>
      <c r="I101" t="s">
        <v>58</v>
      </c>
      <c r="J101" t="s">
        <v>188</v>
      </c>
      <c r="K101" t="s">
        <v>375</v>
      </c>
      <c r="L101" t="s">
        <v>190</v>
      </c>
      <c r="M101" t="s">
        <v>48</v>
      </c>
      <c r="N101" t="s">
        <v>62</v>
      </c>
      <c r="O101" t="s">
        <v>63</v>
      </c>
      <c r="T101" t="s">
        <v>55</v>
      </c>
      <c r="Y101" t="s">
        <v>55</v>
      </c>
      <c r="Z101" s="17">
        <v>26973</v>
      </c>
      <c r="AA101" s="17">
        <v>1682</v>
      </c>
      <c r="AB101" s="17">
        <v>332</v>
      </c>
      <c r="AC101" s="17">
        <v>2014</v>
      </c>
      <c r="AD101" s="17">
        <v>28987</v>
      </c>
      <c r="AE101" s="17">
        <v>60</v>
      </c>
      <c r="AF101" s="51">
        <f t="shared" si="8"/>
        <v>57.970048915519719</v>
      </c>
      <c r="AG101" s="51">
        <f t="shared" si="9"/>
        <v>4.32846470603406</v>
      </c>
      <c r="AH101" s="51">
        <f t="shared" si="10"/>
        <v>62.298513621553774</v>
      </c>
      <c r="AI101" s="51">
        <f t="shared" si="11"/>
        <v>0.12895128220558272</v>
      </c>
      <c r="AJ101" s="17">
        <v>45922</v>
      </c>
      <c r="AK101" s="17">
        <v>33881</v>
      </c>
      <c r="AL101" s="17">
        <v>31841</v>
      </c>
      <c r="AM101" s="17">
        <v>65722</v>
      </c>
      <c r="AN101" s="17">
        <v>111644</v>
      </c>
      <c r="AO101" s="17">
        <v>30962</v>
      </c>
      <c r="AP101" s="17">
        <v>1900400000</v>
      </c>
      <c r="AQ101" s="17">
        <v>1392900000</v>
      </c>
      <c r="AR101" s="17">
        <v>1066099999.9999999</v>
      </c>
      <c r="AS101" s="17">
        <v>2459000000</v>
      </c>
      <c r="AT101" s="17">
        <v>4359400000</v>
      </c>
      <c r="AU101" s="17">
        <v>1152500000</v>
      </c>
      <c r="BN101" s="17"/>
      <c r="BO101" s="17"/>
      <c r="BP101" s="17"/>
      <c r="BQ101" s="17"/>
      <c r="BR101" s="17"/>
      <c r="BX101" s="17"/>
    </row>
    <row r="102" spans="1:76" x14ac:dyDescent="0.25">
      <c r="A102" t="s">
        <v>842</v>
      </c>
      <c r="B102" t="s">
        <v>30</v>
      </c>
      <c r="C102">
        <v>2015</v>
      </c>
      <c r="D102" t="s">
        <v>843</v>
      </c>
      <c r="E102" s="61">
        <v>9780</v>
      </c>
      <c r="F102" s="67">
        <v>409893000000</v>
      </c>
      <c r="G102" s="17">
        <v>1262605</v>
      </c>
      <c r="H102" t="s">
        <v>42</v>
      </c>
      <c r="I102" t="s">
        <v>89</v>
      </c>
      <c r="J102" t="s">
        <v>844</v>
      </c>
      <c r="K102" t="s">
        <v>1707</v>
      </c>
      <c r="L102" t="s">
        <v>845</v>
      </c>
      <c r="U102" t="s">
        <v>1708</v>
      </c>
      <c r="V102" t="s">
        <v>1709</v>
      </c>
      <c r="W102" t="s">
        <v>1710</v>
      </c>
      <c r="X102" t="s">
        <v>1390</v>
      </c>
      <c r="Y102" t="s">
        <v>846</v>
      </c>
      <c r="Z102" s="17"/>
      <c r="AA102" s="17"/>
      <c r="AB102" s="17"/>
      <c r="AC102" s="17"/>
      <c r="AD102" s="17"/>
      <c r="AE102" s="17"/>
      <c r="AF102" s="51" t="str">
        <f t="shared" si="8"/>
        <v/>
      </c>
      <c r="AG102" s="51" t="str">
        <f t="shared" si="9"/>
        <v/>
      </c>
      <c r="AH102" s="51" t="str">
        <f t="shared" si="10"/>
        <v/>
      </c>
      <c r="AI102" s="51" t="str">
        <f t="shared" si="11"/>
        <v/>
      </c>
      <c r="AJ102" s="17"/>
      <c r="AK102" s="17"/>
      <c r="AL102" s="17"/>
      <c r="AM102" s="17">
        <v>276625</v>
      </c>
      <c r="AN102" s="17"/>
      <c r="AO102" s="17"/>
      <c r="AP102" s="17"/>
      <c r="AQ102" s="17"/>
      <c r="AR102" s="17"/>
      <c r="AS102" s="17"/>
      <c r="AT102" s="17">
        <v>118110000</v>
      </c>
      <c r="AU102" s="17"/>
      <c r="BF102" s="65"/>
      <c r="BG102" s="65"/>
      <c r="BN102" s="17"/>
      <c r="BO102" s="17"/>
      <c r="BP102" s="17"/>
      <c r="BQ102" s="17"/>
      <c r="BR102" s="17"/>
      <c r="BX102" s="17"/>
    </row>
    <row r="103" spans="1:76" x14ac:dyDescent="0.25">
      <c r="A103" t="s">
        <v>847</v>
      </c>
      <c r="B103" t="s">
        <v>30</v>
      </c>
      <c r="C103">
        <v>2013</v>
      </c>
      <c r="D103" t="s">
        <v>848</v>
      </c>
      <c r="E103" s="61">
        <v>10010</v>
      </c>
      <c r="F103" s="67">
        <v>16277187000000</v>
      </c>
      <c r="G103" s="17">
        <v>122535969</v>
      </c>
      <c r="H103" t="s">
        <v>42</v>
      </c>
      <c r="I103" t="s">
        <v>110</v>
      </c>
      <c r="J103" t="s">
        <v>849</v>
      </c>
      <c r="K103" t="s">
        <v>850</v>
      </c>
      <c r="L103" t="s">
        <v>504</v>
      </c>
      <c r="M103" t="s">
        <v>402</v>
      </c>
      <c r="N103" t="s">
        <v>166</v>
      </c>
      <c r="O103" t="s">
        <v>167</v>
      </c>
      <c r="U103" t="s">
        <v>326</v>
      </c>
      <c r="V103" t="s">
        <v>851</v>
      </c>
      <c r="W103" t="s">
        <v>852</v>
      </c>
      <c r="X103" t="s">
        <v>853</v>
      </c>
      <c r="Y103" t="s">
        <v>848</v>
      </c>
      <c r="Z103" s="17">
        <v>4035903</v>
      </c>
      <c r="AA103" s="17">
        <v>153733</v>
      </c>
      <c r="AB103" s="17">
        <v>33334</v>
      </c>
      <c r="AC103" s="17">
        <v>187067</v>
      </c>
      <c r="AD103" s="17">
        <v>4222970</v>
      </c>
      <c r="AE103" s="17">
        <v>7775</v>
      </c>
      <c r="AF103" s="51">
        <f t="shared" si="8"/>
        <v>32.936475982819381</v>
      </c>
      <c r="AG103" s="51">
        <f t="shared" si="9"/>
        <v>1.5266292952724763</v>
      </c>
      <c r="AH103" s="51">
        <f t="shared" si="10"/>
        <v>34.463105278091859</v>
      </c>
      <c r="AI103" s="51">
        <f t="shared" si="11"/>
        <v>6.3450757058933438E-2</v>
      </c>
      <c r="AJ103" s="17">
        <v>8580027</v>
      </c>
      <c r="AK103" s="17">
        <v>3249203</v>
      </c>
      <c r="AL103" s="17">
        <v>3523566</v>
      </c>
      <c r="AM103" s="17">
        <v>6772769</v>
      </c>
      <c r="AN103" s="17">
        <v>15352796</v>
      </c>
      <c r="AO103" s="17">
        <v>6223562</v>
      </c>
      <c r="AP103" s="17">
        <v>1134695711000</v>
      </c>
      <c r="AQ103" s="17">
        <v>906393934000</v>
      </c>
      <c r="AR103" s="17">
        <v>1536203520000</v>
      </c>
      <c r="AS103" s="17">
        <v>2442597454000</v>
      </c>
      <c r="AT103" s="17">
        <v>3577293165000</v>
      </c>
      <c r="AU103" s="17">
        <v>10407020053000</v>
      </c>
      <c r="AV103" t="s">
        <v>850</v>
      </c>
      <c r="AW103" t="s">
        <v>850</v>
      </c>
      <c r="BN103" s="17"/>
      <c r="BO103" s="17"/>
      <c r="BP103" s="17"/>
      <c r="BQ103" s="17"/>
      <c r="BR103" s="17"/>
      <c r="BT103" t="s">
        <v>854</v>
      </c>
      <c r="BU103" t="s">
        <v>855</v>
      </c>
      <c r="BV103" t="s">
        <v>856</v>
      </c>
      <c r="BX103" s="17"/>
    </row>
    <row r="104" spans="1:76" x14ac:dyDescent="0.25">
      <c r="A104" t="s">
        <v>867</v>
      </c>
      <c r="B104" t="s">
        <v>30</v>
      </c>
      <c r="C104">
        <v>2017</v>
      </c>
      <c r="D104" t="s">
        <v>868</v>
      </c>
      <c r="E104" s="61">
        <v>2200</v>
      </c>
      <c r="F104" s="67">
        <v>150369000000</v>
      </c>
      <c r="G104" s="17">
        <v>3549196</v>
      </c>
      <c r="H104" t="s">
        <v>88</v>
      </c>
      <c r="I104" t="s">
        <v>43</v>
      </c>
      <c r="J104" t="s">
        <v>1717</v>
      </c>
      <c r="K104" t="s">
        <v>1718</v>
      </c>
      <c r="M104" t="s">
        <v>493</v>
      </c>
      <c r="N104" t="s">
        <v>1719</v>
      </c>
      <c r="Q104" t="s">
        <v>1720</v>
      </c>
      <c r="R104" t="s">
        <v>502</v>
      </c>
      <c r="T104" t="s">
        <v>869</v>
      </c>
      <c r="V104" t="s">
        <v>1720</v>
      </c>
      <c r="W104" t="s">
        <v>502</v>
      </c>
      <c r="Z104" s="17"/>
      <c r="AA104" s="17"/>
      <c r="AB104" s="17"/>
      <c r="AC104" s="17">
        <v>53600</v>
      </c>
      <c r="AD104" s="17"/>
      <c r="AE104" s="17"/>
      <c r="AF104" s="51" t="str">
        <f t="shared" si="8"/>
        <v/>
      </c>
      <c r="AG104" s="51">
        <f t="shared" si="9"/>
        <v>15.102011835920022</v>
      </c>
      <c r="AH104" s="51" t="str">
        <f t="shared" si="10"/>
        <v/>
      </c>
      <c r="AI104" s="51" t="str">
        <f t="shared" si="11"/>
        <v/>
      </c>
      <c r="AJ104" s="17"/>
      <c r="AK104" s="17"/>
      <c r="AL104" s="17"/>
      <c r="AM104" s="17">
        <v>323300</v>
      </c>
      <c r="AN104" s="17"/>
      <c r="AO104" s="17"/>
      <c r="AP104" s="17"/>
      <c r="AQ104" s="17"/>
      <c r="AR104" s="17"/>
      <c r="AS104" s="17"/>
      <c r="AT104" s="17"/>
      <c r="AU104" s="17"/>
      <c r="AW104" t="s">
        <v>1721</v>
      </c>
      <c r="BF104" s="65"/>
      <c r="BG104" s="65"/>
      <c r="BN104" s="17"/>
      <c r="BO104" s="17"/>
      <c r="BP104" s="17"/>
      <c r="BQ104" s="17"/>
      <c r="BR104" s="17"/>
      <c r="BX104" s="17"/>
    </row>
    <row r="105" spans="1:76" x14ac:dyDescent="0.25">
      <c r="A105" t="s">
        <v>870</v>
      </c>
      <c r="B105" t="s">
        <v>30</v>
      </c>
      <c r="C105">
        <v>2016</v>
      </c>
      <c r="D105" t="s">
        <v>871</v>
      </c>
      <c r="E105" s="61">
        <v>3590</v>
      </c>
      <c r="F105" s="67">
        <v>23935853667900</v>
      </c>
      <c r="G105" s="17">
        <v>3075647</v>
      </c>
      <c r="H105" t="s">
        <v>88</v>
      </c>
      <c r="I105" t="s">
        <v>77</v>
      </c>
      <c r="J105" t="s">
        <v>1808</v>
      </c>
      <c r="K105" t="s">
        <v>1809</v>
      </c>
      <c r="L105" t="s">
        <v>1810</v>
      </c>
      <c r="M105" t="s">
        <v>1811</v>
      </c>
      <c r="N105" t="s">
        <v>1812</v>
      </c>
      <c r="O105" t="s">
        <v>1674</v>
      </c>
      <c r="Y105" t="s">
        <v>873</v>
      </c>
      <c r="Z105" s="17"/>
      <c r="AA105" s="17"/>
      <c r="AB105" s="17"/>
      <c r="AC105" s="17"/>
      <c r="AD105" s="17">
        <v>120882</v>
      </c>
      <c r="AE105" s="17"/>
      <c r="AF105" s="51" t="str">
        <f t="shared" si="8"/>
        <v/>
      </c>
      <c r="AG105" s="51" t="str">
        <f t="shared" si="9"/>
        <v/>
      </c>
      <c r="AH105" s="51">
        <f t="shared" si="10"/>
        <v>39.302949915903874</v>
      </c>
      <c r="AI105" s="51" t="str">
        <f t="shared" si="11"/>
        <v/>
      </c>
      <c r="AJ105" s="17"/>
      <c r="AK105" s="17"/>
      <c r="AL105" s="17"/>
      <c r="AM105" s="17"/>
      <c r="AN105" s="17">
        <v>1051400</v>
      </c>
      <c r="AO105" s="17"/>
      <c r="AP105" s="17"/>
      <c r="AQ105" s="17"/>
      <c r="AR105" s="17"/>
      <c r="AS105" s="17"/>
      <c r="AT105" s="17"/>
      <c r="AU105" s="17"/>
      <c r="BC105" s="68">
        <v>0.14399999999999999</v>
      </c>
      <c r="BF105" s="67">
        <v>2104182000</v>
      </c>
      <c r="BG105" s="68"/>
      <c r="BN105" s="17"/>
      <c r="BO105" s="17"/>
      <c r="BP105" s="17"/>
      <c r="BQ105" s="17"/>
      <c r="BR105" s="17"/>
      <c r="BX105" s="17"/>
    </row>
    <row r="106" spans="1:76" x14ac:dyDescent="0.25">
      <c r="A106" t="s">
        <v>877</v>
      </c>
      <c r="B106" t="s">
        <v>30</v>
      </c>
      <c r="C106">
        <v>2017</v>
      </c>
      <c r="D106" t="s">
        <v>878</v>
      </c>
      <c r="E106" s="61">
        <v>7280</v>
      </c>
      <c r="F106" s="67">
        <v>4236524000.0000005</v>
      </c>
      <c r="G106" s="17">
        <v>622159</v>
      </c>
      <c r="H106" t="s">
        <v>42</v>
      </c>
      <c r="I106" t="s">
        <v>43</v>
      </c>
      <c r="J106" t="s">
        <v>879</v>
      </c>
      <c r="K106" t="s">
        <v>1813</v>
      </c>
      <c r="M106" t="s">
        <v>880</v>
      </c>
      <c r="N106" t="s">
        <v>62</v>
      </c>
      <c r="O106" t="s">
        <v>63</v>
      </c>
      <c r="Q106" t="s">
        <v>168</v>
      </c>
      <c r="R106" t="s">
        <v>881</v>
      </c>
      <c r="S106" t="s">
        <v>501</v>
      </c>
      <c r="T106" t="s">
        <v>55</v>
      </c>
      <c r="V106" t="s">
        <v>168</v>
      </c>
      <c r="W106" t="s">
        <v>169</v>
      </c>
      <c r="X106" t="s">
        <v>503</v>
      </c>
      <c r="Y106" t="s">
        <v>55</v>
      </c>
      <c r="Z106" s="17"/>
      <c r="AA106" s="17"/>
      <c r="AB106" s="17"/>
      <c r="AC106" s="17"/>
      <c r="AD106" s="17"/>
      <c r="AE106" s="17"/>
      <c r="AF106" s="51" t="str">
        <f t="shared" si="8"/>
        <v/>
      </c>
      <c r="AG106" s="51" t="str">
        <f t="shared" si="9"/>
        <v/>
      </c>
      <c r="AH106" s="51" t="str">
        <f t="shared" si="10"/>
        <v/>
      </c>
      <c r="AI106" s="51" t="str">
        <f t="shared" si="11"/>
        <v/>
      </c>
      <c r="AJ106" s="17"/>
      <c r="AK106" s="17"/>
      <c r="AL106" s="17"/>
      <c r="AM106" s="17"/>
      <c r="AN106" s="17"/>
      <c r="AO106" s="17"/>
      <c r="AP106" s="17"/>
      <c r="AQ106" s="17">
        <v>764721000</v>
      </c>
      <c r="AR106" s="17">
        <v>537747000</v>
      </c>
      <c r="AS106" s="17">
        <v>1302468000</v>
      </c>
      <c r="AT106" s="17">
        <v>1302468000</v>
      </c>
      <c r="AU106" s="17">
        <v>572264000</v>
      </c>
      <c r="AV106" t="s">
        <v>882</v>
      </c>
      <c r="BF106" s="65"/>
      <c r="BG106" s="65"/>
      <c r="BN106" s="17"/>
      <c r="BO106" s="17"/>
      <c r="BP106" s="17"/>
      <c r="BQ106" s="17"/>
      <c r="BR106" s="17"/>
      <c r="BX106" s="17"/>
    </row>
    <row r="107" spans="1:76" x14ac:dyDescent="0.25">
      <c r="A107" t="s">
        <v>884</v>
      </c>
      <c r="B107" t="s">
        <v>30</v>
      </c>
      <c r="C107">
        <v>2002</v>
      </c>
      <c r="D107" t="s">
        <v>885</v>
      </c>
      <c r="E107" s="61">
        <v>1370</v>
      </c>
      <c r="F107" s="67">
        <v>465492178600</v>
      </c>
      <c r="G107" s="17">
        <v>29512368</v>
      </c>
      <c r="H107" t="s">
        <v>88</v>
      </c>
      <c r="I107" t="s">
        <v>58</v>
      </c>
      <c r="J107" t="s">
        <v>1725</v>
      </c>
      <c r="K107" t="s">
        <v>887</v>
      </c>
      <c r="L107" t="s">
        <v>92</v>
      </c>
      <c r="M107" t="s">
        <v>48</v>
      </c>
      <c r="N107" t="s">
        <v>541</v>
      </c>
      <c r="O107" t="s">
        <v>1726</v>
      </c>
      <c r="Z107" s="17">
        <v>733662</v>
      </c>
      <c r="AA107" s="17">
        <v>14123</v>
      </c>
      <c r="AB107" s="17">
        <v>2417</v>
      </c>
      <c r="AC107" s="17">
        <v>16540</v>
      </c>
      <c r="AD107" s="17">
        <v>750202</v>
      </c>
      <c r="AE107" s="17">
        <v>714</v>
      </c>
      <c r="AF107" s="51">
        <f t="shared" si="8"/>
        <v>24.859475864491795</v>
      </c>
      <c r="AG107" s="51">
        <f t="shared" si="9"/>
        <v>0.56044299800002495</v>
      </c>
      <c r="AH107" s="51">
        <f t="shared" si="10"/>
        <v>25.419918862491819</v>
      </c>
      <c r="AI107" s="51">
        <f t="shared" si="11"/>
        <v>2.4193246709311837E-2</v>
      </c>
      <c r="AJ107" s="17">
        <v>1248173</v>
      </c>
      <c r="AK107" s="17">
        <v>260169</v>
      </c>
      <c r="AL107" s="17">
        <v>222375</v>
      </c>
      <c r="AM107" s="17">
        <v>482544</v>
      </c>
      <c r="AN107" s="17">
        <v>1730717</v>
      </c>
      <c r="AO107" s="17">
        <v>308575</v>
      </c>
      <c r="AP107" s="17"/>
      <c r="AQ107" s="17"/>
      <c r="AR107" s="17"/>
      <c r="AS107" s="17"/>
      <c r="AT107" s="17"/>
      <c r="AU107" s="17"/>
      <c r="BN107" s="17"/>
      <c r="BO107" s="17"/>
      <c r="BP107" s="17"/>
      <c r="BQ107" s="17"/>
      <c r="BR107" s="17"/>
      <c r="BX107" s="17"/>
    </row>
    <row r="108" spans="1:76" x14ac:dyDescent="0.25">
      <c r="A108" t="s">
        <v>889</v>
      </c>
      <c r="B108" t="s">
        <v>30</v>
      </c>
      <c r="C108">
        <v>2015</v>
      </c>
      <c r="D108" t="s">
        <v>890</v>
      </c>
      <c r="E108" s="61">
        <v>580</v>
      </c>
      <c r="F108" s="67">
        <v>591677022499.99988</v>
      </c>
      <c r="G108" s="17">
        <v>28010691</v>
      </c>
      <c r="H108" t="s">
        <v>32</v>
      </c>
      <c r="I108" t="s">
        <v>89</v>
      </c>
      <c r="J108" t="s">
        <v>891</v>
      </c>
      <c r="K108" t="s">
        <v>892</v>
      </c>
      <c r="M108" t="s">
        <v>92</v>
      </c>
      <c r="N108" t="s">
        <v>893</v>
      </c>
      <c r="O108" t="s">
        <v>1670</v>
      </c>
      <c r="T108" t="s">
        <v>1713</v>
      </c>
      <c r="Y108" t="s">
        <v>1713</v>
      </c>
      <c r="Z108" s="17"/>
      <c r="AA108" s="17">
        <v>39873</v>
      </c>
      <c r="AB108" s="17">
        <v>1798</v>
      </c>
      <c r="AC108" s="17">
        <v>41671</v>
      </c>
      <c r="AD108" s="17">
        <v>41671</v>
      </c>
      <c r="AE108" s="17">
        <v>1338</v>
      </c>
      <c r="AF108" s="51" t="str">
        <f t="shared" si="8"/>
        <v/>
      </c>
      <c r="AG108" s="51">
        <f t="shared" si="9"/>
        <v>1.4876819711445177</v>
      </c>
      <c r="AH108" s="51">
        <f t="shared" si="10"/>
        <v>1.4876819711445177</v>
      </c>
      <c r="AI108" s="51">
        <f t="shared" si="11"/>
        <v>4.7767475639926199E-2</v>
      </c>
      <c r="AJ108" s="17"/>
      <c r="AK108" s="17">
        <v>162492</v>
      </c>
      <c r="AL108" s="17">
        <v>45822</v>
      </c>
      <c r="AM108" s="17">
        <v>208314</v>
      </c>
      <c r="AN108" s="17">
        <v>208314</v>
      </c>
      <c r="AO108" s="17">
        <v>254625</v>
      </c>
      <c r="AP108" s="17"/>
      <c r="AQ108" s="17">
        <v>163406211000</v>
      </c>
      <c r="AR108" s="17">
        <v>34323267000</v>
      </c>
      <c r="AS108" s="17">
        <v>197729000000</v>
      </c>
      <c r="AT108" s="17"/>
      <c r="AU108" s="17">
        <v>648664778000</v>
      </c>
      <c r="AW108" t="s">
        <v>892</v>
      </c>
      <c r="BN108" s="17"/>
      <c r="BO108" s="17"/>
      <c r="BP108" s="17"/>
      <c r="BQ108" s="17"/>
      <c r="BR108" s="17"/>
      <c r="BX108" s="17"/>
    </row>
    <row r="109" spans="1:76" x14ac:dyDescent="0.25">
      <c r="A109" t="s">
        <v>894</v>
      </c>
      <c r="B109" t="s">
        <v>30</v>
      </c>
      <c r="C109">
        <v>2014</v>
      </c>
      <c r="D109" t="s">
        <v>895</v>
      </c>
      <c r="E109" s="61">
        <v>1230</v>
      </c>
      <c r="F109" s="67">
        <v>65262092500000</v>
      </c>
      <c r="G109" s="17">
        <v>51924182</v>
      </c>
      <c r="H109" t="s">
        <v>88</v>
      </c>
      <c r="I109" t="s">
        <v>77</v>
      </c>
      <c r="J109" t="s">
        <v>1815</v>
      </c>
      <c r="K109" t="s">
        <v>896</v>
      </c>
      <c r="L109" t="s">
        <v>61</v>
      </c>
      <c r="M109" t="s">
        <v>897</v>
      </c>
      <c r="N109" t="s">
        <v>898</v>
      </c>
      <c r="O109" t="s">
        <v>899</v>
      </c>
      <c r="Q109" t="s">
        <v>900</v>
      </c>
      <c r="R109" t="s">
        <v>901</v>
      </c>
      <c r="S109" t="s">
        <v>902</v>
      </c>
      <c r="T109" t="s">
        <v>903</v>
      </c>
      <c r="Y109" t="s">
        <v>903</v>
      </c>
      <c r="Z109" s="17"/>
      <c r="AA109" s="17"/>
      <c r="AB109" s="17"/>
      <c r="AC109" s="17"/>
      <c r="AD109" s="17"/>
      <c r="AE109" s="17"/>
      <c r="AF109" s="51" t="str">
        <f t="shared" si="8"/>
        <v/>
      </c>
      <c r="AG109" s="51" t="str">
        <f t="shared" si="9"/>
        <v/>
      </c>
      <c r="AH109" s="51" t="str">
        <f t="shared" si="10"/>
        <v/>
      </c>
      <c r="AI109" s="51" t="str">
        <f t="shared" si="11"/>
        <v/>
      </c>
      <c r="AJ109" s="17"/>
      <c r="AK109" s="17"/>
      <c r="AL109" s="17"/>
      <c r="AM109" s="17"/>
      <c r="AN109" s="17"/>
      <c r="AO109" s="17"/>
      <c r="AP109" s="17"/>
      <c r="AQ109" s="17"/>
      <c r="AR109" s="17"/>
      <c r="AS109" s="17"/>
      <c r="AT109" s="17"/>
      <c r="AU109" s="17"/>
      <c r="BN109" s="17"/>
      <c r="BO109" s="17"/>
      <c r="BP109" s="17"/>
      <c r="BQ109" s="17"/>
      <c r="BR109" s="17"/>
      <c r="BX109" s="17"/>
    </row>
    <row r="110" spans="1:76" x14ac:dyDescent="0.25">
      <c r="A110" t="s">
        <v>904</v>
      </c>
      <c r="B110" t="s">
        <v>30</v>
      </c>
      <c r="C110">
        <v>2016</v>
      </c>
      <c r="D110" t="s">
        <v>905</v>
      </c>
      <c r="E110" s="61">
        <v>4720</v>
      </c>
      <c r="F110" s="67">
        <v>166345234400</v>
      </c>
      <c r="G110" s="17">
        <v>2533794</v>
      </c>
      <c r="H110" t="s">
        <v>42</v>
      </c>
      <c r="I110" t="s">
        <v>89</v>
      </c>
      <c r="J110" t="s">
        <v>1816</v>
      </c>
      <c r="K110" t="s">
        <v>906</v>
      </c>
      <c r="L110" t="s">
        <v>401</v>
      </c>
      <c r="M110" t="s">
        <v>907</v>
      </c>
      <c r="N110" t="s">
        <v>479</v>
      </c>
      <c r="O110" t="s">
        <v>37</v>
      </c>
      <c r="U110" t="s">
        <v>908</v>
      </c>
      <c r="V110" t="s">
        <v>909</v>
      </c>
      <c r="W110" t="s">
        <v>910</v>
      </c>
      <c r="Z110" s="17"/>
      <c r="AA110" s="17"/>
      <c r="AB110" s="17"/>
      <c r="AC110" s="17"/>
      <c r="AD110" s="17"/>
      <c r="AE110" s="17"/>
      <c r="AF110" s="51" t="str">
        <f t="shared" si="8"/>
        <v/>
      </c>
      <c r="AG110" s="51" t="str">
        <f t="shared" si="9"/>
        <v/>
      </c>
      <c r="AH110" s="51" t="str">
        <f t="shared" si="10"/>
        <v/>
      </c>
      <c r="AI110" s="51" t="str">
        <f t="shared" si="11"/>
        <v/>
      </c>
      <c r="AJ110" s="17"/>
      <c r="AK110" s="17"/>
      <c r="AL110" s="17"/>
      <c r="AM110" s="17"/>
      <c r="AN110" s="17"/>
      <c r="AO110" s="17"/>
      <c r="AP110" s="17"/>
      <c r="AQ110" s="17"/>
      <c r="AR110" s="17"/>
      <c r="AS110" s="17"/>
      <c r="AT110" s="17"/>
      <c r="AU110" s="17"/>
      <c r="BF110" s="65"/>
      <c r="BG110" s="65"/>
      <c r="BN110" s="17"/>
      <c r="BO110" s="17"/>
      <c r="BP110" s="17"/>
      <c r="BQ110" s="17"/>
      <c r="BR110" s="17"/>
      <c r="BX110" s="17"/>
    </row>
    <row r="111" spans="1:76" x14ac:dyDescent="0.25">
      <c r="A111" t="s">
        <v>912</v>
      </c>
      <c r="B111" t="s">
        <v>30</v>
      </c>
      <c r="C111">
        <v>2000</v>
      </c>
      <c r="D111" t="s">
        <v>913</v>
      </c>
      <c r="E111" s="61">
        <v>230</v>
      </c>
      <c r="F111" s="67">
        <v>379488000000</v>
      </c>
      <c r="G111" s="17">
        <v>23740911</v>
      </c>
      <c r="H111" t="s">
        <v>32</v>
      </c>
      <c r="I111" t="s">
        <v>33</v>
      </c>
      <c r="J111" t="s">
        <v>914</v>
      </c>
      <c r="K111" t="s">
        <v>915</v>
      </c>
      <c r="L111" t="s">
        <v>241</v>
      </c>
      <c r="M111" t="s">
        <v>600</v>
      </c>
      <c r="U111" t="s">
        <v>916</v>
      </c>
      <c r="Z111" s="17"/>
      <c r="AA111" s="17">
        <v>87342</v>
      </c>
      <c r="AB111" s="17"/>
      <c r="AC111" s="17">
        <v>43671</v>
      </c>
      <c r="AD111" s="17"/>
      <c r="AE111" s="17"/>
      <c r="AF111" s="51" t="str">
        <f t="shared" si="8"/>
        <v/>
      </c>
      <c r="AG111" s="51">
        <f t="shared" si="9"/>
        <v>1.8394829077957453</v>
      </c>
      <c r="AH111" s="51" t="str">
        <f t="shared" si="10"/>
        <v/>
      </c>
      <c r="AI111" s="51" t="str">
        <f t="shared" si="11"/>
        <v/>
      </c>
      <c r="AJ111" s="17"/>
      <c r="AK111" s="17"/>
      <c r="AL111" s="17"/>
      <c r="AM111" s="17">
        <v>121270</v>
      </c>
      <c r="AN111" s="17"/>
      <c r="AO111" s="17"/>
      <c r="AP111" s="17"/>
      <c r="AQ111" s="17"/>
      <c r="AR111" s="17"/>
      <c r="AS111" s="17"/>
      <c r="AT111" s="17"/>
      <c r="AU111" s="17"/>
      <c r="BN111" s="17"/>
      <c r="BO111" s="17"/>
      <c r="BP111" s="17"/>
      <c r="BQ111" s="17"/>
      <c r="BR111" s="17"/>
      <c r="BX111" s="17" t="s">
        <v>925</v>
      </c>
    </row>
    <row r="112" spans="1:76" x14ac:dyDescent="0.25">
      <c r="A112" t="s">
        <v>917</v>
      </c>
      <c r="B112" t="s">
        <v>30</v>
      </c>
      <c r="C112">
        <v>2015</v>
      </c>
      <c r="D112" t="s">
        <v>918</v>
      </c>
      <c r="E112" s="61">
        <v>49030</v>
      </c>
      <c r="F112" s="67">
        <v>683457000000</v>
      </c>
      <c r="G112" s="17">
        <v>16939923</v>
      </c>
      <c r="H112" t="s">
        <v>109</v>
      </c>
      <c r="I112" t="s">
        <v>43</v>
      </c>
      <c r="J112" t="s">
        <v>188</v>
      </c>
      <c r="K112" t="s">
        <v>1140</v>
      </c>
      <c r="L112" t="s">
        <v>190</v>
      </c>
      <c r="M112" t="s">
        <v>48</v>
      </c>
      <c r="N112" t="s">
        <v>62</v>
      </c>
      <c r="O112" t="s">
        <v>63</v>
      </c>
      <c r="T112" t="s">
        <v>55</v>
      </c>
      <c r="Y112" t="s">
        <v>55</v>
      </c>
      <c r="Z112" s="17">
        <v>1084394</v>
      </c>
      <c r="AA112" s="17">
        <v>40221</v>
      </c>
      <c r="AB112" s="17">
        <v>8452</v>
      </c>
      <c r="AC112" s="17">
        <v>48673</v>
      </c>
      <c r="AD112" s="17">
        <v>1133067</v>
      </c>
      <c r="AE112" s="17">
        <v>1614</v>
      </c>
      <c r="AF112" s="51">
        <f t="shared" si="8"/>
        <v>64.014104432469964</v>
      </c>
      <c r="AG112" s="51">
        <f t="shared" si="9"/>
        <v>2.8732716199477415</v>
      </c>
      <c r="AH112" s="51">
        <f t="shared" si="10"/>
        <v>66.887376052417707</v>
      </c>
      <c r="AI112" s="51">
        <f t="shared" si="11"/>
        <v>9.52778829041903E-2</v>
      </c>
      <c r="AJ112" s="17">
        <v>1612301</v>
      </c>
      <c r="AK112" s="17">
        <v>1036452</v>
      </c>
      <c r="AL112" s="17">
        <v>1014667</v>
      </c>
      <c r="AM112" s="17">
        <v>2051119</v>
      </c>
      <c r="AN112" s="17">
        <v>3663420</v>
      </c>
      <c r="AO112" s="17">
        <v>1935584</v>
      </c>
      <c r="AP112" s="17"/>
      <c r="AQ112" s="17"/>
      <c r="AR112" s="17"/>
      <c r="AS112" s="17"/>
      <c r="AT112" s="17"/>
      <c r="AU112" s="17"/>
      <c r="BN112" s="17"/>
      <c r="BO112" s="17"/>
      <c r="BP112" s="17"/>
      <c r="BQ112" s="17"/>
      <c r="BR112" s="17"/>
      <c r="BX112" s="17"/>
    </row>
    <row r="113" spans="1:76" x14ac:dyDescent="0.25">
      <c r="A113" t="s">
        <v>919</v>
      </c>
      <c r="B113" t="s">
        <v>30</v>
      </c>
      <c r="C113">
        <v>2016</v>
      </c>
      <c r="D113" t="s">
        <v>920</v>
      </c>
      <c r="E113" s="61">
        <v>38560</v>
      </c>
      <c r="F113" s="67">
        <v>271914000000</v>
      </c>
      <c r="G113" s="17">
        <v>4793900</v>
      </c>
      <c r="H113" t="s">
        <v>109</v>
      </c>
      <c r="I113" t="s">
        <v>77</v>
      </c>
      <c r="J113" t="s">
        <v>921</v>
      </c>
      <c r="K113" t="s">
        <v>922</v>
      </c>
      <c r="L113" t="s">
        <v>391</v>
      </c>
      <c r="M113" t="s">
        <v>923</v>
      </c>
      <c r="N113" t="s">
        <v>924</v>
      </c>
      <c r="O113" t="s">
        <v>394</v>
      </c>
      <c r="Z113" s="17">
        <v>461604</v>
      </c>
      <c r="AA113" s="17"/>
      <c r="AB113" s="17"/>
      <c r="AC113" s="17">
        <v>38340</v>
      </c>
      <c r="AD113" s="17">
        <v>499944</v>
      </c>
      <c r="AE113" s="17">
        <v>15105</v>
      </c>
      <c r="AF113" s="51">
        <f t="shared" si="8"/>
        <v>96.289868374392455</v>
      </c>
      <c r="AG113" s="51">
        <f t="shared" si="9"/>
        <v>7.9976636976157209</v>
      </c>
      <c r="AH113" s="51">
        <f t="shared" si="10"/>
        <v>104.28753207200818</v>
      </c>
      <c r="AI113" s="51">
        <f t="shared" si="11"/>
        <v>3.1508792423705128</v>
      </c>
      <c r="AJ113" s="17">
        <v>231400</v>
      </c>
      <c r="AK113" s="17"/>
      <c r="AL113" s="17"/>
      <c r="AM113" s="17">
        <v>383450</v>
      </c>
      <c r="AN113" s="17">
        <v>614850</v>
      </c>
      <c r="AO113" s="17">
        <v>1487500</v>
      </c>
      <c r="AP113" s="17"/>
      <c r="AQ113" s="17"/>
      <c r="AR113" s="17"/>
      <c r="AS113" s="17"/>
      <c r="AT113" s="17">
        <v>64853000000</v>
      </c>
      <c r="AU113" s="17">
        <v>93926000000</v>
      </c>
      <c r="AV113" t="s">
        <v>922</v>
      </c>
      <c r="AW113" t="s">
        <v>922</v>
      </c>
      <c r="BN113" s="17"/>
      <c r="BO113" s="17"/>
      <c r="BP113" s="17"/>
      <c r="BQ113" s="17"/>
      <c r="BR113" s="17"/>
      <c r="BX113" s="17" t="s">
        <v>932</v>
      </c>
    </row>
    <row r="114" spans="1:76" x14ac:dyDescent="0.25">
      <c r="A114" t="s">
        <v>926</v>
      </c>
      <c r="B114" t="s">
        <v>30</v>
      </c>
      <c r="C114">
        <v>2017</v>
      </c>
      <c r="D114" t="s">
        <v>927</v>
      </c>
      <c r="E114" s="65">
        <v>2130</v>
      </c>
      <c r="F114" s="67">
        <v>415126847700</v>
      </c>
      <c r="G114" s="65">
        <v>6217581</v>
      </c>
      <c r="H114" t="s">
        <v>88</v>
      </c>
      <c r="I114" t="s">
        <v>110</v>
      </c>
      <c r="J114" t="s">
        <v>933</v>
      </c>
      <c r="K114" t="s">
        <v>934</v>
      </c>
      <c r="L114" t="s">
        <v>562</v>
      </c>
      <c r="M114" t="s">
        <v>930</v>
      </c>
      <c r="N114" t="s">
        <v>931</v>
      </c>
      <c r="O114" t="s">
        <v>244</v>
      </c>
      <c r="Z114" s="17">
        <v>153379</v>
      </c>
      <c r="AA114" s="17">
        <v>19968</v>
      </c>
      <c r="AB114" s="17">
        <v>395</v>
      </c>
      <c r="AC114" s="17">
        <v>20363</v>
      </c>
      <c r="AD114" s="17">
        <v>173742</v>
      </c>
      <c r="AE114" s="17">
        <v>432</v>
      </c>
      <c r="AF114" s="51">
        <v>24.668596999379663</v>
      </c>
      <c r="AG114" s="51">
        <v>3.2750679082427716</v>
      </c>
      <c r="AH114" s="51">
        <v>27.943664907622434</v>
      </c>
      <c r="AI114" s="51">
        <v>6.9480397601575275E-2</v>
      </c>
      <c r="AJ114" s="17"/>
      <c r="AK114" s="17"/>
      <c r="AL114" s="17"/>
      <c r="AM114" s="17"/>
      <c r="AN114" s="17"/>
      <c r="AO114" s="17"/>
      <c r="AP114" s="17"/>
      <c r="AQ114" s="17"/>
      <c r="AR114" s="17"/>
      <c r="AS114" s="17"/>
      <c r="AT114" s="17"/>
      <c r="AU114" s="17"/>
      <c r="AX114" s="65"/>
      <c r="AY114" s="65"/>
      <c r="BA114" s="65"/>
      <c r="BN114" s="17"/>
      <c r="BO114" s="17"/>
      <c r="BP114" s="17"/>
      <c r="BQ114" s="17"/>
      <c r="BR114" s="17"/>
      <c r="BS114" s="71"/>
      <c r="BX114" s="17"/>
    </row>
    <row r="115" spans="1:76" x14ac:dyDescent="0.25">
      <c r="A115" t="s">
        <v>935</v>
      </c>
      <c r="B115" t="s">
        <v>30</v>
      </c>
      <c r="C115">
        <v>2010</v>
      </c>
      <c r="D115" t="s">
        <v>936</v>
      </c>
      <c r="E115" s="61">
        <v>350</v>
      </c>
      <c r="F115" s="67">
        <v>2832286000000</v>
      </c>
      <c r="G115" s="17">
        <v>16425578</v>
      </c>
      <c r="H115" t="s">
        <v>32</v>
      </c>
      <c r="I115" t="s">
        <v>89</v>
      </c>
      <c r="J115" t="s">
        <v>1817</v>
      </c>
      <c r="K115" t="s">
        <v>937</v>
      </c>
      <c r="L115" t="s">
        <v>562</v>
      </c>
      <c r="M115" t="s">
        <v>560</v>
      </c>
      <c r="N115" t="s">
        <v>402</v>
      </c>
      <c r="O115" t="s">
        <v>244</v>
      </c>
      <c r="T115" t="s">
        <v>1818</v>
      </c>
      <c r="U115" t="s">
        <v>1819</v>
      </c>
      <c r="V115" t="s">
        <v>1820</v>
      </c>
      <c r="W115" t="s">
        <v>1821</v>
      </c>
      <c r="X115" t="s">
        <v>1822</v>
      </c>
      <c r="Y115" t="s">
        <v>1818</v>
      </c>
      <c r="Z115" s="17"/>
      <c r="AA115" s="17"/>
      <c r="AB115" s="17"/>
      <c r="AC115" s="17"/>
      <c r="AD115" s="17"/>
      <c r="AE115" s="17"/>
      <c r="AF115" s="51" t="str">
        <f t="shared" ref="AF115:AF146" si="12">IF(ISERROR((Z115/$G115)*1000),"",IF((Z115/$G115)*1000=0,"",(Z115/$G115)*1000))</f>
        <v/>
      </c>
      <c r="AG115" s="51" t="str">
        <f t="shared" ref="AG115:AG146" si="13">IF(ISERROR((AC115/$G115)*1000),"",IF((AC115/$G115)*1000=0,"",(AC115/$G115)*1000))</f>
        <v/>
      </c>
      <c r="AH115" s="51" t="str">
        <f t="shared" ref="AH115:AH146" si="14">IF(ISERROR((AD115/$G115)*1000),"",IF((AD115/$G115)*1000=0,"",(AD115/$G115)*1000))</f>
        <v/>
      </c>
      <c r="AI115" s="51" t="str">
        <f t="shared" ref="AI115:AI146" si="15">IF(ISERROR((AE115/$G115)*1000),"",IF((AE115/$G115)*1000=0,"",(AE115/$G115)*1000))</f>
        <v/>
      </c>
      <c r="AJ115" s="17"/>
      <c r="AK115" s="17"/>
      <c r="AL115" s="17"/>
      <c r="AM115" s="17"/>
      <c r="AN115" s="17"/>
      <c r="AO115" s="17"/>
      <c r="AP115" s="17"/>
      <c r="AQ115" s="17"/>
      <c r="AR115" s="17"/>
      <c r="AS115" s="17"/>
      <c r="AT115" s="17"/>
      <c r="AU115" s="17"/>
      <c r="BN115" s="17"/>
      <c r="BO115" s="17"/>
      <c r="BP115" s="17"/>
      <c r="BQ115" s="17"/>
      <c r="BR115" s="17"/>
      <c r="BX115" s="17"/>
    </row>
    <row r="116" spans="1:76" x14ac:dyDescent="0.25">
      <c r="A116" t="s">
        <v>938</v>
      </c>
      <c r="B116" t="s">
        <v>30</v>
      </c>
      <c r="C116">
        <v>2013</v>
      </c>
      <c r="D116" t="s">
        <v>939</v>
      </c>
      <c r="E116" s="61">
        <v>2700</v>
      </c>
      <c r="F116" s="67">
        <v>81009964599999.984</v>
      </c>
      <c r="G116" s="17">
        <v>171829303</v>
      </c>
      <c r="H116" t="s">
        <v>88</v>
      </c>
      <c r="I116" t="s">
        <v>89</v>
      </c>
      <c r="J116" t="s">
        <v>940</v>
      </c>
      <c r="K116" t="s">
        <v>941</v>
      </c>
      <c r="L116" t="s">
        <v>92</v>
      </c>
      <c r="M116" t="s">
        <v>48</v>
      </c>
      <c r="N116" t="s">
        <v>541</v>
      </c>
      <c r="O116" t="s">
        <v>1726</v>
      </c>
      <c r="P116" t="s">
        <v>602</v>
      </c>
      <c r="Q116" t="s">
        <v>1823</v>
      </c>
      <c r="R116" t="s">
        <v>1824</v>
      </c>
      <c r="S116" s="15" t="s">
        <v>1825</v>
      </c>
      <c r="T116" t="s">
        <v>942</v>
      </c>
      <c r="Z116" s="17">
        <v>36994578</v>
      </c>
      <c r="AA116" s="17">
        <v>68168</v>
      </c>
      <c r="AB116" s="17">
        <v>4670</v>
      </c>
      <c r="AC116" s="17">
        <v>72838</v>
      </c>
      <c r="AD116" s="17">
        <v>37067416</v>
      </c>
      <c r="AE116" s="17"/>
      <c r="AF116" s="51">
        <f t="shared" si="12"/>
        <v>215.2984232264505</v>
      </c>
      <c r="AG116" s="51">
        <f t="shared" si="13"/>
        <v>0.42389743034690658</v>
      </c>
      <c r="AH116" s="51">
        <f t="shared" si="14"/>
        <v>215.72232065679739</v>
      </c>
      <c r="AI116" s="51" t="str">
        <f t="shared" si="15"/>
        <v/>
      </c>
      <c r="AJ116" s="17">
        <v>57837391</v>
      </c>
      <c r="AK116" s="17"/>
      <c r="AL116" s="17"/>
      <c r="AM116" s="17">
        <v>1903820</v>
      </c>
      <c r="AN116" s="17">
        <v>59741211</v>
      </c>
      <c r="AO116" s="17"/>
      <c r="AP116" s="17"/>
      <c r="AQ116" s="17"/>
      <c r="AR116" s="17"/>
      <c r="AS116" s="17"/>
      <c r="AT116" s="17"/>
      <c r="AU116" s="17"/>
      <c r="AV116" t="s">
        <v>943</v>
      </c>
      <c r="AW116" t="s">
        <v>944</v>
      </c>
      <c r="BN116" s="17">
        <v>16026051</v>
      </c>
      <c r="BO116" s="17">
        <v>16571</v>
      </c>
      <c r="BP116" s="17">
        <v>16042622</v>
      </c>
      <c r="BQ116" s="17"/>
      <c r="BR116" s="17"/>
      <c r="BT116" t="s">
        <v>945</v>
      </c>
      <c r="BX116" s="17"/>
    </row>
    <row r="117" spans="1:76" x14ac:dyDescent="0.25">
      <c r="A117" t="s">
        <v>1871</v>
      </c>
      <c r="B117" t="s">
        <v>30</v>
      </c>
      <c r="C117">
        <v>2016</v>
      </c>
      <c r="D117" t="s">
        <v>807</v>
      </c>
      <c r="E117" s="61">
        <v>4980</v>
      </c>
      <c r="F117" s="67">
        <v>598881000000</v>
      </c>
      <c r="G117" s="17">
        <v>2081206</v>
      </c>
      <c r="H117" t="s">
        <v>42</v>
      </c>
      <c r="I117" t="s">
        <v>43</v>
      </c>
      <c r="J117" t="s">
        <v>1857</v>
      </c>
      <c r="K117" t="s">
        <v>375</v>
      </c>
      <c r="L117" t="s">
        <v>190</v>
      </c>
      <c r="M117" t="s">
        <v>48</v>
      </c>
      <c r="N117" t="s">
        <v>62</v>
      </c>
      <c r="O117" t="s">
        <v>63</v>
      </c>
      <c r="Z117" s="17">
        <v>50224</v>
      </c>
      <c r="AA117" s="17">
        <v>2379</v>
      </c>
      <c r="AB117" s="17">
        <v>766</v>
      </c>
      <c r="AC117" s="17">
        <v>3145</v>
      </c>
      <c r="AD117" s="17">
        <v>53369</v>
      </c>
      <c r="AE117" s="17">
        <v>150</v>
      </c>
      <c r="AF117" s="51">
        <f t="shared" si="12"/>
        <v>24.132161833091004</v>
      </c>
      <c r="AG117" s="51">
        <f t="shared" si="13"/>
        <v>1.5111430583997931</v>
      </c>
      <c r="AH117" s="51">
        <f t="shared" si="14"/>
        <v>25.6433048914908</v>
      </c>
      <c r="AI117" s="51">
        <f t="shared" si="15"/>
        <v>7.2073595790133227E-2</v>
      </c>
      <c r="AJ117" s="17">
        <v>125694</v>
      </c>
      <c r="AK117" s="17">
        <v>83496</v>
      </c>
      <c r="AL117" s="17">
        <v>76492</v>
      </c>
      <c r="AM117" s="17">
        <v>159988</v>
      </c>
      <c r="AN117" s="17">
        <v>285682</v>
      </c>
      <c r="AO117" s="17">
        <v>93055</v>
      </c>
      <c r="AP117" s="17">
        <v>869400000</v>
      </c>
      <c r="AQ117" s="17">
        <v>912500000</v>
      </c>
      <c r="AR117" s="17">
        <v>825100000</v>
      </c>
      <c r="AS117" s="17">
        <v>1737600000</v>
      </c>
      <c r="AT117" s="17">
        <v>2607000000</v>
      </c>
      <c r="AU117" s="17">
        <v>1423900000</v>
      </c>
      <c r="BN117" s="17"/>
      <c r="BO117" s="17"/>
      <c r="BP117" s="17"/>
      <c r="BQ117" s="17"/>
      <c r="BR117" s="17"/>
      <c r="BX117" s="17"/>
    </row>
    <row r="118" spans="1:76" x14ac:dyDescent="0.25">
      <c r="A118" t="s">
        <v>946</v>
      </c>
      <c r="B118" t="s">
        <v>30</v>
      </c>
      <c r="C118">
        <v>2012</v>
      </c>
      <c r="D118" t="s">
        <v>947</v>
      </c>
      <c r="E118" s="61">
        <v>13600</v>
      </c>
      <c r="F118" s="67">
        <v>751000000</v>
      </c>
      <c r="G118" s="17">
        <v>53305</v>
      </c>
      <c r="H118" t="s">
        <v>109</v>
      </c>
      <c r="I118" t="s">
        <v>77</v>
      </c>
      <c r="J118" t="s">
        <v>948</v>
      </c>
      <c r="K118" t="s">
        <v>949</v>
      </c>
      <c r="L118" t="s">
        <v>181</v>
      </c>
      <c r="M118" t="s">
        <v>47</v>
      </c>
      <c r="N118" t="s">
        <v>80</v>
      </c>
      <c r="O118" t="s">
        <v>1889</v>
      </c>
      <c r="T118" t="s">
        <v>102</v>
      </c>
      <c r="Y118" t="s">
        <v>102</v>
      </c>
      <c r="Z118" s="17">
        <v>688</v>
      </c>
      <c r="AA118" s="17" t="s">
        <v>950</v>
      </c>
      <c r="AB118" s="17">
        <v>206</v>
      </c>
      <c r="AC118" s="17">
        <v>508</v>
      </c>
      <c r="AD118" s="17">
        <v>1196</v>
      </c>
      <c r="AE118" s="17" t="s">
        <v>951</v>
      </c>
      <c r="AF118" s="51">
        <f t="shared" si="12"/>
        <v>12.906856767657819</v>
      </c>
      <c r="AG118" s="51">
        <f t="shared" si="13"/>
        <v>9.5300628458868761</v>
      </c>
      <c r="AH118" s="51">
        <f t="shared" si="14"/>
        <v>22.436919613544696</v>
      </c>
      <c r="AI118" s="51">
        <f t="shared" si="15"/>
        <v>2.6826751711846915</v>
      </c>
      <c r="AJ118" s="17">
        <v>1489</v>
      </c>
      <c r="AK118" s="17">
        <v>2003</v>
      </c>
      <c r="AL118" s="17">
        <v>2743</v>
      </c>
      <c r="AM118" s="17">
        <v>4746</v>
      </c>
      <c r="AN118" s="17">
        <v>6235</v>
      </c>
      <c r="AO118" s="17">
        <v>7977</v>
      </c>
      <c r="AP118" s="17"/>
      <c r="AQ118" s="17"/>
      <c r="AR118" s="17"/>
      <c r="AS118" s="17"/>
      <c r="AT118" s="17"/>
      <c r="AU118" s="17"/>
      <c r="BN118" s="17"/>
      <c r="BO118" s="17"/>
      <c r="BP118" s="17"/>
      <c r="BQ118" s="17"/>
      <c r="BR118" s="17"/>
      <c r="BX118" s="17"/>
    </row>
    <row r="119" spans="1:76" x14ac:dyDescent="0.25">
      <c r="A119" t="s">
        <v>952</v>
      </c>
      <c r="B119" t="s">
        <v>30</v>
      </c>
      <c r="C119">
        <v>2015</v>
      </c>
      <c r="D119" t="s">
        <v>953</v>
      </c>
      <c r="E119" s="61">
        <v>93050</v>
      </c>
      <c r="F119" s="67">
        <v>3118116000000</v>
      </c>
      <c r="G119" s="17">
        <v>5190239</v>
      </c>
      <c r="H119" t="s">
        <v>109</v>
      </c>
      <c r="I119" t="s">
        <v>43</v>
      </c>
      <c r="J119" t="s">
        <v>1857</v>
      </c>
      <c r="K119" t="s">
        <v>189</v>
      </c>
      <c r="L119" t="s">
        <v>190</v>
      </c>
      <c r="M119" t="s">
        <v>48</v>
      </c>
      <c r="N119" t="s">
        <v>62</v>
      </c>
      <c r="O119" t="s">
        <v>63</v>
      </c>
      <c r="T119" t="s">
        <v>55</v>
      </c>
      <c r="Y119" t="s">
        <v>55</v>
      </c>
      <c r="Z119" s="17">
        <v>267922</v>
      </c>
      <c r="AA119" s="17">
        <v>21764</v>
      </c>
      <c r="AB119" s="17">
        <v>3095</v>
      </c>
      <c r="AC119" s="17">
        <v>24859</v>
      </c>
      <c r="AD119" s="17">
        <v>292781</v>
      </c>
      <c r="AE119" s="17">
        <v>622</v>
      </c>
      <c r="AF119" s="51">
        <f t="shared" si="12"/>
        <v>51.620358908327731</v>
      </c>
      <c r="AG119" s="51">
        <f t="shared" si="13"/>
        <v>4.7895674939053867</v>
      </c>
      <c r="AH119" s="51">
        <f t="shared" si="14"/>
        <v>56.409926402233111</v>
      </c>
      <c r="AI119" s="51">
        <f t="shared" si="15"/>
        <v>0.11984033875896659</v>
      </c>
      <c r="AJ119" s="17">
        <v>378732</v>
      </c>
      <c r="AK119" s="17">
        <v>410734</v>
      </c>
      <c r="AL119" s="17">
        <v>306455</v>
      </c>
      <c r="AM119" s="17">
        <v>717189</v>
      </c>
      <c r="AN119" s="17">
        <v>1095921</v>
      </c>
      <c r="AO119" s="17">
        <v>514953</v>
      </c>
      <c r="AP119" s="17">
        <v>36817700000</v>
      </c>
      <c r="AQ119" s="17"/>
      <c r="AR119" s="17"/>
      <c r="AS119" s="17"/>
      <c r="AT119" s="17"/>
      <c r="AU119" s="17"/>
      <c r="AV119" t="s">
        <v>189</v>
      </c>
      <c r="AW119" t="s">
        <v>189</v>
      </c>
      <c r="BN119" s="17"/>
      <c r="BO119" s="17"/>
      <c r="BP119" s="17"/>
      <c r="BQ119" s="17"/>
      <c r="BR119" s="17"/>
      <c r="BX119" s="17"/>
    </row>
    <row r="120" spans="1:76" x14ac:dyDescent="0.25">
      <c r="A120" t="s">
        <v>956</v>
      </c>
      <c r="B120" t="s">
        <v>30</v>
      </c>
      <c r="C120">
        <v>2018</v>
      </c>
      <c r="D120" t="s">
        <v>957</v>
      </c>
      <c r="E120" s="61">
        <v>14440</v>
      </c>
      <c r="F120" s="67">
        <v>27931100000</v>
      </c>
      <c r="G120" s="17">
        <v>4636262</v>
      </c>
      <c r="H120" t="s">
        <v>109</v>
      </c>
      <c r="I120" t="s">
        <v>58</v>
      </c>
      <c r="J120" t="s">
        <v>958</v>
      </c>
      <c r="K120" t="s">
        <v>959</v>
      </c>
      <c r="L120" t="s">
        <v>34</v>
      </c>
      <c r="M120" t="s">
        <v>960</v>
      </c>
      <c r="N120" t="s">
        <v>961</v>
      </c>
      <c r="O120" t="s">
        <v>310</v>
      </c>
      <c r="U120" t="s">
        <v>962</v>
      </c>
      <c r="V120" t="s">
        <v>963</v>
      </c>
      <c r="W120" t="s">
        <v>964</v>
      </c>
      <c r="X120" t="s">
        <v>965</v>
      </c>
      <c r="Y120" t="s">
        <v>966</v>
      </c>
      <c r="Z120" s="17"/>
      <c r="AA120" s="17"/>
      <c r="AB120" s="17"/>
      <c r="AC120" s="17">
        <v>32000</v>
      </c>
      <c r="AD120" s="17"/>
      <c r="AE120" s="17"/>
      <c r="AF120" s="51" t="str">
        <f t="shared" si="12"/>
        <v/>
      </c>
      <c r="AG120" s="51">
        <f t="shared" si="13"/>
        <v>6.9021120894375683</v>
      </c>
      <c r="AH120" s="51" t="str">
        <f t="shared" si="14"/>
        <v/>
      </c>
      <c r="AI120" s="51" t="str">
        <f t="shared" si="15"/>
        <v/>
      </c>
      <c r="AJ120" s="17"/>
      <c r="AK120" s="17"/>
      <c r="AL120" s="17"/>
      <c r="AM120" s="17"/>
      <c r="AN120" s="17"/>
      <c r="AO120" s="17"/>
      <c r="AP120" s="17"/>
      <c r="AQ120" s="17"/>
      <c r="AR120" s="17"/>
      <c r="AS120" s="17"/>
      <c r="AT120" s="17"/>
      <c r="AU120" s="17"/>
      <c r="BN120" s="17"/>
      <c r="BO120" s="17"/>
      <c r="BP120" s="17"/>
      <c r="BQ120" s="17"/>
      <c r="BR120" s="17"/>
      <c r="BX120" s="17"/>
    </row>
    <row r="121" spans="1:76" x14ac:dyDescent="0.25">
      <c r="A121" t="s">
        <v>967</v>
      </c>
      <c r="B121" t="s">
        <v>30</v>
      </c>
      <c r="C121">
        <v>2005</v>
      </c>
      <c r="D121" t="s">
        <v>968</v>
      </c>
      <c r="E121" s="61">
        <v>710</v>
      </c>
      <c r="F121" s="67">
        <v>6499782000000</v>
      </c>
      <c r="G121" s="17">
        <v>157971415</v>
      </c>
      <c r="H121" t="s">
        <v>88</v>
      </c>
      <c r="I121" t="s">
        <v>33</v>
      </c>
      <c r="J121" t="s">
        <v>1727</v>
      </c>
      <c r="K121" t="s">
        <v>969</v>
      </c>
      <c r="L121" t="s">
        <v>401</v>
      </c>
      <c r="M121" t="s">
        <v>402</v>
      </c>
      <c r="N121" t="s">
        <v>166</v>
      </c>
      <c r="O121" t="s">
        <v>167</v>
      </c>
      <c r="Z121" s="17">
        <v>2930352</v>
      </c>
      <c r="AA121" s="17">
        <v>26352</v>
      </c>
      <c r="AB121" s="17">
        <v>1425</v>
      </c>
      <c r="AC121" s="17">
        <v>27777</v>
      </c>
      <c r="AD121" s="17">
        <v>2958129</v>
      </c>
      <c r="AE121" s="17"/>
      <c r="AF121" s="51">
        <f t="shared" si="12"/>
        <v>18.549887648977506</v>
      </c>
      <c r="AG121" s="51">
        <f t="shared" si="13"/>
        <v>0.17583560924614114</v>
      </c>
      <c r="AH121" s="51">
        <f t="shared" si="14"/>
        <v>18.725723258223645</v>
      </c>
      <c r="AI121" s="51" t="str">
        <f t="shared" si="15"/>
        <v/>
      </c>
      <c r="AJ121" s="17"/>
      <c r="AK121" s="17"/>
      <c r="AL121" s="17"/>
      <c r="AM121" s="17"/>
      <c r="AN121" s="17"/>
      <c r="AO121" s="17"/>
      <c r="AP121" s="17"/>
      <c r="AQ121" s="17"/>
      <c r="AR121" s="17"/>
      <c r="AS121" s="17"/>
      <c r="AT121" s="17"/>
      <c r="AU121" s="17"/>
      <c r="BN121" s="17"/>
      <c r="BO121" s="17"/>
      <c r="BP121" s="17"/>
      <c r="BQ121" s="17"/>
      <c r="BR121" s="17"/>
      <c r="BX121" s="17"/>
    </row>
    <row r="122" spans="1:76" x14ac:dyDescent="0.25">
      <c r="A122" t="s">
        <v>971</v>
      </c>
      <c r="B122" t="s">
        <v>30</v>
      </c>
      <c r="C122">
        <v>2009</v>
      </c>
      <c r="D122" t="s">
        <v>972</v>
      </c>
      <c r="E122" s="61">
        <v>6800</v>
      </c>
      <c r="F122" s="67">
        <v>27116635600</v>
      </c>
      <c r="G122" s="17">
        <v>3579385</v>
      </c>
      <c r="H122" t="s">
        <v>109</v>
      </c>
      <c r="I122" t="s">
        <v>110</v>
      </c>
      <c r="J122" t="s">
        <v>973</v>
      </c>
      <c r="K122" t="s">
        <v>974</v>
      </c>
      <c r="U122" t="s">
        <v>975</v>
      </c>
      <c r="V122" t="s">
        <v>976</v>
      </c>
      <c r="W122" t="s">
        <v>977</v>
      </c>
      <c r="X122" t="s">
        <v>978</v>
      </c>
      <c r="Y122" t="s">
        <v>979</v>
      </c>
      <c r="Z122" s="17">
        <v>49979</v>
      </c>
      <c r="AA122" s="17">
        <v>6751</v>
      </c>
      <c r="AB122" s="17">
        <v>1558</v>
      </c>
      <c r="AC122" s="17">
        <v>8309</v>
      </c>
      <c r="AD122" s="17">
        <v>58288</v>
      </c>
      <c r="AE122" s="17">
        <v>2156</v>
      </c>
      <c r="AF122" s="51">
        <f t="shared" si="12"/>
        <v>13.963013199194833</v>
      </c>
      <c r="AG122" s="51">
        <f t="shared" si="13"/>
        <v>2.3213484998121188</v>
      </c>
      <c r="AH122" s="51">
        <f t="shared" si="14"/>
        <v>16.284361699006954</v>
      </c>
      <c r="AI122" s="51">
        <f t="shared" si="15"/>
        <v>0.60233811115596669</v>
      </c>
      <c r="AJ122" s="17">
        <v>129733</v>
      </c>
      <c r="AK122" s="17">
        <v>73854</v>
      </c>
      <c r="AL122" s="17">
        <v>43454</v>
      </c>
      <c r="AM122" s="17">
        <v>117308</v>
      </c>
      <c r="AN122" s="17">
        <v>247041</v>
      </c>
      <c r="AO122" s="17">
        <v>245438</v>
      </c>
      <c r="AP122" s="17">
        <v>1240692585</v>
      </c>
      <c r="AQ122" s="17">
        <v>2732872335</v>
      </c>
      <c r="AR122" s="17">
        <v>2480901251</v>
      </c>
      <c r="AS122" s="17">
        <v>5213773586</v>
      </c>
      <c r="AT122" s="17">
        <v>6454466171</v>
      </c>
      <c r="AU122" s="17">
        <v>46736942093</v>
      </c>
      <c r="BN122" s="17"/>
      <c r="BO122" s="17"/>
      <c r="BP122" s="17"/>
      <c r="BQ122" s="17"/>
      <c r="BR122" s="17"/>
      <c r="BT122" t="s">
        <v>980</v>
      </c>
      <c r="BU122" t="s">
        <v>981</v>
      </c>
      <c r="BX122" s="17"/>
    </row>
    <row r="123" spans="1:76" x14ac:dyDescent="0.25">
      <c r="A123" t="s">
        <v>990</v>
      </c>
      <c r="B123" t="s">
        <v>30</v>
      </c>
      <c r="C123">
        <v>2014</v>
      </c>
      <c r="D123" t="s">
        <v>991</v>
      </c>
      <c r="E123" s="61">
        <v>3010</v>
      </c>
      <c r="F123" s="67">
        <v>56760000000</v>
      </c>
      <c r="G123" s="17">
        <v>7755785</v>
      </c>
      <c r="H123" t="s">
        <v>88</v>
      </c>
      <c r="I123" t="s">
        <v>77</v>
      </c>
      <c r="J123" t="s">
        <v>1728</v>
      </c>
      <c r="K123" t="s">
        <v>774</v>
      </c>
      <c r="N123" t="s">
        <v>992</v>
      </c>
      <c r="O123" t="s">
        <v>423</v>
      </c>
      <c r="T123" t="s">
        <v>1729</v>
      </c>
      <c r="Y123" t="s">
        <v>1729</v>
      </c>
      <c r="Z123" s="17"/>
      <c r="AA123" s="17"/>
      <c r="AB123" s="17"/>
      <c r="AC123" s="17"/>
      <c r="AD123" s="17"/>
      <c r="AE123" s="17"/>
      <c r="AF123" s="51" t="str">
        <f t="shared" si="12"/>
        <v/>
      </c>
      <c r="AG123" s="51" t="str">
        <f t="shared" si="13"/>
        <v/>
      </c>
      <c r="AH123" s="51" t="str">
        <f t="shared" si="14"/>
        <v/>
      </c>
      <c r="AI123" s="51" t="str">
        <f t="shared" si="15"/>
        <v/>
      </c>
      <c r="AJ123" s="17"/>
      <c r="AK123" s="17"/>
      <c r="AL123" s="17"/>
      <c r="AM123" s="17"/>
      <c r="AN123" s="17"/>
      <c r="AO123" s="17"/>
      <c r="AP123" s="17"/>
      <c r="AQ123" s="17"/>
      <c r="AR123" s="17"/>
      <c r="AS123" s="17"/>
      <c r="AT123" s="17"/>
      <c r="AU123" s="17"/>
      <c r="AV123" t="s">
        <v>774</v>
      </c>
      <c r="AW123" t="s">
        <v>774</v>
      </c>
      <c r="AX123" s="17">
        <v>1726234</v>
      </c>
      <c r="BD123" s="67">
        <v>201186066</v>
      </c>
      <c r="BF123" s="67">
        <v>202912300</v>
      </c>
      <c r="BG123" s="68"/>
      <c r="BN123" s="17"/>
      <c r="BO123" s="17"/>
      <c r="BP123" s="17"/>
      <c r="BQ123" s="17"/>
      <c r="BR123" s="17"/>
      <c r="BX123" s="17"/>
    </row>
    <row r="124" spans="1:76" x14ac:dyDescent="0.25">
      <c r="A124" t="s">
        <v>993</v>
      </c>
      <c r="B124" t="s">
        <v>30</v>
      </c>
      <c r="C124">
        <v>2010</v>
      </c>
      <c r="D124" t="s">
        <v>994</v>
      </c>
      <c r="E124" s="61">
        <v>2930</v>
      </c>
      <c r="F124" s="67">
        <v>94934255000000.016</v>
      </c>
      <c r="G124" s="17">
        <v>6209877</v>
      </c>
      <c r="H124" t="s">
        <v>42</v>
      </c>
      <c r="I124" t="s">
        <v>110</v>
      </c>
      <c r="J124" t="s">
        <v>995</v>
      </c>
      <c r="K124" t="s">
        <v>996</v>
      </c>
      <c r="L124" t="s">
        <v>401</v>
      </c>
      <c r="M124" t="s">
        <v>997</v>
      </c>
      <c r="N124" t="s">
        <v>622</v>
      </c>
      <c r="O124" t="s">
        <v>49</v>
      </c>
      <c r="Z124" s="17">
        <v>216228</v>
      </c>
      <c r="AA124" s="17">
        <v>3829</v>
      </c>
      <c r="AB124" s="17">
        <v>2628</v>
      </c>
      <c r="AC124" s="17">
        <v>6457</v>
      </c>
      <c r="AD124" s="17">
        <v>222685</v>
      </c>
      <c r="AE124" s="17">
        <v>1497</v>
      </c>
      <c r="AF124" s="51">
        <f t="shared" si="12"/>
        <v>34.820013343259454</v>
      </c>
      <c r="AG124" s="51">
        <f t="shared" si="13"/>
        <v>1.0397951521423048</v>
      </c>
      <c r="AH124" s="51">
        <f t="shared" si="14"/>
        <v>35.859808495401758</v>
      </c>
      <c r="AI124" s="51">
        <f t="shared" si="15"/>
        <v>0.24106757670079457</v>
      </c>
      <c r="AJ124" s="17">
        <v>449579</v>
      </c>
      <c r="AK124" s="17">
        <v>53530</v>
      </c>
      <c r="AL124" s="17">
        <v>78106</v>
      </c>
      <c r="AM124" s="17">
        <v>131636</v>
      </c>
      <c r="AN124" s="17">
        <v>581215</v>
      </c>
      <c r="AO124" s="17">
        <v>217938</v>
      </c>
      <c r="AP124" s="17"/>
      <c r="AQ124" s="17"/>
      <c r="AR124" s="17"/>
      <c r="AS124" s="17"/>
      <c r="AT124" s="17"/>
      <c r="AU124" s="17"/>
      <c r="AV124" t="s">
        <v>998</v>
      </c>
      <c r="AW124" t="s">
        <v>998</v>
      </c>
      <c r="BN124" s="17"/>
      <c r="BO124" s="17"/>
      <c r="BP124" s="17"/>
      <c r="BQ124" s="17">
        <v>1093135</v>
      </c>
      <c r="BR124" s="17"/>
      <c r="BT124" t="s">
        <v>999</v>
      </c>
      <c r="BX124" s="17" t="s">
        <v>1046</v>
      </c>
    </row>
    <row r="125" spans="1:76" x14ac:dyDescent="0.25">
      <c r="A125" t="s">
        <v>1000</v>
      </c>
      <c r="B125" t="s">
        <v>30</v>
      </c>
      <c r="C125">
        <v>2016</v>
      </c>
      <c r="D125" t="s">
        <v>1001</v>
      </c>
      <c r="E125" s="61">
        <v>5950</v>
      </c>
      <c r="F125" s="67">
        <v>646803000000</v>
      </c>
      <c r="G125" s="17">
        <v>32165485</v>
      </c>
      <c r="H125" t="s">
        <v>42</v>
      </c>
      <c r="I125" t="s">
        <v>110</v>
      </c>
      <c r="J125" t="s">
        <v>1002</v>
      </c>
      <c r="K125" t="s">
        <v>1003</v>
      </c>
      <c r="U125" t="s">
        <v>1004</v>
      </c>
      <c r="V125" t="s">
        <v>1005</v>
      </c>
      <c r="W125" t="s">
        <v>1006</v>
      </c>
      <c r="X125" t="s">
        <v>1007</v>
      </c>
      <c r="Y125" t="s">
        <v>1008</v>
      </c>
      <c r="Z125" s="17">
        <v>1652071</v>
      </c>
      <c r="AA125" s="17">
        <v>74085</v>
      </c>
      <c r="AB125" s="17">
        <v>2621</v>
      </c>
      <c r="AC125" s="17">
        <v>76706</v>
      </c>
      <c r="AD125" s="17">
        <v>1728777</v>
      </c>
      <c r="AE125" s="17">
        <v>8966</v>
      </c>
      <c r="AF125" s="51">
        <f t="shared" si="12"/>
        <v>51.361607014475297</v>
      </c>
      <c r="AG125" s="51">
        <f t="shared" si="13"/>
        <v>2.3847300918981946</v>
      </c>
      <c r="AH125" s="51">
        <f t="shared" si="14"/>
        <v>53.746337106373488</v>
      </c>
      <c r="AI125" s="51">
        <f t="shared" si="15"/>
        <v>0.27874599123874549</v>
      </c>
      <c r="AJ125" s="17">
        <v>7803352</v>
      </c>
      <c r="AK125" s="17">
        <v>1548375</v>
      </c>
      <c r="AL125" s="17">
        <v>356642</v>
      </c>
      <c r="AM125" s="17">
        <v>1905017</v>
      </c>
      <c r="AN125" s="17">
        <v>9708369</v>
      </c>
      <c r="AO125" s="17">
        <v>1230801</v>
      </c>
      <c r="AP125" s="17"/>
      <c r="AQ125" s="17"/>
      <c r="AR125" s="17"/>
      <c r="AS125" s="17"/>
      <c r="AT125" s="17"/>
      <c r="AU125" s="17"/>
      <c r="AV125" t="s">
        <v>1009</v>
      </c>
      <c r="AW125" t="s">
        <v>1010</v>
      </c>
      <c r="BJ125" s="21">
        <v>0.192</v>
      </c>
      <c r="BL125" s="21">
        <v>0.106</v>
      </c>
      <c r="BM125" t="s">
        <v>1951</v>
      </c>
      <c r="BN125" s="17">
        <v>515446</v>
      </c>
      <c r="BO125" s="17"/>
      <c r="BP125" s="17"/>
      <c r="BQ125" s="17"/>
      <c r="BR125" s="17"/>
      <c r="BT125" t="s">
        <v>1012</v>
      </c>
      <c r="BU125" t="s">
        <v>1013</v>
      </c>
      <c r="BV125" t="s">
        <v>1014</v>
      </c>
      <c r="BW125" t="s">
        <v>1015</v>
      </c>
      <c r="BX125" s="17"/>
    </row>
    <row r="126" spans="1:76" x14ac:dyDescent="0.25">
      <c r="A126" t="s">
        <v>1054</v>
      </c>
      <c r="B126" t="s">
        <v>30</v>
      </c>
      <c r="C126">
        <v>2016</v>
      </c>
      <c r="D126" t="s">
        <v>1055</v>
      </c>
      <c r="E126" s="61">
        <v>3580</v>
      </c>
      <c r="F126" s="67">
        <v>14479944611225.598</v>
      </c>
      <c r="G126" s="17">
        <v>103320222</v>
      </c>
      <c r="H126" t="s">
        <v>88</v>
      </c>
      <c r="I126" t="s">
        <v>77</v>
      </c>
      <c r="J126" t="s">
        <v>1057</v>
      </c>
      <c r="K126" t="s">
        <v>1058</v>
      </c>
      <c r="L126" t="s">
        <v>92</v>
      </c>
      <c r="M126" t="s">
        <v>893</v>
      </c>
      <c r="N126" t="s">
        <v>1059</v>
      </c>
      <c r="O126" t="s">
        <v>184</v>
      </c>
      <c r="P126" t="s">
        <v>113</v>
      </c>
      <c r="Q126" t="s">
        <v>1633</v>
      </c>
      <c r="R126" t="s">
        <v>1060</v>
      </c>
      <c r="S126" t="s">
        <v>295</v>
      </c>
      <c r="T126" t="s">
        <v>1056</v>
      </c>
      <c r="Z126" s="17">
        <v>820795</v>
      </c>
      <c r="AA126" s="17">
        <v>86955</v>
      </c>
      <c r="AB126" s="17">
        <v>4018</v>
      </c>
      <c r="AC126" s="17">
        <v>90973</v>
      </c>
      <c r="AD126" s="17">
        <v>911768</v>
      </c>
      <c r="AE126" s="17">
        <v>3958</v>
      </c>
      <c r="AF126" s="51">
        <f t="shared" si="12"/>
        <v>7.9441854083511352</v>
      </c>
      <c r="AG126" s="51">
        <f t="shared" si="13"/>
        <v>0.88049559165678137</v>
      </c>
      <c r="AH126" s="51">
        <f t="shared" si="14"/>
        <v>8.8246810000079172</v>
      </c>
      <c r="AI126" s="51">
        <f t="shared" si="15"/>
        <v>3.8308086484754166E-2</v>
      </c>
      <c r="AJ126" s="17">
        <v>2345992</v>
      </c>
      <c r="AK126" s="17">
        <v>1981316</v>
      </c>
      <c r="AL126" s="17">
        <v>551871</v>
      </c>
      <c r="AM126" s="17">
        <v>2533187</v>
      </c>
      <c r="AN126" s="17">
        <v>4879179</v>
      </c>
      <c r="AO126" s="17">
        <v>2831729</v>
      </c>
      <c r="AP126" s="17"/>
      <c r="AQ126" s="17"/>
      <c r="AR126" s="17"/>
      <c r="AS126" s="17"/>
      <c r="AT126" s="17"/>
      <c r="AU126" s="17"/>
      <c r="AV126" t="s">
        <v>1058</v>
      </c>
      <c r="AW126" t="s">
        <v>1058</v>
      </c>
      <c r="BN126" s="17"/>
      <c r="BO126" s="17"/>
      <c r="BP126" s="17"/>
      <c r="BQ126" s="17"/>
      <c r="BR126" s="17"/>
      <c r="BX126" s="17"/>
    </row>
    <row r="127" spans="1:76" x14ac:dyDescent="0.25">
      <c r="A127" t="s">
        <v>1061</v>
      </c>
      <c r="B127" t="s">
        <v>30</v>
      </c>
      <c r="C127">
        <v>2016</v>
      </c>
      <c r="D127" t="s">
        <v>1062</v>
      </c>
      <c r="E127" s="61">
        <v>12680</v>
      </c>
      <c r="F127" s="67">
        <v>1858637000000</v>
      </c>
      <c r="G127" s="17">
        <v>37975841</v>
      </c>
      <c r="H127" t="s">
        <v>109</v>
      </c>
      <c r="I127" t="s">
        <v>43</v>
      </c>
      <c r="J127" t="s">
        <v>188</v>
      </c>
      <c r="K127" t="s">
        <v>500</v>
      </c>
      <c r="L127" t="s">
        <v>190</v>
      </c>
      <c r="M127" t="s">
        <v>48</v>
      </c>
      <c r="N127" t="s">
        <v>62</v>
      </c>
      <c r="O127" t="s">
        <v>63</v>
      </c>
      <c r="T127" t="s">
        <v>55</v>
      </c>
      <c r="Y127" t="s">
        <v>55</v>
      </c>
      <c r="Z127" s="17">
        <v>1620219</v>
      </c>
      <c r="AA127" s="17">
        <v>56105</v>
      </c>
      <c r="AB127" s="17">
        <v>15273</v>
      </c>
      <c r="AC127" s="17">
        <v>71378</v>
      </c>
      <c r="AD127" s="17">
        <v>1691597</v>
      </c>
      <c r="AE127" s="17">
        <v>3315</v>
      </c>
      <c r="AF127" s="51">
        <f t="shared" si="12"/>
        <v>42.664466601279486</v>
      </c>
      <c r="AG127" s="51">
        <f t="shared" si="13"/>
        <v>1.8795633782014201</v>
      </c>
      <c r="AH127" s="51">
        <f t="shared" si="14"/>
        <v>44.544029979480904</v>
      </c>
      <c r="AI127" s="51">
        <f t="shared" si="15"/>
        <v>8.7292339358593804E-2</v>
      </c>
      <c r="AJ127" s="17">
        <v>3375788</v>
      </c>
      <c r="AK127" s="17">
        <v>1176411</v>
      </c>
      <c r="AL127" s="17">
        <v>1591891</v>
      </c>
      <c r="AM127" s="17">
        <v>2768302</v>
      </c>
      <c r="AN127" s="17">
        <v>6144090</v>
      </c>
      <c r="AO127" s="17">
        <v>2865583</v>
      </c>
      <c r="AP127" s="17"/>
      <c r="AQ127" s="17"/>
      <c r="AR127" s="17"/>
      <c r="AS127" s="17"/>
      <c r="AT127" s="17"/>
      <c r="AU127" s="17"/>
      <c r="BF127" s="65"/>
      <c r="BG127" s="65"/>
      <c r="BN127" s="17"/>
      <c r="BO127" s="17"/>
      <c r="BP127" s="17"/>
      <c r="BQ127" s="17"/>
      <c r="BR127" s="17"/>
      <c r="BX127" s="17"/>
    </row>
    <row r="128" spans="1:76" x14ac:dyDescent="0.25">
      <c r="A128" t="s">
        <v>1063</v>
      </c>
      <c r="B128" t="s">
        <v>30</v>
      </c>
      <c r="C128">
        <v>2016</v>
      </c>
      <c r="D128" t="s">
        <v>1064</v>
      </c>
      <c r="E128" s="61">
        <v>19850</v>
      </c>
      <c r="F128" s="67">
        <v>185493978000</v>
      </c>
      <c r="G128" s="17">
        <v>10293718</v>
      </c>
      <c r="H128" t="s">
        <v>109</v>
      </c>
      <c r="I128" t="s">
        <v>43</v>
      </c>
      <c r="J128" t="s">
        <v>188</v>
      </c>
      <c r="K128" t="s">
        <v>1069</v>
      </c>
      <c r="L128" t="s">
        <v>190</v>
      </c>
      <c r="M128" t="s">
        <v>48</v>
      </c>
      <c r="N128" t="s">
        <v>62</v>
      </c>
      <c r="O128" t="s">
        <v>63</v>
      </c>
      <c r="Z128" s="17">
        <v>793477</v>
      </c>
      <c r="AA128" s="17">
        <v>33553</v>
      </c>
      <c r="AB128" s="17">
        <v>5190</v>
      </c>
      <c r="AC128" s="17">
        <v>38743</v>
      </c>
      <c r="AD128" s="17">
        <v>832220</v>
      </c>
      <c r="AE128" s="17">
        <v>808</v>
      </c>
      <c r="AF128" s="51">
        <f t="shared" si="12"/>
        <v>77.083615463334041</v>
      </c>
      <c r="AG128" s="51">
        <f t="shared" si="13"/>
        <v>3.7637518338854825</v>
      </c>
      <c r="AH128" s="51">
        <f t="shared" si="14"/>
        <v>80.847367297219535</v>
      </c>
      <c r="AI128" s="51">
        <f t="shared" si="15"/>
        <v>7.849447595125493E-2</v>
      </c>
      <c r="AJ128" s="17">
        <v>1274600</v>
      </c>
      <c r="AK128" s="17">
        <v>640885</v>
      </c>
      <c r="AL128" s="17"/>
      <c r="AM128" s="17"/>
      <c r="AN128" s="17"/>
      <c r="AO128" s="17"/>
      <c r="AP128" s="17">
        <v>18704200000</v>
      </c>
      <c r="AQ128" s="17">
        <v>16815800000</v>
      </c>
      <c r="AR128" s="17"/>
      <c r="AS128" s="17"/>
      <c r="AT128" s="17"/>
      <c r="AU128" s="17"/>
      <c r="BN128" s="17"/>
      <c r="BO128" s="17"/>
      <c r="BP128" s="17"/>
      <c r="BQ128" s="17"/>
      <c r="BR128" s="17"/>
      <c r="BT128" t="s">
        <v>1070</v>
      </c>
      <c r="BU128" t="s">
        <v>1071</v>
      </c>
      <c r="BV128" t="s">
        <v>1072</v>
      </c>
      <c r="BW128" t="s">
        <v>1073</v>
      </c>
      <c r="BX128" s="17"/>
    </row>
    <row r="129" spans="1:76" x14ac:dyDescent="0.25">
      <c r="A129" t="s">
        <v>1080</v>
      </c>
      <c r="B129" t="s">
        <v>30</v>
      </c>
      <c r="C129">
        <v>2016</v>
      </c>
      <c r="D129" t="s">
        <v>1081</v>
      </c>
      <c r="E129" s="61">
        <v>19820</v>
      </c>
      <c r="F129" s="67">
        <v>105034500000</v>
      </c>
      <c r="G129" s="17">
        <v>3406520</v>
      </c>
      <c r="H129" t="s">
        <v>109</v>
      </c>
      <c r="I129" t="s">
        <v>110</v>
      </c>
      <c r="J129" t="s">
        <v>1082</v>
      </c>
      <c r="K129" t="s">
        <v>79</v>
      </c>
      <c r="L129" t="s">
        <v>61</v>
      </c>
      <c r="M129" t="s">
        <v>48</v>
      </c>
      <c r="N129" t="s">
        <v>1083</v>
      </c>
      <c r="O129" t="s">
        <v>1084</v>
      </c>
      <c r="Z129" s="17">
        <v>32185</v>
      </c>
      <c r="AA129" s="17">
        <v>8978</v>
      </c>
      <c r="AB129" s="17">
        <v>2019</v>
      </c>
      <c r="AC129" s="17">
        <v>10997</v>
      </c>
      <c r="AD129" s="17">
        <v>43182</v>
      </c>
      <c r="AE129" s="17">
        <v>143</v>
      </c>
      <c r="AF129" s="51">
        <f t="shared" si="12"/>
        <v>9.4480584291300218</v>
      </c>
      <c r="AG129" s="51">
        <f t="shared" si="13"/>
        <v>3.2282211758627573</v>
      </c>
      <c r="AH129" s="51">
        <f t="shared" si="14"/>
        <v>12.676279604992779</v>
      </c>
      <c r="AI129" s="51">
        <f t="shared" si="15"/>
        <v>4.197832392001221E-2</v>
      </c>
      <c r="AJ129" s="17">
        <v>98243</v>
      </c>
      <c r="AK129" s="17">
        <v>181339</v>
      </c>
      <c r="AL129" s="17">
        <v>259798</v>
      </c>
      <c r="AM129" s="17">
        <v>441137</v>
      </c>
      <c r="AN129" s="17">
        <v>539380</v>
      </c>
      <c r="AO129" s="17">
        <v>133019</v>
      </c>
      <c r="AP129" s="17"/>
      <c r="AQ129" s="17"/>
      <c r="AR129" s="17"/>
      <c r="AS129" s="17"/>
      <c r="AT129" s="17"/>
      <c r="AU129" s="17"/>
      <c r="AV129" t="s">
        <v>79</v>
      </c>
      <c r="AW129" t="s">
        <v>79</v>
      </c>
      <c r="BN129" s="17"/>
      <c r="BO129" s="17"/>
      <c r="BP129" s="17"/>
      <c r="BQ129" s="17"/>
      <c r="BR129" s="17"/>
      <c r="BX129" s="17"/>
    </row>
    <row r="130" spans="1:76" x14ac:dyDescent="0.25">
      <c r="A130" t="s">
        <v>1086</v>
      </c>
      <c r="B130" t="s">
        <v>30</v>
      </c>
      <c r="C130">
        <v>2015</v>
      </c>
      <c r="D130" t="s">
        <v>1087</v>
      </c>
      <c r="E130" s="61">
        <v>75150</v>
      </c>
      <c r="F130" s="67">
        <v>599295000000</v>
      </c>
      <c r="G130" s="17">
        <v>2481539</v>
      </c>
      <c r="H130" t="s">
        <v>109</v>
      </c>
      <c r="I130" t="s">
        <v>58</v>
      </c>
      <c r="J130" t="s">
        <v>1732</v>
      </c>
      <c r="K130" t="s">
        <v>1731</v>
      </c>
      <c r="L130" t="s">
        <v>46</v>
      </c>
      <c r="M130" t="s">
        <v>647</v>
      </c>
      <c r="N130" t="s">
        <v>407</v>
      </c>
      <c r="O130" t="s">
        <v>310</v>
      </c>
      <c r="Z130" s="17">
        <v>21675</v>
      </c>
      <c r="AA130" s="17">
        <v>19757</v>
      </c>
      <c r="AB130" s="17">
        <v>1515</v>
      </c>
      <c r="AC130" s="17">
        <v>21272</v>
      </c>
      <c r="AD130" s="17">
        <v>42947</v>
      </c>
      <c r="AE130" s="17">
        <v>1492</v>
      </c>
      <c r="AF130" s="51">
        <f t="shared" si="12"/>
        <v>8.7344990346716305</v>
      </c>
      <c r="AG130" s="51">
        <f t="shared" si="13"/>
        <v>8.572099813865508</v>
      </c>
      <c r="AH130" s="51">
        <f t="shared" si="14"/>
        <v>17.306598848537138</v>
      </c>
      <c r="AI130" s="51">
        <f t="shared" si="15"/>
        <v>0.60123979514325587</v>
      </c>
      <c r="AJ130" s="17">
        <v>49576</v>
      </c>
      <c r="AK130" s="17">
        <v>266933</v>
      </c>
      <c r="AL130" s="17">
        <v>101808</v>
      </c>
      <c r="AM130" s="17">
        <v>368741</v>
      </c>
      <c r="AN130" s="17">
        <v>418317</v>
      </c>
      <c r="AO130" s="17">
        <v>814793</v>
      </c>
      <c r="AP130" s="17"/>
      <c r="AQ130" s="17"/>
      <c r="AR130" s="17"/>
      <c r="AS130" s="17"/>
      <c r="AT130" s="17"/>
      <c r="AU130" s="17"/>
      <c r="BN130" s="17"/>
      <c r="BO130" s="17"/>
      <c r="BP130" s="17"/>
      <c r="BQ130" s="17"/>
      <c r="BR130" s="17"/>
      <c r="BX130" s="17" t="s">
        <v>1646</v>
      </c>
    </row>
    <row r="131" spans="1:76" x14ac:dyDescent="0.25">
      <c r="A131" t="s">
        <v>1088</v>
      </c>
      <c r="B131" t="s">
        <v>30</v>
      </c>
      <c r="C131">
        <v>2016</v>
      </c>
      <c r="D131" t="s">
        <v>1089</v>
      </c>
      <c r="E131" s="61">
        <v>9520</v>
      </c>
      <c r="F131" s="67">
        <v>762341800000.00012</v>
      </c>
      <c r="G131" s="17">
        <v>19586539</v>
      </c>
      <c r="H131" t="s">
        <v>42</v>
      </c>
      <c r="I131" t="s">
        <v>43</v>
      </c>
      <c r="J131" t="s">
        <v>1857</v>
      </c>
      <c r="K131" t="s">
        <v>189</v>
      </c>
      <c r="L131" t="s">
        <v>190</v>
      </c>
      <c r="M131" t="s">
        <v>48</v>
      </c>
      <c r="N131" t="s">
        <v>62</v>
      </c>
      <c r="O131" t="s">
        <v>63</v>
      </c>
      <c r="T131" t="s">
        <v>55</v>
      </c>
      <c r="Y131" t="s">
        <v>55</v>
      </c>
      <c r="Z131" s="17">
        <v>411905</v>
      </c>
      <c r="AA131" s="17">
        <v>43811</v>
      </c>
      <c r="AB131" s="17">
        <v>8235</v>
      </c>
      <c r="AC131" s="17">
        <v>52046</v>
      </c>
      <c r="AD131" s="17">
        <v>463951</v>
      </c>
      <c r="AE131" s="17">
        <v>1656</v>
      </c>
      <c r="AF131" s="51">
        <f t="shared" si="12"/>
        <v>21.030004331035716</v>
      </c>
      <c r="AG131" s="51">
        <f t="shared" si="13"/>
        <v>2.6572331130068463</v>
      </c>
      <c r="AH131" s="51">
        <f t="shared" si="14"/>
        <v>23.687237444042562</v>
      </c>
      <c r="AI131" s="51">
        <f t="shared" si="15"/>
        <v>8.4547862182287534E-2</v>
      </c>
      <c r="AJ131" s="17">
        <v>900656</v>
      </c>
      <c r="AK131" s="17">
        <v>866720</v>
      </c>
      <c r="AL131" s="17">
        <v>832677</v>
      </c>
      <c r="AM131" s="17">
        <v>1699397</v>
      </c>
      <c r="AN131" s="17">
        <v>2600053</v>
      </c>
      <c r="AO131" s="17">
        <v>1378040</v>
      </c>
      <c r="AP131" s="17">
        <v>9776300000</v>
      </c>
      <c r="AQ131" s="17">
        <v>10860500000</v>
      </c>
      <c r="AR131" s="17"/>
      <c r="AS131" s="17"/>
      <c r="AT131" s="17"/>
      <c r="AU131" s="17"/>
      <c r="AV131" t="s">
        <v>189</v>
      </c>
      <c r="AW131" t="s">
        <v>189</v>
      </c>
      <c r="BF131" s="65"/>
      <c r="BG131" s="65"/>
      <c r="BN131" s="17"/>
      <c r="BO131" s="17"/>
      <c r="BP131" s="17"/>
      <c r="BQ131" s="17"/>
      <c r="BR131" s="17"/>
      <c r="BX131" s="17"/>
    </row>
    <row r="132" spans="1:76" x14ac:dyDescent="0.25">
      <c r="A132" t="s">
        <v>1090</v>
      </c>
      <c r="B132" t="s">
        <v>30</v>
      </c>
      <c r="C132">
        <v>2015</v>
      </c>
      <c r="D132" t="s">
        <v>1091</v>
      </c>
      <c r="E132" s="61">
        <v>11760</v>
      </c>
      <c r="F132" s="67">
        <v>83387191671000</v>
      </c>
      <c r="G132" s="17">
        <v>144096870</v>
      </c>
      <c r="H132" t="s">
        <v>42</v>
      </c>
      <c r="I132" t="s">
        <v>43</v>
      </c>
      <c r="J132" t="s">
        <v>1644</v>
      </c>
      <c r="K132" t="s">
        <v>1645</v>
      </c>
      <c r="L132" t="s">
        <v>261</v>
      </c>
      <c r="M132" t="s">
        <v>262</v>
      </c>
      <c r="N132" t="s">
        <v>263</v>
      </c>
      <c r="O132" t="s">
        <v>167</v>
      </c>
      <c r="U132" t="s">
        <v>655</v>
      </c>
      <c r="V132" t="s">
        <v>1093</v>
      </c>
      <c r="W132" t="s">
        <v>497</v>
      </c>
      <c r="Y132" t="s">
        <v>1094</v>
      </c>
      <c r="Z132" s="17">
        <v>1990003</v>
      </c>
      <c r="AA132" s="17">
        <v>232369</v>
      </c>
      <c r="AB132" s="17">
        <v>19278</v>
      </c>
      <c r="AC132" s="17">
        <v>251647</v>
      </c>
      <c r="AD132" s="17">
        <v>2241650</v>
      </c>
      <c r="AE132" s="17"/>
      <c r="AF132" s="51">
        <f t="shared" si="12"/>
        <v>13.810175057931515</v>
      </c>
      <c r="AG132" s="51">
        <f t="shared" si="13"/>
        <v>1.7463738108954066</v>
      </c>
      <c r="AH132" s="51">
        <f t="shared" si="14"/>
        <v>15.556548868826921</v>
      </c>
      <c r="AI132" s="51" t="str">
        <f t="shared" si="15"/>
        <v/>
      </c>
      <c r="AJ132" s="17">
        <v>4605700</v>
      </c>
      <c r="AK132" s="17">
        <v>6725000</v>
      </c>
      <c r="AL132" s="17">
        <v>2178100</v>
      </c>
      <c r="AM132" s="17">
        <v>8903100</v>
      </c>
      <c r="AN132" s="17">
        <v>13508800</v>
      </c>
      <c r="AO132" s="17"/>
      <c r="AP132" s="17"/>
      <c r="AQ132" s="17"/>
      <c r="AR132" s="17"/>
      <c r="AS132" s="17"/>
      <c r="AT132" s="17"/>
      <c r="AU132" s="17"/>
      <c r="BN132" s="17"/>
      <c r="BO132" s="17"/>
      <c r="BP132" s="17"/>
      <c r="BQ132" s="17"/>
      <c r="BR132" s="17"/>
      <c r="BX132" s="17"/>
    </row>
    <row r="133" spans="1:76" x14ac:dyDescent="0.25">
      <c r="A133" t="s">
        <v>1095</v>
      </c>
      <c r="B133" t="s">
        <v>30</v>
      </c>
      <c r="C133">
        <v>2017</v>
      </c>
      <c r="D133" t="s">
        <v>1096</v>
      </c>
      <c r="E133" s="61">
        <v>720</v>
      </c>
      <c r="F133" s="67">
        <v>7597436000000</v>
      </c>
      <c r="G133" s="17">
        <v>12208407</v>
      </c>
      <c r="H133" t="s">
        <v>32</v>
      </c>
      <c r="I133" t="s">
        <v>89</v>
      </c>
      <c r="J133" t="s">
        <v>1097</v>
      </c>
      <c r="K133" t="s">
        <v>1098</v>
      </c>
      <c r="L133" t="s">
        <v>562</v>
      </c>
      <c r="M133" t="s">
        <v>930</v>
      </c>
      <c r="N133" t="s">
        <v>479</v>
      </c>
      <c r="O133" t="s">
        <v>37</v>
      </c>
      <c r="P133" t="s">
        <v>252</v>
      </c>
      <c r="Q133" t="s">
        <v>1099</v>
      </c>
      <c r="R133" t="s">
        <v>725</v>
      </c>
      <c r="S133" t="s">
        <v>886</v>
      </c>
      <c r="T133" t="s">
        <v>1100</v>
      </c>
      <c r="U133" t="s">
        <v>1101</v>
      </c>
      <c r="V133" t="s">
        <v>1102</v>
      </c>
      <c r="W133" t="s">
        <v>1103</v>
      </c>
      <c r="X133" t="s">
        <v>503</v>
      </c>
      <c r="Y133" t="s">
        <v>1100</v>
      </c>
      <c r="Z133" s="17">
        <v>171849</v>
      </c>
      <c r="AA133" s="17">
        <v>9585</v>
      </c>
      <c r="AB133" s="17">
        <v>539</v>
      </c>
      <c r="AC133" s="17">
        <v>10124</v>
      </c>
      <c r="AD133" s="17">
        <v>181973</v>
      </c>
      <c r="AE133" s="17">
        <v>262</v>
      </c>
      <c r="AF133" s="51">
        <f t="shared" si="12"/>
        <v>14.07628366256138</v>
      </c>
      <c r="AG133" s="51">
        <f t="shared" si="13"/>
        <v>0.82926462068310802</v>
      </c>
      <c r="AH133" s="51">
        <f t="shared" si="14"/>
        <v>14.905548283244489</v>
      </c>
      <c r="AI133" s="51">
        <f t="shared" si="15"/>
        <v>2.1460621357069765E-2</v>
      </c>
      <c r="AJ133" s="17">
        <v>219723</v>
      </c>
      <c r="AK133" s="17">
        <v>79789</v>
      </c>
      <c r="AL133" s="17">
        <v>34286</v>
      </c>
      <c r="AM133" s="17">
        <v>114075</v>
      </c>
      <c r="AN133" s="17">
        <v>333798</v>
      </c>
      <c r="AO133" s="17">
        <v>132408</v>
      </c>
      <c r="AP133" s="17"/>
      <c r="AQ133" s="17"/>
      <c r="AR133" s="17"/>
      <c r="AS133" s="17"/>
      <c r="AT133" s="17"/>
      <c r="AU133" s="17"/>
      <c r="BM133" t="s">
        <v>1104</v>
      </c>
      <c r="BN133" s="17">
        <v>54813</v>
      </c>
      <c r="BO133" s="17">
        <v>2030</v>
      </c>
      <c r="BP133" s="17">
        <f>BN133+BO133</f>
        <v>56843</v>
      </c>
      <c r="BQ133" s="17"/>
      <c r="BR133" s="17"/>
      <c r="BX133" s="17"/>
    </row>
    <row r="134" spans="1:76" x14ac:dyDescent="0.25">
      <c r="A134" t="s">
        <v>1108</v>
      </c>
      <c r="B134" t="s">
        <v>30</v>
      </c>
      <c r="C134">
        <v>2017</v>
      </c>
      <c r="D134" t="s">
        <v>1109</v>
      </c>
      <c r="E134" s="61">
        <v>59000</v>
      </c>
      <c r="F134" s="67">
        <v>1471999999.9999998</v>
      </c>
      <c r="G134" s="17">
        <v>33400</v>
      </c>
      <c r="H134" t="s">
        <v>109</v>
      </c>
      <c r="I134" t="s">
        <v>43</v>
      </c>
      <c r="J134" t="s">
        <v>1110</v>
      </c>
      <c r="K134" t="s">
        <v>1111</v>
      </c>
      <c r="L134" t="s">
        <v>61</v>
      </c>
      <c r="M134" t="s">
        <v>955</v>
      </c>
      <c r="N134" t="s">
        <v>622</v>
      </c>
      <c r="O134" t="s">
        <v>49</v>
      </c>
      <c r="Z134" s="17">
        <v>4719</v>
      </c>
      <c r="AA134" s="17">
        <v>169</v>
      </c>
      <c r="AB134" s="17">
        <v>70</v>
      </c>
      <c r="AC134" s="17">
        <v>239</v>
      </c>
      <c r="AD134" s="17">
        <v>4958</v>
      </c>
      <c r="AE134" s="17">
        <v>38</v>
      </c>
      <c r="AF134" s="51">
        <f t="shared" si="12"/>
        <v>141.2874251497006</v>
      </c>
      <c r="AG134" s="51">
        <f t="shared" si="13"/>
        <v>7.1556886227544902</v>
      </c>
      <c r="AH134" s="51">
        <f t="shared" si="14"/>
        <v>148.44311377245509</v>
      </c>
      <c r="AI134" s="51">
        <f t="shared" si="15"/>
        <v>1.1377245508982037</v>
      </c>
      <c r="AJ134" s="17"/>
      <c r="AK134" s="17"/>
      <c r="AL134" s="17"/>
      <c r="AM134" s="17"/>
      <c r="AN134" s="17"/>
      <c r="AO134" s="17"/>
      <c r="AP134" s="17"/>
      <c r="AQ134" s="17"/>
      <c r="AR134" s="17"/>
      <c r="AS134" s="17"/>
      <c r="AT134" s="17"/>
      <c r="AU134" s="17"/>
      <c r="BN134" s="17"/>
      <c r="BO134" s="17"/>
      <c r="BP134" s="17"/>
      <c r="BQ134" s="17"/>
      <c r="BR134" s="17"/>
      <c r="BU134" t="s">
        <v>1112</v>
      </c>
      <c r="BX134" s="17" t="s">
        <v>1125</v>
      </c>
    </row>
    <row r="135" spans="1:76" x14ac:dyDescent="0.25">
      <c r="A135" t="s">
        <v>1115</v>
      </c>
      <c r="B135" t="s">
        <v>30</v>
      </c>
      <c r="C135">
        <v>2017</v>
      </c>
      <c r="D135" t="s">
        <v>1116</v>
      </c>
      <c r="E135" s="61">
        <v>20090</v>
      </c>
      <c r="F135" s="67">
        <v>2564351791082.0103</v>
      </c>
      <c r="G135" s="17">
        <v>32938213</v>
      </c>
      <c r="H135" t="s">
        <v>109</v>
      </c>
      <c r="I135" t="s">
        <v>58</v>
      </c>
      <c r="J135" t="s">
        <v>1117</v>
      </c>
      <c r="K135" t="s">
        <v>1733</v>
      </c>
      <c r="L135" t="s">
        <v>46</v>
      </c>
      <c r="M135" t="s">
        <v>647</v>
      </c>
      <c r="N135" t="s">
        <v>128</v>
      </c>
      <c r="O135" t="s">
        <v>101</v>
      </c>
      <c r="Z135" s="17">
        <v>852268</v>
      </c>
      <c r="AA135" s="17">
        <v>117461</v>
      </c>
      <c r="AB135" s="17">
        <v>7806</v>
      </c>
      <c r="AC135" s="17">
        <v>125267</v>
      </c>
      <c r="AD135" s="17">
        <v>977535</v>
      </c>
      <c r="AE135" s="17"/>
      <c r="AF135" s="51">
        <f t="shared" si="12"/>
        <v>25.874749185695045</v>
      </c>
      <c r="AG135" s="51">
        <f t="shared" si="13"/>
        <v>3.8030903498013084</v>
      </c>
      <c r="AH135" s="51">
        <f t="shared" si="14"/>
        <v>29.677839535496357</v>
      </c>
      <c r="AI135" s="51" t="str">
        <f t="shared" si="15"/>
        <v/>
      </c>
      <c r="AJ135" s="17">
        <v>479425</v>
      </c>
      <c r="AK135" s="17">
        <v>426019</v>
      </c>
      <c r="AL135" s="17">
        <v>239400</v>
      </c>
      <c r="AM135" s="17">
        <v>665419</v>
      </c>
      <c r="AN135" s="17">
        <v>1144844</v>
      </c>
      <c r="AO135" s="17"/>
      <c r="AP135" s="17"/>
      <c r="AQ135" s="17"/>
      <c r="AR135" s="17"/>
      <c r="AS135" s="17"/>
      <c r="AT135" s="17"/>
      <c r="AU135" s="17"/>
      <c r="BN135" s="17"/>
      <c r="BO135" s="17"/>
      <c r="BP135" s="17"/>
      <c r="BQ135" s="17"/>
      <c r="BR135" s="17"/>
      <c r="BX135" s="17"/>
    </row>
    <row r="136" spans="1:76" x14ac:dyDescent="0.25">
      <c r="A136" t="s">
        <v>1118</v>
      </c>
      <c r="B136" t="s">
        <v>30</v>
      </c>
      <c r="C136">
        <v>2016</v>
      </c>
      <c r="D136" t="s">
        <v>1119</v>
      </c>
      <c r="E136" s="61">
        <v>950</v>
      </c>
      <c r="F136" s="67">
        <v>8707579532099.999</v>
      </c>
      <c r="G136" s="17">
        <v>15850567</v>
      </c>
      <c r="H136" t="s">
        <v>32</v>
      </c>
      <c r="I136" t="s">
        <v>89</v>
      </c>
      <c r="J136" t="s">
        <v>1120</v>
      </c>
      <c r="K136" t="s">
        <v>1121</v>
      </c>
      <c r="P136" t="s">
        <v>1904</v>
      </c>
      <c r="Q136" t="s">
        <v>1122</v>
      </c>
      <c r="R136" t="s">
        <v>1123</v>
      </c>
      <c r="S136" t="s">
        <v>1124</v>
      </c>
      <c r="T136" t="s">
        <v>296</v>
      </c>
      <c r="Z136" s="17">
        <v>400540.12400000001</v>
      </c>
      <c r="AA136" s="17">
        <v>4894.5839999999998</v>
      </c>
      <c r="AB136" s="17">
        <v>1631.528</v>
      </c>
      <c r="AC136" s="17">
        <v>6526.1120000000001</v>
      </c>
      <c r="AD136" s="17">
        <v>407066.23600000003</v>
      </c>
      <c r="AE136" s="17">
        <v>815.76400000000001</v>
      </c>
      <c r="AF136" s="51">
        <f t="shared" si="12"/>
        <v>25.269766311829727</v>
      </c>
      <c r="AG136" s="51">
        <f t="shared" si="13"/>
        <v>0.41172735334956789</v>
      </c>
      <c r="AH136" s="51">
        <f t="shared" si="14"/>
        <v>25.681493665179296</v>
      </c>
      <c r="AI136" s="51">
        <f t="shared" si="15"/>
        <v>5.1465919168695987E-2</v>
      </c>
      <c r="AJ136" s="17"/>
      <c r="AK136" s="17"/>
      <c r="AL136" s="17"/>
      <c r="AM136" s="17"/>
      <c r="AN136" s="17"/>
      <c r="AO136" s="17"/>
      <c r="AP136" s="17"/>
      <c r="AQ136" s="17"/>
      <c r="AR136" s="17"/>
      <c r="AS136" s="17"/>
      <c r="AT136" s="17"/>
      <c r="AU136" s="17"/>
      <c r="BN136" s="17"/>
      <c r="BO136" s="17"/>
      <c r="BP136" s="17"/>
      <c r="BQ136" s="17"/>
      <c r="BR136" s="17"/>
      <c r="BX136" s="17"/>
    </row>
    <row r="137" spans="1:76" x14ac:dyDescent="0.25">
      <c r="A137" t="s">
        <v>1126</v>
      </c>
      <c r="B137" t="s">
        <v>30</v>
      </c>
      <c r="C137">
        <v>2013</v>
      </c>
      <c r="D137" t="s">
        <v>1127</v>
      </c>
      <c r="E137" s="61">
        <v>6050</v>
      </c>
      <c r="F137" s="67">
        <v>3876403400000</v>
      </c>
      <c r="G137" s="17">
        <v>7164132</v>
      </c>
      <c r="H137" t="s">
        <v>42</v>
      </c>
      <c r="I137" t="s">
        <v>43</v>
      </c>
      <c r="J137" t="s">
        <v>53</v>
      </c>
      <c r="K137" t="s">
        <v>1128</v>
      </c>
      <c r="L137" t="s">
        <v>92</v>
      </c>
      <c r="M137" t="s">
        <v>48</v>
      </c>
      <c r="N137" t="s">
        <v>62</v>
      </c>
      <c r="O137" t="s">
        <v>63</v>
      </c>
      <c r="T137" t="s">
        <v>55</v>
      </c>
      <c r="Y137" t="s">
        <v>55</v>
      </c>
      <c r="Z137" s="17">
        <v>269931</v>
      </c>
      <c r="AA137" s="17">
        <v>8903</v>
      </c>
      <c r="AB137" s="17">
        <v>2011</v>
      </c>
      <c r="AC137" s="17">
        <v>10914</v>
      </c>
      <c r="AD137" s="17">
        <v>280845</v>
      </c>
      <c r="AE137" s="17">
        <v>489</v>
      </c>
      <c r="AF137" s="51">
        <f t="shared" si="12"/>
        <v>37.678116483615881</v>
      </c>
      <c r="AG137" s="51">
        <f t="shared" si="13"/>
        <v>1.5234225165030459</v>
      </c>
      <c r="AH137" s="51">
        <f t="shared" si="14"/>
        <v>39.201539000118927</v>
      </c>
      <c r="AI137" s="51">
        <f t="shared" si="15"/>
        <v>6.8256698787794529E-2</v>
      </c>
      <c r="AJ137" s="17">
        <v>589686</v>
      </c>
      <c r="AK137" s="17">
        <v>179178</v>
      </c>
      <c r="AL137" s="17">
        <v>210609</v>
      </c>
      <c r="AM137" s="17">
        <v>389787</v>
      </c>
      <c r="AN137" s="17">
        <v>979473</v>
      </c>
      <c r="AO137" s="17">
        <v>411030</v>
      </c>
      <c r="AP137" s="17">
        <v>2998000000</v>
      </c>
      <c r="AQ137" s="17">
        <v>2203000000</v>
      </c>
      <c r="AR137" s="17">
        <v>2713000000</v>
      </c>
      <c r="AS137" s="17">
        <v>4916000000</v>
      </c>
      <c r="AT137" s="17">
        <v>7914000000</v>
      </c>
      <c r="AU137" s="17">
        <v>7019000000</v>
      </c>
      <c r="AY137" s="71"/>
      <c r="BA137" s="71"/>
      <c r="BC137" s="65"/>
      <c r="BN137" s="17"/>
      <c r="BO137" s="17"/>
      <c r="BP137" s="17"/>
      <c r="BQ137" s="17"/>
      <c r="BR137" s="17"/>
      <c r="BV137" t="s">
        <v>1129</v>
      </c>
      <c r="BX137" s="17"/>
    </row>
    <row r="138" spans="1:76" x14ac:dyDescent="0.25">
      <c r="A138" t="s">
        <v>1132</v>
      </c>
      <c r="B138" t="s">
        <v>30</v>
      </c>
      <c r="C138">
        <v>2018</v>
      </c>
      <c r="D138" t="s">
        <v>1133</v>
      </c>
      <c r="E138" s="61">
        <v>54530</v>
      </c>
      <c r="F138" s="67">
        <v>447283500000</v>
      </c>
      <c r="G138" s="17">
        <v>5612253</v>
      </c>
      <c r="H138" t="s">
        <v>109</v>
      </c>
      <c r="I138" t="s">
        <v>77</v>
      </c>
      <c r="J138" t="s">
        <v>1134</v>
      </c>
      <c r="K138" t="s">
        <v>1135</v>
      </c>
      <c r="N138" t="s">
        <v>494</v>
      </c>
      <c r="O138" t="s">
        <v>1726</v>
      </c>
      <c r="W138" t="s">
        <v>1258</v>
      </c>
      <c r="X138" t="s">
        <v>2017</v>
      </c>
      <c r="Y138" t="s">
        <v>1136</v>
      </c>
      <c r="Z138" s="17"/>
      <c r="AA138" s="17"/>
      <c r="AB138" s="17"/>
      <c r="AC138" s="17"/>
      <c r="AD138" s="17">
        <v>263900</v>
      </c>
      <c r="AE138" s="17">
        <v>1300</v>
      </c>
      <c r="AF138" s="51" t="str">
        <f t="shared" si="12"/>
        <v/>
      </c>
      <c r="AG138" s="51" t="str">
        <f t="shared" si="13"/>
        <v/>
      </c>
      <c r="AH138" s="51">
        <f t="shared" si="14"/>
        <v>47.022113935348244</v>
      </c>
      <c r="AI138" s="51">
        <f t="shared" si="15"/>
        <v>0.2316360292381687</v>
      </c>
      <c r="AJ138" s="17"/>
      <c r="AK138" s="17"/>
      <c r="AL138" s="17"/>
      <c r="AM138" s="17"/>
      <c r="AN138" s="17">
        <v>2500000</v>
      </c>
      <c r="AO138" s="17">
        <v>1000000</v>
      </c>
      <c r="AP138" s="17"/>
      <c r="AQ138" s="17"/>
      <c r="AR138" s="17"/>
      <c r="AS138" s="17"/>
      <c r="AT138" s="17">
        <v>212000000000</v>
      </c>
      <c r="AU138" s="17">
        <v>233000000000</v>
      </c>
      <c r="BF138" s="65"/>
      <c r="BG138" s="65"/>
      <c r="BH138" s="65"/>
      <c r="BI138" s="65"/>
      <c r="BN138" s="17"/>
      <c r="BO138" s="17"/>
      <c r="BP138" s="17"/>
      <c r="BQ138" s="17"/>
      <c r="BR138" s="17"/>
      <c r="BT138" t="s">
        <v>1137</v>
      </c>
      <c r="BX138" s="17"/>
    </row>
    <row r="139" spans="1:76" x14ac:dyDescent="0.25">
      <c r="A139" t="s">
        <v>1138</v>
      </c>
      <c r="B139" t="s">
        <v>30</v>
      </c>
      <c r="C139">
        <v>2016</v>
      </c>
      <c r="D139" t="s">
        <v>1139</v>
      </c>
      <c r="E139" s="61">
        <v>17010</v>
      </c>
      <c r="F139" s="67">
        <v>81153966000</v>
      </c>
      <c r="G139" s="17">
        <v>5430798</v>
      </c>
      <c r="H139" t="s">
        <v>109</v>
      </c>
      <c r="I139" t="s">
        <v>43</v>
      </c>
      <c r="J139" t="s">
        <v>188</v>
      </c>
      <c r="K139" t="s">
        <v>1140</v>
      </c>
      <c r="L139" t="s">
        <v>190</v>
      </c>
      <c r="M139" t="s">
        <v>48</v>
      </c>
      <c r="N139" t="s">
        <v>62</v>
      </c>
      <c r="O139" t="s">
        <v>63</v>
      </c>
      <c r="T139" t="s">
        <v>55</v>
      </c>
      <c r="Y139" t="s">
        <v>55</v>
      </c>
      <c r="Z139" s="17">
        <v>432900</v>
      </c>
      <c r="AA139" s="17">
        <v>6584</v>
      </c>
      <c r="AB139" s="17">
        <v>2454</v>
      </c>
      <c r="AC139" s="17">
        <v>9038</v>
      </c>
      <c r="AD139" s="17">
        <v>441938</v>
      </c>
      <c r="AE139" s="17">
        <v>555</v>
      </c>
      <c r="AF139" s="51">
        <f t="shared" si="12"/>
        <v>79.712042318642673</v>
      </c>
      <c r="AG139" s="51">
        <f t="shared" si="13"/>
        <v>1.6642121470914588</v>
      </c>
      <c r="AH139" s="51">
        <f t="shared" si="14"/>
        <v>81.376254465734121</v>
      </c>
      <c r="AI139" s="51">
        <f t="shared" si="15"/>
        <v>0.10219492604954189</v>
      </c>
      <c r="AJ139" s="17">
        <v>631580</v>
      </c>
      <c r="AK139" s="17">
        <v>211697</v>
      </c>
      <c r="AL139" s="17">
        <v>251444</v>
      </c>
      <c r="AM139" s="17">
        <v>463141</v>
      </c>
      <c r="AN139" s="17">
        <v>1094721</v>
      </c>
      <c r="AO139" s="17">
        <v>431905</v>
      </c>
      <c r="AP139" s="17">
        <v>7921300000</v>
      </c>
      <c r="AQ139" s="17">
        <v>5008900000</v>
      </c>
      <c r="AR139" s="17">
        <v>6514100000</v>
      </c>
      <c r="AS139" s="17">
        <v>11523000000</v>
      </c>
      <c r="AT139" s="17">
        <v>19444300000</v>
      </c>
      <c r="AU139" s="17">
        <v>15802700000</v>
      </c>
      <c r="BH139"/>
      <c r="BN139" s="17"/>
      <c r="BO139" s="17"/>
      <c r="BP139" s="17"/>
      <c r="BQ139" s="17"/>
      <c r="BR139" s="17"/>
      <c r="BX139" s="17"/>
    </row>
    <row r="140" spans="1:76" x14ac:dyDescent="0.25">
      <c r="A140" t="s">
        <v>1141</v>
      </c>
      <c r="B140" t="s">
        <v>30</v>
      </c>
      <c r="C140">
        <v>2016</v>
      </c>
      <c r="D140" t="s">
        <v>1142</v>
      </c>
      <c r="E140" s="61">
        <v>21700</v>
      </c>
      <c r="F140" s="67">
        <v>40418143700</v>
      </c>
      <c r="G140" s="17">
        <v>2066748</v>
      </c>
      <c r="H140" t="s">
        <v>109</v>
      </c>
      <c r="I140" t="s">
        <v>43</v>
      </c>
      <c r="J140" t="s">
        <v>1143</v>
      </c>
      <c r="K140" t="s">
        <v>1144</v>
      </c>
      <c r="L140" t="s">
        <v>61</v>
      </c>
      <c r="M140" t="s">
        <v>48</v>
      </c>
      <c r="N140" t="s">
        <v>62</v>
      </c>
      <c r="O140" t="s">
        <v>63</v>
      </c>
      <c r="Z140" s="17">
        <v>186438</v>
      </c>
      <c r="AA140" s="17">
        <v>7268</v>
      </c>
      <c r="AB140" s="17">
        <v>2027</v>
      </c>
      <c r="AC140" s="17">
        <v>9295</v>
      </c>
      <c r="AD140" s="17">
        <v>195733</v>
      </c>
      <c r="AE140" s="17">
        <v>339</v>
      </c>
      <c r="AF140" s="51">
        <f t="shared" si="12"/>
        <v>90.208385347415359</v>
      </c>
      <c r="AG140" s="51">
        <f t="shared" si="13"/>
        <v>4.4974036505660093</v>
      </c>
      <c r="AH140" s="51">
        <f t="shared" si="14"/>
        <v>94.705788997981358</v>
      </c>
      <c r="AI140" s="51">
        <f t="shared" si="15"/>
        <v>0.16402580285550053</v>
      </c>
      <c r="AJ140" s="17">
        <v>254551</v>
      </c>
      <c r="AK140" s="17">
        <v>143423</v>
      </c>
      <c r="AL140" s="17">
        <v>200017</v>
      </c>
      <c r="AM140" s="17">
        <v>343440</v>
      </c>
      <c r="AN140" s="17">
        <v>597991</v>
      </c>
      <c r="AO140" s="17">
        <v>260212</v>
      </c>
      <c r="AP140" s="17"/>
      <c r="AQ140" s="17"/>
      <c r="AR140" s="17"/>
      <c r="AS140" s="17"/>
      <c r="AT140" s="17"/>
      <c r="AU140" s="17"/>
      <c r="BH140"/>
      <c r="BN140" s="17"/>
      <c r="BO140" s="17"/>
      <c r="BP140" s="17"/>
      <c r="BQ140" s="17"/>
      <c r="BR140" s="17"/>
      <c r="BX140" s="17" t="s">
        <v>1146</v>
      </c>
    </row>
    <row r="141" spans="1:76" x14ac:dyDescent="0.25">
      <c r="A141" t="s">
        <v>1148</v>
      </c>
      <c r="B141" t="s">
        <v>30</v>
      </c>
      <c r="C141">
        <v>2014</v>
      </c>
      <c r="D141" t="s">
        <v>1149</v>
      </c>
      <c r="E141" s="61">
        <v>1880</v>
      </c>
      <c r="F141" s="67">
        <v>8645830362.9443111</v>
      </c>
      <c r="G141" s="17">
        <v>575504</v>
      </c>
      <c r="H141" t="s">
        <v>88</v>
      </c>
      <c r="I141" t="s">
        <v>77</v>
      </c>
      <c r="J141" t="s">
        <v>1150</v>
      </c>
      <c r="K141" t="s">
        <v>1151</v>
      </c>
      <c r="L141" t="s">
        <v>954</v>
      </c>
      <c r="M141" t="s">
        <v>622</v>
      </c>
      <c r="N141" t="s">
        <v>49</v>
      </c>
      <c r="Z141" s="17"/>
      <c r="AA141" s="17"/>
      <c r="AB141" s="17"/>
      <c r="AC141" s="17" t="s">
        <v>1152</v>
      </c>
      <c r="AD141" s="17" t="s">
        <v>1152</v>
      </c>
      <c r="AE141" s="17" t="s">
        <v>1152</v>
      </c>
      <c r="AF141" s="51" t="str">
        <f t="shared" si="12"/>
        <v/>
      </c>
      <c r="AG141" s="51" t="str">
        <f t="shared" si="13"/>
        <v/>
      </c>
      <c r="AH141" s="51" t="str">
        <f t="shared" si="14"/>
        <v/>
      </c>
      <c r="AI141" s="51" t="str">
        <f t="shared" si="15"/>
        <v/>
      </c>
      <c r="AJ141" s="17" t="s">
        <v>1152</v>
      </c>
      <c r="AK141" s="17" t="s">
        <v>1152</v>
      </c>
      <c r="AL141" s="17" t="s">
        <v>1152</v>
      </c>
      <c r="AM141" s="17"/>
      <c r="AN141" s="17"/>
      <c r="AO141" s="17"/>
      <c r="AP141" s="17"/>
      <c r="AQ141" s="17"/>
      <c r="AR141" s="17"/>
      <c r="AS141" s="17"/>
      <c r="AT141" s="17"/>
      <c r="AU141" s="17"/>
      <c r="BC141" s="65"/>
      <c r="BF141" s="65"/>
      <c r="BG141" s="65"/>
      <c r="BH141"/>
      <c r="BN141" s="17"/>
      <c r="BO141" s="17"/>
      <c r="BP141" s="17"/>
      <c r="BQ141" s="17"/>
      <c r="BR141" s="17"/>
      <c r="BX141" s="17" t="s">
        <v>1839</v>
      </c>
    </row>
    <row r="142" spans="1:76" x14ac:dyDescent="0.25">
      <c r="A142" t="s">
        <v>1161</v>
      </c>
      <c r="B142" t="s">
        <v>30</v>
      </c>
      <c r="C142">
        <v>2017</v>
      </c>
      <c r="D142" t="s">
        <v>1162</v>
      </c>
      <c r="E142" s="61">
        <v>5430</v>
      </c>
      <c r="F142" s="67">
        <v>4651784779600</v>
      </c>
      <c r="G142" s="17">
        <v>56717156</v>
      </c>
      <c r="H142" t="s">
        <v>42</v>
      </c>
      <c r="I142" t="s">
        <v>89</v>
      </c>
      <c r="J142" t="s">
        <v>1826</v>
      </c>
      <c r="K142" t="s">
        <v>1827</v>
      </c>
      <c r="L142" t="s">
        <v>1651</v>
      </c>
      <c r="M142" t="s">
        <v>1828</v>
      </c>
      <c r="N142" t="s">
        <v>1829</v>
      </c>
      <c r="O142" t="s">
        <v>1830</v>
      </c>
      <c r="P142" t="s">
        <v>1831</v>
      </c>
      <c r="Q142" t="s">
        <v>1832</v>
      </c>
      <c r="R142" t="s">
        <v>1833</v>
      </c>
      <c r="S142" t="s">
        <v>1834</v>
      </c>
      <c r="T142" t="s">
        <v>1163</v>
      </c>
      <c r="U142" t="s">
        <v>1835</v>
      </c>
      <c r="V142" t="s">
        <v>1836</v>
      </c>
      <c r="W142" t="s">
        <v>1837</v>
      </c>
      <c r="X142" t="s">
        <v>1886</v>
      </c>
      <c r="Y142" t="s">
        <v>1163</v>
      </c>
      <c r="Z142" s="17">
        <v>302940</v>
      </c>
      <c r="AA142" s="17">
        <v>510819</v>
      </c>
      <c r="AB142" s="17">
        <v>131008</v>
      </c>
      <c r="AC142" s="17">
        <v>641827</v>
      </c>
      <c r="AD142" s="17">
        <v>944767</v>
      </c>
      <c r="AE142" s="17"/>
      <c r="AF142" s="51">
        <f t="shared" si="12"/>
        <v>5.3412410170919005</v>
      </c>
      <c r="AG142" s="51">
        <f t="shared" si="13"/>
        <v>11.316276154608316</v>
      </c>
      <c r="AH142" s="51">
        <f t="shared" si="14"/>
        <v>16.657517171700217</v>
      </c>
      <c r="AI142" s="51" t="str">
        <f t="shared" si="15"/>
        <v/>
      </c>
      <c r="AJ142" s="17"/>
      <c r="AK142" s="17"/>
      <c r="AL142" s="17"/>
      <c r="AM142" s="17"/>
      <c r="AN142" s="17"/>
      <c r="AO142" s="17"/>
      <c r="AP142" s="17"/>
      <c r="AQ142" s="17"/>
      <c r="AR142" s="17"/>
      <c r="AS142" s="17"/>
      <c r="AT142" s="17">
        <v>4651784779600</v>
      </c>
      <c r="AU142" s="17"/>
      <c r="BF142" s="67">
        <v>230000000000</v>
      </c>
      <c r="BG142" s="68">
        <v>0.44</v>
      </c>
      <c r="BH142" s="66">
        <v>292727272727</v>
      </c>
      <c r="BI142" s="70">
        <v>0.56000000000000005</v>
      </c>
      <c r="BN142" s="17"/>
      <c r="BO142" s="17"/>
      <c r="BP142" s="17">
        <v>877420</v>
      </c>
      <c r="BQ142" s="17"/>
      <c r="BR142" s="17"/>
      <c r="BS142" s="71">
        <v>0.72</v>
      </c>
      <c r="BX142" s="17"/>
    </row>
    <row r="143" spans="1:76" x14ac:dyDescent="0.25">
      <c r="A143" t="s">
        <v>1166</v>
      </c>
      <c r="B143" t="s">
        <v>30</v>
      </c>
      <c r="C143">
        <v>2010</v>
      </c>
      <c r="D143" t="s">
        <v>1167</v>
      </c>
      <c r="E143" s="61">
        <v>1100</v>
      </c>
      <c r="F143" s="67">
        <v>0</v>
      </c>
      <c r="G143" s="17">
        <v>10067192</v>
      </c>
      <c r="H143" t="s">
        <v>32</v>
      </c>
      <c r="I143" t="s">
        <v>89</v>
      </c>
      <c r="J143" t="s">
        <v>1168</v>
      </c>
      <c r="K143" t="s">
        <v>1169</v>
      </c>
      <c r="L143" t="s">
        <v>46</v>
      </c>
      <c r="M143" t="s">
        <v>47</v>
      </c>
      <c r="N143" t="s">
        <v>48</v>
      </c>
      <c r="O143" t="s">
        <v>49</v>
      </c>
      <c r="Z143" s="17">
        <v>6587</v>
      </c>
      <c r="AA143" s="17">
        <v>486</v>
      </c>
      <c r="AB143" s="17">
        <v>240</v>
      </c>
      <c r="AC143" s="17">
        <v>726</v>
      </c>
      <c r="AD143" s="17">
        <v>7313</v>
      </c>
      <c r="AE143" s="17">
        <v>20</v>
      </c>
      <c r="AF143" s="51">
        <f t="shared" si="12"/>
        <v>0.65430360322918246</v>
      </c>
      <c r="AG143" s="51">
        <f t="shared" si="13"/>
        <v>7.2115441922633444E-2</v>
      </c>
      <c r="AH143" s="51">
        <f t="shared" si="14"/>
        <v>0.72641904515181599</v>
      </c>
      <c r="AI143" s="51">
        <f t="shared" si="15"/>
        <v>1.9866512926345302E-3</v>
      </c>
      <c r="AJ143" s="17"/>
      <c r="AK143" s="17"/>
      <c r="AL143" s="17"/>
      <c r="AM143" s="17"/>
      <c r="AN143" s="17"/>
      <c r="AO143" s="17"/>
      <c r="AP143" s="17"/>
      <c r="AQ143" s="17"/>
      <c r="AR143" s="17"/>
      <c r="AS143" s="17"/>
      <c r="AT143" s="17"/>
      <c r="AU143" s="17"/>
      <c r="BH143"/>
      <c r="BN143" s="17"/>
      <c r="BO143" s="17"/>
      <c r="BP143" s="17"/>
      <c r="BQ143" s="17"/>
      <c r="BR143" s="17"/>
      <c r="BU143" t="s">
        <v>1170</v>
      </c>
      <c r="BX143" s="17"/>
    </row>
    <row r="144" spans="1:76" x14ac:dyDescent="0.25">
      <c r="A144" t="s">
        <v>1171</v>
      </c>
      <c r="B144" t="s">
        <v>30</v>
      </c>
      <c r="C144">
        <v>2016</v>
      </c>
      <c r="D144" t="s">
        <v>1172</v>
      </c>
      <c r="E144" s="61">
        <v>27580</v>
      </c>
      <c r="F144" s="67">
        <v>1118522000000</v>
      </c>
      <c r="G144" s="17">
        <v>46572028</v>
      </c>
      <c r="H144" t="s">
        <v>109</v>
      </c>
      <c r="I144" t="s">
        <v>43</v>
      </c>
      <c r="J144" t="s">
        <v>188</v>
      </c>
      <c r="K144" t="s">
        <v>1140</v>
      </c>
      <c r="L144" t="s">
        <v>190</v>
      </c>
      <c r="M144" t="s">
        <v>48</v>
      </c>
      <c r="N144" t="s">
        <v>62</v>
      </c>
      <c r="O144" t="s">
        <v>63</v>
      </c>
      <c r="Z144" s="17">
        <v>2538801</v>
      </c>
      <c r="AA144" s="17">
        <v>125846</v>
      </c>
      <c r="AB144" s="17">
        <v>15072</v>
      </c>
      <c r="AC144" s="17">
        <v>2664647</v>
      </c>
      <c r="AD144" s="17">
        <v>5203448</v>
      </c>
      <c r="AE144" s="17">
        <v>3185</v>
      </c>
      <c r="AF144" s="51">
        <f t="shared" si="12"/>
        <v>54.513430250449908</v>
      </c>
      <c r="AG144" s="51">
        <f t="shared" si="13"/>
        <v>57.21561019417063</v>
      </c>
      <c r="AH144" s="51">
        <f t="shared" si="14"/>
        <v>111.72904044462054</v>
      </c>
      <c r="AI144" s="51">
        <f t="shared" si="15"/>
        <v>6.838869030998608E-2</v>
      </c>
      <c r="AJ144" s="17">
        <v>4540883</v>
      </c>
      <c r="AK144" s="17">
        <v>2387091</v>
      </c>
      <c r="AL144" s="17">
        <v>1536888</v>
      </c>
      <c r="AM144" s="17">
        <v>3923979</v>
      </c>
      <c r="AN144" s="17">
        <v>8464862</v>
      </c>
      <c r="AO144" s="17">
        <v>3248856</v>
      </c>
      <c r="AP144" s="17">
        <v>114294000000</v>
      </c>
      <c r="AQ144" s="17">
        <v>90862800000</v>
      </c>
      <c r="AR144" s="17">
        <v>83601400000</v>
      </c>
      <c r="AS144" s="17">
        <v>174464200000</v>
      </c>
      <c r="AT144" s="17">
        <v>288758200000</v>
      </c>
      <c r="AU144" s="17">
        <v>185226600000</v>
      </c>
      <c r="AV144" t="s">
        <v>1140</v>
      </c>
      <c r="AW144" t="s">
        <v>1140</v>
      </c>
      <c r="BH144"/>
      <c r="BN144" s="17"/>
      <c r="BO144" s="17"/>
      <c r="BP144" s="17"/>
      <c r="BQ144" s="17"/>
      <c r="BR144" s="17"/>
      <c r="BT144" t="s">
        <v>1070</v>
      </c>
      <c r="BU144" t="s">
        <v>1071</v>
      </c>
      <c r="BV144" t="s">
        <v>1179</v>
      </c>
      <c r="BX144" s="17"/>
    </row>
    <row r="145" spans="1:76" x14ac:dyDescent="0.25">
      <c r="A145" t="s">
        <v>1183</v>
      </c>
      <c r="B145" t="s">
        <v>30</v>
      </c>
      <c r="C145">
        <v>2014</v>
      </c>
      <c r="D145" t="s">
        <v>1184</v>
      </c>
      <c r="E145" s="61">
        <v>3640</v>
      </c>
      <c r="F145" s="67">
        <v>10361151066500</v>
      </c>
      <c r="G145" s="17">
        <v>20771000</v>
      </c>
      <c r="H145" t="s">
        <v>88</v>
      </c>
      <c r="I145" t="s">
        <v>33</v>
      </c>
      <c r="J145" t="s">
        <v>1185</v>
      </c>
      <c r="K145" t="s">
        <v>1186</v>
      </c>
      <c r="L145" t="s">
        <v>1187</v>
      </c>
      <c r="M145" t="s">
        <v>1188</v>
      </c>
      <c r="N145" t="s">
        <v>1189</v>
      </c>
      <c r="O145" t="s">
        <v>1190</v>
      </c>
      <c r="Z145" s="17">
        <v>935736</v>
      </c>
      <c r="AA145" s="17">
        <v>71126</v>
      </c>
      <c r="AB145" s="17">
        <v>10405</v>
      </c>
      <c r="AC145" s="17">
        <v>81531</v>
      </c>
      <c r="AD145" s="17">
        <v>1017267</v>
      </c>
      <c r="AE145" s="17">
        <v>2414</v>
      </c>
      <c r="AF145" s="51">
        <f t="shared" si="12"/>
        <v>45.050117952915123</v>
      </c>
      <c r="AG145" s="51">
        <f t="shared" si="13"/>
        <v>3.9252322950267198</v>
      </c>
      <c r="AH145" s="51">
        <f t="shared" si="14"/>
        <v>48.97535024794184</v>
      </c>
      <c r="AI145" s="51">
        <f t="shared" si="15"/>
        <v>0.11621972943045593</v>
      </c>
      <c r="AJ145" s="17">
        <v>1338064</v>
      </c>
      <c r="AK145" s="17">
        <v>529248</v>
      </c>
      <c r="AL145" s="17">
        <v>387859</v>
      </c>
      <c r="AM145" s="17">
        <v>917107</v>
      </c>
      <c r="AN145" s="17">
        <v>2255171</v>
      </c>
      <c r="AO145" s="17">
        <v>747948</v>
      </c>
      <c r="AP145" s="17"/>
      <c r="AQ145" s="17"/>
      <c r="AR145" s="17"/>
      <c r="AS145" s="17"/>
      <c r="AT145" s="17"/>
      <c r="AU145" s="17"/>
      <c r="BH145"/>
      <c r="BN145" s="17">
        <v>246098</v>
      </c>
      <c r="BO145" s="17">
        <v>6538</v>
      </c>
      <c r="BP145" s="17">
        <f>BN145+BO145</f>
        <v>252636</v>
      </c>
      <c r="BQ145" s="17"/>
      <c r="BR145" s="17"/>
      <c r="BS145" s="71">
        <v>0.42399999999999999</v>
      </c>
      <c r="BX145" s="17"/>
    </row>
    <row r="146" spans="1:76" x14ac:dyDescent="0.25">
      <c r="A146" t="s">
        <v>1191</v>
      </c>
      <c r="B146" t="s">
        <v>30</v>
      </c>
      <c r="C146">
        <v>2016</v>
      </c>
      <c r="D146" t="s">
        <v>1192</v>
      </c>
      <c r="E146" s="61">
        <v>15690</v>
      </c>
      <c r="F146" s="67">
        <v>2456607500</v>
      </c>
      <c r="G146" s="17">
        <v>55345</v>
      </c>
      <c r="H146" t="s">
        <v>109</v>
      </c>
      <c r="I146" t="s">
        <v>110</v>
      </c>
      <c r="J146" t="s">
        <v>1193</v>
      </c>
      <c r="K146" t="s">
        <v>1194</v>
      </c>
      <c r="M146" t="s">
        <v>1195</v>
      </c>
      <c r="Q146" t="s">
        <v>1196</v>
      </c>
      <c r="V146" t="s">
        <v>619</v>
      </c>
      <c r="Z146" s="17"/>
      <c r="AA146" s="17"/>
      <c r="AB146" s="17"/>
      <c r="AC146" s="17"/>
      <c r="AD146" s="17"/>
      <c r="AE146" s="17"/>
      <c r="AF146" s="51" t="str">
        <f t="shared" si="12"/>
        <v/>
      </c>
      <c r="AG146" s="51" t="str">
        <f t="shared" si="13"/>
        <v/>
      </c>
      <c r="AH146" s="51" t="str">
        <f t="shared" si="14"/>
        <v/>
      </c>
      <c r="AI146" s="51" t="str">
        <f t="shared" si="15"/>
        <v/>
      </c>
      <c r="AJ146" s="17"/>
      <c r="AK146" s="17"/>
      <c r="AL146" s="17"/>
      <c r="AM146" s="17"/>
      <c r="AN146" s="17"/>
      <c r="AO146" s="17"/>
      <c r="AP146" s="17"/>
      <c r="AQ146" s="17"/>
      <c r="AR146" s="17"/>
      <c r="AS146" s="17"/>
      <c r="AT146" s="17"/>
      <c r="AU146" s="17"/>
      <c r="BH146"/>
      <c r="BN146" s="17"/>
      <c r="BO146" s="17"/>
      <c r="BP146" s="17"/>
      <c r="BQ146" s="17"/>
      <c r="BR146" s="17"/>
      <c r="BX146" s="17"/>
    </row>
    <row r="147" spans="1:76" x14ac:dyDescent="0.25">
      <c r="A147" t="s">
        <v>1197</v>
      </c>
      <c r="B147" t="s">
        <v>30</v>
      </c>
      <c r="C147">
        <v>2011</v>
      </c>
      <c r="D147" t="s">
        <v>1198</v>
      </c>
      <c r="E147" s="61">
        <v>7790</v>
      </c>
      <c r="F147" s="67">
        <v>3881748999.9999995</v>
      </c>
      <c r="G147" s="17">
        <v>173832</v>
      </c>
      <c r="H147" t="s">
        <v>42</v>
      </c>
      <c r="I147" t="s">
        <v>110</v>
      </c>
      <c r="J147" t="s">
        <v>1200</v>
      </c>
      <c r="K147" t="s">
        <v>1203</v>
      </c>
      <c r="L147" t="s">
        <v>34</v>
      </c>
      <c r="M147" t="s">
        <v>371</v>
      </c>
      <c r="O147" t="s">
        <v>244</v>
      </c>
      <c r="P147" t="s">
        <v>1202</v>
      </c>
      <c r="Q147" t="s">
        <v>252</v>
      </c>
      <c r="T147" t="s">
        <v>114</v>
      </c>
      <c r="U147" t="s">
        <v>220</v>
      </c>
      <c r="V147" t="s">
        <v>1199</v>
      </c>
      <c r="Y147" t="s">
        <v>114</v>
      </c>
      <c r="Z147" s="17">
        <v>5960</v>
      </c>
      <c r="AA147" s="17">
        <v>215</v>
      </c>
      <c r="AB147" s="17"/>
      <c r="AC147" s="17"/>
      <c r="AD147" s="17">
        <v>6175</v>
      </c>
      <c r="AE147" s="17">
        <v>96</v>
      </c>
      <c r="AF147" s="51">
        <f t="shared" ref="AF147:AF178" si="16">IF(ISERROR((Z147/$G147)*1000),"",IF((Z147/$G147)*1000=0,"",(Z147/$G147)*1000))</f>
        <v>34.285977265405677</v>
      </c>
      <c r="AG147" s="51" t="str">
        <f t="shared" ref="AG147:AG178" si="17">IF(ISERROR((AC147/$G147)*1000),"",IF((AC147/$G147)*1000=0,"",(AC147/$G147)*1000))</f>
        <v/>
      </c>
      <c r="AH147" s="51">
        <f t="shared" ref="AH147:AH178" si="18">IF(ISERROR((AD147/$G147)*1000),"",IF((AD147/$G147)*1000=0,"",(AD147/$G147)*1000))</f>
        <v>35.522803626489939</v>
      </c>
      <c r="AI147" s="51">
        <f t="shared" ref="AI147:AI178" si="19">IF(ISERROR((AE147/$G147)*1000),"",IF((AE147/$G147)*1000=0,"",(AE147/$G147)*1000))</f>
        <v>0.55225735192599745</v>
      </c>
      <c r="AJ147" s="17"/>
      <c r="AK147" s="17"/>
      <c r="AL147" s="17"/>
      <c r="AM147" s="17"/>
      <c r="AN147" s="17"/>
      <c r="AO147" s="17"/>
      <c r="AP147" s="17"/>
      <c r="AQ147" s="17"/>
      <c r="AR147" s="17"/>
      <c r="AS147" s="17"/>
      <c r="AT147" s="17"/>
      <c r="AU147" s="17"/>
      <c r="BH147"/>
      <c r="BN147" s="17"/>
      <c r="BO147" s="17"/>
      <c r="BP147" s="17"/>
      <c r="BQ147" s="17"/>
      <c r="BR147" s="17"/>
      <c r="BX147" s="17"/>
    </row>
    <row r="148" spans="1:76" x14ac:dyDescent="0.25">
      <c r="A148" t="s">
        <v>1204</v>
      </c>
      <c r="B148" t="s">
        <v>30</v>
      </c>
      <c r="C148">
        <v>2010</v>
      </c>
      <c r="D148" t="s">
        <v>1205</v>
      </c>
      <c r="E148" s="61">
        <v>6030</v>
      </c>
      <c r="F148" s="67">
        <v>1839310100</v>
      </c>
      <c r="G148" s="17">
        <v>109315</v>
      </c>
      <c r="H148" t="s">
        <v>42</v>
      </c>
      <c r="I148" t="s">
        <v>110</v>
      </c>
      <c r="J148" t="s">
        <v>1206</v>
      </c>
      <c r="K148" t="s">
        <v>1207</v>
      </c>
      <c r="L148" t="s">
        <v>34</v>
      </c>
      <c r="M148" t="s">
        <v>35</v>
      </c>
      <c r="N148" t="s">
        <v>276</v>
      </c>
      <c r="O148" t="s">
        <v>244</v>
      </c>
      <c r="P148" t="s">
        <v>220</v>
      </c>
      <c r="Q148" t="s">
        <v>252</v>
      </c>
      <c r="R148" t="s">
        <v>1199</v>
      </c>
      <c r="S148" t="s">
        <v>1208</v>
      </c>
      <c r="T148" t="s">
        <v>114</v>
      </c>
      <c r="U148" t="s">
        <v>220</v>
      </c>
      <c r="V148" t="s">
        <v>252</v>
      </c>
      <c r="W148" t="s">
        <v>115</v>
      </c>
      <c r="X148" t="s">
        <v>1209</v>
      </c>
      <c r="Y148" t="s">
        <v>114</v>
      </c>
      <c r="Z148" s="17"/>
      <c r="AA148" s="17"/>
      <c r="AB148" s="17"/>
      <c r="AC148" s="17"/>
      <c r="AD148" s="17"/>
      <c r="AE148" s="17"/>
      <c r="AF148" s="51" t="str">
        <f t="shared" si="16"/>
        <v/>
      </c>
      <c r="AG148" s="51" t="str">
        <f t="shared" si="17"/>
        <v/>
      </c>
      <c r="AH148" s="51" t="str">
        <f t="shared" si="18"/>
        <v/>
      </c>
      <c r="AI148" s="51" t="str">
        <f t="shared" si="19"/>
        <v/>
      </c>
      <c r="AJ148" s="17">
        <v>29400</v>
      </c>
      <c r="AK148" s="17"/>
      <c r="AL148" s="17">
        <v>2450</v>
      </c>
      <c r="AM148" s="17">
        <v>2450</v>
      </c>
      <c r="AN148" s="17">
        <v>31850</v>
      </c>
      <c r="AO148" s="17">
        <v>1470</v>
      </c>
      <c r="AP148" s="17"/>
      <c r="AQ148" s="17"/>
      <c r="AR148" s="17"/>
      <c r="AS148" s="17"/>
      <c r="AT148" s="17"/>
      <c r="AU148" s="17"/>
      <c r="BH148"/>
      <c r="BN148" s="17"/>
      <c r="BO148" s="17"/>
      <c r="BP148" s="17"/>
      <c r="BQ148" s="17"/>
      <c r="BR148" s="17"/>
      <c r="BS148" s="71">
        <v>0.76</v>
      </c>
      <c r="BT148" t="s">
        <v>1210</v>
      </c>
      <c r="BX148" s="17"/>
    </row>
    <row r="149" spans="1:76" x14ac:dyDescent="0.25">
      <c r="A149" t="s">
        <v>1214</v>
      </c>
      <c r="B149" t="s">
        <v>30</v>
      </c>
      <c r="C149">
        <v>2005</v>
      </c>
      <c r="D149" t="s">
        <v>1215</v>
      </c>
      <c r="E149" s="61">
        <v>580</v>
      </c>
      <c r="F149" s="67">
        <v>64616428400</v>
      </c>
      <c r="G149" s="17">
        <v>30911914</v>
      </c>
      <c r="H149" t="s">
        <v>88</v>
      </c>
      <c r="I149" t="s">
        <v>89</v>
      </c>
      <c r="J149" t="s">
        <v>1216</v>
      </c>
      <c r="K149" t="s">
        <v>1217</v>
      </c>
      <c r="M149" t="s">
        <v>61</v>
      </c>
      <c r="N149" t="s">
        <v>1887</v>
      </c>
      <c r="Z149" s="17"/>
      <c r="AA149" s="17"/>
      <c r="AB149" s="17"/>
      <c r="AC149" s="17">
        <v>22460</v>
      </c>
      <c r="AD149" s="17"/>
      <c r="AE149" s="17">
        <v>1654</v>
      </c>
      <c r="AF149" s="51" t="str">
        <f t="shared" si="16"/>
        <v/>
      </c>
      <c r="AG149" s="51">
        <f t="shared" si="17"/>
        <v>0.72658069636192701</v>
      </c>
      <c r="AH149" s="51" t="str">
        <f t="shared" si="18"/>
        <v/>
      </c>
      <c r="AI149" s="51">
        <f t="shared" si="19"/>
        <v>5.3506877639475835E-2</v>
      </c>
      <c r="AJ149" s="17"/>
      <c r="AK149" s="17"/>
      <c r="AL149" s="17"/>
      <c r="AM149" s="17"/>
      <c r="AN149" s="17"/>
      <c r="AO149" s="17"/>
      <c r="AP149" s="17"/>
      <c r="AQ149" s="17"/>
      <c r="AR149" s="17"/>
      <c r="AS149" s="17"/>
      <c r="AT149" s="17"/>
      <c r="AU149" s="17"/>
      <c r="BH149"/>
      <c r="BN149" s="17"/>
      <c r="BO149" s="17"/>
      <c r="BP149" s="17"/>
      <c r="BQ149" s="17"/>
      <c r="BR149" s="17"/>
      <c r="BX149" s="17"/>
    </row>
    <row r="150" spans="1:76" x14ac:dyDescent="0.25">
      <c r="A150" t="s">
        <v>1218</v>
      </c>
      <c r="B150" t="s">
        <v>30</v>
      </c>
      <c r="C150">
        <v>2008</v>
      </c>
      <c r="D150" t="s">
        <v>1219</v>
      </c>
      <c r="E150" s="61">
        <v>6350</v>
      </c>
      <c r="F150" s="67">
        <v>9698000000</v>
      </c>
      <c r="G150" s="17">
        <v>515148</v>
      </c>
      <c r="H150" t="s">
        <v>42</v>
      </c>
      <c r="I150" t="s">
        <v>110</v>
      </c>
      <c r="J150" t="s">
        <v>1220</v>
      </c>
      <c r="K150" t="s">
        <v>1221</v>
      </c>
      <c r="L150" t="s">
        <v>401</v>
      </c>
      <c r="M150" t="s">
        <v>1222</v>
      </c>
      <c r="N150" t="s">
        <v>1223</v>
      </c>
      <c r="O150" t="s">
        <v>37</v>
      </c>
      <c r="Z150" s="17"/>
      <c r="AA150" s="17"/>
      <c r="AB150" s="17"/>
      <c r="AC150" s="17"/>
      <c r="AD150" s="17"/>
      <c r="AE150" s="17"/>
      <c r="AF150" s="51" t="str">
        <f t="shared" si="16"/>
        <v/>
      </c>
      <c r="AG150" s="51" t="str">
        <f t="shared" si="17"/>
        <v/>
      </c>
      <c r="AH150" s="51" t="str">
        <f t="shared" si="18"/>
        <v/>
      </c>
      <c r="AI150" s="51" t="str">
        <f t="shared" si="19"/>
        <v/>
      </c>
      <c r="AJ150" s="17"/>
      <c r="AK150" s="17"/>
      <c r="AL150" s="17"/>
      <c r="AM150" s="17"/>
      <c r="AN150" s="17"/>
      <c r="AO150" s="17"/>
      <c r="AP150" s="17"/>
      <c r="AQ150" s="17"/>
      <c r="AR150" s="17"/>
      <c r="AS150" s="17"/>
      <c r="AT150" s="17"/>
      <c r="AU150" s="17"/>
      <c r="BF150" s="65"/>
      <c r="BG150" s="65"/>
      <c r="BH150"/>
      <c r="BN150" s="17"/>
      <c r="BO150" s="17"/>
      <c r="BP150" s="17"/>
      <c r="BQ150" s="17"/>
      <c r="BR150" s="17"/>
      <c r="BX150" s="17"/>
    </row>
    <row r="151" spans="1:76" s="15" customFormat="1" x14ac:dyDescent="0.25">
      <c r="A151" s="15" t="s">
        <v>1224</v>
      </c>
      <c r="B151" s="15" t="s">
        <v>30</v>
      </c>
      <c r="C151" s="15">
        <v>2017</v>
      </c>
      <c r="D151" s="15" t="s">
        <v>1225</v>
      </c>
      <c r="E151" s="72">
        <v>52590</v>
      </c>
      <c r="F151" s="67">
        <v>4599633000000</v>
      </c>
      <c r="G151" s="67">
        <v>10067744</v>
      </c>
      <c r="H151" s="15" t="s">
        <v>109</v>
      </c>
      <c r="I151" s="15" t="s">
        <v>43</v>
      </c>
      <c r="J151" s="15" t="s">
        <v>1226</v>
      </c>
      <c r="K151" s="15" t="s">
        <v>1227</v>
      </c>
      <c r="L151" s="15" t="s">
        <v>98</v>
      </c>
      <c r="M151" s="15" t="s">
        <v>1228</v>
      </c>
      <c r="N151" s="15" t="s">
        <v>1229</v>
      </c>
      <c r="O151" s="15" t="s">
        <v>184</v>
      </c>
      <c r="Z151" s="17">
        <v>280828</v>
      </c>
      <c r="AA151" s="17">
        <v>37918</v>
      </c>
      <c r="AB151" s="17">
        <v>6278</v>
      </c>
      <c r="AC151" s="17">
        <v>44196</v>
      </c>
      <c r="AD151" s="17">
        <v>325024</v>
      </c>
      <c r="AE151" s="17">
        <v>2039</v>
      </c>
      <c r="AF151" s="51">
        <f t="shared" si="16"/>
        <v>27.893835997419085</v>
      </c>
      <c r="AG151" s="51">
        <f t="shared" si="17"/>
        <v>4.3898613234504174</v>
      </c>
      <c r="AH151" s="51">
        <f t="shared" si="18"/>
        <v>32.283697320869507</v>
      </c>
      <c r="AI151" s="51">
        <f t="shared" si="19"/>
        <v>0.20252799435504121</v>
      </c>
      <c r="AJ151" s="17"/>
      <c r="AK151" s="17"/>
      <c r="AL151" s="17"/>
      <c r="AM151" s="17"/>
      <c r="AN151" s="17"/>
      <c r="AO151" s="17"/>
      <c r="AP151" s="17"/>
      <c r="AQ151" s="17"/>
      <c r="AR151" s="17"/>
      <c r="AS151" s="17"/>
      <c r="AT151" s="17"/>
      <c r="AU151" s="17"/>
      <c r="AX151" s="67"/>
      <c r="AY151" s="71"/>
      <c r="BA151" s="71"/>
      <c r="BJ151" s="21"/>
      <c r="BK151" s="21"/>
      <c r="BL151" s="21"/>
      <c r="BN151" s="17"/>
      <c r="BO151" s="17"/>
      <c r="BP151" s="17"/>
      <c r="BQ151" s="17"/>
      <c r="BR151" s="17"/>
      <c r="BS151" s="65"/>
      <c r="BX151" s="17"/>
    </row>
    <row r="152" spans="1:76" s="15" customFormat="1" x14ac:dyDescent="0.25">
      <c r="A152" s="15" t="s">
        <v>1231</v>
      </c>
      <c r="B152" s="15" t="s">
        <v>30</v>
      </c>
      <c r="C152" s="15">
        <v>2015</v>
      </c>
      <c r="D152" s="15" t="s">
        <v>1232</v>
      </c>
      <c r="E152" s="72">
        <v>85780</v>
      </c>
      <c r="F152" s="67">
        <v>653735210500</v>
      </c>
      <c r="G152" s="67">
        <v>8282396</v>
      </c>
      <c r="H152" s="15" t="s">
        <v>109</v>
      </c>
      <c r="I152" s="15" t="s">
        <v>43</v>
      </c>
      <c r="J152" s="15" t="s">
        <v>188</v>
      </c>
      <c r="K152" s="15" t="s">
        <v>500</v>
      </c>
      <c r="L152" s="15" t="s">
        <v>190</v>
      </c>
      <c r="M152" s="15" t="s">
        <v>48</v>
      </c>
      <c r="N152" s="15" t="s">
        <v>62</v>
      </c>
      <c r="O152" s="15" t="s">
        <v>63</v>
      </c>
      <c r="T152" s="15" t="s">
        <v>55</v>
      </c>
      <c r="Y152" s="15" t="s">
        <v>55</v>
      </c>
      <c r="Z152" s="17">
        <v>95796</v>
      </c>
      <c r="AA152" s="17">
        <v>39251</v>
      </c>
      <c r="AB152" s="17">
        <v>6582</v>
      </c>
      <c r="AC152" s="17">
        <v>45833</v>
      </c>
      <c r="AD152" s="17">
        <v>141629</v>
      </c>
      <c r="AE152" s="17">
        <v>1146</v>
      </c>
      <c r="AF152" s="51">
        <f t="shared" si="16"/>
        <v>11.566218277899294</v>
      </c>
      <c r="AG152" s="51">
        <f t="shared" si="17"/>
        <v>5.5337851510601528</v>
      </c>
      <c r="AH152" s="51">
        <f t="shared" si="18"/>
        <v>17.100003428959447</v>
      </c>
      <c r="AI152" s="51">
        <f t="shared" si="19"/>
        <v>0.13836575792801986</v>
      </c>
      <c r="AJ152" s="17">
        <v>458353</v>
      </c>
      <c r="AK152" s="17">
        <v>739692</v>
      </c>
      <c r="AL152" s="17">
        <v>638329</v>
      </c>
      <c r="AM152" s="17">
        <v>1378021</v>
      </c>
      <c r="AN152" s="17">
        <v>1836374</v>
      </c>
      <c r="AO152" s="17">
        <v>901347</v>
      </c>
      <c r="AP152" s="17"/>
      <c r="AQ152" s="17"/>
      <c r="AR152" s="17"/>
      <c r="AS152" s="17"/>
      <c r="AT152" s="17"/>
      <c r="AU152" s="17"/>
      <c r="AX152" s="67"/>
      <c r="AY152" s="71"/>
      <c r="BA152" s="71"/>
      <c r="BJ152" s="21"/>
      <c r="BK152" s="21"/>
      <c r="BL152" s="21"/>
      <c r="BN152" s="17"/>
      <c r="BO152" s="17"/>
      <c r="BP152" s="17"/>
      <c r="BQ152" s="17"/>
      <c r="BR152" s="17"/>
      <c r="BS152" s="65"/>
      <c r="BX152" s="17" t="s">
        <v>1249</v>
      </c>
    </row>
    <row r="153" spans="1:76" x14ac:dyDescent="0.25">
      <c r="A153" t="s">
        <v>1233</v>
      </c>
      <c r="B153" t="s">
        <v>30</v>
      </c>
      <c r="C153">
        <v>2006</v>
      </c>
      <c r="D153" t="s">
        <v>1234</v>
      </c>
      <c r="E153" s="61">
        <v>1510</v>
      </c>
      <c r="F153" s="67">
        <v>1704975000000</v>
      </c>
      <c r="G153" s="17">
        <v>18294611</v>
      </c>
      <c r="H153" t="s">
        <v>32</v>
      </c>
      <c r="I153" t="s">
        <v>58</v>
      </c>
      <c r="J153" t="s">
        <v>1235</v>
      </c>
      <c r="K153" t="s">
        <v>1236</v>
      </c>
      <c r="M153" t="s">
        <v>1237</v>
      </c>
      <c r="N153" t="s">
        <v>1238</v>
      </c>
      <c r="Z153" s="17"/>
      <c r="AA153" s="17"/>
      <c r="AB153" s="17"/>
      <c r="AC153" s="17"/>
      <c r="AD153" s="17"/>
      <c r="AE153" s="17"/>
      <c r="AF153" s="51" t="str">
        <f t="shared" si="16"/>
        <v/>
      </c>
      <c r="AG153" s="51" t="str">
        <f t="shared" si="17"/>
        <v/>
      </c>
      <c r="AH153" s="51" t="str">
        <f t="shared" si="18"/>
        <v/>
      </c>
      <c r="AI153" s="51" t="str">
        <f t="shared" si="19"/>
        <v/>
      </c>
      <c r="AJ153" s="17"/>
      <c r="AK153" s="17"/>
      <c r="AL153" s="17"/>
      <c r="AM153" s="17"/>
      <c r="AN153" s="17"/>
      <c r="AO153" s="17"/>
      <c r="AP153" s="17"/>
      <c r="AQ153" s="17"/>
      <c r="AR153" s="17"/>
      <c r="AS153" s="17"/>
      <c r="AT153" s="17"/>
      <c r="AU153" s="17"/>
      <c r="BH153"/>
      <c r="BN153" s="17"/>
      <c r="BO153" s="17"/>
      <c r="BP153" s="17"/>
      <c r="BQ153" s="17"/>
      <c r="BR153" s="17"/>
      <c r="BU153" t="s">
        <v>1239</v>
      </c>
      <c r="BX153" s="17"/>
    </row>
    <row r="154" spans="1:76" x14ac:dyDescent="0.25">
      <c r="A154" t="s">
        <v>1250</v>
      </c>
      <c r="B154" t="s">
        <v>30</v>
      </c>
      <c r="C154">
        <v>2017</v>
      </c>
      <c r="D154" t="s">
        <v>1251</v>
      </c>
      <c r="E154" s="61">
        <v>50500</v>
      </c>
      <c r="F154" s="67" t="e">
        <v>#N/A</v>
      </c>
      <c r="G154" s="17">
        <v>23545963</v>
      </c>
      <c r="H154" t="s">
        <v>109</v>
      </c>
      <c r="I154" t="s">
        <v>77</v>
      </c>
      <c r="J154" t="s">
        <v>1252</v>
      </c>
      <c r="K154" t="s">
        <v>1253</v>
      </c>
      <c r="L154" t="s">
        <v>241</v>
      </c>
      <c r="N154" t="s">
        <v>1254</v>
      </c>
      <c r="O154" t="s">
        <v>1890</v>
      </c>
      <c r="R154" t="s">
        <v>1255</v>
      </c>
      <c r="S154" t="s">
        <v>1256</v>
      </c>
      <c r="T154" t="s">
        <v>1257</v>
      </c>
      <c r="W154" t="s">
        <v>1258</v>
      </c>
      <c r="X154" t="s">
        <v>1259</v>
      </c>
      <c r="Y154" t="s">
        <v>1257</v>
      </c>
      <c r="Z154" s="17"/>
      <c r="AA154" s="17"/>
      <c r="AB154" s="17"/>
      <c r="AC154" s="17"/>
      <c r="AD154" s="17">
        <v>1437626</v>
      </c>
      <c r="AE154" s="17">
        <v>33807</v>
      </c>
      <c r="AF154" s="51" t="str">
        <f t="shared" si="16"/>
        <v/>
      </c>
      <c r="AG154" s="51" t="str">
        <f t="shared" si="17"/>
        <v/>
      </c>
      <c r="AH154" s="51">
        <f t="shared" si="18"/>
        <v>61.056156420529497</v>
      </c>
      <c r="AI154" s="51">
        <f t="shared" si="19"/>
        <v>1.4357875275689509</v>
      </c>
      <c r="AJ154" s="17"/>
      <c r="AK154" s="17"/>
      <c r="AL154" s="17"/>
      <c r="AM154" s="17"/>
      <c r="AN154" s="17"/>
      <c r="AO154" s="17"/>
      <c r="AP154" s="17"/>
      <c r="AQ154" s="17"/>
      <c r="AR154" s="17"/>
      <c r="AS154" s="17"/>
      <c r="AT154" s="17"/>
      <c r="AU154" s="17"/>
      <c r="AW154" t="s">
        <v>1260</v>
      </c>
      <c r="BH154"/>
      <c r="BN154" s="17"/>
      <c r="BO154" s="17"/>
      <c r="BP154" s="17"/>
      <c r="BQ154" s="17"/>
      <c r="BR154" s="17"/>
      <c r="BU154" t="s">
        <v>1112</v>
      </c>
      <c r="BX154" s="17"/>
    </row>
    <row r="155" spans="1:76" x14ac:dyDescent="0.25">
      <c r="A155" t="s">
        <v>1263</v>
      </c>
      <c r="B155" t="s">
        <v>30</v>
      </c>
      <c r="C155">
        <v>2007</v>
      </c>
      <c r="D155" t="s">
        <v>1264</v>
      </c>
      <c r="E155" s="61">
        <v>440</v>
      </c>
      <c r="F155" s="67">
        <v>12804369700</v>
      </c>
      <c r="G155" s="17">
        <v>7111025</v>
      </c>
      <c r="H155" t="s">
        <v>32</v>
      </c>
      <c r="I155" t="s">
        <v>43</v>
      </c>
      <c r="J155" t="s">
        <v>1265</v>
      </c>
      <c r="K155" t="s">
        <v>1266</v>
      </c>
      <c r="L155" t="s">
        <v>1267</v>
      </c>
      <c r="M155" t="s">
        <v>1268</v>
      </c>
      <c r="N155" t="s">
        <v>1269</v>
      </c>
      <c r="O155" t="s">
        <v>101</v>
      </c>
      <c r="Z155" s="17">
        <v>147307</v>
      </c>
      <c r="AA155" s="17">
        <v>7374</v>
      </c>
      <c r="AB155" s="17">
        <v>610</v>
      </c>
      <c r="AC155" s="17">
        <v>7984</v>
      </c>
      <c r="AD155" s="17">
        <v>155291</v>
      </c>
      <c r="AE155" s="17">
        <v>117</v>
      </c>
      <c r="AF155" s="51">
        <f t="shared" si="16"/>
        <v>20.715297724308382</v>
      </c>
      <c r="AG155" s="51">
        <f t="shared" si="17"/>
        <v>1.1227635959654199</v>
      </c>
      <c r="AH155" s="51">
        <f t="shared" si="18"/>
        <v>21.838061320273798</v>
      </c>
      <c r="AI155" s="51">
        <f t="shared" si="19"/>
        <v>1.645332423947321E-2</v>
      </c>
      <c r="AJ155" s="17"/>
      <c r="AK155" s="17"/>
      <c r="AL155" s="17"/>
      <c r="AM155" s="17"/>
      <c r="AN155" s="17"/>
      <c r="AO155" s="17"/>
      <c r="AP155" s="17"/>
      <c r="AQ155" s="17"/>
      <c r="AR155" s="17"/>
      <c r="AS155" s="17"/>
      <c r="AT155" s="17"/>
      <c r="AU155" s="17"/>
      <c r="BH155"/>
      <c r="BN155" s="17"/>
      <c r="BO155" s="17"/>
      <c r="BP155" s="17"/>
      <c r="BQ155" s="17"/>
      <c r="BR155" s="17"/>
      <c r="BX155" s="17"/>
    </row>
    <row r="156" spans="1:76" x14ac:dyDescent="0.25">
      <c r="A156" t="s">
        <v>1270</v>
      </c>
      <c r="B156" t="s">
        <v>30</v>
      </c>
      <c r="C156">
        <v>2012</v>
      </c>
      <c r="D156" t="s">
        <v>1271</v>
      </c>
      <c r="E156" s="61">
        <v>770</v>
      </c>
      <c r="F156" s="67">
        <v>61434213909500.008</v>
      </c>
      <c r="G156" s="17">
        <v>49082997</v>
      </c>
      <c r="H156" t="s">
        <v>32</v>
      </c>
      <c r="I156" t="s">
        <v>89</v>
      </c>
      <c r="J156" t="s">
        <v>1272</v>
      </c>
      <c r="K156" t="s">
        <v>1273</v>
      </c>
      <c r="L156" t="s">
        <v>46</v>
      </c>
      <c r="M156" t="s">
        <v>647</v>
      </c>
      <c r="N156" t="s">
        <v>407</v>
      </c>
      <c r="O156" t="s">
        <v>310</v>
      </c>
      <c r="P156" t="s">
        <v>602</v>
      </c>
      <c r="Q156" t="s">
        <v>1274</v>
      </c>
      <c r="R156" t="s">
        <v>1275</v>
      </c>
      <c r="S156" t="s">
        <v>1276</v>
      </c>
      <c r="T156" t="s">
        <v>1277</v>
      </c>
      <c r="Y156" t="s">
        <v>1277</v>
      </c>
      <c r="Z156" s="17">
        <v>3074736</v>
      </c>
      <c r="AA156" s="17"/>
      <c r="AB156" s="17"/>
      <c r="AC156" s="17">
        <v>88150</v>
      </c>
      <c r="AD156" s="17">
        <v>3162886</v>
      </c>
      <c r="AE156" s="17"/>
      <c r="AF156" s="51">
        <f t="shared" si="16"/>
        <v>62.643607520543213</v>
      </c>
      <c r="AG156" s="51">
        <f t="shared" si="17"/>
        <v>1.7959376034026611</v>
      </c>
      <c r="AH156" s="51">
        <f t="shared" si="18"/>
        <v>64.439545123945862</v>
      </c>
      <c r="AI156" s="51" t="str">
        <f t="shared" si="19"/>
        <v/>
      </c>
      <c r="AJ156" s="17"/>
      <c r="AK156" s="17"/>
      <c r="AL156" s="17"/>
      <c r="AM156" s="17"/>
      <c r="AN156" s="17">
        <v>5200000</v>
      </c>
      <c r="AO156" s="17"/>
      <c r="AP156" s="17"/>
      <c r="AQ156" s="17"/>
      <c r="AR156" s="17"/>
      <c r="AS156" s="17"/>
      <c r="AT156" s="17">
        <v>16587237755565</v>
      </c>
      <c r="AU156" s="17"/>
      <c r="AV156" t="s">
        <v>1278</v>
      </c>
      <c r="AW156" t="s">
        <v>1278</v>
      </c>
      <c r="BH156"/>
      <c r="BN156" s="17"/>
      <c r="BO156" s="17">
        <v>1704112</v>
      </c>
      <c r="BP156" s="17"/>
      <c r="BQ156" s="17"/>
      <c r="BR156" s="17"/>
      <c r="BT156" t="s">
        <v>1279</v>
      </c>
      <c r="BX156" s="17"/>
    </row>
    <row r="157" spans="1:76" x14ac:dyDescent="0.25">
      <c r="A157" t="s">
        <v>1280</v>
      </c>
      <c r="B157" t="s">
        <v>30</v>
      </c>
      <c r="C157">
        <v>2016</v>
      </c>
      <c r="D157" t="s">
        <v>1281</v>
      </c>
      <c r="E157" s="61">
        <v>5700</v>
      </c>
      <c r="F157" s="67">
        <v>14533475000000</v>
      </c>
      <c r="G157" s="17">
        <v>69037513</v>
      </c>
      <c r="H157" t="s">
        <v>42</v>
      </c>
      <c r="I157" t="s">
        <v>77</v>
      </c>
      <c r="J157" t="s">
        <v>1282</v>
      </c>
      <c r="K157" t="s">
        <v>1283</v>
      </c>
      <c r="M157" t="s">
        <v>1899</v>
      </c>
      <c r="N157" t="s">
        <v>1284</v>
      </c>
      <c r="O157" t="s">
        <v>1285</v>
      </c>
      <c r="Q157" t="s">
        <v>1906</v>
      </c>
      <c r="R157" t="s">
        <v>1286</v>
      </c>
      <c r="S157" t="s">
        <v>1287</v>
      </c>
      <c r="T157" t="s">
        <v>1288</v>
      </c>
      <c r="Z157" s="17"/>
      <c r="AA157" s="17">
        <v>2989378</v>
      </c>
      <c r="AB157" s="17">
        <v>15301</v>
      </c>
      <c r="AC157" s="17"/>
      <c r="AD157" s="17">
        <v>3004679</v>
      </c>
      <c r="AE157" s="17">
        <v>9025</v>
      </c>
      <c r="AF157" s="51" t="str">
        <f t="shared" si="16"/>
        <v/>
      </c>
      <c r="AG157" s="51" t="str">
        <f t="shared" si="17"/>
        <v/>
      </c>
      <c r="AH157" s="51">
        <f t="shared" si="18"/>
        <v>43.522410779774184</v>
      </c>
      <c r="AI157" s="51">
        <f t="shared" si="19"/>
        <v>0.13072603006426375</v>
      </c>
      <c r="AJ157" s="17"/>
      <c r="AK157" s="17">
        <v>10653656</v>
      </c>
      <c r="AL157" s="17">
        <v>1093437</v>
      </c>
      <c r="AM157" s="17"/>
      <c r="AN157" s="17">
        <v>11747093</v>
      </c>
      <c r="AO157" s="17">
        <v>3032908</v>
      </c>
      <c r="AP157" s="17"/>
      <c r="AQ157" s="17">
        <v>4267810000000</v>
      </c>
      <c r="AR157" s="17">
        <v>1793333000000</v>
      </c>
      <c r="AS157" s="17"/>
      <c r="AT157" s="17">
        <v>6061143000000</v>
      </c>
      <c r="AU157" s="17">
        <v>6233497777251.1846</v>
      </c>
      <c r="AW157" t="s">
        <v>1289</v>
      </c>
      <c r="BH157"/>
      <c r="BK157" s="21">
        <v>0.04</v>
      </c>
      <c r="BN157" s="17"/>
      <c r="BO157" s="17"/>
      <c r="BP157" s="17"/>
      <c r="BQ157" s="17"/>
      <c r="BR157" s="17"/>
      <c r="BX157" s="17"/>
    </row>
    <row r="158" spans="1:76" x14ac:dyDescent="0.25">
      <c r="A158" t="s">
        <v>1297</v>
      </c>
      <c r="B158" t="s">
        <v>30</v>
      </c>
      <c r="C158">
        <v>2004</v>
      </c>
      <c r="D158" t="s">
        <v>1298</v>
      </c>
      <c r="E158" s="61">
        <v>620</v>
      </c>
      <c r="F158" s="67">
        <v>1078398152.0209301</v>
      </c>
      <c r="G158" s="17">
        <v>996698</v>
      </c>
      <c r="H158" t="s">
        <v>88</v>
      </c>
      <c r="I158" t="s">
        <v>77</v>
      </c>
      <c r="J158" t="s">
        <v>1299</v>
      </c>
      <c r="K158" t="s">
        <v>1300</v>
      </c>
      <c r="L158" t="s">
        <v>190</v>
      </c>
      <c r="M158" t="s">
        <v>165</v>
      </c>
      <c r="N158" t="s">
        <v>372</v>
      </c>
      <c r="O158" t="s">
        <v>37</v>
      </c>
      <c r="Z158" s="17">
        <v>3008.22</v>
      </c>
      <c r="AA158" s="17">
        <v>1071.99</v>
      </c>
      <c r="AB158" s="17">
        <v>58.17</v>
      </c>
      <c r="AC158" s="17">
        <v>1130.1600000000001</v>
      </c>
      <c r="AD158" s="17">
        <v>4138.38</v>
      </c>
      <c r="AE158" s="17">
        <v>16.62</v>
      </c>
      <c r="AF158" s="51">
        <f t="shared" si="16"/>
        <v>3.0181860503382167</v>
      </c>
      <c r="AG158" s="51">
        <f t="shared" si="17"/>
        <v>1.1339041515082804</v>
      </c>
      <c r="AH158" s="51">
        <f t="shared" si="18"/>
        <v>4.152090201846498</v>
      </c>
      <c r="AI158" s="51">
        <f t="shared" si="19"/>
        <v>1.667506105159236E-2</v>
      </c>
      <c r="AJ158" s="17"/>
      <c r="AK158" s="17"/>
      <c r="AL158" s="17"/>
      <c r="AM158" s="17"/>
      <c r="AN158" s="17"/>
      <c r="AO158" s="17"/>
      <c r="AP158" s="17"/>
      <c r="AQ158" s="17"/>
      <c r="AR158" s="17"/>
      <c r="AS158" s="17"/>
      <c r="AT158" s="17"/>
      <c r="AU158" s="17"/>
      <c r="BD158" s="65"/>
      <c r="BE158" s="65"/>
      <c r="BH158"/>
      <c r="BN158" s="17"/>
      <c r="BO158" s="17"/>
      <c r="BP158" s="17"/>
      <c r="BQ158" s="17"/>
      <c r="BR158" s="17"/>
      <c r="BX158" s="67"/>
    </row>
    <row r="159" spans="1:76" x14ac:dyDescent="0.25">
      <c r="A159" t="s">
        <v>1301</v>
      </c>
      <c r="B159" t="s">
        <v>30</v>
      </c>
      <c r="C159">
        <v>2009</v>
      </c>
      <c r="D159" t="s">
        <v>1302</v>
      </c>
      <c r="E159" s="61">
        <v>430</v>
      </c>
      <c r="F159" s="67">
        <v>1493525516600</v>
      </c>
      <c r="G159" s="17">
        <v>6330472</v>
      </c>
      <c r="H159" t="s">
        <v>32</v>
      </c>
      <c r="I159" t="s">
        <v>89</v>
      </c>
      <c r="J159" t="s">
        <v>1303</v>
      </c>
      <c r="K159" t="s">
        <v>1304</v>
      </c>
      <c r="L159" t="s">
        <v>1305</v>
      </c>
      <c r="M159" t="s">
        <v>1306</v>
      </c>
      <c r="N159" t="s">
        <v>1307</v>
      </c>
      <c r="O159" t="s">
        <v>1308</v>
      </c>
      <c r="P159" t="s">
        <v>1309</v>
      </c>
      <c r="Q159" t="s">
        <v>1310</v>
      </c>
      <c r="R159" t="s">
        <v>1311</v>
      </c>
      <c r="S159" t="s">
        <v>1312</v>
      </c>
      <c r="T159" t="s">
        <v>296</v>
      </c>
      <c r="U159" t="s">
        <v>1313</v>
      </c>
      <c r="V159" t="s">
        <v>1314</v>
      </c>
      <c r="W159" t="s">
        <v>1315</v>
      </c>
      <c r="X159" t="s">
        <v>1316</v>
      </c>
      <c r="Y159" t="s">
        <v>296</v>
      </c>
      <c r="Z159" s="17"/>
      <c r="AA159" s="17"/>
      <c r="AB159" s="17"/>
      <c r="AC159" s="17"/>
      <c r="AD159" s="17"/>
      <c r="AE159" s="17"/>
      <c r="AF159" s="51" t="str">
        <f t="shared" si="16"/>
        <v/>
      </c>
      <c r="AG159" s="51" t="str">
        <f t="shared" si="17"/>
        <v/>
      </c>
      <c r="AH159" s="51" t="str">
        <f t="shared" si="18"/>
        <v/>
      </c>
      <c r="AI159" s="51" t="str">
        <f t="shared" si="19"/>
        <v/>
      </c>
      <c r="AJ159" s="17"/>
      <c r="AK159" s="17"/>
      <c r="AL159" s="17"/>
      <c r="AM159" s="17"/>
      <c r="AN159" s="17"/>
      <c r="AO159" s="17"/>
      <c r="AP159" s="17"/>
      <c r="AQ159" s="17"/>
      <c r="AR159" s="17"/>
      <c r="AS159" s="17"/>
      <c r="AT159" s="17"/>
      <c r="AU159" s="17"/>
      <c r="BH159"/>
      <c r="BN159" s="17"/>
      <c r="BO159" s="17"/>
      <c r="BP159" s="17"/>
      <c r="BQ159" s="17"/>
      <c r="BR159" s="17"/>
      <c r="BT159" t="s">
        <v>1317</v>
      </c>
      <c r="BU159" t="s">
        <v>1318</v>
      </c>
      <c r="BX159" s="17" t="s">
        <v>1336</v>
      </c>
    </row>
    <row r="160" spans="1:76" x14ac:dyDescent="0.25">
      <c r="A160" t="s">
        <v>1319</v>
      </c>
      <c r="B160" t="s">
        <v>30</v>
      </c>
      <c r="C160">
        <v>2016</v>
      </c>
      <c r="D160" t="s">
        <v>1320</v>
      </c>
      <c r="E160" s="61">
        <v>4060</v>
      </c>
      <c r="F160" s="67">
        <v>889500000</v>
      </c>
      <c r="G160" s="17">
        <v>108020</v>
      </c>
      <c r="H160" t="s">
        <v>42</v>
      </c>
      <c r="I160" t="s">
        <v>77</v>
      </c>
      <c r="J160" t="s">
        <v>1321</v>
      </c>
      <c r="K160" t="s">
        <v>1322</v>
      </c>
      <c r="L160" t="s">
        <v>34</v>
      </c>
      <c r="M160" t="s">
        <v>1323</v>
      </c>
      <c r="N160" t="s">
        <v>1324</v>
      </c>
      <c r="O160" t="s">
        <v>1325</v>
      </c>
      <c r="T160" t="s">
        <v>1326</v>
      </c>
      <c r="U160" t="s">
        <v>574</v>
      </c>
      <c r="V160" t="s">
        <v>1327</v>
      </c>
      <c r="W160" t="s">
        <v>1328</v>
      </c>
      <c r="X160" t="s">
        <v>1329</v>
      </c>
      <c r="Y160" t="s">
        <v>1326</v>
      </c>
      <c r="Z160" s="17"/>
      <c r="AA160" s="17"/>
      <c r="AB160" s="17"/>
      <c r="AC160" s="17"/>
      <c r="AD160" s="17"/>
      <c r="AE160" s="17"/>
      <c r="AF160" s="51" t="str">
        <f t="shared" si="16"/>
        <v/>
      </c>
      <c r="AG160" s="51" t="str">
        <f t="shared" si="17"/>
        <v/>
      </c>
      <c r="AH160" s="51" t="str">
        <f t="shared" si="18"/>
        <v/>
      </c>
      <c r="AI160" s="51" t="str">
        <f t="shared" si="19"/>
        <v/>
      </c>
      <c r="AJ160" s="17"/>
      <c r="AK160" s="17"/>
      <c r="AL160" s="17"/>
      <c r="AM160" s="17"/>
      <c r="AN160" s="17"/>
      <c r="AO160" s="17"/>
      <c r="AP160" s="17"/>
      <c r="AQ160" s="17"/>
      <c r="AR160" s="17"/>
      <c r="AS160" s="17"/>
      <c r="AT160" s="17"/>
      <c r="AU160" s="17"/>
      <c r="BH160"/>
      <c r="BN160" s="17"/>
      <c r="BO160" s="17"/>
      <c r="BP160" s="17"/>
      <c r="BQ160" s="17"/>
      <c r="BR160" s="17"/>
      <c r="BX160" s="17"/>
    </row>
    <row r="161" spans="1:76" x14ac:dyDescent="0.25">
      <c r="A161" t="s">
        <v>1330</v>
      </c>
      <c r="B161" t="s">
        <v>30</v>
      </c>
      <c r="C161">
        <v>2014</v>
      </c>
      <c r="D161" t="s">
        <v>1331</v>
      </c>
      <c r="E161" s="61">
        <v>18370</v>
      </c>
      <c r="F161" s="67">
        <v>174326600000.00003</v>
      </c>
      <c r="G161" s="17">
        <v>1354493</v>
      </c>
      <c r="H161" t="s">
        <v>109</v>
      </c>
      <c r="I161" t="s">
        <v>110</v>
      </c>
      <c r="J161" t="s">
        <v>1332</v>
      </c>
      <c r="K161" t="s">
        <v>1333</v>
      </c>
      <c r="L161" t="s">
        <v>724</v>
      </c>
      <c r="M161" t="s">
        <v>960</v>
      </c>
      <c r="P161" t="s">
        <v>103</v>
      </c>
      <c r="Q161" t="s">
        <v>1334</v>
      </c>
      <c r="T161" t="s">
        <v>1335</v>
      </c>
      <c r="U161" t="s">
        <v>1199</v>
      </c>
      <c r="V161" t="s">
        <v>602</v>
      </c>
      <c r="Z161" s="17"/>
      <c r="AA161" s="17"/>
      <c r="AB161" s="17"/>
      <c r="AC161" s="17"/>
      <c r="AD161" s="17"/>
      <c r="AE161" s="17"/>
      <c r="AF161" s="51" t="str">
        <f t="shared" si="16"/>
        <v/>
      </c>
      <c r="AG161" s="51" t="str">
        <f t="shared" si="17"/>
        <v/>
      </c>
      <c r="AH161" s="51" t="str">
        <f t="shared" si="18"/>
        <v/>
      </c>
      <c r="AI161" s="51" t="str">
        <f t="shared" si="19"/>
        <v/>
      </c>
      <c r="AJ161" s="17"/>
      <c r="AK161" s="17"/>
      <c r="AL161" s="17"/>
      <c r="AM161" s="17"/>
      <c r="AN161" s="17"/>
      <c r="AO161" s="17"/>
      <c r="AP161" s="17"/>
      <c r="AQ161" s="17"/>
      <c r="AR161" s="17"/>
      <c r="AS161" s="17"/>
      <c r="AT161" s="17"/>
      <c r="AU161" s="17"/>
      <c r="BH161"/>
      <c r="BN161" s="17"/>
      <c r="BO161" s="17"/>
      <c r="BP161" s="17"/>
      <c r="BQ161" s="17"/>
      <c r="BR161" s="17"/>
      <c r="BX161" s="17"/>
    </row>
    <row r="162" spans="1:76" x14ac:dyDescent="0.25">
      <c r="A162" t="s">
        <v>1337</v>
      </c>
      <c r="B162" t="s">
        <v>30</v>
      </c>
      <c r="C162">
        <v>2016</v>
      </c>
      <c r="D162" t="s">
        <v>1338</v>
      </c>
      <c r="E162" s="61">
        <v>3690</v>
      </c>
      <c r="F162" s="67">
        <v>90350356100.000015</v>
      </c>
      <c r="G162" s="17">
        <v>11532127</v>
      </c>
      <c r="H162" t="s">
        <v>88</v>
      </c>
      <c r="I162" t="s">
        <v>58</v>
      </c>
      <c r="J162" t="s">
        <v>1339</v>
      </c>
      <c r="K162" t="s">
        <v>1340</v>
      </c>
      <c r="L162" t="s">
        <v>724</v>
      </c>
      <c r="M162" t="s">
        <v>1341</v>
      </c>
      <c r="N162" t="s">
        <v>541</v>
      </c>
      <c r="O162" t="s">
        <v>184</v>
      </c>
      <c r="Z162" s="17">
        <v>720639</v>
      </c>
      <c r="AA162" s="17">
        <v>16115</v>
      </c>
      <c r="AB162" s="17">
        <v>2485</v>
      </c>
      <c r="AC162" s="17">
        <v>18600</v>
      </c>
      <c r="AD162" s="17">
        <v>739239</v>
      </c>
      <c r="AE162" s="17">
        <v>815</v>
      </c>
      <c r="AF162" s="51">
        <f t="shared" si="16"/>
        <v>62.489686421247349</v>
      </c>
      <c r="AG162" s="51">
        <f t="shared" si="17"/>
        <v>1.6128854633668186</v>
      </c>
      <c r="AH162" s="51">
        <f t="shared" si="18"/>
        <v>64.102571884614164</v>
      </c>
      <c r="AI162" s="51">
        <f t="shared" si="19"/>
        <v>7.0672131862578341E-2</v>
      </c>
      <c r="AJ162" s="17">
        <v>116881</v>
      </c>
      <c r="AK162" s="17">
        <v>228124</v>
      </c>
      <c r="AL162" s="17">
        <v>235302</v>
      </c>
      <c r="AM162" s="17">
        <v>463426</v>
      </c>
      <c r="AN162" s="17">
        <v>580307</v>
      </c>
      <c r="AO162" s="17">
        <v>421626</v>
      </c>
      <c r="AP162" s="17"/>
      <c r="AQ162" s="17"/>
      <c r="AR162" s="17"/>
      <c r="AS162" s="17"/>
      <c r="AT162" s="17"/>
      <c r="AU162" s="17"/>
      <c r="AZ162" s="65"/>
      <c r="BA162" s="71"/>
      <c r="BB162" s="65"/>
      <c r="BC162" s="65"/>
      <c r="BD162" s="65"/>
      <c r="BE162" s="65"/>
      <c r="BF162" s="65"/>
      <c r="BG162" s="65"/>
      <c r="BH162"/>
      <c r="BN162" s="17"/>
      <c r="BO162" s="17"/>
      <c r="BP162" s="17"/>
      <c r="BQ162" s="17"/>
      <c r="BR162" s="17"/>
      <c r="BX162" s="17"/>
    </row>
    <row r="163" spans="1:76" x14ac:dyDescent="0.25">
      <c r="A163" t="s">
        <v>1342</v>
      </c>
      <c r="B163" t="s">
        <v>30</v>
      </c>
      <c r="C163">
        <v>2016</v>
      </c>
      <c r="D163" t="s">
        <v>1343</v>
      </c>
      <c r="E163" s="61">
        <v>11230</v>
      </c>
      <c r="F163" s="67">
        <v>2608525749000</v>
      </c>
      <c r="G163" s="17">
        <v>80745020</v>
      </c>
      <c r="H163" t="s">
        <v>42</v>
      </c>
      <c r="I163" t="s">
        <v>43</v>
      </c>
      <c r="J163" t="s">
        <v>53</v>
      </c>
      <c r="K163" t="s">
        <v>1128</v>
      </c>
      <c r="L163" t="s">
        <v>92</v>
      </c>
      <c r="M163" t="s">
        <v>48</v>
      </c>
      <c r="N163" t="s">
        <v>62</v>
      </c>
      <c r="O163" t="s">
        <v>63</v>
      </c>
      <c r="Y163" t="s">
        <v>55</v>
      </c>
      <c r="Z163" s="17">
        <v>2362995</v>
      </c>
      <c r="AA163" s="17">
        <v>48229</v>
      </c>
      <c r="AB163" s="17">
        <v>20692</v>
      </c>
      <c r="AC163" s="17">
        <v>68921</v>
      </c>
      <c r="AD163" s="17">
        <v>2431916</v>
      </c>
      <c r="AE163" s="17">
        <v>3858</v>
      </c>
      <c r="AF163" s="51">
        <f t="shared" si="16"/>
        <v>29.264900795120244</v>
      </c>
      <c r="AG163" s="51">
        <f t="shared" si="17"/>
        <v>0.85356347673206345</v>
      </c>
      <c r="AH163" s="51">
        <f t="shared" si="18"/>
        <v>30.118464271852311</v>
      </c>
      <c r="AI163" s="51">
        <f t="shared" si="19"/>
        <v>4.7780036465406787E-2</v>
      </c>
      <c r="AJ163" s="17">
        <v>5312800</v>
      </c>
      <c r="AK163" s="17">
        <v>1491995</v>
      </c>
      <c r="AL163" s="17">
        <v>2072448</v>
      </c>
      <c r="AM163" s="17">
        <v>3564443</v>
      </c>
      <c r="AN163" s="17">
        <v>8877243</v>
      </c>
      <c r="AO163" s="17">
        <v>2879712</v>
      </c>
      <c r="AP163" s="17">
        <v>32785000000</v>
      </c>
      <c r="AQ163" s="17">
        <v>20480000000</v>
      </c>
      <c r="AR163" s="17">
        <v>32925000000</v>
      </c>
      <c r="AS163" s="17">
        <v>53405000000</v>
      </c>
      <c r="AT163" s="17">
        <v>86190000000</v>
      </c>
      <c r="AU163" s="17">
        <v>73743000000</v>
      </c>
      <c r="BD163" s="65"/>
      <c r="BF163" s="17"/>
      <c r="BG163" s="21">
        <v>0.32</v>
      </c>
      <c r="BH163"/>
      <c r="BL163" s="21">
        <v>4.9000000000000002E-2</v>
      </c>
      <c r="BN163" s="17"/>
      <c r="BO163" s="17"/>
      <c r="BP163" s="17"/>
      <c r="BQ163" s="17"/>
      <c r="BR163" s="17"/>
      <c r="BX163" s="17"/>
    </row>
    <row r="164" spans="1:76" x14ac:dyDescent="0.25">
      <c r="A164" t="s">
        <v>1357</v>
      </c>
      <c r="B164" t="s">
        <v>30</v>
      </c>
      <c r="C164">
        <v>2006</v>
      </c>
      <c r="D164" t="s">
        <v>1358</v>
      </c>
      <c r="E164" s="61">
        <v>340</v>
      </c>
      <c r="F164" s="67">
        <v>18209404509000</v>
      </c>
      <c r="G164" s="17">
        <v>29550662</v>
      </c>
      <c r="H164" t="s">
        <v>32</v>
      </c>
      <c r="I164" t="s">
        <v>89</v>
      </c>
      <c r="J164" t="s">
        <v>1367</v>
      </c>
      <c r="K164" t="s">
        <v>1368</v>
      </c>
      <c r="L164" t="s">
        <v>92</v>
      </c>
      <c r="M164" t="s">
        <v>48</v>
      </c>
      <c r="N164" t="s">
        <v>407</v>
      </c>
      <c r="O164" t="s">
        <v>310</v>
      </c>
      <c r="Z164" s="17">
        <v>19270</v>
      </c>
      <c r="AA164" s="17">
        <v>5485</v>
      </c>
      <c r="AB164" s="17">
        <v>378</v>
      </c>
      <c r="AC164" s="17">
        <v>5863</v>
      </c>
      <c r="AD164" s="17">
        <v>25133</v>
      </c>
      <c r="AE164" s="17">
        <v>334</v>
      </c>
      <c r="AF164" s="51">
        <f t="shared" si="16"/>
        <v>0.65210045040615328</v>
      </c>
      <c r="AG164" s="51">
        <f t="shared" si="17"/>
        <v>0.1984050306554892</v>
      </c>
      <c r="AH164" s="51">
        <f t="shared" si="18"/>
        <v>0.85050548106164259</v>
      </c>
      <c r="AI164" s="51">
        <f t="shared" si="19"/>
        <v>1.1302623271180864E-2</v>
      </c>
      <c r="AJ164" s="17"/>
      <c r="AK164" s="17"/>
      <c r="AL164" s="17"/>
      <c r="AM164" s="17"/>
      <c r="AN164" s="17"/>
      <c r="AO164" s="17"/>
      <c r="AP164" s="17"/>
      <c r="AQ164" s="17"/>
      <c r="AR164" s="17"/>
      <c r="AS164" s="17"/>
      <c r="AT164" s="17"/>
      <c r="AU164" s="17"/>
      <c r="BH164"/>
      <c r="BN164" s="17"/>
      <c r="BO164" s="17"/>
      <c r="BP164" s="17"/>
      <c r="BQ164" s="17"/>
      <c r="BR164" s="17"/>
      <c r="BX164" s="17"/>
    </row>
    <row r="165" spans="1:76" x14ac:dyDescent="0.25">
      <c r="A165" t="s">
        <v>1370</v>
      </c>
      <c r="B165" t="s">
        <v>30</v>
      </c>
      <c r="C165">
        <v>2017</v>
      </c>
      <c r="D165" t="s">
        <v>1371</v>
      </c>
      <c r="E165" s="61">
        <v>2390</v>
      </c>
      <c r="F165" s="67">
        <v>2982920000000</v>
      </c>
      <c r="G165" s="17">
        <v>44831159</v>
      </c>
      <c r="H165" t="s">
        <v>88</v>
      </c>
      <c r="I165" t="s">
        <v>43</v>
      </c>
      <c r="J165" t="s">
        <v>1372</v>
      </c>
      <c r="K165" t="s">
        <v>1373</v>
      </c>
      <c r="L165" t="s">
        <v>98</v>
      </c>
      <c r="M165" t="s">
        <v>402</v>
      </c>
      <c r="N165" t="s">
        <v>660</v>
      </c>
      <c r="O165" t="s">
        <v>167</v>
      </c>
      <c r="U165" t="s">
        <v>115</v>
      </c>
      <c r="V165" t="s">
        <v>1067</v>
      </c>
      <c r="W165" t="s">
        <v>169</v>
      </c>
      <c r="X165" t="s">
        <v>503</v>
      </c>
      <c r="Y165" t="s">
        <v>1374</v>
      </c>
      <c r="Z165" s="17">
        <v>278102</v>
      </c>
      <c r="AA165" s="17">
        <v>44818</v>
      </c>
      <c r="AB165" s="17">
        <v>14937</v>
      </c>
      <c r="AC165" s="17">
        <v>59755</v>
      </c>
      <c r="AD165" s="17">
        <v>337857</v>
      </c>
      <c r="AE165" s="17">
        <v>399</v>
      </c>
      <c r="AF165" s="51">
        <f t="shared" si="16"/>
        <v>6.2033194368229472</v>
      </c>
      <c r="AG165" s="51">
        <f t="shared" si="17"/>
        <v>1.332889921494111</v>
      </c>
      <c r="AH165" s="51">
        <f t="shared" si="18"/>
        <v>7.5362093583170582</v>
      </c>
      <c r="AI165" s="51">
        <f t="shared" si="19"/>
        <v>8.9000598891498649E-3</v>
      </c>
      <c r="AJ165" s="17">
        <v>714600</v>
      </c>
      <c r="AK165" s="17">
        <v>944300.00000000012</v>
      </c>
      <c r="AL165" s="17">
        <v>2593100</v>
      </c>
      <c r="AM165" s="17">
        <v>3537400</v>
      </c>
      <c r="AN165" s="17">
        <v>4252000</v>
      </c>
      <c r="AO165" s="17">
        <v>1560900</v>
      </c>
      <c r="AP165" s="17">
        <v>140131400000</v>
      </c>
      <c r="AQ165" s="17">
        <v>249078500000.00003</v>
      </c>
      <c r="AR165" s="17">
        <v>865520800000</v>
      </c>
      <c r="AS165" s="17">
        <v>1114599300000</v>
      </c>
      <c r="AT165" s="17">
        <v>1254730700000</v>
      </c>
      <c r="AU165" s="17">
        <v>844774100000</v>
      </c>
      <c r="AV165" t="s">
        <v>1373</v>
      </c>
      <c r="AW165" t="s">
        <v>1373</v>
      </c>
      <c r="BH165"/>
      <c r="BN165" s="17"/>
      <c r="BO165" s="17"/>
      <c r="BP165" s="17"/>
      <c r="BQ165" s="17"/>
      <c r="BR165" s="17"/>
      <c r="BT165" t="s">
        <v>1375</v>
      </c>
      <c r="BX165" s="17"/>
    </row>
    <row r="166" spans="1:76" x14ac:dyDescent="0.25">
      <c r="A166" t="s">
        <v>1376</v>
      </c>
      <c r="B166" t="s">
        <v>30</v>
      </c>
      <c r="C166">
        <v>2008</v>
      </c>
      <c r="D166" t="s">
        <v>1377</v>
      </c>
      <c r="E166" s="61">
        <v>41040</v>
      </c>
      <c r="F166" s="67">
        <v>1158580526300</v>
      </c>
      <c r="G166" s="17">
        <v>6894278</v>
      </c>
      <c r="H166" t="s">
        <v>109</v>
      </c>
      <c r="I166" t="s">
        <v>58</v>
      </c>
      <c r="J166" t="s">
        <v>1378</v>
      </c>
      <c r="K166" t="s">
        <v>1379</v>
      </c>
      <c r="L166" t="s">
        <v>1897</v>
      </c>
      <c r="M166" t="s">
        <v>1900</v>
      </c>
      <c r="N166" t="s">
        <v>1902</v>
      </c>
      <c r="O166" t="s">
        <v>1380</v>
      </c>
      <c r="U166" t="s">
        <v>1909</v>
      </c>
      <c r="V166" t="s">
        <v>1911</v>
      </c>
      <c r="W166" t="s">
        <v>1913</v>
      </c>
      <c r="X166" t="s">
        <v>1381</v>
      </c>
      <c r="Y166" t="s">
        <v>1382</v>
      </c>
      <c r="Z166" s="17">
        <v>56475</v>
      </c>
      <c r="AA166" s="17">
        <v>15731</v>
      </c>
      <c r="AB166" s="17">
        <v>2476</v>
      </c>
      <c r="AC166" s="17">
        <v>18207</v>
      </c>
      <c r="AD166" s="17">
        <v>74682</v>
      </c>
      <c r="AE166" s="17">
        <v>2026</v>
      </c>
      <c r="AF166" s="51">
        <f t="shared" si="16"/>
        <v>8.1915756805861317</v>
      </c>
      <c r="AG166" s="51">
        <f t="shared" si="17"/>
        <v>2.6408856735977282</v>
      </c>
      <c r="AH166" s="51">
        <f t="shared" si="18"/>
        <v>10.832461354183861</v>
      </c>
      <c r="AI166" s="51">
        <f t="shared" si="19"/>
        <v>0.29386688497330687</v>
      </c>
      <c r="AJ166" s="17">
        <v>832600</v>
      </c>
      <c r="AK166" s="17">
        <v>1332000</v>
      </c>
      <c r="AL166" s="17">
        <v>3393300</v>
      </c>
      <c r="AM166" s="17">
        <v>4725300</v>
      </c>
      <c r="AN166" s="17">
        <v>5557900.0000000009</v>
      </c>
      <c r="AO166" s="17">
        <v>2400300</v>
      </c>
      <c r="AP166" s="17">
        <v>181903100000</v>
      </c>
      <c r="AQ166" s="17">
        <v>386364000000</v>
      </c>
      <c r="AR166" s="17">
        <v>1396364300000</v>
      </c>
      <c r="AS166" s="17">
        <v>1782728300000</v>
      </c>
      <c r="AT166" s="17">
        <v>1964631400000.0002</v>
      </c>
      <c r="AU166" s="17">
        <v>1401596800000</v>
      </c>
      <c r="AV166" t="s">
        <v>1379</v>
      </c>
      <c r="AW166" t="s">
        <v>1379</v>
      </c>
      <c r="BH166"/>
      <c r="BN166" s="17"/>
      <c r="BO166" s="17"/>
      <c r="BP166" s="17"/>
      <c r="BQ166" s="17"/>
      <c r="BR166" s="17"/>
      <c r="BX166" s="17"/>
    </row>
    <row r="167" spans="1:76" x14ac:dyDescent="0.25">
      <c r="A167" t="s">
        <v>1383</v>
      </c>
      <c r="B167" t="s">
        <v>30</v>
      </c>
      <c r="C167">
        <v>2017</v>
      </c>
      <c r="D167" t="s">
        <v>1384</v>
      </c>
      <c r="E167" s="61">
        <v>40530</v>
      </c>
      <c r="F167" s="67">
        <v>2037638000000</v>
      </c>
      <c r="G167" s="17">
        <v>66022273</v>
      </c>
      <c r="H167" t="s">
        <v>109</v>
      </c>
      <c r="I167" t="s">
        <v>43</v>
      </c>
      <c r="J167" t="s">
        <v>1385</v>
      </c>
      <c r="K167" t="s">
        <v>1386</v>
      </c>
      <c r="L167" t="s">
        <v>190</v>
      </c>
      <c r="M167" t="s">
        <v>48</v>
      </c>
      <c r="N167" t="s">
        <v>62</v>
      </c>
      <c r="O167" t="s">
        <v>63</v>
      </c>
      <c r="U167" t="s">
        <v>1870</v>
      </c>
      <c r="V167" t="s">
        <v>1819</v>
      </c>
      <c r="W167" t="s">
        <v>1917</v>
      </c>
      <c r="X167" t="s">
        <v>1390</v>
      </c>
      <c r="Y167" t="s">
        <v>55</v>
      </c>
      <c r="Z167" s="17">
        <v>2386740</v>
      </c>
      <c r="AA167" s="17">
        <v>231715</v>
      </c>
      <c r="AB167" s="17">
        <v>40530</v>
      </c>
      <c r="AC167" s="17">
        <v>272245</v>
      </c>
      <c r="AD167" s="17">
        <v>2658985</v>
      </c>
      <c r="AE167" s="17">
        <v>9825</v>
      </c>
      <c r="AF167" s="51">
        <f t="shared" si="16"/>
        <v>36.150527565144571</v>
      </c>
      <c r="AG167" s="51">
        <f t="shared" si="17"/>
        <v>4.1235326751019308</v>
      </c>
      <c r="AH167" s="51">
        <f t="shared" si="18"/>
        <v>40.274060240246499</v>
      </c>
      <c r="AI167" s="51">
        <f t="shared" si="19"/>
        <v>0.14881341634511736</v>
      </c>
      <c r="AJ167" s="17"/>
      <c r="AK167" s="17"/>
      <c r="AL167" s="17"/>
      <c r="AM167" s="17"/>
      <c r="AN167" s="17"/>
      <c r="AO167" s="17"/>
      <c r="AP167" s="17"/>
      <c r="AQ167" s="17"/>
      <c r="AR167" s="17"/>
      <c r="AS167" s="17"/>
      <c r="AT167" s="17"/>
      <c r="AU167" s="17"/>
      <c r="AV167" t="s">
        <v>1391</v>
      </c>
      <c r="AW167" t="s">
        <v>1391</v>
      </c>
      <c r="BH167"/>
      <c r="BN167" s="17"/>
      <c r="BO167" s="17"/>
      <c r="BP167" s="17"/>
      <c r="BQ167" s="17"/>
      <c r="BR167" s="17"/>
      <c r="BX167" s="17"/>
    </row>
    <row r="168" spans="1:76" x14ac:dyDescent="0.25">
      <c r="A168" t="s">
        <v>1395</v>
      </c>
      <c r="B168" t="s">
        <v>30</v>
      </c>
      <c r="C168">
        <v>2016</v>
      </c>
      <c r="D168" t="s">
        <v>1396</v>
      </c>
      <c r="E168" s="65">
        <v>56800</v>
      </c>
      <c r="F168" s="67">
        <v>18624475000000</v>
      </c>
      <c r="G168" s="17">
        <v>325719178</v>
      </c>
      <c r="H168" t="s">
        <v>109</v>
      </c>
      <c r="I168" t="s">
        <v>300</v>
      </c>
      <c r="J168" t="s">
        <v>2023</v>
      </c>
      <c r="K168" s="64" t="s">
        <v>2022</v>
      </c>
      <c r="L168" t="s">
        <v>1354</v>
      </c>
      <c r="M168" t="s">
        <v>309</v>
      </c>
      <c r="N168" t="s">
        <v>422</v>
      </c>
      <c r="O168" t="s">
        <v>1084</v>
      </c>
      <c r="T168" t="s">
        <v>102</v>
      </c>
      <c r="Y168" t="s">
        <v>102</v>
      </c>
      <c r="Z168" s="17">
        <v>31440440</v>
      </c>
      <c r="AA168" s="17">
        <v>941284</v>
      </c>
      <c r="AB168" s="17">
        <v>168803</v>
      </c>
      <c r="AC168" s="17">
        <f>+AA168+AB168</f>
        <v>1110087</v>
      </c>
      <c r="AD168" s="17">
        <f>+Z168+AC168</f>
        <v>32550527</v>
      </c>
      <c r="AE168" s="17">
        <v>20328</v>
      </c>
      <c r="AF168" s="51">
        <f t="shared" si="16"/>
        <v>96.526216825955515</v>
      </c>
      <c r="AG168" s="51">
        <f t="shared" si="17"/>
        <v>3.408110651685361</v>
      </c>
      <c r="AH168" s="51">
        <f t="shared" si="18"/>
        <v>99.934327477640878</v>
      </c>
      <c r="AI168" s="51">
        <f t="shared" si="19"/>
        <v>6.2409588912814951E-2</v>
      </c>
      <c r="AJ168" s="17">
        <v>21391399</v>
      </c>
      <c r="AK168" s="17">
        <v>20780702</v>
      </c>
      <c r="AL168" s="17">
        <v>17500851</v>
      </c>
      <c r="AM168" s="17">
        <f>+AK168+AL168</f>
        <v>38281553</v>
      </c>
      <c r="AN168" s="17">
        <f>+AM168+AJ168</f>
        <v>59672952</v>
      </c>
      <c r="AO168" s="17">
        <v>64558383</v>
      </c>
      <c r="AP168" s="17"/>
      <c r="AQ168" s="17"/>
      <c r="AR168" s="17"/>
      <c r="AS168" s="17"/>
      <c r="AT168" s="17"/>
      <c r="AU168" s="17"/>
      <c r="AX168" s="65"/>
      <c r="AY168" s="65"/>
      <c r="BA168" s="65"/>
      <c r="BH168"/>
      <c r="BN168" s="17"/>
      <c r="BO168" s="17"/>
      <c r="BP168" s="17"/>
      <c r="BQ168" s="17"/>
      <c r="BR168" s="17"/>
      <c r="BS168" s="71"/>
      <c r="BX168" s="17"/>
    </row>
    <row r="169" spans="1:76" x14ac:dyDescent="0.25">
      <c r="A169" t="s">
        <v>1410</v>
      </c>
      <c r="B169" t="s">
        <v>30</v>
      </c>
      <c r="C169">
        <v>2016</v>
      </c>
      <c r="D169" t="s">
        <v>1411</v>
      </c>
      <c r="E169" s="61">
        <v>15200</v>
      </c>
      <c r="F169" s="67">
        <v>1589195373599.9998</v>
      </c>
      <c r="G169" s="17">
        <v>3456750</v>
      </c>
      <c r="H169" t="s">
        <v>109</v>
      </c>
      <c r="I169" t="s">
        <v>110</v>
      </c>
      <c r="J169" t="s">
        <v>1412</v>
      </c>
      <c r="K169" t="s">
        <v>1413</v>
      </c>
      <c r="L169" t="s">
        <v>241</v>
      </c>
      <c r="M169" t="s">
        <v>182</v>
      </c>
      <c r="N169" t="s">
        <v>309</v>
      </c>
      <c r="O169" t="s">
        <v>310</v>
      </c>
      <c r="Z169" s="17">
        <v>146510</v>
      </c>
      <c r="AA169" s="17">
        <v>23190</v>
      </c>
      <c r="AB169" s="17">
        <v>5071</v>
      </c>
      <c r="AC169" s="17">
        <v>28261</v>
      </c>
      <c r="AD169" s="17">
        <v>174771</v>
      </c>
      <c r="AE169" s="17">
        <v>834</v>
      </c>
      <c r="AF169" s="51">
        <f t="shared" si="16"/>
        <v>42.383741954147681</v>
      </c>
      <c r="AG169" s="51">
        <f t="shared" si="17"/>
        <v>8.1755984667679193</v>
      </c>
      <c r="AH169" s="51">
        <f t="shared" si="18"/>
        <v>50.559340420915603</v>
      </c>
      <c r="AI169" s="51">
        <f t="shared" si="19"/>
        <v>0.24126708613582121</v>
      </c>
      <c r="AJ169" s="17">
        <v>225207</v>
      </c>
      <c r="AK169" s="17" t="s">
        <v>1414</v>
      </c>
      <c r="AL169" s="17" t="s">
        <v>1415</v>
      </c>
      <c r="AM169" s="17" t="s">
        <v>1416</v>
      </c>
      <c r="AN169" s="17" t="s">
        <v>1417</v>
      </c>
      <c r="AO169" s="17" t="s">
        <v>1418</v>
      </c>
      <c r="AP169" s="17"/>
      <c r="AQ169" s="17"/>
      <c r="AR169" s="17"/>
      <c r="AS169" s="17"/>
      <c r="AT169" s="17"/>
      <c r="AU169" s="17"/>
      <c r="AV169" t="s">
        <v>1413</v>
      </c>
      <c r="AW169" t="s">
        <v>1413</v>
      </c>
      <c r="BH169"/>
      <c r="BN169" s="17"/>
      <c r="BO169" s="17"/>
      <c r="BP169" s="17"/>
      <c r="BQ169" s="17"/>
      <c r="BR169" s="17"/>
      <c r="BT169" t="s">
        <v>1419</v>
      </c>
      <c r="BU169" t="s">
        <v>1420</v>
      </c>
      <c r="BV169" t="s">
        <v>1421</v>
      </c>
      <c r="BW169" t="s">
        <v>1422</v>
      </c>
      <c r="BX169" s="17" t="s">
        <v>1493</v>
      </c>
    </row>
    <row r="170" spans="1:76" x14ac:dyDescent="0.25">
      <c r="A170" t="s">
        <v>1487</v>
      </c>
      <c r="B170" t="s">
        <v>30</v>
      </c>
      <c r="C170">
        <v>2018</v>
      </c>
      <c r="D170" t="s">
        <v>1488</v>
      </c>
      <c r="E170" s="61">
        <v>1980</v>
      </c>
      <c r="F170" s="67">
        <v>249136400000000</v>
      </c>
      <c r="G170" s="17">
        <v>32387200</v>
      </c>
      <c r="H170" t="s">
        <v>88</v>
      </c>
      <c r="I170" t="s">
        <v>43</v>
      </c>
      <c r="J170" t="s">
        <v>1489</v>
      </c>
      <c r="K170" t="s">
        <v>1490</v>
      </c>
      <c r="L170" t="s">
        <v>1491</v>
      </c>
      <c r="M170" t="s">
        <v>1492</v>
      </c>
      <c r="N170" t="s">
        <v>1888</v>
      </c>
      <c r="Z170" s="17"/>
      <c r="AA170" s="17"/>
      <c r="AB170" s="17"/>
      <c r="AC170" s="17"/>
      <c r="AD170" s="17">
        <v>242400</v>
      </c>
      <c r="AE170" s="17"/>
      <c r="AF170" s="51" t="str">
        <f t="shared" si="16"/>
        <v/>
      </c>
      <c r="AG170" s="51" t="str">
        <f t="shared" si="17"/>
        <v/>
      </c>
      <c r="AH170" s="51">
        <f t="shared" si="18"/>
        <v>7.4844382966110068</v>
      </c>
      <c r="AI170" s="51" t="str">
        <f t="shared" si="19"/>
        <v/>
      </c>
      <c r="AJ170" s="17"/>
      <c r="AK170" s="17"/>
      <c r="AL170" s="17"/>
      <c r="AM170" s="17"/>
      <c r="AN170" s="17"/>
      <c r="AO170" s="17"/>
      <c r="AP170" s="17"/>
      <c r="AQ170" s="17"/>
      <c r="AR170" s="17"/>
      <c r="AS170" s="17"/>
      <c r="AT170" s="17"/>
      <c r="AU170" s="17"/>
      <c r="AV170" t="s">
        <v>1490</v>
      </c>
      <c r="BH170"/>
      <c r="BN170" s="17"/>
      <c r="BO170" s="17"/>
      <c r="BP170" s="17"/>
      <c r="BQ170" s="17"/>
      <c r="BR170" s="17"/>
      <c r="BX170" s="17" t="s">
        <v>1504</v>
      </c>
    </row>
    <row r="171" spans="1:76" x14ac:dyDescent="0.25">
      <c r="A171" t="s">
        <v>1494</v>
      </c>
      <c r="B171" t="s">
        <v>30</v>
      </c>
      <c r="C171">
        <v>2010</v>
      </c>
      <c r="D171" t="s">
        <v>1495</v>
      </c>
      <c r="E171" s="61">
        <v>2690</v>
      </c>
      <c r="F171" s="67">
        <v>67912000000</v>
      </c>
      <c r="G171" s="17">
        <v>236295</v>
      </c>
      <c r="H171" t="s">
        <v>88</v>
      </c>
      <c r="I171" t="s">
        <v>77</v>
      </c>
      <c r="J171" t="s">
        <v>1496</v>
      </c>
      <c r="K171" t="s">
        <v>1497</v>
      </c>
      <c r="L171" t="s">
        <v>34</v>
      </c>
      <c r="M171" t="s">
        <v>35</v>
      </c>
      <c r="N171" t="s">
        <v>276</v>
      </c>
      <c r="O171" t="s">
        <v>244</v>
      </c>
      <c r="U171" t="s">
        <v>326</v>
      </c>
      <c r="V171" t="s">
        <v>502</v>
      </c>
      <c r="W171" t="s">
        <v>1498</v>
      </c>
      <c r="X171" t="s">
        <v>1894</v>
      </c>
      <c r="Y171" t="s">
        <v>1499</v>
      </c>
      <c r="Z171" s="17"/>
      <c r="AA171" s="17"/>
      <c r="AB171" s="17"/>
      <c r="AC171" s="17"/>
      <c r="AD171" s="17"/>
      <c r="AE171" s="17"/>
      <c r="AF171" s="51" t="str">
        <f t="shared" si="16"/>
        <v/>
      </c>
      <c r="AG171" s="51" t="str">
        <f t="shared" si="17"/>
        <v/>
      </c>
      <c r="AH171" s="51" t="str">
        <f t="shared" si="18"/>
        <v/>
      </c>
      <c r="AI171" s="51" t="str">
        <f t="shared" si="19"/>
        <v/>
      </c>
      <c r="AJ171" s="17"/>
      <c r="AK171" s="17"/>
      <c r="AL171" s="17"/>
      <c r="AM171" s="17"/>
      <c r="AN171" s="17"/>
      <c r="AO171" s="17"/>
      <c r="AP171" s="17"/>
      <c r="AQ171" s="17"/>
      <c r="AR171" s="17"/>
      <c r="AS171" s="17"/>
      <c r="AT171" s="17"/>
      <c r="AU171" s="17"/>
      <c r="BH171"/>
      <c r="BN171" s="17"/>
      <c r="BO171" s="17"/>
      <c r="BP171" s="17"/>
      <c r="BQ171" s="17"/>
      <c r="BR171" s="17"/>
      <c r="BX171" s="17" t="s">
        <v>1510</v>
      </c>
    </row>
    <row r="172" spans="1:76" x14ac:dyDescent="0.25">
      <c r="A172" t="s">
        <v>1500</v>
      </c>
      <c r="B172" t="s">
        <v>30</v>
      </c>
      <c r="C172">
        <v>2008</v>
      </c>
      <c r="D172" t="s">
        <v>1501</v>
      </c>
      <c r="E172" s="61">
        <v>9230</v>
      </c>
      <c r="F172" s="67">
        <v>677593636999.99988</v>
      </c>
      <c r="G172" s="17">
        <v>28141701</v>
      </c>
      <c r="H172" t="s">
        <v>42</v>
      </c>
      <c r="I172" t="s">
        <v>110</v>
      </c>
      <c r="J172" t="s">
        <v>1502</v>
      </c>
      <c r="K172" t="s">
        <v>1503</v>
      </c>
      <c r="L172" t="s">
        <v>46</v>
      </c>
      <c r="M172" t="s">
        <v>716</v>
      </c>
      <c r="N172" t="s">
        <v>36</v>
      </c>
      <c r="O172" t="s">
        <v>37</v>
      </c>
      <c r="Z172" s="17">
        <v>322845</v>
      </c>
      <c r="AA172" s="17">
        <v>90257</v>
      </c>
      <c r="AB172" s="17">
        <v>94502</v>
      </c>
      <c r="AC172" s="17">
        <v>184759</v>
      </c>
      <c r="AD172" s="17">
        <v>507604</v>
      </c>
      <c r="AE172" s="17">
        <v>2169</v>
      </c>
      <c r="AF172" s="51">
        <f t="shared" si="16"/>
        <v>11.472121034901194</v>
      </c>
      <c r="AG172" s="51">
        <f t="shared" si="17"/>
        <v>6.5653103200833529</v>
      </c>
      <c r="AH172" s="51">
        <f t="shared" si="18"/>
        <v>18.037431354984548</v>
      </c>
      <c r="AI172" s="51">
        <f t="shared" si="19"/>
        <v>7.7074232293207867E-2</v>
      </c>
      <c r="AJ172" s="17"/>
      <c r="AK172" s="17"/>
      <c r="AL172" s="17"/>
      <c r="AM172" s="17"/>
      <c r="AN172" s="17"/>
      <c r="AO172" s="17"/>
      <c r="AP172" s="17"/>
      <c r="AQ172" s="17"/>
      <c r="AR172" s="17"/>
      <c r="AS172" s="17"/>
      <c r="AT172" s="17"/>
      <c r="AU172" s="17"/>
      <c r="BH172"/>
      <c r="BN172" s="17"/>
      <c r="BO172" s="17"/>
      <c r="BP172" s="17"/>
      <c r="BQ172" s="17"/>
      <c r="BR172" s="17"/>
      <c r="BX172" s="65">
        <v>11.472121034901194</v>
      </c>
    </row>
    <row r="173" spans="1:76" x14ac:dyDescent="0.25">
      <c r="A173" t="s">
        <v>1511</v>
      </c>
      <c r="B173" t="s">
        <v>30</v>
      </c>
      <c r="C173">
        <v>2015</v>
      </c>
      <c r="D173" t="s">
        <v>1512</v>
      </c>
      <c r="E173" s="61">
        <v>1950</v>
      </c>
      <c r="F173" s="67">
        <v>4192862000000000</v>
      </c>
      <c r="G173" s="17">
        <v>93571567</v>
      </c>
      <c r="H173" t="s">
        <v>88</v>
      </c>
      <c r="I173" t="s">
        <v>77</v>
      </c>
      <c r="J173" t="s">
        <v>1513</v>
      </c>
      <c r="K173" t="s">
        <v>1514</v>
      </c>
      <c r="L173" t="s">
        <v>98</v>
      </c>
      <c r="M173" t="s">
        <v>1515</v>
      </c>
      <c r="N173" t="s">
        <v>1516</v>
      </c>
      <c r="O173" t="s">
        <v>1517</v>
      </c>
      <c r="Q173" t="s">
        <v>1518</v>
      </c>
      <c r="R173" t="s">
        <v>1519</v>
      </c>
      <c r="S173" t="s">
        <v>1520</v>
      </c>
      <c r="T173" t="s">
        <v>1521</v>
      </c>
      <c r="Y173" t="s">
        <v>1521</v>
      </c>
      <c r="Z173" s="17">
        <v>303937</v>
      </c>
      <c r="AA173" s="17">
        <v>120830</v>
      </c>
      <c r="AB173" s="17">
        <v>11041</v>
      </c>
      <c r="AC173" s="17">
        <v>131871</v>
      </c>
      <c r="AD173" s="17">
        <v>435808</v>
      </c>
      <c r="AE173" s="17">
        <v>6607</v>
      </c>
      <c r="AF173" s="51">
        <f t="shared" si="16"/>
        <v>3.248176874071159</v>
      </c>
      <c r="AG173" s="51">
        <f t="shared" si="17"/>
        <v>1.409306312033868</v>
      </c>
      <c r="AH173" s="51">
        <f t="shared" si="18"/>
        <v>4.6574831861050265</v>
      </c>
      <c r="AI173" s="51">
        <f t="shared" si="19"/>
        <v>7.0609055847060898E-2</v>
      </c>
      <c r="AJ173" s="17"/>
      <c r="AK173" s="17"/>
      <c r="AL173" s="17"/>
      <c r="AM173" s="17"/>
      <c r="AN173" s="17"/>
      <c r="AO173" s="17"/>
      <c r="AP173" s="17"/>
      <c r="AQ173" s="17"/>
      <c r="AR173" s="17"/>
      <c r="AS173" s="17"/>
      <c r="AT173" s="17"/>
      <c r="AU173" s="17"/>
      <c r="BH173"/>
      <c r="BN173" s="17"/>
      <c r="BO173" s="17"/>
      <c r="BP173" s="17"/>
      <c r="BQ173" s="17"/>
      <c r="BR173" s="17"/>
      <c r="BX173" s="65">
        <v>3.248176874071159</v>
      </c>
    </row>
    <row r="174" spans="1:76" x14ac:dyDescent="0.25">
      <c r="A174" t="s">
        <v>1527</v>
      </c>
      <c r="B174" t="s">
        <v>30</v>
      </c>
      <c r="C174">
        <v>2014</v>
      </c>
      <c r="D174" t="s">
        <v>1528</v>
      </c>
      <c r="E174" s="61">
        <v>34500</v>
      </c>
      <c r="F174" s="67">
        <v>3624000000</v>
      </c>
      <c r="G174" s="17">
        <v>107884</v>
      </c>
      <c r="H174" t="s">
        <v>109</v>
      </c>
      <c r="I174" t="s">
        <v>110</v>
      </c>
      <c r="J174" t="s">
        <v>1529</v>
      </c>
      <c r="K174" t="s">
        <v>1530</v>
      </c>
      <c r="L174" t="s">
        <v>954</v>
      </c>
      <c r="M174" t="s">
        <v>309</v>
      </c>
      <c r="N174" t="s">
        <v>422</v>
      </c>
      <c r="O174" t="s">
        <v>1084</v>
      </c>
      <c r="Z174" s="17"/>
      <c r="AA174" s="17"/>
      <c r="AB174" s="17"/>
      <c r="AC174" s="17"/>
      <c r="AD174" s="17">
        <v>2609</v>
      </c>
      <c r="AE174" s="17"/>
      <c r="AF174" s="51" t="str">
        <f t="shared" si="16"/>
        <v/>
      </c>
      <c r="AG174" s="51" t="str">
        <f t="shared" si="17"/>
        <v/>
      </c>
      <c r="AH174" s="51">
        <f t="shared" si="18"/>
        <v>24.183382151199435</v>
      </c>
      <c r="AI174" s="51" t="str">
        <f t="shared" si="19"/>
        <v/>
      </c>
      <c r="AJ174" s="17"/>
      <c r="AK174" s="17"/>
      <c r="AL174" s="17"/>
      <c r="AM174" s="17">
        <v>27618</v>
      </c>
      <c r="AN174" s="17"/>
      <c r="AO174" s="17"/>
      <c r="AP174" s="17"/>
      <c r="AQ174" s="17"/>
      <c r="AR174" s="17"/>
      <c r="AS174" s="17"/>
      <c r="AT174" s="17"/>
      <c r="AU174" s="17"/>
      <c r="BH174"/>
      <c r="BN174" s="17"/>
      <c r="BO174" s="17"/>
      <c r="BP174" s="17"/>
      <c r="BQ174" s="17"/>
      <c r="BR174" s="17"/>
      <c r="BU174" t="s">
        <v>1112</v>
      </c>
      <c r="BX174" s="65" t="s">
        <v>1152</v>
      </c>
    </row>
    <row r="175" spans="1:76" x14ac:dyDescent="0.25">
      <c r="A175" t="s">
        <v>1532</v>
      </c>
      <c r="B175" t="s">
        <v>30</v>
      </c>
      <c r="C175">
        <v>2012</v>
      </c>
      <c r="D175" t="s">
        <v>1533</v>
      </c>
      <c r="E175" s="61">
        <v>3070</v>
      </c>
      <c r="F175" s="67">
        <v>11279400000</v>
      </c>
      <c r="G175" s="17">
        <v>4046901</v>
      </c>
      <c r="H175" t="s">
        <v>88</v>
      </c>
      <c r="I175" t="s">
        <v>58</v>
      </c>
      <c r="J175" t="s">
        <v>1534</v>
      </c>
      <c r="K175" t="s">
        <v>1535</v>
      </c>
      <c r="L175" t="s">
        <v>724</v>
      </c>
      <c r="M175" t="s">
        <v>1536</v>
      </c>
      <c r="N175" t="s">
        <v>1537</v>
      </c>
      <c r="O175" t="s">
        <v>244</v>
      </c>
      <c r="Q175" t="s">
        <v>1538</v>
      </c>
      <c r="R175" t="s">
        <v>1539</v>
      </c>
      <c r="S175" t="s">
        <v>1540</v>
      </c>
      <c r="T175" t="s">
        <v>102</v>
      </c>
      <c r="Z175" s="17">
        <v>117234</v>
      </c>
      <c r="AA175" s="17">
        <v>12920</v>
      </c>
      <c r="AB175" s="17">
        <v>1172</v>
      </c>
      <c r="AC175" s="17">
        <v>14092</v>
      </c>
      <c r="AD175" s="17">
        <v>131326</v>
      </c>
      <c r="AE175" s="17">
        <v>364</v>
      </c>
      <c r="AF175" s="51">
        <f t="shared" si="16"/>
        <v>28.968833188654727</v>
      </c>
      <c r="AG175" s="51">
        <f t="shared" si="17"/>
        <v>3.4821706782547932</v>
      </c>
      <c r="AH175" s="51">
        <f t="shared" si="18"/>
        <v>32.451003866909524</v>
      </c>
      <c r="AI175" s="51">
        <f t="shared" si="19"/>
        <v>8.9945368073002033E-2</v>
      </c>
      <c r="AJ175" s="17"/>
      <c r="AK175" s="17"/>
      <c r="AL175" s="17"/>
      <c r="AM175" s="17"/>
      <c r="AN175" s="17"/>
      <c r="AO175" s="17"/>
      <c r="AP175" s="17"/>
      <c r="AQ175" s="17"/>
      <c r="AR175" s="17"/>
      <c r="AS175" s="17"/>
      <c r="AT175" s="17"/>
      <c r="AU175" s="17"/>
      <c r="BH175"/>
      <c r="BN175" s="17"/>
      <c r="BO175" s="17"/>
      <c r="BP175" s="17"/>
      <c r="BQ175" s="17"/>
      <c r="BR175" s="17"/>
      <c r="BX175" s="65">
        <v>28.968833188654727</v>
      </c>
    </row>
    <row r="176" spans="1:76" x14ac:dyDescent="0.25">
      <c r="A176" t="s">
        <v>1541</v>
      </c>
      <c r="B176" t="s">
        <v>30</v>
      </c>
      <c r="C176">
        <v>2004</v>
      </c>
      <c r="D176" t="s">
        <v>1542</v>
      </c>
      <c r="E176" s="61">
        <v>610</v>
      </c>
      <c r="F176" s="67">
        <v>2563490000000</v>
      </c>
      <c r="G176" s="17">
        <v>19612696</v>
      </c>
      <c r="H176" t="s">
        <v>32</v>
      </c>
      <c r="I176" t="s">
        <v>58</v>
      </c>
      <c r="J176" t="s">
        <v>1543</v>
      </c>
      <c r="K176" t="s">
        <v>1544</v>
      </c>
      <c r="L176" t="s">
        <v>92</v>
      </c>
      <c r="M176" t="s">
        <v>893</v>
      </c>
      <c r="N176" t="s">
        <v>422</v>
      </c>
      <c r="O176" t="s">
        <v>1084</v>
      </c>
      <c r="Z176" s="17">
        <v>385826.54</v>
      </c>
      <c r="AA176" s="17"/>
      <c r="AB176" s="17"/>
      <c r="AC176" s="17">
        <v>14408.46</v>
      </c>
      <c r="AD176" s="17">
        <v>400235</v>
      </c>
      <c r="AE176" s="17"/>
      <c r="AF176" s="51">
        <f t="shared" si="16"/>
        <v>19.672284728218905</v>
      </c>
      <c r="AG176" s="51">
        <f t="shared" si="17"/>
        <v>0.73464963715340303</v>
      </c>
      <c r="AH176" s="51">
        <f t="shared" si="18"/>
        <v>20.406934365372308</v>
      </c>
      <c r="AI176" s="51" t="str">
        <f t="shared" si="19"/>
        <v/>
      </c>
      <c r="AJ176" s="17"/>
      <c r="AK176" s="17"/>
      <c r="AL176" s="17"/>
      <c r="AM176" s="17"/>
      <c r="AN176" s="17"/>
      <c r="AO176" s="17"/>
      <c r="AP176" s="17"/>
      <c r="AQ176" s="17"/>
      <c r="AR176" s="17"/>
      <c r="AS176" s="17"/>
      <c r="AT176" s="17"/>
      <c r="AU176" s="17"/>
      <c r="BH176"/>
      <c r="BN176" s="17"/>
      <c r="BO176" s="17"/>
      <c r="BP176" s="17"/>
      <c r="BQ176" s="17"/>
      <c r="BR176" s="17"/>
      <c r="BX176" s="65">
        <v>19.672284728218905</v>
      </c>
    </row>
    <row r="177" spans="1:76" x14ac:dyDescent="0.25">
      <c r="A177" t="s">
        <v>1545</v>
      </c>
      <c r="B177" t="s">
        <v>30</v>
      </c>
      <c r="C177">
        <v>2014</v>
      </c>
      <c r="D177" t="s">
        <v>1546</v>
      </c>
      <c r="E177" s="61">
        <v>1770</v>
      </c>
      <c r="F177" s="67">
        <v>167052400000</v>
      </c>
      <c r="G177" s="17">
        <v>15620974</v>
      </c>
      <c r="H177" t="s">
        <v>88</v>
      </c>
      <c r="I177" t="s">
        <v>89</v>
      </c>
      <c r="J177" t="s">
        <v>1547</v>
      </c>
      <c r="K177" t="s">
        <v>1548</v>
      </c>
      <c r="L177" t="s">
        <v>98</v>
      </c>
      <c r="M177" t="s">
        <v>402</v>
      </c>
      <c r="N177" t="s">
        <v>372</v>
      </c>
      <c r="O177" t="s">
        <v>37</v>
      </c>
      <c r="P177" t="s">
        <v>1549</v>
      </c>
      <c r="Q177" t="s">
        <v>1550</v>
      </c>
      <c r="R177" t="s">
        <v>1551</v>
      </c>
      <c r="S177" t="s">
        <v>1552</v>
      </c>
      <c r="T177" t="s">
        <v>1553</v>
      </c>
      <c r="U177" t="s">
        <v>487</v>
      </c>
      <c r="V177" t="s">
        <v>1554</v>
      </c>
      <c r="W177" t="s">
        <v>1555</v>
      </c>
      <c r="X177" t="s">
        <v>1276</v>
      </c>
      <c r="Y177" t="s">
        <v>1553</v>
      </c>
      <c r="Z177" s="17"/>
      <c r="AA177" s="17"/>
      <c r="AB177" s="17"/>
      <c r="AC177" s="17"/>
      <c r="AD177" s="17"/>
      <c r="AE177" s="17"/>
      <c r="AF177" s="51" t="str">
        <f t="shared" si="16"/>
        <v/>
      </c>
      <c r="AG177" s="51" t="str">
        <f t="shared" si="17"/>
        <v/>
      </c>
      <c r="AH177" s="51" t="str">
        <f t="shared" si="18"/>
        <v/>
      </c>
      <c r="AI177" s="51" t="str">
        <f t="shared" si="19"/>
        <v/>
      </c>
      <c r="AJ177" s="17"/>
      <c r="AK177" s="17"/>
      <c r="AL177" s="17"/>
      <c r="AM177" s="17"/>
      <c r="AN177" s="17"/>
      <c r="AO177" s="17"/>
      <c r="AP177" s="17"/>
      <c r="AQ177" s="17"/>
      <c r="AR177" s="17"/>
      <c r="AS177" s="17"/>
      <c r="AT177" s="17"/>
      <c r="AU177" s="17"/>
      <c r="BH177"/>
      <c r="BN177" s="17"/>
      <c r="BO177" s="17"/>
      <c r="BP177" s="17"/>
      <c r="BQ177" s="17"/>
      <c r="BR177" s="17"/>
      <c r="BX177" s="65" t="s">
        <v>1152</v>
      </c>
    </row>
    <row r="178" spans="1:76" x14ac:dyDescent="0.25">
      <c r="A178" t="s">
        <v>1556</v>
      </c>
      <c r="B178" t="s">
        <v>30</v>
      </c>
      <c r="C178">
        <v>2012</v>
      </c>
      <c r="D178" t="s">
        <v>1557</v>
      </c>
      <c r="E178" s="61">
        <v>810</v>
      </c>
      <c r="F178" s="67">
        <v>14242490299.999998</v>
      </c>
      <c r="G178" s="17">
        <v>14710826</v>
      </c>
      <c r="H178" t="s">
        <v>32</v>
      </c>
      <c r="I178" t="s">
        <v>89</v>
      </c>
      <c r="J178" t="s">
        <v>1569</v>
      </c>
      <c r="K178" t="s">
        <v>1570</v>
      </c>
      <c r="L178" t="s">
        <v>34</v>
      </c>
      <c r="M178" t="s">
        <v>1571</v>
      </c>
      <c r="N178" t="s">
        <v>1572</v>
      </c>
      <c r="O178" t="s">
        <v>1573</v>
      </c>
      <c r="Z178" s="17">
        <v>654224</v>
      </c>
      <c r="AA178" s="17">
        <v>108286</v>
      </c>
      <c r="AB178" s="17">
        <v>19278</v>
      </c>
      <c r="AC178" s="17">
        <v>127564</v>
      </c>
      <c r="AD178" s="17">
        <v>781788</v>
      </c>
      <c r="AE178" s="17"/>
      <c r="AF178" s="51">
        <f t="shared" si="16"/>
        <v>44.472281841957759</v>
      </c>
      <c r="AG178" s="51">
        <f t="shared" si="17"/>
        <v>8.6714369403866236</v>
      </c>
      <c r="AH178" s="51">
        <f t="shared" si="18"/>
        <v>53.143718782344379</v>
      </c>
      <c r="AI178" s="51" t="str">
        <f t="shared" si="19"/>
        <v/>
      </c>
      <c r="AJ178" s="17"/>
      <c r="AK178" s="17"/>
      <c r="AL178" s="17"/>
      <c r="AM178" s="17"/>
      <c r="AN178" s="17">
        <v>5700000</v>
      </c>
      <c r="AO178" s="17"/>
      <c r="AP178" s="17"/>
      <c r="AQ178" s="17"/>
      <c r="AR178" s="17"/>
      <c r="AS178" s="17"/>
      <c r="AT178" s="17"/>
      <c r="AU178" s="17"/>
      <c r="BH178"/>
      <c r="BN178" s="17"/>
      <c r="BO178" s="17"/>
      <c r="BP178" s="17"/>
      <c r="BQ178" s="17"/>
      <c r="BR178" s="17"/>
      <c r="BS178" s="71">
        <v>0.85</v>
      </c>
      <c r="BX178" s="65">
        <v>44.472281841957759</v>
      </c>
    </row>
    <row r="179" spans="1:76" x14ac:dyDescent="0.25">
      <c r="A179" t="s">
        <v>85</v>
      </c>
      <c r="B179" t="s">
        <v>52</v>
      </c>
      <c r="C179">
        <v>2011</v>
      </c>
      <c r="D179" t="s">
        <v>87</v>
      </c>
      <c r="E179" s="61">
        <v>3390</v>
      </c>
      <c r="F179" s="67"/>
      <c r="G179" s="17">
        <v>24218565</v>
      </c>
      <c r="H179" t="s">
        <v>88</v>
      </c>
      <c r="I179" t="s">
        <v>89</v>
      </c>
      <c r="J179" t="s">
        <v>96</v>
      </c>
      <c r="K179" t="s">
        <v>97</v>
      </c>
      <c r="L179" t="s">
        <v>98</v>
      </c>
      <c r="M179" t="s">
        <v>99</v>
      </c>
      <c r="N179" t="s">
        <v>100</v>
      </c>
      <c r="O179" t="s">
        <v>101</v>
      </c>
      <c r="T179" t="s">
        <v>102</v>
      </c>
      <c r="U179" t="s">
        <v>103</v>
      </c>
      <c r="V179" t="s">
        <v>104</v>
      </c>
      <c r="W179" t="s">
        <v>105</v>
      </c>
      <c r="X179" t="s">
        <v>106</v>
      </c>
      <c r="Y179" t="s">
        <v>102</v>
      </c>
      <c r="Z179" s="17"/>
      <c r="AA179" s="17"/>
      <c r="AB179" s="17"/>
      <c r="AC179" s="17"/>
      <c r="AD179" s="17"/>
      <c r="AE179" s="17"/>
      <c r="AF179" s="51" t="str">
        <f t="shared" ref="AF179:AF193" si="20">IF(ISERROR((Z179/$G179)*1000),"",IF((Z179/$G179)*1000=0,"",(Z179/$G179)*1000))</f>
        <v/>
      </c>
      <c r="AG179" s="51" t="str">
        <f t="shared" ref="AG179:AG193" si="21">IF(ISERROR((AC179/$G179)*1000),"",IF((AC179/$G179)*1000=0,"",(AC179/$G179)*1000))</f>
        <v/>
      </c>
      <c r="AH179" s="51" t="str">
        <f t="shared" ref="AH179:AH193" si="22">IF(ISERROR((AD179/$G179)*1000),"",IF((AD179/$G179)*1000=0,"",(AD179/$G179)*1000))</f>
        <v/>
      </c>
      <c r="AI179" s="51" t="str">
        <f t="shared" ref="AI179:AI193" si="23">IF(ISERROR((AE179/$G179)*1000),"",IF((AE179/$G179)*1000=0,"",(AE179/$G179)*1000))</f>
        <v/>
      </c>
      <c r="AJ179" s="17"/>
      <c r="AK179" s="17"/>
      <c r="AL179" s="17"/>
      <c r="AM179" s="17"/>
      <c r="AN179" s="17"/>
      <c r="AO179" s="17"/>
      <c r="AP179" s="17"/>
      <c r="AQ179" s="17"/>
      <c r="AR179" s="17"/>
      <c r="AS179" s="17"/>
      <c r="AT179" s="17"/>
      <c r="AU179" s="17"/>
      <c r="BH179"/>
      <c r="BN179" s="17"/>
      <c r="BO179" s="17"/>
      <c r="BP179" s="17"/>
      <c r="BQ179" s="17"/>
      <c r="BR179" s="17"/>
      <c r="BX179" s="17"/>
    </row>
    <row r="180" spans="1:76" x14ac:dyDescent="0.25">
      <c r="A180" t="s">
        <v>116</v>
      </c>
      <c r="B180" t="s">
        <v>52</v>
      </c>
      <c r="C180">
        <v>2018</v>
      </c>
      <c r="D180" t="s">
        <v>117</v>
      </c>
      <c r="E180" s="61">
        <v>13040</v>
      </c>
      <c r="F180" s="67"/>
      <c r="G180" s="17">
        <v>44271041</v>
      </c>
      <c r="H180" t="s">
        <v>109</v>
      </c>
      <c r="I180" t="s">
        <v>110</v>
      </c>
      <c r="J180" t="s">
        <v>126</v>
      </c>
      <c r="K180" t="s">
        <v>127</v>
      </c>
      <c r="L180" t="s">
        <v>92</v>
      </c>
      <c r="M180" t="s">
        <v>48</v>
      </c>
      <c r="N180" t="s">
        <v>128</v>
      </c>
      <c r="O180" t="s">
        <v>101</v>
      </c>
      <c r="T180" t="s">
        <v>117</v>
      </c>
      <c r="Y180" t="s">
        <v>117</v>
      </c>
      <c r="Z180" s="17">
        <v>450401</v>
      </c>
      <c r="AA180" s="17">
        <v>70594</v>
      </c>
      <c r="AB180" s="17">
        <v>14934</v>
      </c>
      <c r="AC180" s="17">
        <v>85528</v>
      </c>
      <c r="AD180" s="17">
        <v>535929</v>
      </c>
      <c r="AE180" s="17">
        <v>3541</v>
      </c>
      <c r="AF180" s="51">
        <f t="shared" si="20"/>
        <v>10.173716041599294</v>
      </c>
      <c r="AG180" s="51">
        <f t="shared" si="21"/>
        <v>1.9319175259511066</v>
      </c>
      <c r="AH180" s="51">
        <f t="shared" si="22"/>
        <v>12.105633567550401</v>
      </c>
      <c r="AI180" s="51">
        <f t="shared" si="23"/>
        <v>7.9984565982986477E-2</v>
      </c>
      <c r="AJ180" s="17"/>
      <c r="AK180" s="17"/>
      <c r="AL180" s="17"/>
      <c r="AM180" s="17"/>
      <c r="AN180" s="17"/>
      <c r="AO180" s="17"/>
      <c r="AP180" s="17"/>
      <c r="AQ180" s="17"/>
      <c r="AR180" s="17"/>
      <c r="AS180" s="17"/>
      <c r="AT180" s="17"/>
      <c r="AU180" s="17"/>
      <c r="BH180"/>
      <c r="BN180" s="17"/>
      <c r="BO180" s="17"/>
      <c r="BP180" s="17"/>
      <c r="BQ180" s="17"/>
      <c r="BR180" s="17"/>
      <c r="BU180" t="s">
        <v>129</v>
      </c>
      <c r="BV180" t="s">
        <v>130</v>
      </c>
      <c r="BX180" s="17"/>
    </row>
    <row r="181" spans="1:76" x14ac:dyDescent="0.25">
      <c r="A181" t="s">
        <v>186</v>
      </c>
      <c r="B181" t="s">
        <v>52</v>
      </c>
      <c r="C181">
        <v>2016</v>
      </c>
      <c r="D181" t="s">
        <v>187</v>
      </c>
      <c r="E181" s="61">
        <v>45850</v>
      </c>
      <c r="F181" s="67"/>
      <c r="G181" s="17">
        <v>8809212</v>
      </c>
      <c r="H181" t="s">
        <v>109</v>
      </c>
      <c r="I181" t="s">
        <v>43</v>
      </c>
      <c r="J181" t="s">
        <v>194</v>
      </c>
      <c r="K181" t="s">
        <v>195</v>
      </c>
      <c r="L181" t="s">
        <v>190</v>
      </c>
      <c r="M181" t="s">
        <v>48</v>
      </c>
      <c r="N181" t="s">
        <v>62</v>
      </c>
      <c r="O181" t="s">
        <v>63</v>
      </c>
      <c r="T181" t="s">
        <v>55</v>
      </c>
      <c r="Y181" t="s">
        <v>55</v>
      </c>
      <c r="Z181" s="17"/>
      <c r="AA181" s="17"/>
      <c r="AB181" s="17"/>
      <c r="AC181" s="17"/>
      <c r="AD181" s="17"/>
      <c r="AE181" s="17"/>
      <c r="AF181" s="51" t="str">
        <f t="shared" si="20"/>
        <v/>
      </c>
      <c r="AG181" s="51" t="str">
        <f t="shared" si="21"/>
        <v/>
      </c>
      <c r="AH181" s="51" t="str">
        <f t="shared" si="22"/>
        <v/>
      </c>
      <c r="AI181" s="51" t="str">
        <f t="shared" si="23"/>
        <v/>
      </c>
      <c r="AJ181" s="17"/>
      <c r="AK181" s="17"/>
      <c r="AL181" s="17"/>
      <c r="AM181" s="17"/>
      <c r="AN181" s="17"/>
      <c r="AO181" s="17"/>
      <c r="AP181" s="17"/>
      <c r="AQ181" s="17"/>
      <c r="AR181" s="17"/>
      <c r="AS181" s="17"/>
      <c r="AT181" s="17"/>
      <c r="AU181" s="17"/>
      <c r="BF181" s="67">
        <v>7499000000</v>
      </c>
      <c r="BG181" s="68">
        <v>0.13500000000000001</v>
      </c>
      <c r="BH181"/>
      <c r="BL181" s="21">
        <v>3.1E-2</v>
      </c>
      <c r="BN181" s="17"/>
      <c r="BO181" s="17"/>
      <c r="BP181" s="17"/>
      <c r="BQ181" s="17"/>
      <c r="BR181" s="17"/>
      <c r="BX181" s="17"/>
    </row>
    <row r="182" spans="1:76" x14ac:dyDescent="0.25">
      <c r="A182" t="s">
        <v>237</v>
      </c>
      <c r="B182" t="s">
        <v>52</v>
      </c>
      <c r="C182">
        <v>2016</v>
      </c>
      <c r="D182" t="s">
        <v>238</v>
      </c>
      <c r="E182" s="61">
        <v>15210</v>
      </c>
      <c r="F182" s="67"/>
      <c r="G182" s="17">
        <v>284996</v>
      </c>
      <c r="H182" t="s">
        <v>109</v>
      </c>
      <c r="I182" t="s">
        <v>110</v>
      </c>
      <c r="J182" t="s">
        <v>248</v>
      </c>
      <c r="K182" t="s">
        <v>249</v>
      </c>
      <c r="L182" t="s">
        <v>241</v>
      </c>
      <c r="M182" t="s">
        <v>250</v>
      </c>
      <c r="N182" t="s">
        <v>251</v>
      </c>
      <c r="O182" t="s">
        <v>37</v>
      </c>
      <c r="T182" t="s">
        <v>256</v>
      </c>
      <c r="U182" t="s">
        <v>252</v>
      </c>
      <c r="V182" t="s">
        <v>253</v>
      </c>
      <c r="W182" t="s">
        <v>254</v>
      </c>
      <c r="X182" t="s">
        <v>255</v>
      </c>
      <c r="Y182" t="s">
        <v>256</v>
      </c>
      <c r="Z182" s="17"/>
      <c r="AA182" s="17"/>
      <c r="AB182" s="17"/>
      <c r="AC182" s="17"/>
      <c r="AD182" s="17"/>
      <c r="AE182" s="17"/>
      <c r="AF182" s="51" t="str">
        <f t="shared" si="20"/>
        <v/>
      </c>
      <c r="AG182" s="51" t="str">
        <f t="shared" si="21"/>
        <v/>
      </c>
      <c r="AH182" s="51" t="str">
        <f t="shared" si="22"/>
        <v/>
      </c>
      <c r="AI182" s="51" t="str">
        <f t="shared" si="23"/>
        <v/>
      </c>
      <c r="AJ182" s="17"/>
      <c r="AK182" s="17"/>
      <c r="AL182" s="17"/>
      <c r="AM182" s="17"/>
      <c r="AN182" s="17"/>
      <c r="AO182" s="17"/>
      <c r="AP182" s="17"/>
      <c r="AQ182" s="17"/>
      <c r="AR182" s="17"/>
      <c r="AS182" s="17"/>
      <c r="AT182" s="17"/>
      <c r="AU182" s="17"/>
      <c r="BH182"/>
      <c r="BN182" s="17"/>
      <c r="BO182" s="17"/>
      <c r="BP182" s="17"/>
      <c r="BQ182" s="17"/>
      <c r="BR182" s="17"/>
      <c r="BX182" s="17"/>
    </row>
    <row r="183" spans="1:76" x14ac:dyDescent="0.25">
      <c r="A183" t="s">
        <v>268</v>
      </c>
      <c r="B183" t="s">
        <v>52</v>
      </c>
      <c r="C183">
        <v>2016</v>
      </c>
      <c r="D183" t="s">
        <v>269</v>
      </c>
      <c r="E183" s="61">
        <v>42640</v>
      </c>
      <c r="F183" s="67"/>
      <c r="G183" s="17">
        <v>11372068</v>
      </c>
      <c r="H183" t="s">
        <v>109</v>
      </c>
      <c r="I183" t="s">
        <v>43</v>
      </c>
      <c r="J183" t="s">
        <v>270</v>
      </c>
      <c r="K183" t="s">
        <v>271</v>
      </c>
      <c r="L183" t="s">
        <v>190</v>
      </c>
      <c r="M183" t="s">
        <v>48</v>
      </c>
      <c r="N183" t="s">
        <v>62</v>
      </c>
      <c r="O183" t="s">
        <v>63</v>
      </c>
      <c r="T183" t="s">
        <v>55</v>
      </c>
      <c r="Y183" t="s">
        <v>55</v>
      </c>
      <c r="Z183" s="17"/>
      <c r="AA183" s="17"/>
      <c r="AB183" s="17"/>
      <c r="AC183" s="17"/>
      <c r="AD183" s="17"/>
      <c r="AE183" s="17"/>
      <c r="AF183" s="51" t="str">
        <f t="shared" si="20"/>
        <v/>
      </c>
      <c r="AG183" s="51" t="str">
        <f t="shared" si="21"/>
        <v/>
      </c>
      <c r="AH183" s="51" t="str">
        <f t="shared" si="22"/>
        <v/>
      </c>
      <c r="AI183" s="51" t="str">
        <f t="shared" si="23"/>
        <v/>
      </c>
      <c r="AJ183" s="17">
        <v>904365</v>
      </c>
      <c r="AK183" s="17">
        <v>552800</v>
      </c>
      <c r="AL183" s="17">
        <v>419841</v>
      </c>
      <c r="AM183" s="17"/>
      <c r="AN183" s="17"/>
      <c r="AO183" s="17"/>
      <c r="AP183" s="17"/>
      <c r="AQ183" s="17"/>
      <c r="AR183" s="17"/>
      <c r="AS183" s="17"/>
      <c r="AT183" s="17"/>
      <c r="AU183" s="17"/>
      <c r="BF183" s="67"/>
      <c r="BG183" s="68">
        <v>0.66</v>
      </c>
      <c r="BH183"/>
      <c r="BN183" s="17"/>
      <c r="BO183" s="17"/>
      <c r="BP183" s="17"/>
      <c r="BQ183" s="17"/>
      <c r="BR183" s="17"/>
      <c r="BX183" s="17"/>
    </row>
    <row r="184" spans="1:76" x14ac:dyDescent="0.25">
      <c r="A184" t="s">
        <v>272</v>
      </c>
      <c r="B184" t="s">
        <v>52</v>
      </c>
      <c r="C184">
        <v>2012</v>
      </c>
      <c r="D184" t="s">
        <v>273</v>
      </c>
      <c r="E184" s="61">
        <v>4260</v>
      </c>
      <c r="F184" s="67"/>
      <c r="G184" s="17">
        <v>336701</v>
      </c>
      <c r="H184" t="s">
        <v>42</v>
      </c>
      <c r="I184" t="s">
        <v>110</v>
      </c>
      <c r="J184" t="s">
        <v>286</v>
      </c>
      <c r="K184" t="s">
        <v>287</v>
      </c>
      <c r="L184" t="s">
        <v>241</v>
      </c>
      <c r="M184" t="s">
        <v>182</v>
      </c>
      <c r="N184" t="s">
        <v>276</v>
      </c>
      <c r="O184" t="s">
        <v>244</v>
      </c>
      <c r="P184" t="s">
        <v>277</v>
      </c>
      <c r="Q184" t="s">
        <v>278</v>
      </c>
      <c r="R184" t="s">
        <v>279</v>
      </c>
      <c r="S184" t="s">
        <v>280</v>
      </c>
      <c r="T184" t="s">
        <v>281</v>
      </c>
      <c r="U184" t="s">
        <v>220</v>
      </c>
      <c r="V184" t="s">
        <v>282</v>
      </c>
      <c r="W184" t="s">
        <v>283</v>
      </c>
      <c r="X184" t="s">
        <v>284</v>
      </c>
      <c r="Y184" t="s">
        <v>281</v>
      </c>
      <c r="Z184" s="17"/>
      <c r="AA184" s="17"/>
      <c r="AB184" s="17"/>
      <c r="AC184" s="17"/>
      <c r="AD184" s="17"/>
      <c r="AE184" s="17"/>
      <c r="AF184" s="51" t="str">
        <f t="shared" si="20"/>
        <v/>
      </c>
      <c r="AG184" s="51" t="str">
        <f t="shared" si="21"/>
        <v/>
      </c>
      <c r="AH184" s="51" t="str">
        <f t="shared" si="22"/>
        <v/>
      </c>
      <c r="AI184" s="51" t="str">
        <f t="shared" si="23"/>
        <v/>
      </c>
      <c r="AJ184" s="17"/>
      <c r="AK184" s="17"/>
      <c r="AL184" s="17"/>
      <c r="AM184" s="17"/>
      <c r="AN184" s="17"/>
      <c r="AO184" s="17"/>
      <c r="AP184" s="17"/>
      <c r="AQ184" s="17"/>
      <c r="AR184" s="17"/>
      <c r="AS184" s="17"/>
      <c r="AT184" s="17"/>
      <c r="AU184" s="17"/>
      <c r="BH184"/>
      <c r="BN184" s="17"/>
      <c r="BO184" s="17"/>
      <c r="BP184" s="17"/>
      <c r="BQ184" s="17"/>
      <c r="BR184" s="17"/>
      <c r="BX184" s="17"/>
    </row>
    <row r="185" spans="1:76" x14ac:dyDescent="0.25">
      <c r="A185" t="s">
        <v>312</v>
      </c>
      <c r="B185" t="s">
        <v>52</v>
      </c>
      <c r="C185">
        <v>2018</v>
      </c>
      <c r="D185" t="s">
        <v>313</v>
      </c>
      <c r="E185" s="61">
        <v>3130</v>
      </c>
      <c r="F185" s="67"/>
      <c r="G185" s="65">
        <v>11051600</v>
      </c>
      <c r="H185" t="s">
        <v>88</v>
      </c>
      <c r="I185" t="s">
        <v>110</v>
      </c>
      <c r="J185" t="s">
        <v>320</v>
      </c>
      <c r="K185" t="s">
        <v>321</v>
      </c>
      <c r="P185" t="s">
        <v>1952</v>
      </c>
      <c r="Q185" t="s">
        <v>1953</v>
      </c>
      <c r="R185" t="s">
        <v>1954</v>
      </c>
      <c r="S185" t="s">
        <v>1955</v>
      </c>
      <c r="T185" t="s">
        <v>1855</v>
      </c>
      <c r="Y185" t="s">
        <v>1855</v>
      </c>
      <c r="Z185" s="17"/>
      <c r="AA185" s="17"/>
      <c r="AB185" s="17"/>
      <c r="AC185" s="17"/>
      <c r="AD185" s="17"/>
      <c r="AE185" s="17"/>
      <c r="AF185" s="51" t="str">
        <f t="shared" si="20"/>
        <v/>
      </c>
      <c r="AG185" s="51" t="str">
        <f t="shared" si="21"/>
        <v/>
      </c>
      <c r="AH185" s="51" t="str">
        <f t="shared" si="22"/>
        <v/>
      </c>
      <c r="AI185" s="51" t="str">
        <f t="shared" si="23"/>
        <v/>
      </c>
      <c r="AJ185" s="69" t="str">
        <f>IF(ISERROR((AE185/$G185)*1000),"",IF((AE185/$G185)*1000=0,"",(AE185/$G185)*1000))</f>
        <v/>
      </c>
      <c r="AK185" s="17"/>
      <c r="AL185" s="17"/>
      <c r="AM185" s="17"/>
      <c r="AN185" s="17"/>
      <c r="AO185" s="17"/>
      <c r="AP185" s="17"/>
      <c r="AQ185" s="17"/>
      <c r="AR185" s="17"/>
      <c r="AS185" s="17"/>
      <c r="AT185" s="17"/>
      <c r="AU185" s="17"/>
      <c r="AV185" s="67"/>
      <c r="AX185" s="65"/>
      <c r="AY185" s="65"/>
      <c r="BA185" s="65"/>
      <c r="BF185" s="65"/>
      <c r="BG185" s="65"/>
      <c r="BH185"/>
      <c r="BJ185" s="65"/>
      <c r="BM185" s="68"/>
      <c r="BN185" s="17"/>
      <c r="BO185" s="17"/>
      <c r="BP185" s="17"/>
      <c r="BQ185" s="17"/>
      <c r="BR185" s="17"/>
      <c r="BV185" t="s">
        <v>1956</v>
      </c>
      <c r="BX185" s="65"/>
    </row>
    <row r="186" spans="1:76" x14ac:dyDescent="0.25">
      <c r="A186" t="s">
        <v>322</v>
      </c>
      <c r="B186" t="s">
        <v>52</v>
      </c>
      <c r="C186">
        <v>2017</v>
      </c>
      <c r="D186" t="s">
        <v>323</v>
      </c>
      <c r="E186" s="61">
        <v>4940</v>
      </c>
      <c r="F186" s="67"/>
      <c r="G186" s="17">
        <v>3507017</v>
      </c>
      <c r="H186" t="s">
        <v>42</v>
      </c>
      <c r="I186" t="s">
        <v>43</v>
      </c>
      <c r="J186" t="s">
        <v>324</v>
      </c>
      <c r="K186" t="s">
        <v>325</v>
      </c>
      <c r="L186" t="s">
        <v>61</v>
      </c>
      <c r="M186" t="s">
        <v>48</v>
      </c>
      <c r="N186" t="s">
        <v>62</v>
      </c>
      <c r="O186" t="s">
        <v>63</v>
      </c>
      <c r="P186" t="s">
        <v>326</v>
      </c>
      <c r="Q186" t="s">
        <v>327</v>
      </c>
      <c r="R186" t="s">
        <v>328</v>
      </c>
      <c r="S186" t="s">
        <v>329</v>
      </c>
      <c r="T186" t="s">
        <v>330</v>
      </c>
      <c r="Y186" t="s">
        <v>330</v>
      </c>
      <c r="Z186" s="17">
        <v>25003</v>
      </c>
      <c r="AA186" s="17">
        <v>6212</v>
      </c>
      <c r="AB186" s="17">
        <v>2113</v>
      </c>
      <c r="AC186" s="17">
        <v>8325</v>
      </c>
      <c r="AD186" s="17">
        <v>33328</v>
      </c>
      <c r="AE186" s="17">
        <v>335</v>
      </c>
      <c r="AF186" s="51">
        <f t="shared" si="20"/>
        <v>7.1294208154679604</v>
      </c>
      <c r="AG186" s="51">
        <f t="shared" si="21"/>
        <v>2.3738122740779417</v>
      </c>
      <c r="AH186" s="51">
        <f t="shared" si="22"/>
        <v>9.5032330895459012</v>
      </c>
      <c r="AI186" s="51">
        <f t="shared" si="23"/>
        <v>9.5522776194127371E-2</v>
      </c>
      <c r="AJ186" s="17"/>
      <c r="AK186" s="17"/>
      <c r="AL186" s="17"/>
      <c r="AM186" s="17"/>
      <c r="AN186" s="17"/>
      <c r="AO186" s="17"/>
      <c r="AP186" s="17"/>
      <c r="AQ186" s="17"/>
      <c r="AR186" s="17"/>
      <c r="AS186" s="17"/>
      <c r="AT186" s="17"/>
      <c r="AU186" s="17"/>
      <c r="AV186" t="s">
        <v>325</v>
      </c>
      <c r="AW186" t="s">
        <v>325</v>
      </c>
      <c r="BH186"/>
      <c r="BN186" s="17"/>
      <c r="BO186" s="17"/>
      <c r="BP186" s="17"/>
      <c r="BQ186" s="17"/>
      <c r="BR186" s="17"/>
      <c r="BX186" s="17"/>
    </row>
    <row r="187" spans="1:76" x14ac:dyDescent="0.25">
      <c r="A187" t="s">
        <v>332</v>
      </c>
      <c r="B187" t="s">
        <v>52</v>
      </c>
      <c r="C187">
        <v>2010</v>
      </c>
      <c r="D187" t="s">
        <v>333</v>
      </c>
      <c r="E187" s="61">
        <v>5570</v>
      </c>
      <c r="F187" s="67"/>
      <c r="G187" s="17">
        <v>2014866</v>
      </c>
      <c r="H187" t="s">
        <v>42</v>
      </c>
      <c r="I187" t="s">
        <v>89</v>
      </c>
      <c r="J187" t="s">
        <v>339</v>
      </c>
      <c r="K187" t="s">
        <v>340</v>
      </c>
      <c r="L187" t="s">
        <v>46</v>
      </c>
      <c r="M187" t="s">
        <v>336</v>
      </c>
      <c r="N187" t="s">
        <v>341</v>
      </c>
      <c r="O187" t="s">
        <v>37</v>
      </c>
      <c r="T187" t="s">
        <v>1856</v>
      </c>
      <c r="Y187" t="s">
        <v>1856</v>
      </c>
      <c r="Z187" s="17"/>
      <c r="AA187" s="17"/>
      <c r="AB187" s="17"/>
      <c r="AC187" s="17"/>
      <c r="AD187" s="17"/>
      <c r="AE187" s="17"/>
      <c r="AF187" s="51" t="str">
        <f t="shared" si="20"/>
        <v/>
      </c>
      <c r="AG187" s="51" t="str">
        <f t="shared" si="21"/>
        <v/>
      </c>
      <c r="AH187" s="51" t="str">
        <f t="shared" si="22"/>
        <v/>
      </c>
      <c r="AI187" s="51" t="str">
        <f t="shared" si="23"/>
        <v/>
      </c>
      <c r="AJ187" s="17">
        <v>4809</v>
      </c>
      <c r="AK187" s="17">
        <v>5879</v>
      </c>
      <c r="AL187" s="17">
        <v>1263</v>
      </c>
      <c r="AM187" s="17">
        <v>7142</v>
      </c>
      <c r="AN187" s="17">
        <v>11951</v>
      </c>
      <c r="AO187" s="17">
        <v>342</v>
      </c>
      <c r="AP187" s="17"/>
      <c r="AQ187" s="17"/>
      <c r="AR187" s="17"/>
      <c r="AS187" s="17"/>
      <c r="AT187" s="17"/>
      <c r="AU187" s="17"/>
      <c r="BH187"/>
      <c r="BN187" s="17"/>
      <c r="BO187" s="17"/>
      <c r="BP187" s="17"/>
      <c r="BQ187" s="17"/>
      <c r="BR187" s="17"/>
      <c r="BX187" s="17"/>
    </row>
    <row r="188" spans="1:76" x14ac:dyDescent="0.25">
      <c r="A188" t="s">
        <v>342</v>
      </c>
      <c r="B188" t="s">
        <v>52</v>
      </c>
      <c r="C188">
        <v>2015</v>
      </c>
      <c r="D188" t="s">
        <v>343</v>
      </c>
      <c r="E188" s="61">
        <v>10100</v>
      </c>
      <c r="F188" s="67"/>
      <c r="G188" s="17">
        <v>205962108</v>
      </c>
      <c r="H188" t="s">
        <v>42</v>
      </c>
      <c r="I188" t="s">
        <v>110</v>
      </c>
      <c r="J188" t="s">
        <v>347</v>
      </c>
      <c r="K188" t="s">
        <v>348</v>
      </c>
      <c r="L188" t="s">
        <v>349</v>
      </c>
      <c r="M188" t="s">
        <v>350</v>
      </c>
      <c r="N188" t="s">
        <v>351</v>
      </c>
      <c r="O188" t="s">
        <v>352</v>
      </c>
      <c r="T188" t="s">
        <v>362</v>
      </c>
      <c r="Y188" t="s">
        <v>362</v>
      </c>
      <c r="Z188" s="17">
        <v>6356804</v>
      </c>
      <c r="AA188" s="17">
        <v>418689</v>
      </c>
      <c r="AB188" s="17">
        <v>43362</v>
      </c>
      <c r="AC188" s="17">
        <v>24196</v>
      </c>
      <c r="AD188" s="17">
        <v>6381000</v>
      </c>
      <c r="AE188" s="17"/>
      <c r="AF188" s="51">
        <f t="shared" si="20"/>
        <v>30.863949013378711</v>
      </c>
      <c r="AG188" s="51">
        <f t="shared" si="21"/>
        <v>0.11747791977347599</v>
      </c>
      <c r="AH188" s="51">
        <f t="shared" si="22"/>
        <v>30.981426933152189</v>
      </c>
      <c r="AI188" s="51" t="str">
        <f t="shared" si="23"/>
        <v/>
      </c>
      <c r="AJ188" s="17">
        <v>7957818</v>
      </c>
      <c r="AK188" s="17">
        <v>9234868</v>
      </c>
      <c r="AL188" s="17">
        <v>4668277</v>
      </c>
      <c r="AM188" s="17">
        <v>13903145</v>
      </c>
      <c r="AN188" s="17">
        <v>21860963</v>
      </c>
      <c r="AO188" s="17">
        <v>10020375</v>
      </c>
      <c r="AP188" s="17"/>
      <c r="AQ188" s="17"/>
      <c r="AR188" s="17"/>
      <c r="AS188" s="17"/>
      <c r="AT188" s="17"/>
      <c r="AU188" s="17"/>
      <c r="BF188" s="65"/>
      <c r="BG188" s="65"/>
      <c r="BH188" s="65"/>
      <c r="BI188" s="65"/>
      <c r="BN188" s="17"/>
      <c r="BO188" s="17"/>
      <c r="BP188" s="17"/>
      <c r="BQ188" s="17"/>
      <c r="BR188" s="17"/>
      <c r="BS188" s="65"/>
      <c r="BU188" t="s">
        <v>353</v>
      </c>
      <c r="BV188" t="s">
        <v>354</v>
      </c>
      <c r="BX188" s="17"/>
    </row>
    <row r="189" spans="1:76" x14ac:dyDescent="0.25">
      <c r="A189" t="s">
        <v>427</v>
      </c>
      <c r="B189" t="s">
        <v>52</v>
      </c>
      <c r="C189">
        <v>2015</v>
      </c>
      <c r="D189" t="s">
        <v>428</v>
      </c>
      <c r="E189" s="61">
        <v>14270</v>
      </c>
      <c r="F189" s="67"/>
      <c r="G189" s="17">
        <v>17762681</v>
      </c>
      <c r="H189" t="s">
        <v>109</v>
      </c>
      <c r="I189" t="s">
        <v>110</v>
      </c>
      <c r="J189" t="s">
        <v>431</v>
      </c>
      <c r="K189" t="s">
        <v>432</v>
      </c>
      <c r="U189" t="s">
        <v>1590</v>
      </c>
      <c r="V189" t="s">
        <v>1596</v>
      </c>
      <c r="W189" t="s">
        <v>1602</v>
      </c>
      <c r="X189" t="s">
        <v>1608</v>
      </c>
      <c r="Y189" t="s">
        <v>1614</v>
      </c>
      <c r="Z189" s="17">
        <v>683204</v>
      </c>
      <c r="AA189" s="17">
        <v>191507</v>
      </c>
      <c r="AB189" s="17">
        <v>28446</v>
      </c>
      <c r="AC189" s="17">
        <v>219953</v>
      </c>
      <c r="AD189" s="17">
        <v>903157</v>
      </c>
      <c r="AE189" s="17">
        <v>14172</v>
      </c>
      <c r="AF189" s="51">
        <f t="shared" si="20"/>
        <v>38.462887443624076</v>
      </c>
      <c r="AG189" s="51">
        <f t="shared" si="21"/>
        <v>12.382871707260858</v>
      </c>
      <c r="AH189" s="51">
        <f t="shared" si="22"/>
        <v>50.84575915088493</v>
      </c>
      <c r="AI189" s="51">
        <f t="shared" si="23"/>
        <v>0.79785253138307211</v>
      </c>
      <c r="AJ189" s="17"/>
      <c r="AK189" s="17"/>
      <c r="AL189" s="17"/>
      <c r="AM189" s="17"/>
      <c r="AN189" s="17"/>
      <c r="AO189" s="17"/>
      <c r="AP189" s="17"/>
      <c r="AQ189" s="17"/>
      <c r="AR189" s="17"/>
      <c r="AS189" s="17"/>
      <c r="AT189" s="17"/>
      <c r="AU189" s="17"/>
      <c r="BF189" s="67">
        <v>15763000000000</v>
      </c>
      <c r="BG189" s="68">
        <v>0.18</v>
      </c>
      <c r="BH189"/>
      <c r="BL189" s="21">
        <v>5.8999999999999997E-2</v>
      </c>
      <c r="BN189" s="17"/>
      <c r="BO189" s="17"/>
      <c r="BP189" s="17"/>
      <c r="BQ189" s="17"/>
      <c r="BR189" s="17"/>
      <c r="BS189" s="65"/>
      <c r="BT189" t="s">
        <v>1615</v>
      </c>
      <c r="BX189" s="17"/>
    </row>
    <row r="190" spans="1:76" x14ac:dyDescent="0.25">
      <c r="A190" t="s">
        <v>433</v>
      </c>
      <c r="B190" t="s">
        <v>52</v>
      </c>
      <c r="C190">
        <v>2015</v>
      </c>
      <c r="D190" t="s">
        <v>434</v>
      </c>
      <c r="E190" s="61">
        <v>7950</v>
      </c>
      <c r="F190" s="67"/>
      <c r="G190" s="17">
        <v>1371220000</v>
      </c>
      <c r="H190" t="s">
        <v>42</v>
      </c>
      <c r="I190" t="s">
        <v>77</v>
      </c>
      <c r="J190" t="s">
        <v>1616</v>
      </c>
      <c r="K190" t="s">
        <v>432</v>
      </c>
      <c r="L190" t="s">
        <v>435</v>
      </c>
      <c r="M190" t="s">
        <v>436</v>
      </c>
      <c r="N190" t="s">
        <v>437</v>
      </c>
      <c r="O190" t="s">
        <v>438</v>
      </c>
      <c r="P190" t="s">
        <v>439</v>
      </c>
      <c r="Q190" t="s">
        <v>440</v>
      </c>
      <c r="R190" t="s">
        <v>441</v>
      </c>
      <c r="S190" t="s">
        <v>442</v>
      </c>
      <c r="T190" t="s">
        <v>434</v>
      </c>
      <c r="U190" t="s">
        <v>443</v>
      </c>
      <c r="V190" t="s">
        <v>444</v>
      </c>
      <c r="W190" t="s">
        <v>445</v>
      </c>
      <c r="X190" t="s">
        <v>446</v>
      </c>
      <c r="Y190" t="s">
        <v>447</v>
      </c>
      <c r="Z190" s="17"/>
      <c r="AA190" s="17"/>
      <c r="AB190" s="17"/>
      <c r="AC190" s="17"/>
      <c r="AD190" s="17"/>
      <c r="AE190" s="17"/>
      <c r="AF190" s="51" t="str">
        <f t="shared" si="20"/>
        <v/>
      </c>
      <c r="AG190" s="51" t="str">
        <f t="shared" si="21"/>
        <v/>
      </c>
      <c r="AH190" s="51" t="str">
        <f t="shared" si="22"/>
        <v/>
      </c>
      <c r="AI190" s="51" t="str">
        <f t="shared" si="23"/>
        <v/>
      </c>
      <c r="AJ190" s="17"/>
      <c r="AK190" s="17"/>
      <c r="AL190" s="17"/>
      <c r="AM190" s="17"/>
      <c r="AN190" s="17"/>
      <c r="AO190" s="17"/>
      <c r="AP190" s="17"/>
      <c r="AQ190" s="17"/>
      <c r="AR190" s="17"/>
      <c r="AS190" s="17"/>
      <c r="AT190" s="17"/>
      <c r="AU190" s="17"/>
      <c r="BF190" s="67">
        <v>35300300000000</v>
      </c>
      <c r="BG190" s="68">
        <v>0.65500000000000003</v>
      </c>
      <c r="BH190"/>
      <c r="BL190" s="21">
        <v>2.5899999999999999E-2</v>
      </c>
      <c r="BN190" s="17"/>
      <c r="BO190" s="17"/>
      <c r="BP190" s="17"/>
      <c r="BQ190" s="17"/>
      <c r="BR190" s="17"/>
      <c r="BX190" s="17"/>
    </row>
    <row r="191" spans="1:76" x14ac:dyDescent="0.25">
      <c r="A191" t="s">
        <v>448</v>
      </c>
      <c r="B191" t="s">
        <v>52</v>
      </c>
      <c r="C191">
        <v>2018</v>
      </c>
      <c r="D191" t="s">
        <v>449</v>
      </c>
      <c r="E191" s="61">
        <v>5830</v>
      </c>
      <c r="F191" s="67"/>
      <c r="G191" s="65">
        <v>49065615</v>
      </c>
      <c r="H191" t="s">
        <v>42</v>
      </c>
      <c r="I191" t="s">
        <v>110</v>
      </c>
      <c r="J191" t="s">
        <v>456</v>
      </c>
      <c r="K191" t="s">
        <v>458</v>
      </c>
      <c r="L191" t="s">
        <v>98</v>
      </c>
      <c r="M191" t="s">
        <v>402</v>
      </c>
      <c r="N191" t="s">
        <v>452</v>
      </c>
      <c r="O191" t="s">
        <v>101</v>
      </c>
      <c r="P191" t="s">
        <v>1962</v>
      </c>
      <c r="Q191" t="s">
        <v>1963</v>
      </c>
      <c r="R191" t="s">
        <v>1964</v>
      </c>
      <c r="S191" t="s">
        <v>1965</v>
      </c>
      <c r="T191" t="s">
        <v>453</v>
      </c>
      <c r="Y191" t="s">
        <v>453</v>
      </c>
      <c r="Z191" s="17"/>
      <c r="AA191" s="17"/>
      <c r="AB191" s="17"/>
      <c r="AC191" s="17"/>
      <c r="AD191" s="17"/>
      <c r="AE191" s="17"/>
      <c r="AF191" s="51" t="str">
        <f t="shared" si="20"/>
        <v/>
      </c>
      <c r="AG191" s="51" t="str">
        <f t="shared" si="21"/>
        <v/>
      </c>
      <c r="AH191" s="51" t="str">
        <f t="shared" si="22"/>
        <v/>
      </c>
      <c r="AI191" s="51" t="str">
        <f t="shared" si="23"/>
        <v/>
      </c>
      <c r="AJ191" s="69" t="str">
        <f>IF(ISERROR((AE191/$G191)*1000),"",IF((AE191/$G191)*1000=0,"",(AE191/$G191)*1000))</f>
        <v/>
      </c>
      <c r="AK191" s="17"/>
      <c r="AL191" s="17"/>
      <c r="AM191" s="17"/>
      <c r="AN191" s="17"/>
      <c r="AO191" s="17"/>
      <c r="AP191" s="17"/>
      <c r="AQ191" s="17"/>
      <c r="AR191" s="17"/>
      <c r="AS191" s="17"/>
      <c r="AT191" s="17"/>
      <c r="AU191" s="17"/>
      <c r="AV191" s="67"/>
      <c r="AX191" s="66">
        <v>12231251712443</v>
      </c>
      <c r="AY191" s="70">
        <v>4.9000000000000002E-2</v>
      </c>
      <c r="BA191" s="65"/>
      <c r="BD191" s="66">
        <v>29394664947845</v>
      </c>
      <c r="BE191" s="70">
        <v>0.11899999999999999</v>
      </c>
      <c r="BF191" s="66">
        <v>41625916660287</v>
      </c>
      <c r="BG191" s="70">
        <v>0.16800000000000001</v>
      </c>
      <c r="BH191" s="67"/>
      <c r="BJ191" s="21">
        <v>9.0652867094217257E-2</v>
      </c>
      <c r="BK191" s="21">
        <v>7.18949324624438E-2</v>
      </c>
      <c r="BL191" s="21">
        <v>7.7406715469150608E-2</v>
      </c>
      <c r="BN191" s="17"/>
      <c r="BO191" s="17"/>
      <c r="BP191" s="17"/>
      <c r="BQ191" s="17"/>
      <c r="BR191" s="17"/>
      <c r="BT191" t="s">
        <v>459</v>
      </c>
      <c r="BU191" t="s">
        <v>460</v>
      </c>
      <c r="BV191" t="s">
        <v>455</v>
      </c>
      <c r="BW191" s="67"/>
      <c r="BX191" s="17"/>
    </row>
    <row r="192" spans="1:76" x14ac:dyDescent="0.25">
      <c r="A192" t="s">
        <v>483</v>
      </c>
      <c r="B192" t="s">
        <v>52</v>
      </c>
      <c r="C192">
        <v>2012</v>
      </c>
      <c r="D192" t="s">
        <v>484</v>
      </c>
      <c r="E192" s="61">
        <v>1240</v>
      </c>
      <c r="F192" s="67"/>
      <c r="G192" s="17">
        <v>21418603</v>
      </c>
      <c r="H192" t="s">
        <v>88</v>
      </c>
      <c r="I192" t="s">
        <v>89</v>
      </c>
      <c r="J192" t="s">
        <v>491</v>
      </c>
      <c r="K192" t="s">
        <v>492</v>
      </c>
      <c r="L192" t="s">
        <v>61</v>
      </c>
      <c r="M192" t="s">
        <v>493</v>
      </c>
      <c r="N192" t="s">
        <v>494</v>
      </c>
      <c r="O192" t="s">
        <v>101</v>
      </c>
      <c r="U192" t="s">
        <v>495</v>
      </c>
      <c r="V192" t="s">
        <v>496</v>
      </c>
      <c r="W192" t="s">
        <v>488</v>
      </c>
      <c r="X192" t="s">
        <v>497</v>
      </c>
      <c r="Y192" t="s">
        <v>296</v>
      </c>
      <c r="Z192" s="17"/>
      <c r="AA192" s="17"/>
      <c r="AB192" s="17"/>
      <c r="AC192" s="17"/>
      <c r="AD192" s="17"/>
      <c r="AE192" s="17"/>
      <c r="AF192" s="51" t="str">
        <f t="shared" si="20"/>
        <v/>
      </c>
      <c r="AG192" s="51" t="str">
        <f t="shared" si="21"/>
        <v/>
      </c>
      <c r="AH192" s="51" t="str">
        <f t="shared" si="22"/>
        <v/>
      </c>
      <c r="AI192" s="51" t="str">
        <f t="shared" si="23"/>
        <v/>
      </c>
      <c r="AJ192" s="17"/>
      <c r="AK192" s="17"/>
      <c r="AL192" s="17"/>
      <c r="AM192" s="17"/>
      <c r="AN192" s="17"/>
      <c r="AO192" s="17"/>
      <c r="AP192" s="17"/>
      <c r="AQ192" s="17"/>
      <c r="AR192" s="17"/>
      <c r="AS192" s="17"/>
      <c r="AT192" s="17"/>
      <c r="AU192" s="17"/>
      <c r="BH192"/>
      <c r="BN192" s="17"/>
      <c r="BO192" s="17"/>
      <c r="BP192" s="17"/>
      <c r="BQ192" s="17"/>
      <c r="BR192" s="17"/>
      <c r="BX192" s="17"/>
    </row>
    <row r="193" spans="1:76" x14ac:dyDescent="0.25">
      <c r="A193" t="s">
        <v>515</v>
      </c>
      <c r="B193" t="s">
        <v>52</v>
      </c>
      <c r="C193">
        <v>2018</v>
      </c>
      <c r="D193" t="s">
        <v>516</v>
      </c>
      <c r="E193" s="61">
        <v>6630</v>
      </c>
      <c r="F193" s="67"/>
      <c r="G193" s="17">
        <v>10766998</v>
      </c>
      <c r="H193" t="s">
        <v>42</v>
      </c>
      <c r="I193" t="s">
        <v>110</v>
      </c>
      <c r="J193" t="s">
        <v>525</v>
      </c>
      <c r="K193" t="s">
        <v>526</v>
      </c>
      <c r="L193" t="s">
        <v>61</v>
      </c>
      <c r="M193" t="s">
        <v>165</v>
      </c>
      <c r="N193" t="s">
        <v>527</v>
      </c>
      <c r="O193" t="s">
        <v>528</v>
      </c>
      <c r="P193" t="s">
        <v>113</v>
      </c>
      <c r="Q193" t="s">
        <v>529</v>
      </c>
      <c r="R193" t="s">
        <v>530</v>
      </c>
      <c r="S193" t="s">
        <v>531</v>
      </c>
      <c r="T193" t="s">
        <v>532</v>
      </c>
      <c r="U193" t="s">
        <v>533</v>
      </c>
      <c r="V193" t="s">
        <v>534</v>
      </c>
      <c r="W193" t="s">
        <v>535</v>
      </c>
      <c r="X193" t="s">
        <v>536</v>
      </c>
      <c r="Y193" t="s">
        <v>532</v>
      </c>
      <c r="Z193" s="17"/>
      <c r="AA193" s="17"/>
      <c r="AB193" s="17"/>
      <c r="AC193" s="17"/>
      <c r="AD193" s="17"/>
      <c r="AE193" s="17"/>
      <c r="AF193" s="51" t="str">
        <f t="shared" si="20"/>
        <v/>
      </c>
      <c r="AG193" s="51" t="str">
        <f t="shared" si="21"/>
        <v/>
      </c>
      <c r="AH193" s="51" t="str">
        <f t="shared" si="22"/>
        <v/>
      </c>
      <c r="AI193" s="51" t="str">
        <f t="shared" si="23"/>
        <v/>
      </c>
      <c r="AJ193" s="17"/>
      <c r="AK193" s="17"/>
      <c r="AL193" s="17"/>
      <c r="AM193" s="17"/>
      <c r="AN193" s="17"/>
      <c r="AO193" s="17"/>
      <c r="AP193" s="17"/>
      <c r="AQ193" s="17"/>
      <c r="AR193" s="17"/>
      <c r="AS193" s="17"/>
      <c r="AT193" s="17"/>
      <c r="AU193" s="17"/>
      <c r="BF193" s="65"/>
      <c r="BG193" s="65"/>
      <c r="BH193" s="65"/>
      <c r="BI193" s="65"/>
      <c r="BN193" s="17"/>
      <c r="BO193" s="17"/>
      <c r="BP193" s="17"/>
      <c r="BQ193" s="17"/>
      <c r="BR193" s="17"/>
      <c r="BX193" s="17"/>
    </row>
    <row r="194" spans="1:76" x14ac:dyDescent="0.25">
      <c r="A194" t="s">
        <v>563</v>
      </c>
      <c r="B194" t="s">
        <v>52</v>
      </c>
      <c r="C194">
        <v>2015</v>
      </c>
      <c r="D194" t="s">
        <v>564</v>
      </c>
      <c r="E194" s="65">
        <v>600</v>
      </c>
      <c r="F194" s="67"/>
      <c r="G194" s="17">
        <v>99873033</v>
      </c>
      <c r="H194" t="s">
        <v>32</v>
      </c>
      <c r="I194" t="s">
        <v>89</v>
      </c>
      <c r="J194" t="s">
        <v>567</v>
      </c>
      <c r="K194" t="s">
        <v>568</v>
      </c>
      <c r="L194" t="s">
        <v>565</v>
      </c>
      <c r="M194" t="s">
        <v>566</v>
      </c>
      <c r="Z194" s="17"/>
      <c r="AA194" s="17"/>
      <c r="AB194" s="17"/>
      <c r="AC194" s="17"/>
      <c r="AD194" s="17"/>
      <c r="AE194" s="17"/>
      <c r="AF194" s="51" t="s">
        <v>1152</v>
      </c>
      <c r="AG194" s="51" t="s">
        <v>1152</v>
      </c>
      <c r="AH194" s="51" t="s">
        <v>1152</v>
      </c>
      <c r="AI194" s="51" t="s">
        <v>1152</v>
      </c>
      <c r="AJ194" s="17"/>
      <c r="AK194" s="17"/>
      <c r="AL194" s="17"/>
      <c r="AM194" s="17"/>
      <c r="AN194" s="17"/>
      <c r="AO194" s="17"/>
      <c r="AP194" s="17"/>
      <c r="AQ194" s="17"/>
      <c r="AR194" s="17"/>
      <c r="AS194" s="17"/>
      <c r="AT194" s="17"/>
      <c r="AU194" s="17"/>
      <c r="AX194" s="65"/>
      <c r="AY194" s="65"/>
      <c r="BA194" s="65"/>
      <c r="BH194"/>
      <c r="BN194" s="17"/>
      <c r="BO194" s="17"/>
      <c r="BP194" s="17"/>
      <c r="BQ194" s="17"/>
      <c r="BR194" s="17"/>
      <c r="BS194" s="43"/>
      <c r="BX194" s="17"/>
    </row>
    <row r="195" spans="1:76" x14ac:dyDescent="0.25">
      <c r="A195" t="s">
        <v>579</v>
      </c>
      <c r="B195" t="s">
        <v>52</v>
      </c>
      <c r="C195">
        <v>2016</v>
      </c>
      <c r="D195" t="s">
        <v>580</v>
      </c>
      <c r="E195" s="61">
        <v>38780</v>
      </c>
      <c r="F195" s="67"/>
      <c r="G195" s="17">
        <v>67118648</v>
      </c>
      <c r="H195" t="s">
        <v>109</v>
      </c>
      <c r="I195" t="s">
        <v>43</v>
      </c>
      <c r="J195" t="s">
        <v>1631</v>
      </c>
      <c r="K195" t="s">
        <v>581</v>
      </c>
      <c r="L195" t="s">
        <v>190</v>
      </c>
      <c r="M195" t="s">
        <v>48</v>
      </c>
      <c r="N195" t="s">
        <v>62</v>
      </c>
      <c r="O195" t="s">
        <v>63</v>
      </c>
      <c r="T195" t="s">
        <v>55</v>
      </c>
      <c r="Y195" t="s">
        <v>55</v>
      </c>
      <c r="Z195" s="17"/>
      <c r="AA195" s="17"/>
      <c r="AB195" s="17"/>
      <c r="AC195" s="17"/>
      <c r="AD195" s="17"/>
      <c r="AE195" s="17"/>
      <c r="AF195" s="51" t="str">
        <f t="shared" ref="AF195:AF208" si="24">IF(ISERROR((Z195/$G195)*1000),"",IF((Z195/$G195)*1000=0,"",(Z195/$G195)*1000))</f>
        <v/>
      </c>
      <c r="AG195" s="51" t="str">
        <f t="shared" ref="AG195:AG208" si="25">IF(ISERROR((AC195/$G195)*1000),"",IF((AC195/$G195)*1000=0,"",(AC195/$G195)*1000))</f>
        <v/>
      </c>
      <c r="AH195" s="51" t="str">
        <f t="shared" ref="AH195:AH208" si="26">IF(ISERROR((AD195/$G195)*1000),"",IF((AD195/$G195)*1000=0,"",(AD195/$G195)*1000))</f>
        <v/>
      </c>
      <c r="AI195" s="51" t="str">
        <f t="shared" ref="AI195:AI208" si="27">IF(ISERROR((AE195/$G195)*1000),"",IF((AE195/$G195)*1000=0,"",(AE195/$G195)*1000))</f>
        <v/>
      </c>
      <c r="AJ195" s="17"/>
      <c r="AK195" s="17"/>
      <c r="AL195" s="17"/>
      <c r="AM195" s="17"/>
      <c r="AN195" s="17"/>
      <c r="AO195" s="17"/>
      <c r="AP195" s="17"/>
      <c r="AQ195" s="17"/>
      <c r="AR195" s="17"/>
      <c r="AS195" s="17"/>
      <c r="AT195" s="17"/>
      <c r="AU195" s="17"/>
      <c r="BF195" s="67">
        <v>233118000000</v>
      </c>
      <c r="BG195" s="68">
        <v>0.2064</v>
      </c>
      <c r="BH195"/>
      <c r="BL195" s="21">
        <v>3.9E-2</v>
      </c>
      <c r="BN195" s="17"/>
      <c r="BO195" s="17"/>
      <c r="BP195" s="17"/>
      <c r="BQ195" s="17"/>
      <c r="BR195" s="17"/>
      <c r="BX195" s="17"/>
    </row>
    <row r="196" spans="1:76" x14ac:dyDescent="0.25">
      <c r="A196" t="s">
        <v>592</v>
      </c>
      <c r="B196" t="s">
        <v>52</v>
      </c>
      <c r="C196">
        <v>2016</v>
      </c>
      <c r="D196" t="s">
        <v>593</v>
      </c>
      <c r="E196" s="61">
        <v>3830</v>
      </c>
      <c r="F196" s="67"/>
      <c r="G196" s="17">
        <v>3717100</v>
      </c>
      <c r="H196" t="s">
        <v>88</v>
      </c>
      <c r="I196" t="s">
        <v>43</v>
      </c>
      <c r="J196" t="s">
        <v>53</v>
      </c>
      <c r="K196" t="s">
        <v>54</v>
      </c>
      <c r="Z196" s="17"/>
      <c r="AA196" s="17"/>
      <c r="AB196" s="17"/>
      <c r="AC196" s="17"/>
      <c r="AD196" s="17"/>
      <c r="AE196" s="17"/>
      <c r="AF196" s="51" t="str">
        <f t="shared" si="24"/>
        <v/>
      </c>
      <c r="AG196" s="51" t="str">
        <f t="shared" si="25"/>
        <v/>
      </c>
      <c r="AH196" s="51" t="str">
        <f t="shared" si="26"/>
        <v/>
      </c>
      <c r="AI196" s="51" t="str">
        <f t="shared" si="27"/>
        <v/>
      </c>
      <c r="AJ196" s="17"/>
      <c r="AK196" s="17"/>
      <c r="AL196" s="17"/>
      <c r="AM196" s="17"/>
      <c r="AN196" s="17"/>
      <c r="AO196" s="17"/>
      <c r="AP196" s="17"/>
      <c r="AQ196" s="17"/>
      <c r="AR196" s="17"/>
      <c r="AS196" s="17"/>
      <c r="AT196" s="17"/>
      <c r="AU196" s="17"/>
      <c r="BG196" s="68">
        <v>0.38019999999999998</v>
      </c>
      <c r="BH196"/>
      <c r="BL196" s="21">
        <v>5.1999999999999998E-2</v>
      </c>
      <c r="BN196" s="17"/>
      <c r="BO196" s="17"/>
      <c r="BP196" s="17"/>
      <c r="BQ196" s="17"/>
      <c r="BR196" s="17"/>
      <c r="BX196" s="17"/>
    </row>
    <row r="197" spans="1:76" x14ac:dyDescent="0.25">
      <c r="A197" t="s">
        <v>610</v>
      </c>
      <c r="B197" t="s">
        <v>52</v>
      </c>
      <c r="C197">
        <v>2016</v>
      </c>
      <c r="D197" t="s">
        <v>611</v>
      </c>
      <c r="E197" s="61">
        <v>18870</v>
      </c>
      <c r="F197" s="67"/>
      <c r="G197" s="17">
        <v>10760421</v>
      </c>
      <c r="H197" t="s">
        <v>109</v>
      </c>
      <c r="I197" t="s">
        <v>43</v>
      </c>
      <c r="J197" t="s">
        <v>1632</v>
      </c>
      <c r="K197" t="s">
        <v>581</v>
      </c>
      <c r="L197" t="s">
        <v>190</v>
      </c>
      <c r="M197" t="s">
        <v>48</v>
      </c>
      <c r="N197" t="s">
        <v>62</v>
      </c>
      <c r="O197" t="s">
        <v>63</v>
      </c>
      <c r="T197" t="s">
        <v>55</v>
      </c>
      <c r="Y197" t="s">
        <v>55</v>
      </c>
      <c r="Z197" s="17"/>
      <c r="AA197" s="17"/>
      <c r="AB197" s="17"/>
      <c r="AC197" s="17"/>
      <c r="AD197" s="17"/>
      <c r="AE197" s="17"/>
      <c r="AF197" s="51" t="str">
        <f t="shared" si="24"/>
        <v/>
      </c>
      <c r="AG197" s="51" t="str">
        <f t="shared" si="25"/>
        <v/>
      </c>
      <c r="AH197" s="51" t="str">
        <f t="shared" si="26"/>
        <v/>
      </c>
      <c r="AI197" s="51" t="str">
        <f t="shared" si="27"/>
        <v/>
      </c>
      <c r="AJ197" s="17"/>
      <c r="AK197" s="17"/>
      <c r="AL197" s="17"/>
      <c r="AM197" s="17"/>
      <c r="AN197" s="17"/>
      <c r="AO197" s="17"/>
      <c r="AP197" s="17"/>
      <c r="AQ197" s="17"/>
      <c r="AR197" s="17"/>
      <c r="AS197" s="17"/>
      <c r="AT197" s="17"/>
      <c r="AU197" s="17"/>
      <c r="BF197" s="67">
        <v>48410000000</v>
      </c>
      <c r="BG197" s="68">
        <v>0.55330000000000001</v>
      </c>
      <c r="BH197"/>
      <c r="BK197" s="21">
        <v>0.432</v>
      </c>
      <c r="BN197" s="17"/>
      <c r="BO197" s="17"/>
      <c r="BP197" s="17"/>
      <c r="BQ197" s="17"/>
      <c r="BR197" s="17"/>
      <c r="BS197" s="65"/>
      <c r="BX197" s="17" t="s">
        <v>1746</v>
      </c>
    </row>
    <row r="198" spans="1:76" x14ac:dyDescent="0.25">
      <c r="A198" t="s">
        <v>624</v>
      </c>
      <c r="B198" t="s">
        <v>52</v>
      </c>
      <c r="C198">
        <v>2018</v>
      </c>
      <c r="D198" t="s">
        <v>625</v>
      </c>
      <c r="E198" s="61">
        <v>4060</v>
      </c>
      <c r="F198" s="67"/>
      <c r="G198" s="17">
        <v>16913503</v>
      </c>
      <c r="H198" t="s">
        <v>42</v>
      </c>
      <c r="I198" t="s">
        <v>110</v>
      </c>
      <c r="J198" t="s">
        <v>637</v>
      </c>
      <c r="K198" t="s">
        <v>638</v>
      </c>
      <c r="W198" t="s">
        <v>639</v>
      </c>
      <c r="X198" t="s">
        <v>1893</v>
      </c>
      <c r="Y198" t="s">
        <v>102</v>
      </c>
      <c r="Z198" s="17"/>
      <c r="AA198" s="17"/>
      <c r="AB198" s="17"/>
      <c r="AC198" s="17"/>
      <c r="AD198" s="17"/>
      <c r="AE198" s="17"/>
      <c r="AF198" s="51" t="str">
        <f t="shared" si="24"/>
        <v/>
      </c>
      <c r="AG198" s="51" t="str">
        <f t="shared" si="25"/>
        <v/>
      </c>
      <c r="AH198" s="51" t="str">
        <f t="shared" si="26"/>
        <v/>
      </c>
      <c r="AI198" s="51" t="str">
        <f t="shared" si="27"/>
        <v/>
      </c>
      <c r="AJ198" s="17"/>
      <c r="AK198" s="17"/>
      <c r="AL198" s="17"/>
      <c r="AM198" s="17"/>
      <c r="AN198" s="17"/>
      <c r="AO198" s="17"/>
      <c r="AP198" s="17"/>
      <c r="AQ198" s="17"/>
      <c r="AR198" s="17"/>
      <c r="AS198" s="17"/>
      <c r="AT198" s="17"/>
      <c r="AU198" s="17"/>
      <c r="BD198" s="67">
        <v>15234560949</v>
      </c>
      <c r="BH198" s="67">
        <v>101923957266</v>
      </c>
      <c r="BK198" s="21">
        <v>7.5999999999999998E-2</v>
      </c>
      <c r="BN198" s="17"/>
      <c r="BO198" s="17"/>
      <c r="BP198" s="17"/>
      <c r="BQ198" s="17"/>
      <c r="BR198" s="17"/>
      <c r="BT198" t="s">
        <v>640</v>
      </c>
      <c r="BU198" t="s">
        <v>641</v>
      </c>
      <c r="BX198" s="17"/>
    </row>
    <row r="199" spans="1:76" x14ac:dyDescent="0.25">
      <c r="A199" t="s">
        <v>707</v>
      </c>
      <c r="B199" t="s">
        <v>52</v>
      </c>
      <c r="C199">
        <v>2016</v>
      </c>
      <c r="D199" t="s">
        <v>708</v>
      </c>
      <c r="E199" s="61">
        <v>53910</v>
      </c>
      <c r="F199" s="67"/>
      <c r="G199" s="17">
        <v>4813608</v>
      </c>
      <c r="H199" t="s">
        <v>109</v>
      </c>
      <c r="I199" t="s">
        <v>43</v>
      </c>
      <c r="J199" t="s">
        <v>1762</v>
      </c>
      <c r="K199" t="s">
        <v>271</v>
      </c>
      <c r="L199" t="s">
        <v>190</v>
      </c>
      <c r="M199" t="s">
        <v>48</v>
      </c>
      <c r="N199" t="s">
        <v>62</v>
      </c>
      <c r="O199" t="s">
        <v>63</v>
      </c>
      <c r="T199" t="s">
        <v>55</v>
      </c>
      <c r="Y199" t="s">
        <v>55</v>
      </c>
      <c r="Z199" s="17"/>
      <c r="AA199" s="17"/>
      <c r="AB199" s="17"/>
      <c r="AC199" s="17"/>
      <c r="AD199" s="17"/>
      <c r="AE199" s="17"/>
      <c r="AF199" s="51" t="str">
        <f t="shared" si="24"/>
        <v/>
      </c>
      <c r="AG199" s="51" t="str">
        <f t="shared" si="25"/>
        <v/>
      </c>
      <c r="AH199" s="51" t="str">
        <f t="shared" si="26"/>
        <v/>
      </c>
      <c r="AI199" s="51" t="str">
        <f t="shared" si="27"/>
        <v/>
      </c>
      <c r="AJ199" s="17"/>
      <c r="AK199" s="17"/>
      <c r="AL199" s="17"/>
      <c r="AM199" s="17"/>
      <c r="AN199" s="17"/>
      <c r="AO199" s="17"/>
      <c r="AP199" s="17"/>
      <c r="AQ199" s="17"/>
      <c r="AR199" s="17"/>
      <c r="AS199" s="17"/>
      <c r="AT199" s="17"/>
      <c r="AU199" s="17"/>
      <c r="BF199" s="67">
        <v>16110000000</v>
      </c>
      <c r="BG199" s="68">
        <v>0.57540000000000002</v>
      </c>
      <c r="BH199"/>
      <c r="BL199" s="21">
        <v>0.13919999999999999</v>
      </c>
      <c r="BN199" s="17"/>
      <c r="BO199" s="17"/>
      <c r="BP199" s="17"/>
      <c r="BQ199" s="17"/>
      <c r="BR199" s="17"/>
      <c r="BX199" s="17"/>
    </row>
    <row r="200" spans="1:76" x14ac:dyDescent="0.25">
      <c r="A200" t="s">
        <v>714</v>
      </c>
      <c r="B200" t="s">
        <v>52</v>
      </c>
      <c r="C200">
        <v>2016</v>
      </c>
      <c r="D200" t="s">
        <v>715</v>
      </c>
      <c r="E200" s="61">
        <v>36460</v>
      </c>
      <c r="F200" s="67"/>
      <c r="G200" s="17">
        <v>8546000</v>
      </c>
      <c r="H200" t="s">
        <v>109</v>
      </c>
      <c r="I200" t="s">
        <v>58</v>
      </c>
      <c r="J200" t="s">
        <v>1677</v>
      </c>
      <c r="K200" t="s">
        <v>1678</v>
      </c>
      <c r="L200" t="s">
        <v>46</v>
      </c>
      <c r="M200" t="s">
        <v>182</v>
      </c>
      <c r="N200" t="s">
        <v>309</v>
      </c>
      <c r="O200" t="s">
        <v>310</v>
      </c>
      <c r="T200" t="s">
        <v>1689</v>
      </c>
      <c r="Y200" t="s">
        <v>1689</v>
      </c>
      <c r="Z200" s="17">
        <v>438862</v>
      </c>
      <c r="AA200" s="17">
        <v>60415</v>
      </c>
      <c r="AB200" s="17">
        <v>16085</v>
      </c>
      <c r="AC200" s="17">
        <v>76500</v>
      </c>
      <c r="AD200" s="17">
        <v>515362</v>
      </c>
      <c r="AE200" s="17">
        <v>2773</v>
      </c>
      <c r="AF200" s="51">
        <f t="shared" si="24"/>
        <v>51.35291364380997</v>
      </c>
      <c r="AG200" s="51">
        <f t="shared" si="25"/>
        <v>8.9515562836414695</v>
      </c>
      <c r="AH200" s="51">
        <f t="shared" si="26"/>
        <v>60.304469927451443</v>
      </c>
      <c r="AI200" s="51">
        <f t="shared" si="27"/>
        <v>0.32447928855604963</v>
      </c>
      <c r="AJ200" s="17">
        <v>591901</v>
      </c>
      <c r="AK200" s="17">
        <v>534778</v>
      </c>
      <c r="AL200" s="17">
        <v>622296</v>
      </c>
      <c r="AM200" s="17">
        <v>1157074</v>
      </c>
      <c r="AN200" s="17">
        <v>1748975</v>
      </c>
      <c r="AO200" s="17">
        <v>1114036</v>
      </c>
      <c r="AP200" s="17"/>
      <c r="AQ200" s="17"/>
      <c r="AR200" s="17"/>
      <c r="AS200" s="17"/>
      <c r="AT200" s="17"/>
      <c r="AU200" s="17"/>
      <c r="BF200" s="67">
        <v>256820000000</v>
      </c>
      <c r="BG200" s="68">
        <v>0.61609999999999998</v>
      </c>
      <c r="BH200"/>
      <c r="BL200" s="21">
        <v>2E-3</v>
      </c>
      <c r="BN200" s="17"/>
      <c r="BO200" s="17"/>
      <c r="BP200" s="17"/>
      <c r="BQ200" s="17"/>
      <c r="BR200" s="17"/>
      <c r="BX200" s="17"/>
    </row>
    <row r="201" spans="1:76" x14ac:dyDescent="0.25">
      <c r="A201" t="s">
        <v>717</v>
      </c>
      <c r="B201" t="s">
        <v>52</v>
      </c>
      <c r="C201">
        <v>2016</v>
      </c>
      <c r="D201" t="s">
        <v>718</v>
      </c>
      <c r="E201" s="61">
        <v>31700</v>
      </c>
      <c r="F201" s="67"/>
      <c r="G201" s="17">
        <v>60551416</v>
      </c>
      <c r="H201" t="s">
        <v>109</v>
      </c>
      <c r="I201" t="s">
        <v>43</v>
      </c>
      <c r="J201" t="s">
        <v>1682</v>
      </c>
      <c r="K201" t="s">
        <v>719</v>
      </c>
      <c r="L201" t="s">
        <v>190</v>
      </c>
      <c r="M201" t="s">
        <v>48</v>
      </c>
      <c r="N201" t="s">
        <v>62</v>
      </c>
      <c r="O201" t="s">
        <v>63</v>
      </c>
      <c r="T201" t="s">
        <v>55</v>
      </c>
      <c r="Y201" t="s">
        <v>55</v>
      </c>
      <c r="Z201" s="17"/>
      <c r="AA201" s="17"/>
      <c r="AB201" s="17"/>
      <c r="AC201" s="17"/>
      <c r="AD201" s="17"/>
      <c r="AE201" s="17"/>
      <c r="AF201" s="51" t="str">
        <f t="shared" si="24"/>
        <v/>
      </c>
      <c r="AG201" s="51" t="str">
        <f t="shared" si="25"/>
        <v/>
      </c>
      <c r="AH201" s="51" t="str">
        <f t="shared" si="26"/>
        <v/>
      </c>
      <c r="AI201" s="51" t="str">
        <f t="shared" si="27"/>
        <v/>
      </c>
      <c r="AJ201" s="17"/>
      <c r="AK201" s="17"/>
      <c r="AL201" s="17"/>
      <c r="AM201" s="17"/>
      <c r="AN201" s="17"/>
      <c r="AO201" s="17"/>
      <c r="AP201" s="17"/>
      <c r="AQ201" s="17"/>
      <c r="AR201" s="17"/>
      <c r="AS201" s="17"/>
      <c r="AT201" s="17"/>
      <c r="AU201" s="17"/>
      <c r="BF201" s="67">
        <v>175360000000</v>
      </c>
      <c r="BG201" s="68">
        <v>0.17799999999999999</v>
      </c>
      <c r="BH201"/>
      <c r="BL201" s="21">
        <v>0.23599999999999999</v>
      </c>
      <c r="BN201" s="17"/>
      <c r="BO201" s="17"/>
      <c r="BP201" s="17"/>
      <c r="BQ201" s="17"/>
      <c r="BR201" s="17"/>
      <c r="BX201" s="17" t="s">
        <v>733</v>
      </c>
    </row>
    <row r="202" spans="1:76" x14ac:dyDescent="0.25">
      <c r="A202" t="s">
        <v>720</v>
      </c>
      <c r="B202" t="s">
        <v>52</v>
      </c>
      <c r="C202">
        <v>2011</v>
      </c>
      <c r="D202" t="s">
        <v>721</v>
      </c>
      <c r="E202" s="61">
        <v>4590</v>
      </c>
      <c r="F202" s="67"/>
      <c r="G202" s="17">
        <v>2829493</v>
      </c>
      <c r="H202" t="s">
        <v>42</v>
      </c>
      <c r="I202" t="s">
        <v>110</v>
      </c>
      <c r="J202" t="s">
        <v>729</v>
      </c>
      <c r="K202" t="s">
        <v>730</v>
      </c>
      <c r="L202" t="s">
        <v>241</v>
      </c>
      <c r="M202" t="s">
        <v>35</v>
      </c>
      <c r="N202" t="s">
        <v>573</v>
      </c>
      <c r="O202" t="s">
        <v>244</v>
      </c>
      <c r="U202" t="s">
        <v>168</v>
      </c>
      <c r="V202" t="s">
        <v>169</v>
      </c>
      <c r="W202" t="s">
        <v>731</v>
      </c>
      <c r="X202" t="s">
        <v>732</v>
      </c>
      <c r="Y202" t="s">
        <v>728</v>
      </c>
      <c r="Z202" s="17">
        <v>6665</v>
      </c>
      <c r="AA202" s="17">
        <v>3773</v>
      </c>
      <c r="AB202" s="17"/>
      <c r="AC202" s="17"/>
      <c r="AD202" s="17"/>
      <c r="AE202" s="17"/>
      <c r="AF202" s="51">
        <f t="shared" si="24"/>
        <v>2.3555456754973418</v>
      </c>
      <c r="AG202" s="51" t="str">
        <f t="shared" si="25"/>
        <v/>
      </c>
      <c r="AH202" s="51" t="str">
        <f t="shared" si="26"/>
        <v/>
      </c>
      <c r="AI202" s="51" t="str">
        <f t="shared" si="27"/>
        <v/>
      </c>
      <c r="AJ202" s="17"/>
      <c r="AK202" s="17"/>
      <c r="AL202" s="17"/>
      <c r="AM202" s="17"/>
      <c r="AN202" s="17"/>
      <c r="AO202" s="17"/>
      <c r="AP202" s="17"/>
      <c r="AQ202" s="17"/>
      <c r="AR202" s="17"/>
      <c r="AS202" s="17"/>
      <c r="AT202" s="17"/>
      <c r="AU202" s="17"/>
      <c r="BH202"/>
      <c r="BN202" s="17"/>
      <c r="BO202" s="17"/>
      <c r="BP202" s="17"/>
      <c r="BQ202" s="17"/>
      <c r="BR202" s="17"/>
      <c r="BX202" s="17" t="s">
        <v>1667</v>
      </c>
    </row>
    <row r="203" spans="1:76" x14ac:dyDescent="0.25">
      <c r="A203" t="s">
        <v>734</v>
      </c>
      <c r="B203" t="s">
        <v>52</v>
      </c>
      <c r="C203">
        <v>2016</v>
      </c>
      <c r="D203" t="s">
        <v>735</v>
      </c>
      <c r="E203" s="61">
        <v>38000</v>
      </c>
      <c r="F203" s="67"/>
      <c r="G203" s="17">
        <v>126785797</v>
      </c>
      <c r="H203" t="s">
        <v>109</v>
      </c>
      <c r="I203" t="s">
        <v>77</v>
      </c>
      <c r="J203" t="s">
        <v>1763</v>
      </c>
      <c r="K203" t="s">
        <v>1661</v>
      </c>
      <c r="L203" t="s">
        <v>1662</v>
      </c>
      <c r="P203" t="s">
        <v>1663</v>
      </c>
      <c r="Q203" t="s">
        <v>1664</v>
      </c>
      <c r="R203" t="s">
        <v>1665</v>
      </c>
      <c r="S203" t="s">
        <v>1666</v>
      </c>
      <c r="T203" t="s">
        <v>740</v>
      </c>
      <c r="Y203" t="s">
        <v>740</v>
      </c>
      <c r="Z203" s="17"/>
      <c r="AA203" s="17"/>
      <c r="AB203" s="17"/>
      <c r="AC203" s="17"/>
      <c r="AD203" s="17"/>
      <c r="AE203" s="17"/>
      <c r="AF203" s="51" t="str">
        <f t="shared" si="24"/>
        <v/>
      </c>
      <c r="AG203" s="51" t="str">
        <f t="shared" si="25"/>
        <v/>
      </c>
      <c r="AH203" s="51" t="str">
        <f t="shared" si="26"/>
        <v/>
      </c>
      <c r="AI203" s="51" t="str">
        <f t="shared" si="27"/>
        <v/>
      </c>
      <c r="AJ203" s="17"/>
      <c r="AK203" s="17"/>
      <c r="AL203" s="17"/>
      <c r="AM203" s="17"/>
      <c r="AN203" s="17"/>
      <c r="AO203" s="17"/>
      <c r="AP203" s="17"/>
      <c r="AQ203" s="17"/>
      <c r="AR203" s="17"/>
      <c r="AS203" s="17"/>
      <c r="AT203" s="17"/>
      <c r="AU203" s="17"/>
      <c r="BF203" s="67">
        <v>265600000000000</v>
      </c>
      <c r="BG203" s="68">
        <v>0.65569999999999995</v>
      </c>
      <c r="BH203"/>
      <c r="BN203" s="17"/>
      <c r="BO203" s="17"/>
      <c r="BP203" s="17"/>
      <c r="BQ203" s="17">
        <v>1093134</v>
      </c>
      <c r="BR203" s="17"/>
      <c r="BX203" s="17" t="s">
        <v>1649</v>
      </c>
    </row>
    <row r="204" spans="1:76" x14ac:dyDescent="0.25">
      <c r="A204" t="s">
        <v>804</v>
      </c>
      <c r="B204" t="s">
        <v>52</v>
      </c>
      <c r="C204">
        <v>2016</v>
      </c>
      <c r="D204" t="s">
        <v>805</v>
      </c>
      <c r="E204" s="61">
        <v>71590</v>
      </c>
      <c r="F204" s="67"/>
      <c r="G204" s="17">
        <v>599449</v>
      </c>
      <c r="H204" t="s">
        <v>109</v>
      </c>
      <c r="I204" t="s">
        <v>43</v>
      </c>
      <c r="J204" t="s">
        <v>1722</v>
      </c>
      <c r="K204" t="s">
        <v>806</v>
      </c>
      <c r="L204" t="s">
        <v>190</v>
      </c>
      <c r="M204" t="s">
        <v>48</v>
      </c>
      <c r="N204" t="s">
        <v>62</v>
      </c>
      <c r="O204" t="s">
        <v>63</v>
      </c>
      <c r="T204" t="s">
        <v>55</v>
      </c>
      <c r="Y204" t="s">
        <v>55</v>
      </c>
      <c r="Z204" s="17"/>
      <c r="AA204" s="17"/>
      <c r="AB204" s="17"/>
      <c r="AC204" s="17"/>
      <c r="AD204" s="17"/>
      <c r="AE204" s="17"/>
      <c r="AF204" s="51" t="str">
        <f t="shared" si="24"/>
        <v/>
      </c>
      <c r="AG204" s="51" t="str">
        <f t="shared" si="25"/>
        <v/>
      </c>
      <c r="AH204" s="51" t="str">
        <f t="shared" si="26"/>
        <v/>
      </c>
      <c r="AI204" s="51" t="str">
        <f t="shared" si="27"/>
        <v/>
      </c>
      <c r="AJ204" s="17"/>
      <c r="AK204" s="17"/>
      <c r="AL204" s="17"/>
      <c r="AM204" s="17"/>
      <c r="AN204" s="17"/>
      <c r="AO204" s="17"/>
      <c r="AP204" s="17"/>
      <c r="AQ204" s="17"/>
      <c r="AR204" s="17"/>
      <c r="AS204" s="17"/>
      <c r="AT204" s="17"/>
      <c r="AU204" s="17"/>
      <c r="BF204" s="67">
        <v>9395000000</v>
      </c>
      <c r="BG204" s="68">
        <v>0.10680000000000001</v>
      </c>
      <c r="BH204"/>
      <c r="BN204" s="17"/>
      <c r="BO204" s="17"/>
      <c r="BP204" s="17"/>
      <c r="BQ204" s="17"/>
      <c r="BR204" s="17"/>
      <c r="BX204" s="17" t="s">
        <v>1702</v>
      </c>
    </row>
    <row r="205" spans="1:76" x14ac:dyDescent="0.25">
      <c r="A205" t="s">
        <v>816</v>
      </c>
      <c r="B205" t="s">
        <v>52</v>
      </c>
      <c r="C205">
        <v>2015</v>
      </c>
      <c r="D205" t="s">
        <v>817</v>
      </c>
      <c r="E205" s="61">
        <v>10450</v>
      </c>
      <c r="F205" s="67"/>
      <c r="G205" s="17">
        <v>30723155</v>
      </c>
      <c r="H205" t="s">
        <v>42</v>
      </c>
      <c r="I205" t="s">
        <v>77</v>
      </c>
      <c r="J205" t="s">
        <v>1797</v>
      </c>
      <c r="K205" t="s">
        <v>1798</v>
      </c>
      <c r="L205" t="s">
        <v>241</v>
      </c>
      <c r="M205" t="s">
        <v>1784</v>
      </c>
      <c r="N205" t="s">
        <v>1791</v>
      </c>
      <c r="O205" t="s">
        <v>1792</v>
      </c>
      <c r="T205" t="s">
        <v>819</v>
      </c>
      <c r="U205" t="s">
        <v>1793</v>
      </c>
      <c r="V205" t="s">
        <v>1794</v>
      </c>
      <c r="W205" t="s">
        <v>1795</v>
      </c>
      <c r="X205" t="s">
        <v>1796</v>
      </c>
      <c r="Y205" t="s">
        <v>819</v>
      </c>
      <c r="Z205" s="17"/>
      <c r="AA205" s="17"/>
      <c r="AB205" s="17"/>
      <c r="AC205" s="17"/>
      <c r="AD205" s="17"/>
      <c r="AE205" s="17"/>
      <c r="AF205" s="51" t="str">
        <f t="shared" si="24"/>
        <v/>
      </c>
      <c r="AG205" s="51" t="str">
        <f t="shared" si="25"/>
        <v/>
      </c>
      <c r="AH205" s="51" t="str">
        <f t="shared" si="26"/>
        <v/>
      </c>
      <c r="AI205" s="51" t="str">
        <f t="shared" si="27"/>
        <v/>
      </c>
      <c r="AJ205" s="17"/>
      <c r="AK205" s="17"/>
      <c r="AL205" s="17"/>
      <c r="AM205" s="17"/>
      <c r="AN205" s="17"/>
      <c r="AO205" s="17"/>
      <c r="AP205" s="17"/>
      <c r="AQ205" s="17"/>
      <c r="AR205" s="17"/>
      <c r="AS205" s="17"/>
      <c r="AT205" s="17">
        <v>420253449000</v>
      </c>
      <c r="AU205" s="17"/>
      <c r="BF205" s="67">
        <v>263460000</v>
      </c>
      <c r="BG205" s="68"/>
      <c r="BH205"/>
      <c r="BM205" t="s">
        <v>1400</v>
      </c>
      <c r="BN205" s="17"/>
      <c r="BO205" s="17"/>
      <c r="BP205" s="17"/>
      <c r="BQ205" s="17"/>
      <c r="BR205" s="17"/>
      <c r="BX205" s="17"/>
    </row>
    <row r="206" spans="1:76" x14ac:dyDescent="0.25">
      <c r="A206" t="s">
        <v>847</v>
      </c>
      <c r="B206" t="s">
        <v>52</v>
      </c>
      <c r="C206">
        <v>2016</v>
      </c>
      <c r="D206" t="s">
        <v>848</v>
      </c>
      <c r="E206" s="61">
        <v>9010</v>
      </c>
      <c r="F206" s="67"/>
      <c r="G206" s="17">
        <v>129163276</v>
      </c>
      <c r="H206" t="s">
        <v>42</v>
      </c>
      <c r="I206" t="s">
        <v>110</v>
      </c>
      <c r="J206" t="s">
        <v>857</v>
      </c>
      <c r="K206" t="s">
        <v>462</v>
      </c>
      <c r="L206" t="s">
        <v>504</v>
      </c>
      <c r="M206" t="s">
        <v>858</v>
      </c>
      <c r="N206" t="s">
        <v>859</v>
      </c>
      <c r="O206" t="s">
        <v>860</v>
      </c>
      <c r="Z206" s="17">
        <v>3896000</v>
      </c>
      <c r="AA206" s="17"/>
      <c r="AB206" s="17"/>
      <c r="AC206" s="17">
        <v>4000000</v>
      </c>
      <c r="AD206" s="17">
        <v>7896000</v>
      </c>
      <c r="AE206" s="17"/>
      <c r="AF206" s="51">
        <f t="shared" si="24"/>
        <v>30.163372443418048</v>
      </c>
      <c r="AG206" s="51">
        <f t="shared" si="25"/>
        <v>30.968554870039068</v>
      </c>
      <c r="AH206" s="51">
        <f t="shared" si="26"/>
        <v>61.131927313457119</v>
      </c>
      <c r="AI206" s="51" t="str">
        <f t="shared" si="27"/>
        <v/>
      </c>
      <c r="AJ206" s="17"/>
      <c r="AK206" s="17"/>
      <c r="AL206" s="17"/>
      <c r="AM206" s="17"/>
      <c r="AN206" s="17"/>
      <c r="AO206" s="17"/>
      <c r="AP206" s="17"/>
      <c r="AQ206" s="17"/>
      <c r="AR206" s="17"/>
      <c r="AS206" s="17"/>
      <c r="AT206" s="17"/>
      <c r="AU206" s="17"/>
      <c r="AY206" s="68">
        <v>0.38</v>
      </c>
      <c r="BA206" s="68">
        <v>0.4</v>
      </c>
      <c r="BC206" s="68">
        <v>0.22</v>
      </c>
      <c r="BH206"/>
      <c r="BK206" s="21">
        <v>2.3199999999999998E-2</v>
      </c>
      <c r="BN206" s="17"/>
      <c r="BO206" s="17"/>
      <c r="BP206" s="17"/>
      <c r="BQ206" s="17"/>
      <c r="BR206" s="17"/>
      <c r="BT206" t="s">
        <v>861</v>
      </c>
      <c r="BU206" t="s">
        <v>862</v>
      </c>
      <c r="BX206" s="17"/>
    </row>
    <row r="207" spans="1:76" x14ac:dyDescent="0.25">
      <c r="A207" t="s">
        <v>870</v>
      </c>
      <c r="B207" t="s">
        <v>52</v>
      </c>
      <c r="C207">
        <v>2016</v>
      </c>
      <c r="D207" t="s">
        <v>871</v>
      </c>
      <c r="E207" s="61">
        <v>3590</v>
      </c>
      <c r="F207" s="67"/>
      <c r="G207" s="17">
        <v>3075647</v>
      </c>
      <c r="H207" t="s">
        <v>88</v>
      </c>
      <c r="I207" t="s">
        <v>77</v>
      </c>
      <c r="J207" t="s">
        <v>2024</v>
      </c>
      <c r="K207" t="s">
        <v>872</v>
      </c>
      <c r="L207" t="s">
        <v>1799</v>
      </c>
      <c r="M207" t="s">
        <v>1800</v>
      </c>
      <c r="N207" t="s">
        <v>1801</v>
      </c>
      <c r="O207" t="s">
        <v>1802</v>
      </c>
      <c r="U207" t="s">
        <v>1803</v>
      </c>
      <c r="V207" t="s">
        <v>1804</v>
      </c>
      <c r="W207" t="s">
        <v>1805</v>
      </c>
      <c r="X207" t="s">
        <v>1806</v>
      </c>
      <c r="Y207" t="s">
        <v>873</v>
      </c>
      <c r="Z207" s="17"/>
      <c r="AA207" s="17"/>
      <c r="AB207" s="17"/>
      <c r="AC207" s="17">
        <v>56189</v>
      </c>
      <c r="AD207" s="17"/>
      <c r="AE207" s="17"/>
      <c r="AF207" s="51" t="str">
        <f t="shared" si="24"/>
        <v/>
      </c>
      <c r="AG207" s="51">
        <f t="shared" si="25"/>
        <v>18.269001611693412</v>
      </c>
      <c r="AH207" s="51" t="str">
        <f t="shared" si="26"/>
        <v/>
      </c>
      <c r="AI207" s="51" t="str">
        <f t="shared" si="27"/>
        <v/>
      </c>
      <c r="AJ207" s="17"/>
      <c r="AK207" s="17"/>
      <c r="AL207" s="17"/>
      <c r="AM207" s="17"/>
      <c r="AN207" s="17"/>
      <c r="AO207" s="17"/>
      <c r="AP207" s="17"/>
      <c r="AQ207" s="17"/>
      <c r="AR207" s="17"/>
      <c r="AS207" s="17"/>
      <c r="AT207" s="17"/>
      <c r="AU207" s="17"/>
      <c r="BH207"/>
      <c r="BN207" s="17"/>
      <c r="BO207" s="17"/>
      <c r="BP207" s="17"/>
      <c r="BQ207" s="17"/>
      <c r="BR207" s="17"/>
      <c r="BX207" s="17"/>
    </row>
    <row r="208" spans="1:76" x14ac:dyDescent="0.25">
      <c r="A208" t="s">
        <v>919</v>
      </c>
      <c r="B208" t="s">
        <v>52</v>
      </c>
      <c r="C208">
        <v>2016</v>
      </c>
      <c r="D208" t="s">
        <v>920</v>
      </c>
      <c r="E208" s="61">
        <v>38560</v>
      </c>
      <c r="F208" s="67"/>
      <c r="G208" s="17">
        <v>4793900</v>
      </c>
      <c r="H208" t="s">
        <v>109</v>
      </c>
      <c r="I208" t="s">
        <v>77</v>
      </c>
      <c r="J208" t="s">
        <v>1730</v>
      </c>
      <c r="K208" t="s">
        <v>806</v>
      </c>
      <c r="Z208" s="17"/>
      <c r="AA208" s="17"/>
      <c r="AB208" s="17"/>
      <c r="AC208" s="17"/>
      <c r="AD208" s="17"/>
      <c r="AE208" s="17"/>
      <c r="AF208" s="51" t="str">
        <f t="shared" si="24"/>
        <v/>
      </c>
      <c r="AG208" s="51" t="str">
        <f t="shared" si="25"/>
        <v/>
      </c>
      <c r="AH208" s="51" t="str">
        <f t="shared" si="26"/>
        <v/>
      </c>
      <c r="AI208" s="51" t="str">
        <f t="shared" si="27"/>
        <v/>
      </c>
      <c r="AJ208" s="17"/>
      <c r="AK208" s="17"/>
      <c r="AL208" s="17"/>
      <c r="AM208" s="17"/>
      <c r="AN208" s="17"/>
      <c r="AO208" s="17"/>
      <c r="AP208" s="17"/>
      <c r="AQ208" s="17"/>
      <c r="AR208" s="17"/>
      <c r="AS208" s="17"/>
      <c r="AT208" s="17"/>
      <c r="AU208" s="17"/>
      <c r="BF208" s="67"/>
      <c r="BG208" s="68">
        <v>0.41</v>
      </c>
      <c r="BH208"/>
      <c r="BL208" s="21">
        <v>8.0000000000000002E-3</v>
      </c>
      <c r="BN208" s="17"/>
      <c r="BO208" s="17"/>
      <c r="BP208" s="17"/>
      <c r="BQ208" s="17"/>
      <c r="BR208" s="17"/>
      <c r="BX208" s="17"/>
    </row>
    <row r="209" spans="1:76" x14ac:dyDescent="0.25">
      <c r="A209" t="s">
        <v>926</v>
      </c>
      <c r="B209" t="s">
        <v>52</v>
      </c>
      <c r="C209">
        <v>2017</v>
      </c>
      <c r="D209" t="s">
        <v>927</v>
      </c>
      <c r="E209" s="65">
        <v>2130</v>
      </c>
      <c r="F209" s="67"/>
      <c r="G209" s="65">
        <v>6217581</v>
      </c>
      <c r="H209" t="s">
        <v>88</v>
      </c>
      <c r="I209" t="s">
        <v>110</v>
      </c>
      <c r="J209" t="s">
        <v>928</v>
      </c>
      <c r="K209" t="s">
        <v>929</v>
      </c>
      <c r="L209" t="s">
        <v>562</v>
      </c>
      <c r="M209" t="s">
        <v>930</v>
      </c>
      <c r="N209" t="s">
        <v>931</v>
      </c>
      <c r="O209" t="s">
        <v>244</v>
      </c>
      <c r="Z209" s="17"/>
      <c r="AA209" s="17"/>
      <c r="AB209" s="17">
        <v>14492</v>
      </c>
      <c r="AC209" s="17"/>
      <c r="AD209" s="17">
        <v>121111</v>
      </c>
      <c r="AE209" s="17">
        <v>808</v>
      </c>
      <c r="AF209" s="51" t="s">
        <v>1152</v>
      </c>
      <c r="AG209" s="51" t="s">
        <v>1152</v>
      </c>
      <c r="AH209" s="51">
        <v>19.478797300750887</v>
      </c>
      <c r="AI209" s="51">
        <v>0.12995407699553893</v>
      </c>
      <c r="AJ209" s="17"/>
      <c r="AK209" s="17"/>
      <c r="AL209" s="17"/>
      <c r="AM209" s="17"/>
      <c r="AN209" s="17"/>
      <c r="AO209" s="17"/>
      <c r="AP209" s="17"/>
      <c r="AQ209" s="17"/>
      <c r="AR209" s="17"/>
      <c r="AS209" s="17"/>
      <c r="AT209" s="17"/>
      <c r="AU209" s="17"/>
      <c r="AX209" s="65"/>
      <c r="AY209" s="65"/>
      <c r="BA209" s="65"/>
      <c r="BH209"/>
      <c r="BN209" s="17"/>
      <c r="BO209" s="17"/>
      <c r="BP209" s="17"/>
      <c r="BQ209" s="17"/>
      <c r="BR209" s="17"/>
      <c r="BS209" s="71"/>
      <c r="BX209" s="17" t="s">
        <v>932</v>
      </c>
    </row>
    <row r="210" spans="1:76" x14ac:dyDescent="0.25">
      <c r="A210" t="s">
        <v>952</v>
      </c>
      <c r="B210" t="s">
        <v>52</v>
      </c>
      <c r="C210">
        <v>2016</v>
      </c>
      <c r="D210" t="s">
        <v>953</v>
      </c>
      <c r="E210" s="61">
        <v>82010</v>
      </c>
      <c r="F210" s="67"/>
      <c r="G210" s="17">
        <v>5282223</v>
      </c>
      <c r="H210" t="s">
        <v>109</v>
      </c>
      <c r="I210" t="s">
        <v>43</v>
      </c>
      <c r="J210" t="s">
        <v>1734</v>
      </c>
      <c r="K210" t="s">
        <v>271</v>
      </c>
      <c r="L210" t="s">
        <v>190</v>
      </c>
      <c r="M210" t="s">
        <v>955</v>
      </c>
      <c r="N210" t="s">
        <v>62</v>
      </c>
      <c r="O210" t="s">
        <v>63</v>
      </c>
      <c r="U210" t="s">
        <v>115</v>
      </c>
      <c r="V210" t="s">
        <v>168</v>
      </c>
      <c r="W210" t="s">
        <v>502</v>
      </c>
      <c r="X210" t="s">
        <v>503</v>
      </c>
      <c r="Y210" t="s">
        <v>55</v>
      </c>
      <c r="Z210" s="17"/>
      <c r="AA210" s="17"/>
      <c r="AB210" s="17"/>
      <c r="AC210" s="17"/>
      <c r="AD210" s="17"/>
      <c r="AE210" s="17"/>
      <c r="AF210" s="51" t="str">
        <f t="shared" ref="AF210:AF241" si="28">IF(ISERROR((Z210/$G210)*1000),"",IF((Z210/$G210)*1000=0,"",(Z210/$G210)*1000))</f>
        <v/>
      </c>
      <c r="AG210" s="51" t="str">
        <f t="shared" ref="AG210:AG241" si="29">IF(ISERROR((AC210/$G210)*1000),"",IF((AC210/$G210)*1000=0,"",(AC210/$G210)*1000))</f>
        <v/>
      </c>
      <c r="AH210" s="51" t="str">
        <f t="shared" ref="AH210:AH241" si="30">IF(ISERROR((AD210/$G210)*1000),"",IF((AD210/$G210)*1000=0,"",(AD210/$G210)*1000))</f>
        <v/>
      </c>
      <c r="AI210" s="51" t="str">
        <f t="shared" ref="AI210:AI241" si="31">IF(ISERROR((AE210/$G210)*1000),"",IF((AE210/$G210)*1000=0,"",(AE210/$G210)*1000))</f>
        <v/>
      </c>
      <c r="AJ210" s="17"/>
      <c r="AK210" s="17"/>
      <c r="AL210" s="17"/>
      <c r="AM210" s="17"/>
      <c r="AN210" s="17"/>
      <c r="AO210" s="17"/>
      <c r="AP210" s="17"/>
      <c r="AQ210" s="17"/>
      <c r="AR210" s="17"/>
      <c r="AS210" s="17"/>
      <c r="AT210" s="17"/>
      <c r="AU210" s="17"/>
      <c r="BD210" s="67"/>
      <c r="BE210" s="68">
        <v>0.36620000000000003</v>
      </c>
      <c r="BH210"/>
      <c r="BN210" s="17"/>
      <c r="BO210" s="17"/>
      <c r="BP210" s="17"/>
      <c r="BQ210" s="17"/>
      <c r="BR210" s="17"/>
      <c r="BX210" s="65"/>
    </row>
    <row r="211" spans="1:76" x14ac:dyDescent="0.25">
      <c r="A211" t="s">
        <v>971</v>
      </c>
      <c r="B211" t="s">
        <v>52</v>
      </c>
      <c r="C211">
        <v>2018</v>
      </c>
      <c r="D211" t="s">
        <v>972</v>
      </c>
      <c r="E211" s="61">
        <v>13100</v>
      </c>
      <c r="F211" s="67"/>
      <c r="G211" s="17">
        <v>4098587</v>
      </c>
      <c r="H211" t="s">
        <v>109</v>
      </c>
      <c r="I211" t="s">
        <v>110</v>
      </c>
      <c r="J211" t="s">
        <v>982</v>
      </c>
      <c r="K211" t="s">
        <v>983</v>
      </c>
      <c r="U211" t="s">
        <v>975</v>
      </c>
      <c r="V211" t="s">
        <v>976</v>
      </c>
      <c r="W211" t="s">
        <v>977</v>
      </c>
      <c r="X211" t="s">
        <v>978</v>
      </c>
      <c r="Y211" t="s">
        <v>979</v>
      </c>
      <c r="Z211" s="17"/>
      <c r="AA211" s="17"/>
      <c r="AB211" s="17"/>
      <c r="AC211" s="17"/>
      <c r="AD211" s="17"/>
      <c r="AE211" s="17"/>
      <c r="AF211" s="51" t="str">
        <f t="shared" si="28"/>
        <v/>
      </c>
      <c r="AG211" s="51" t="str">
        <f t="shared" si="29"/>
        <v/>
      </c>
      <c r="AH211" s="51" t="str">
        <f t="shared" si="30"/>
        <v/>
      </c>
      <c r="AI211" s="51" t="str">
        <f t="shared" si="31"/>
        <v/>
      </c>
      <c r="AJ211" s="17"/>
      <c r="AK211" s="17"/>
      <c r="AL211" s="17"/>
      <c r="AM211" s="17"/>
      <c r="AN211" s="17"/>
      <c r="AO211" s="17"/>
      <c r="AP211" s="17"/>
      <c r="AQ211" s="17"/>
      <c r="AR211" s="17"/>
      <c r="AS211" s="17"/>
      <c r="AT211" s="17"/>
      <c r="AU211" s="17"/>
      <c r="AX211" s="17">
        <v>3521540000</v>
      </c>
      <c r="AZ211" s="67">
        <v>3089380000</v>
      </c>
      <c r="BA211" s="67"/>
      <c r="BB211" s="67">
        <v>2825500000</v>
      </c>
      <c r="BC211" s="67"/>
      <c r="BD211" s="67">
        <v>5914880000</v>
      </c>
      <c r="BE211" s="67"/>
      <c r="BF211" s="67">
        <v>9436420000</v>
      </c>
      <c r="BG211" s="68"/>
      <c r="BH211"/>
      <c r="BN211" s="17"/>
      <c r="BO211" s="17"/>
      <c r="BP211" s="17"/>
      <c r="BQ211" s="17"/>
      <c r="BR211" s="17"/>
      <c r="BT211" t="s">
        <v>984</v>
      </c>
      <c r="BX211" s="17"/>
    </row>
    <row r="212" spans="1:76" x14ac:dyDescent="0.25">
      <c r="A212" t="s">
        <v>1000</v>
      </c>
      <c r="B212" t="s">
        <v>52</v>
      </c>
      <c r="C212">
        <v>2016</v>
      </c>
      <c r="D212" t="s">
        <v>1001</v>
      </c>
      <c r="E212" s="61">
        <v>5950</v>
      </c>
      <c r="F212" s="67"/>
      <c r="G212" s="17">
        <v>32165485</v>
      </c>
      <c r="H212" t="s">
        <v>42</v>
      </c>
      <c r="I212" t="s">
        <v>110</v>
      </c>
      <c r="J212" t="s">
        <v>1043</v>
      </c>
      <c r="K212" t="s">
        <v>1044</v>
      </c>
      <c r="L212" t="s">
        <v>61</v>
      </c>
      <c r="M212" t="s">
        <v>547</v>
      </c>
      <c r="N212" t="s">
        <v>37</v>
      </c>
      <c r="U212" t="s">
        <v>1004</v>
      </c>
      <c r="V212" t="s">
        <v>1005</v>
      </c>
      <c r="W212" t="s">
        <v>1045</v>
      </c>
      <c r="Y212" t="s">
        <v>1008</v>
      </c>
      <c r="Z212" s="17">
        <v>2011153</v>
      </c>
      <c r="AA212" s="17">
        <v>92789</v>
      </c>
      <c r="AB212" s="17"/>
      <c r="AC212" s="17"/>
      <c r="AD212" s="17"/>
      <c r="AE212" s="17"/>
      <c r="AF212" s="51">
        <f t="shared" si="28"/>
        <v>62.525188101469631</v>
      </c>
      <c r="AG212" s="51" t="str">
        <f t="shared" si="29"/>
        <v/>
      </c>
      <c r="AH212" s="51" t="str">
        <f t="shared" si="30"/>
        <v/>
      </c>
      <c r="AI212" s="51" t="str">
        <f t="shared" si="31"/>
        <v/>
      </c>
      <c r="AJ212" s="17"/>
      <c r="AK212" s="17"/>
      <c r="AL212" s="17"/>
      <c r="AM212" s="17"/>
      <c r="AN212" s="17"/>
      <c r="AO212" s="17"/>
      <c r="AP212" s="17"/>
      <c r="AQ212" s="17"/>
      <c r="AR212" s="17"/>
      <c r="AS212" s="17"/>
      <c r="AT212" s="17"/>
      <c r="AU212" s="17"/>
      <c r="AV212" t="s">
        <v>1047</v>
      </c>
      <c r="BH212"/>
      <c r="BM212" t="s">
        <v>1048</v>
      </c>
      <c r="BN212" s="17">
        <v>1593825</v>
      </c>
      <c r="BO212" s="17">
        <v>14758</v>
      </c>
      <c r="BP212" s="17">
        <f>BN212+BO212</f>
        <v>1608583</v>
      </c>
      <c r="BQ212" s="17"/>
      <c r="BR212" s="17"/>
      <c r="BT212" t="s">
        <v>1012</v>
      </c>
      <c r="BU212" t="s">
        <v>1049</v>
      </c>
      <c r="BV212" t="s">
        <v>1050</v>
      </c>
      <c r="BX212" s="17"/>
    </row>
    <row r="213" spans="1:76" x14ac:dyDescent="0.25">
      <c r="A213" t="s">
        <v>1063</v>
      </c>
      <c r="B213" t="s">
        <v>52</v>
      </c>
      <c r="C213">
        <v>2016</v>
      </c>
      <c r="D213" t="s">
        <v>1064</v>
      </c>
      <c r="E213" s="61">
        <v>19850</v>
      </c>
      <c r="F213" s="67"/>
      <c r="G213" s="17">
        <v>10293718</v>
      </c>
      <c r="H213" t="s">
        <v>109</v>
      </c>
      <c r="I213" t="s">
        <v>43</v>
      </c>
      <c r="J213" t="s">
        <v>1065</v>
      </c>
      <c r="K213" t="s">
        <v>1066</v>
      </c>
      <c r="L213" t="s">
        <v>61</v>
      </c>
      <c r="M213" t="s">
        <v>165</v>
      </c>
      <c r="N213" t="s">
        <v>660</v>
      </c>
      <c r="O213" t="s">
        <v>167</v>
      </c>
      <c r="P213" t="s">
        <v>115</v>
      </c>
      <c r="Q213" t="s">
        <v>1067</v>
      </c>
      <c r="R213" t="s">
        <v>881</v>
      </c>
      <c r="S213" t="s">
        <v>501</v>
      </c>
      <c r="T213" t="s">
        <v>55</v>
      </c>
      <c r="U213" t="s">
        <v>115</v>
      </c>
      <c r="V213" t="s">
        <v>1067</v>
      </c>
      <c r="W213" t="s">
        <v>169</v>
      </c>
      <c r="X213" t="s">
        <v>503</v>
      </c>
      <c r="Y213" t="s">
        <v>55</v>
      </c>
      <c r="Z213" s="17">
        <v>1150336</v>
      </c>
      <c r="AA213" s="17">
        <v>38600</v>
      </c>
      <c r="AB213" s="17">
        <v>6128</v>
      </c>
      <c r="AC213" s="17">
        <v>44728</v>
      </c>
      <c r="AD213" s="17">
        <v>1195064</v>
      </c>
      <c r="AE213" s="17">
        <v>1038</v>
      </c>
      <c r="AF213" s="51">
        <f t="shared" si="28"/>
        <v>111.75126421765196</v>
      </c>
      <c r="AG213" s="51">
        <f t="shared" si="29"/>
        <v>4.3451744063709539</v>
      </c>
      <c r="AH213" s="51">
        <f t="shared" si="30"/>
        <v>116.09643862402292</v>
      </c>
      <c r="AI213" s="51">
        <f t="shared" si="31"/>
        <v>0.10083820054133986</v>
      </c>
      <c r="AJ213" s="17">
        <v>1701757</v>
      </c>
      <c r="AK213" s="17">
        <v>708143</v>
      </c>
      <c r="AL213" s="17">
        <v>547409</v>
      </c>
      <c r="AM213" s="17">
        <v>1255552</v>
      </c>
      <c r="AN213" s="17">
        <v>2957309</v>
      </c>
      <c r="AO213" s="17">
        <v>747431</v>
      </c>
      <c r="AP213" s="17">
        <v>18823635000</v>
      </c>
      <c r="AQ213" s="17">
        <v>17426408000</v>
      </c>
      <c r="AR213" s="17">
        <v>18015236000</v>
      </c>
      <c r="AS213" s="17">
        <v>35441644000</v>
      </c>
      <c r="AT213" s="17">
        <v>54265279000</v>
      </c>
      <c r="AU213" s="17">
        <v>31145030000</v>
      </c>
      <c r="AV213" t="s">
        <v>1066</v>
      </c>
      <c r="AW213" t="s">
        <v>1066</v>
      </c>
      <c r="BH213"/>
      <c r="BN213" s="17"/>
      <c r="BO213" s="17"/>
      <c r="BP213" s="17"/>
      <c r="BQ213" s="17"/>
      <c r="BR213" s="17"/>
      <c r="BT213" t="s">
        <v>1068</v>
      </c>
      <c r="BX213" s="17" t="s">
        <v>1085</v>
      </c>
    </row>
    <row r="214" spans="1:76" x14ac:dyDescent="0.25">
      <c r="A214" t="s">
        <v>1141</v>
      </c>
      <c r="B214" t="s">
        <v>52</v>
      </c>
      <c r="C214">
        <v>2016</v>
      </c>
      <c r="D214" t="s">
        <v>1142</v>
      </c>
      <c r="E214" s="61">
        <v>21700</v>
      </c>
      <c r="F214" s="67"/>
      <c r="G214" s="17">
        <v>2066748</v>
      </c>
      <c r="H214" t="s">
        <v>109</v>
      </c>
      <c r="I214" t="s">
        <v>43</v>
      </c>
      <c r="J214" t="s">
        <v>188</v>
      </c>
      <c r="K214" t="s">
        <v>1140</v>
      </c>
      <c r="L214" t="s">
        <v>190</v>
      </c>
      <c r="M214" t="s">
        <v>48</v>
      </c>
      <c r="N214" t="s">
        <v>62</v>
      </c>
      <c r="O214" t="s">
        <v>63</v>
      </c>
      <c r="Z214" s="17">
        <v>131660</v>
      </c>
      <c r="AA214" s="17">
        <v>5910</v>
      </c>
      <c r="AB214" s="17">
        <v>1129</v>
      </c>
      <c r="AC214" s="17">
        <v>7039</v>
      </c>
      <c r="AD214" s="17">
        <v>138699</v>
      </c>
      <c r="AE214" s="17">
        <v>224</v>
      </c>
      <c r="AF214" s="51">
        <f t="shared" si="28"/>
        <v>63.70394455444012</v>
      </c>
      <c r="AG214" s="51">
        <f t="shared" si="29"/>
        <v>3.4058337058993162</v>
      </c>
      <c r="AH214" s="51">
        <f t="shared" si="30"/>
        <v>67.109778260339425</v>
      </c>
      <c r="AI214" s="51">
        <f t="shared" si="31"/>
        <v>0.10838283138534548</v>
      </c>
      <c r="AJ214" s="17">
        <v>214243</v>
      </c>
      <c r="AK214" s="17">
        <v>111373</v>
      </c>
      <c r="AL214" s="17">
        <v>115048</v>
      </c>
      <c r="AM214" s="17">
        <v>226421</v>
      </c>
      <c r="AN214" s="17">
        <v>440664</v>
      </c>
      <c r="AO214" s="17">
        <v>163575</v>
      </c>
      <c r="AP214" s="17">
        <v>4693300000</v>
      </c>
      <c r="AQ214" s="17">
        <v>4094800000</v>
      </c>
      <c r="AR214" s="17">
        <v>4500100000</v>
      </c>
      <c r="AS214" s="17">
        <v>8594900000</v>
      </c>
      <c r="AT214" s="17">
        <v>13288200000</v>
      </c>
      <c r="AU214" s="17">
        <v>7289000000</v>
      </c>
      <c r="AV214" t="s">
        <v>1140</v>
      </c>
      <c r="AW214" t="s">
        <v>1140</v>
      </c>
      <c r="BH214"/>
      <c r="BN214" s="17"/>
      <c r="BO214" s="17"/>
      <c r="BP214" s="17"/>
      <c r="BQ214" s="17"/>
      <c r="BR214" s="17"/>
      <c r="BX214" s="17"/>
    </row>
    <row r="215" spans="1:76" x14ac:dyDescent="0.25">
      <c r="A215" t="s">
        <v>1148</v>
      </c>
      <c r="B215" t="s">
        <v>52</v>
      </c>
      <c r="C215">
        <v>2011</v>
      </c>
      <c r="D215" t="s">
        <v>1149</v>
      </c>
      <c r="E215" s="61">
        <v>1080</v>
      </c>
      <c r="F215" s="67"/>
      <c r="G215" s="17">
        <v>539614</v>
      </c>
      <c r="H215" t="s">
        <v>88</v>
      </c>
      <c r="I215" t="s">
        <v>77</v>
      </c>
      <c r="J215" t="s">
        <v>1153</v>
      </c>
      <c r="K215" t="s">
        <v>1154</v>
      </c>
      <c r="L215" t="s">
        <v>34</v>
      </c>
      <c r="M215" t="s">
        <v>960</v>
      </c>
      <c r="N215" t="s">
        <v>243</v>
      </c>
      <c r="O215" t="s">
        <v>244</v>
      </c>
      <c r="P215" t="s">
        <v>1155</v>
      </c>
      <c r="Q215" t="s">
        <v>283</v>
      </c>
      <c r="R215" t="s">
        <v>1156</v>
      </c>
      <c r="S215" t="s">
        <v>1157</v>
      </c>
      <c r="T215" t="s">
        <v>1158</v>
      </c>
      <c r="U215" t="s">
        <v>1101</v>
      </c>
      <c r="V215" t="s">
        <v>1159</v>
      </c>
      <c r="W215" t="s">
        <v>169</v>
      </c>
      <c r="X215" t="s">
        <v>503</v>
      </c>
      <c r="Y215" t="s">
        <v>1158</v>
      </c>
      <c r="Z215" s="17"/>
      <c r="AA215" s="17"/>
      <c r="AB215" s="17"/>
      <c r="AC215" s="17" t="s">
        <v>1152</v>
      </c>
      <c r="AD215" s="17" t="s">
        <v>1152</v>
      </c>
      <c r="AE215" s="17" t="s">
        <v>1152</v>
      </c>
      <c r="AF215" s="51" t="str">
        <f t="shared" si="28"/>
        <v/>
      </c>
      <c r="AG215" s="51" t="str">
        <f t="shared" si="29"/>
        <v/>
      </c>
      <c r="AH215" s="51" t="str">
        <f t="shared" si="30"/>
        <v/>
      </c>
      <c r="AI215" s="51" t="str">
        <f t="shared" si="31"/>
        <v/>
      </c>
      <c r="AJ215" s="17" t="s">
        <v>1152</v>
      </c>
      <c r="AK215" s="17" t="s">
        <v>1152</v>
      </c>
      <c r="AL215" s="17" t="s">
        <v>1152</v>
      </c>
      <c r="AM215" s="17"/>
      <c r="AN215" s="17"/>
      <c r="AO215" s="17"/>
      <c r="AP215" s="17"/>
      <c r="AQ215" s="17"/>
      <c r="AR215" s="17"/>
      <c r="AS215" s="17"/>
      <c r="AT215" s="17"/>
      <c r="AU215" s="17"/>
      <c r="BH215"/>
      <c r="BN215" s="17"/>
      <c r="BO215" s="17"/>
      <c r="BP215" s="17"/>
      <c r="BQ215" s="17"/>
      <c r="BR215" s="17"/>
      <c r="BX215" s="17"/>
    </row>
    <row r="216" spans="1:76" x14ac:dyDescent="0.25">
      <c r="A216" t="s">
        <v>1161</v>
      </c>
      <c r="B216" t="s">
        <v>52</v>
      </c>
      <c r="C216">
        <v>2015</v>
      </c>
      <c r="D216" t="s">
        <v>1162</v>
      </c>
      <c r="E216" s="61">
        <v>6070</v>
      </c>
      <c r="F216" s="67"/>
      <c r="G216" s="17">
        <v>55291225</v>
      </c>
      <c r="H216" t="s">
        <v>42</v>
      </c>
      <c r="I216" t="s">
        <v>89</v>
      </c>
      <c r="J216" t="s">
        <v>1164</v>
      </c>
      <c r="K216" t="s">
        <v>1165</v>
      </c>
      <c r="T216" t="s">
        <v>1163</v>
      </c>
      <c r="U216" t="s">
        <v>1835</v>
      </c>
      <c r="V216" t="s">
        <v>1836</v>
      </c>
      <c r="W216" t="s">
        <v>1837</v>
      </c>
      <c r="X216" t="s">
        <v>1838</v>
      </c>
      <c r="Y216" t="s">
        <v>1163</v>
      </c>
      <c r="Z216" s="17"/>
      <c r="AA216" s="17"/>
      <c r="AB216" s="17"/>
      <c r="AC216" s="17"/>
      <c r="AD216" s="17">
        <v>667433</v>
      </c>
      <c r="AE216" s="17"/>
      <c r="AF216" s="51" t="str">
        <f t="shared" si="28"/>
        <v/>
      </c>
      <c r="AG216" s="51" t="str">
        <f t="shared" si="29"/>
        <v/>
      </c>
      <c r="AH216" s="51">
        <f t="shared" si="30"/>
        <v>12.071228300693285</v>
      </c>
      <c r="AI216" s="51" t="str">
        <f t="shared" si="31"/>
        <v/>
      </c>
      <c r="AJ216" s="17"/>
      <c r="AK216" s="17"/>
      <c r="AL216" s="17"/>
      <c r="AM216" s="17"/>
      <c r="AN216" s="17"/>
      <c r="AO216" s="17"/>
      <c r="AP216" s="17"/>
      <c r="AQ216" s="17"/>
      <c r="AR216" s="17"/>
      <c r="AS216" s="17"/>
      <c r="AT216" s="17"/>
      <c r="AU216" s="17"/>
      <c r="BH216"/>
      <c r="BN216" s="17"/>
      <c r="BO216" s="17"/>
      <c r="BP216" s="17"/>
      <c r="BQ216" s="17"/>
      <c r="BR216" s="17"/>
      <c r="BS216" s="71">
        <v>0.67</v>
      </c>
      <c r="BX216" s="17" t="s">
        <v>1175</v>
      </c>
    </row>
    <row r="217" spans="1:76" x14ac:dyDescent="0.25">
      <c r="A217" t="s">
        <v>1171</v>
      </c>
      <c r="B217" t="s">
        <v>52</v>
      </c>
      <c r="C217">
        <v>2017</v>
      </c>
      <c r="D217" t="s">
        <v>1172</v>
      </c>
      <c r="E217" s="61">
        <v>27180</v>
      </c>
      <c r="F217" s="67"/>
      <c r="G217" s="17">
        <v>46572028</v>
      </c>
      <c r="H217" t="s">
        <v>109</v>
      </c>
      <c r="I217" t="s">
        <v>43</v>
      </c>
      <c r="J217" t="s">
        <v>1173</v>
      </c>
      <c r="K217" t="s">
        <v>1174</v>
      </c>
      <c r="L217" t="s">
        <v>190</v>
      </c>
      <c r="M217" t="s">
        <v>48</v>
      </c>
      <c r="N217" t="s">
        <v>62</v>
      </c>
      <c r="O217" t="s">
        <v>63</v>
      </c>
      <c r="Z217" s="17">
        <v>3134042</v>
      </c>
      <c r="AA217" s="17">
        <v>120397</v>
      </c>
      <c r="AB217" s="17">
        <v>20485</v>
      </c>
      <c r="AC217" s="17">
        <v>140882</v>
      </c>
      <c r="AD217" s="17">
        <v>3274924</v>
      </c>
      <c r="AE217" s="17">
        <v>4196</v>
      </c>
      <c r="AF217" s="51">
        <f t="shared" si="28"/>
        <v>67.294514209258836</v>
      </c>
      <c r="AG217" s="51">
        <f t="shared" si="29"/>
        <v>3.0250346839094058</v>
      </c>
      <c r="AH217" s="51">
        <f t="shared" si="30"/>
        <v>70.319548893168232</v>
      </c>
      <c r="AI217" s="51">
        <f t="shared" si="31"/>
        <v>9.0096999855793267E-2</v>
      </c>
      <c r="AJ217" s="17">
        <v>5004075</v>
      </c>
      <c r="AK217" s="17">
        <v>2891509</v>
      </c>
      <c r="AL217" s="17">
        <v>2290510</v>
      </c>
      <c r="AM217" s="17">
        <v>5182019</v>
      </c>
      <c r="AN217" s="17">
        <v>10186094</v>
      </c>
      <c r="AO217" s="17">
        <v>5154459</v>
      </c>
      <c r="AP217" s="17"/>
      <c r="AQ217" s="17"/>
      <c r="AR217" s="17"/>
      <c r="AS217" s="17"/>
      <c r="AT217" s="17"/>
      <c r="AU217" s="17"/>
      <c r="AV217" t="s">
        <v>1176</v>
      </c>
      <c r="AW217" t="s">
        <v>1176</v>
      </c>
      <c r="BF217" s="65"/>
      <c r="BG217" s="65"/>
      <c r="BH217"/>
      <c r="BN217" s="17"/>
      <c r="BO217" s="17"/>
      <c r="BP217" s="17"/>
      <c r="BQ217" s="17"/>
      <c r="BR217" s="17"/>
      <c r="BT217" t="s">
        <v>1177</v>
      </c>
      <c r="BU217" t="s">
        <v>1178</v>
      </c>
      <c r="BX217" s="17"/>
    </row>
    <row r="218" spans="1:76" x14ac:dyDescent="0.25">
      <c r="A218" t="s">
        <v>1204</v>
      </c>
      <c r="B218" t="s">
        <v>52</v>
      </c>
      <c r="C218">
        <v>2015</v>
      </c>
      <c r="D218" t="s">
        <v>1205</v>
      </c>
      <c r="E218" s="61">
        <v>6670</v>
      </c>
      <c r="F218" s="67"/>
      <c r="G218" s="17">
        <v>109455</v>
      </c>
      <c r="H218" t="s">
        <v>42</v>
      </c>
      <c r="I218" t="s">
        <v>110</v>
      </c>
      <c r="J218" t="s">
        <v>1200</v>
      </c>
      <c r="K218" t="s">
        <v>1211</v>
      </c>
      <c r="L218" t="s">
        <v>241</v>
      </c>
      <c r="M218" t="s">
        <v>1212</v>
      </c>
      <c r="N218" t="s">
        <v>1201</v>
      </c>
      <c r="P218" t="s">
        <v>617</v>
      </c>
      <c r="Q218" t="s">
        <v>618</v>
      </c>
      <c r="R218" t="s">
        <v>1213</v>
      </c>
      <c r="T218" t="s">
        <v>102</v>
      </c>
      <c r="U218" t="s">
        <v>617</v>
      </c>
      <c r="V218" t="s">
        <v>618</v>
      </c>
      <c r="W218" t="s">
        <v>619</v>
      </c>
      <c r="Y218" t="s">
        <v>102</v>
      </c>
      <c r="Z218" s="17"/>
      <c r="AA218" s="17"/>
      <c r="AB218" s="17"/>
      <c r="AC218" s="17"/>
      <c r="AD218" s="17"/>
      <c r="AE218" s="17"/>
      <c r="AF218" s="51" t="str">
        <f t="shared" si="28"/>
        <v/>
      </c>
      <c r="AG218" s="51" t="str">
        <f t="shared" si="29"/>
        <v/>
      </c>
      <c r="AH218" s="51" t="str">
        <f t="shared" si="30"/>
        <v/>
      </c>
      <c r="AI218" s="51" t="str">
        <f t="shared" si="31"/>
        <v/>
      </c>
      <c r="AJ218" s="17"/>
      <c r="AK218" s="17"/>
      <c r="AL218" s="17"/>
      <c r="AM218" s="17"/>
      <c r="AN218" s="17"/>
      <c r="AO218" s="17"/>
      <c r="AP218" s="17"/>
      <c r="AQ218" s="17"/>
      <c r="AR218" s="17"/>
      <c r="AS218" s="17"/>
      <c r="AT218" s="17"/>
      <c r="AU218" s="17"/>
      <c r="BF218" s="65"/>
      <c r="BG218" s="65"/>
      <c r="BH218"/>
      <c r="BN218" s="17"/>
      <c r="BO218" s="17"/>
      <c r="BP218" s="17"/>
      <c r="BQ218" s="17"/>
      <c r="BR218" s="17"/>
      <c r="BX218" s="17"/>
    </row>
    <row r="219" spans="1:76" x14ac:dyDescent="0.25">
      <c r="A219" s="15" t="s">
        <v>1224</v>
      </c>
      <c r="B219" s="15" t="s">
        <v>52</v>
      </c>
      <c r="C219" s="15">
        <v>2016</v>
      </c>
      <c r="D219" s="15" t="s">
        <v>1225</v>
      </c>
      <c r="E219" s="61">
        <v>54530</v>
      </c>
      <c r="F219" s="67"/>
      <c r="G219" s="17">
        <v>10067744</v>
      </c>
      <c r="H219" s="15" t="s">
        <v>109</v>
      </c>
      <c r="I219" s="15" t="s">
        <v>43</v>
      </c>
      <c r="J219" t="s">
        <v>507</v>
      </c>
      <c r="K219" t="s">
        <v>508</v>
      </c>
      <c r="L219" t="s">
        <v>190</v>
      </c>
      <c r="M219" t="s">
        <v>48</v>
      </c>
      <c r="N219" t="s">
        <v>62</v>
      </c>
      <c r="O219" t="s">
        <v>63</v>
      </c>
      <c r="Z219" s="17">
        <v>660134</v>
      </c>
      <c r="AA219" s="17">
        <v>30839</v>
      </c>
      <c r="AB219" s="17">
        <v>5453</v>
      </c>
      <c r="AC219" s="17">
        <v>36292</v>
      </c>
      <c r="AD219" s="17">
        <v>696426</v>
      </c>
      <c r="AE219" s="17">
        <v>1016</v>
      </c>
      <c r="AF219" s="51">
        <f t="shared" si="28"/>
        <v>65.569207957611951</v>
      </c>
      <c r="AG219" s="51">
        <f t="shared" si="29"/>
        <v>3.6047797798593209</v>
      </c>
      <c r="AH219" s="51">
        <f t="shared" si="30"/>
        <v>69.173987737471265</v>
      </c>
      <c r="AI219" s="51">
        <f t="shared" si="31"/>
        <v>0.100916352263228</v>
      </c>
      <c r="AJ219" s="17">
        <v>808129</v>
      </c>
      <c r="AK219" s="17">
        <v>683719</v>
      </c>
      <c r="AL219" s="17">
        <v>588253</v>
      </c>
      <c r="AM219" s="17">
        <v>1271972</v>
      </c>
      <c r="AN219" s="17">
        <v>2080101</v>
      </c>
      <c r="AO219" s="17">
        <v>1057928</v>
      </c>
      <c r="AP219" s="17">
        <v>51200000000</v>
      </c>
      <c r="AQ219" s="17">
        <v>44300000000</v>
      </c>
      <c r="AR219" s="17">
        <v>43600000000</v>
      </c>
      <c r="AS219" s="17">
        <v>87900000000</v>
      </c>
      <c r="AT219" s="17">
        <v>139100000000</v>
      </c>
      <c r="AU219" s="17">
        <v>90800000000</v>
      </c>
      <c r="BH219"/>
      <c r="BN219" s="17"/>
      <c r="BO219" s="17"/>
      <c r="BP219" s="17"/>
      <c r="BQ219" s="17"/>
      <c r="BR219" s="17"/>
      <c r="BX219" s="17"/>
    </row>
    <row r="220" spans="1:76" x14ac:dyDescent="0.25">
      <c r="A220" s="15" t="s">
        <v>1233</v>
      </c>
      <c r="B220" s="15" t="s">
        <v>52</v>
      </c>
      <c r="C220" s="15">
        <v>2009</v>
      </c>
      <c r="D220" s="15" t="s">
        <v>1234</v>
      </c>
      <c r="E220" s="61">
        <v>1510</v>
      </c>
      <c r="F220" s="67"/>
      <c r="G220" s="17">
        <v>18294611</v>
      </c>
      <c r="H220" s="15" t="s">
        <v>32</v>
      </c>
      <c r="I220" s="15" t="s">
        <v>58</v>
      </c>
      <c r="J220" t="s">
        <v>1240</v>
      </c>
      <c r="K220" t="s">
        <v>1241</v>
      </c>
      <c r="L220" t="s">
        <v>34</v>
      </c>
      <c r="M220" t="s">
        <v>1242</v>
      </c>
      <c r="N220" t="s">
        <v>1243</v>
      </c>
      <c r="P220" t="s">
        <v>1244</v>
      </c>
      <c r="Q220" t="s">
        <v>1245</v>
      </c>
      <c r="R220" t="s">
        <v>1246</v>
      </c>
      <c r="S220" t="s">
        <v>1247</v>
      </c>
      <c r="T220" t="s">
        <v>1248</v>
      </c>
      <c r="Z220" s="17"/>
      <c r="AA220" s="17"/>
      <c r="AB220" s="17"/>
      <c r="AC220" s="17"/>
      <c r="AD220" s="17"/>
      <c r="AE220" s="17"/>
      <c r="AF220" s="51" t="str">
        <f t="shared" si="28"/>
        <v/>
      </c>
      <c r="AG220" s="51" t="str">
        <f t="shared" si="29"/>
        <v/>
      </c>
      <c r="AH220" s="51" t="str">
        <f t="shared" si="30"/>
        <v/>
      </c>
      <c r="AI220" s="51" t="str">
        <f t="shared" si="31"/>
        <v/>
      </c>
      <c r="AJ220" s="17"/>
      <c r="AK220" s="17"/>
      <c r="AL220" s="17"/>
      <c r="AM220" s="17"/>
      <c r="AN220" s="17"/>
      <c r="AO220" s="17"/>
      <c r="AP220" s="17"/>
      <c r="AQ220" s="17"/>
      <c r="AR220" s="17"/>
      <c r="AS220" s="17"/>
      <c r="AT220" s="17"/>
      <c r="AU220" s="17"/>
      <c r="BH220"/>
      <c r="BN220" s="17"/>
      <c r="BO220" s="17"/>
      <c r="BP220" s="17"/>
      <c r="BQ220" s="17"/>
      <c r="BR220" s="17"/>
      <c r="BX220" s="17"/>
    </row>
    <row r="221" spans="1:76" x14ac:dyDescent="0.25">
      <c r="A221" s="15" t="s">
        <v>1342</v>
      </c>
      <c r="B221" s="15" t="s">
        <v>52</v>
      </c>
      <c r="C221" s="15">
        <v>2014</v>
      </c>
      <c r="D221" s="15" t="s">
        <v>1343</v>
      </c>
      <c r="E221" s="61">
        <v>12590</v>
      </c>
      <c r="F221" s="67"/>
      <c r="G221" s="17">
        <v>77030628</v>
      </c>
      <c r="H221" s="15" t="s">
        <v>42</v>
      </c>
      <c r="I221" s="15" t="s">
        <v>43</v>
      </c>
      <c r="J221" t="s">
        <v>1344</v>
      </c>
      <c r="K221" t="s">
        <v>1345</v>
      </c>
      <c r="L221" t="s">
        <v>92</v>
      </c>
      <c r="M221" t="s">
        <v>48</v>
      </c>
      <c r="N221" t="s">
        <v>62</v>
      </c>
      <c r="O221" t="s">
        <v>63</v>
      </c>
      <c r="U221" t="s">
        <v>1199</v>
      </c>
      <c r="V221" t="s">
        <v>533</v>
      </c>
      <c r="W221" t="s">
        <v>1346</v>
      </c>
      <c r="X221" t="s">
        <v>1916</v>
      </c>
      <c r="Y221" t="s">
        <v>1347</v>
      </c>
      <c r="Z221" s="17"/>
      <c r="AA221" s="17"/>
      <c r="AB221" s="17"/>
      <c r="AC221" s="17"/>
      <c r="AD221" s="17">
        <v>2677000</v>
      </c>
      <c r="AE221" s="17"/>
      <c r="AF221" s="51" t="str">
        <f t="shared" si="28"/>
        <v/>
      </c>
      <c r="AG221" s="51" t="str">
        <f t="shared" si="29"/>
        <v/>
      </c>
      <c r="AH221" s="51">
        <f t="shared" si="30"/>
        <v>34.752410430822401</v>
      </c>
      <c r="AI221" s="51" t="str">
        <f t="shared" si="31"/>
        <v/>
      </c>
      <c r="AJ221" s="17"/>
      <c r="AK221" s="17"/>
      <c r="AL221" s="17"/>
      <c r="AM221" s="17"/>
      <c r="AN221" s="17"/>
      <c r="AO221" s="17"/>
      <c r="AP221" s="17"/>
      <c r="AQ221" s="17"/>
      <c r="AR221" s="17"/>
      <c r="AS221" s="17"/>
      <c r="AT221" s="17">
        <v>1267568843119.9998</v>
      </c>
      <c r="AU221" s="17"/>
      <c r="BH221"/>
      <c r="BN221" s="17"/>
      <c r="BO221" s="17"/>
      <c r="BP221" s="17"/>
      <c r="BQ221" s="17"/>
      <c r="BR221" s="17"/>
      <c r="BX221" s="17"/>
    </row>
    <row r="222" spans="1:76" x14ac:dyDescent="0.25">
      <c r="A222" s="15" t="s">
        <v>1357</v>
      </c>
      <c r="B222" s="15" t="s">
        <v>52</v>
      </c>
      <c r="C222" s="15">
        <v>2018</v>
      </c>
      <c r="D222" s="15" t="s">
        <v>1358</v>
      </c>
      <c r="E222" s="61">
        <v>600</v>
      </c>
      <c r="F222" s="67"/>
      <c r="G222" s="17">
        <v>42862958</v>
      </c>
      <c r="H222" s="15" t="s">
        <v>32</v>
      </c>
      <c r="I222" s="15" t="s">
        <v>89</v>
      </c>
      <c r="J222" t="s">
        <v>1359</v>
      </c>
      <c r="K222" t="s">
        <v>1360</v>
      </c>
      <c r="L222" t="s">
        <v>241</v>
      </c>
      <c r="M222" t="s">
        <v>647</v>
      </c>
      <c r="N222" t="s">
        <v>682</v>
      </c>
      <c r="O222" t="s">
        <v>37</v>
      </c>
      <c r="P222" t="s">
        <v>168</v>
      </c>
      <c r="Q222" t="s">
        <v>1361</v>
      </c>
      <c r="R222" t="s">
        <v>1362</v>
      </c>
      <c r="S222" t="s">
        <v>1363</v>
      </c>
      <c r="T222" t="s">
        <v>1364</v>
      </c>
      <c r="Z222" s="17"/>
      <c r="AA222" s="17"/>
      <c r="AB222" s="17"/>
      <c r="AC222" s="17"/>
      <c r="AD222" s="17"/>
      <c r="AE222" s="17"/>
      <c r="AF222" s="51" t="str">
        <f t="shared" si="28"/>
        <v/>
      </c>
      <c r="AG222" s="51" t="str">
        <f t="shared" si="29"/>
        <v/>
      </c>
      <c r="AH222" s="51" t="str">
        <f t="shared" si="30"/>
        <v/>
      </c>
      <c r="AI222" s="51" t="str">
        <f t="shared" si="31"/>
        <v/>
      </c>
      <c r="AJ222" s="17"/>
      <c r="AK222" s="17"/>
      <c r="AL222" s="17"/>
      <c r="AM222" s="17"/>
      <c r="AN222" s="17"/>
      <c r="AO222" s="17"/>
      <c r="AP222" s="17"/>
      <c r="AQ222" s="17"/>
      <c r="AR222" s="17"/>
      <c r="AS222" s="17"/>
      <c r="AT222" s="17"/>
      <c r="AU222" s="17"/>
      <c r="AV222" t="s">
        <v>1365</v>
      </c>
      <c r="AW222" t="s">
        <v>1366</v>
      </c>
      <c r="BH222"/>
      <c r="BN222" s="17"/>
      <c r="BO222" s="17"/>
      <c r="BP222" s="17"/>
      <c r="BQ222" s="17"/>
      <c r="BR222" s="17"/>
      <c r="BX222" s="17"/>
    </row>
    <row r="223" spans="1:76" x14ac:dyDescent="0.25">
      <c r="A223" s="15" t="s">
        <v>1383</v>
      </c>
      <c r="B223" s="15" t="s">
        <v>52</v>
      </c>
      <c r="C223" s="15">
        <v>2016</v>
      </c>
      <c r="D223" s="15" t="s">
        <v>1384</v>
      </c>
      <c r="E223" s="61">
        <v>42370</v>
      </c>
      <c r="F223" s="67"/>
      <c r="G223" s="17">
        <v>66022273</v>
      </c>
      <c r="H223" s="15" t="s">
        <v>109</v>
      </c>
      <c r="I223" s="15" t="s">
        <v>43</v>
      </c>
      <c r="J223" t="s">
        <v>1392</v>
      </c>
      <c r="K223" t="s">
        <v>1393</v>
      </c>
      <c r="L223" t="s">
        <v>92</v>
      </c>
      <c r="M223" t="s">
        <v>48</v>
      </c>
      <c r="N223" t="s">
        <v>62</v>
      </c>
      <c r="O223" t="s">
        <v>63</v>
      </c>
      <c r="Y223" t="s">
        <v>1394</v>
      </c>
      <c r="Z223" s="17">
        <v>1081425</v>
      </c>
      <c r="AA223" s="17">
        <v>203550</v>
      </c>
      <c r="AB223" s="17">
        <v>33310</v>
      </c>
      <c r="AC223" s="17">
        <v>236860</v>
      </c>
      <c r="AD223" s="17">
        <v>1318285</v>
      </c>
      <c r="AE223" s="17">
        <v>7200</v>
      </c>
      <c r="AF223" s="51">
        <f t="shared" si="28"/>
        <v>16.379699620459899</v>
      </c>
      <c r="AG223" s="51">
        <f t="shared" si="29"/>
        <v>3.5875771802040197</v>
      </c>
      <c r="AH223" s="51">
        <f t="shared" si="30"/>
        <v>19.967276800663925</v>
      </c>
      <c r="AI223" s="51">
        <f t="shared" si="31"/>
        <v>0.10905410663458982</v>
      </c>
      <c r="AJ223" s="17"/>
      <c r="AK223" s="17"/>
      <c r="AL223" s="17"/>
      <c r="AM223" s="17"/>
      <c r="AN223" s="17"/>
      <c r="AO223" s="17"/>
      <c r="AP223" s="17"/>
      <c r="AQ223" s="17"/>
      <c r="AR223" s="17"/>
      <c r="AS223" s="17"/>
      <c r="AT223" s="17"/>
      <c r="AU223" s="17"/>
      <c r="BF223" s="67">
        <v>94359000000000</v>
      </c>
      <c r="BG223" s="68">
        <v>0.2104</v>
      </c>
      <c r="BH223"/>
      <c r="BN223" s="17"/>
      <c r="BO223" s="17"/>
      <c r="BP223" s="17"/>
      <c r="BQ223" s="17"/>
      <c r="BR223" s="17"/>
      <c r="BX223" s="17"/>
    </row>
    <row r="224" spans="1:76" x14ac:dyDescent="0.25">
      <c r="A224" s="15" t="s">
        <v>1395</v>
      </c>
      <c r="B224" s="15" t="s">
        <v>52</v>
      </c>
      <c r="C224" s="15">
        <v>2012</v>
      </c>
      <c r="D224" s="15" t="s">
        <v>1396</v>
      </c>
      <c r="E224" s="65">
        <v>52540</v>
      </c>
      <c r="F224" s="67"/>
      <c r="G224" s="17">
        <v>313993272</v>
      </c>
      <c r="H224" s="15" t="s">
        <v>109</v>
      </c>
      <c r="I224" s="15" t="s">
        <v>300</v>
      </c>
      <c r="J224" t="s">
        <v>1397</v>
      </c>
      <c r="K224" t="s">
        <v>1398</v>
      </c>
      <c r="L224" t="s">
        <v>954</v>
      </c>
      <c r="M224" t="s">
        <v>309</v>
      </c>
      <c r="N224" t="s">
        <v>422</v>
      </c>
      <c r="O224" t="s">
        <v>1084</v>
      </c>
      <c r="T224" t="s">
        <v>102</v>
      </c>
      <c r="Y224" t="s">
        <v>102</v>
      </c>
      <c r="Z224" s="17"/>
      <c r="AA224" s="17"/>
      <c r="AB224" s="17"/>
      <c r="AC224" s="17"/>
      <c r="AD224" s="17"/>
      <c r="AE224" s="17"/>
      <c r="AF224" s="51" t="str">
        <f t="shared" si="28"/>
        <v/>
      </c>
      <c r="AG224" s="51" t="str">
        <f t="shared" si="29"/>
        <v/>
      </c>
      <c r="AH224" s="51" t="str">
        <f t="shared" si="30"/>
        <v/>
      </c>
      <c r="AI224" s="51" t="str">
        <f t="shared" si="31"/>
        <v/>
      </c>
      <c r="AJ224" s="17"/>
      <c r="AK224" s="17"/>
      <c r="AL224" s="17"/>
      <c r="AM224" s="17"/>
      <c r="AN224" s="17"/>
      <c r="AO224" s="17"/>
      <c r="AP224" s="17"/>
      <c r="AQ224" s="17"/>
      <c r="AR224" s="17"/>
      <c r="AS224" s="17"/>
      <c r="AT224" s="17"/>
      <c r="AU224" s="17"/>
      <c r="AV224" t="s">
        <v>1399</v>
      </c>
      <c r="AW224" t="s">
        <v>1399</v>
      </c>
      <c r="AX224" s="65"/>
      <c r="AY224" s="65"/>
      <c r="BA224" s="65"/>
      <c r="BF224" s="65"/>
      <c r="BG224" s="65"/>
      <c r="BH224"/>
      <c r="BM224" t="s">
        <v>1400</v>
      </c>
      <c r="BN224" s="17">
        <v>829407</v>
      </c>
      <c r="BO224" s="17">
        <v>71943</v>
      </c>
      <c r="BP224" s="17">
        <f>BO224+BN224</f>
        <v>901350</v>
      </c>
      <c r="BQ224" s="17"/>
      <c r="BR224" s="17"/>
      <c r="BS224" s="71"/>
      <c r="BX224" s="17"/>
    </row>
    <row r="225" spans="1:76" s="15" customFormat="1" x14ac:dyDescent="0.25">
      <c r="A225" s="15" t="s">
        <v>1410</v>
      </c>
      <c r="B225" s="15" t="s">
        <v>52</v>
      </c>
      <c r="C225" s="15">
        <v>2007</v>
      </c>
      <c r="D225" s="15" t="s">
        <v>1411</v>
      </c>
      <c r="E225" s="72">
        <v>6370</v>
      </c>
      <c r="F225" s="67"/>
      <c r="G225" s="17">
        <v>3339741</v>
      </c>
      <c r="H225" s="15" t="s">
        <v>109</v>
      </c>
      <c r="I225" s="15" t="s">
        <v>110</v>
      </c>
      <c r="J225" s="15" t="s">
        <v>1482</v>
      </c>
      <c r="K225" s="65" t="s">
        <v>1483</v>
      </c>
      <c r="L225" s="15" t="s">
        <v>241</v>
      </c>
      <c r="M225" s="15" t="s">
        <v>182</v>
      </c>
      <c r="N225" s="15" t="s">
        <v>309</v>
      </c>
      <c r="O225" s="15" t="s">
        <v>310</v>
      </c>
      <c r="U225" s="15" t="s">
        <v>115</v>
      </c>
      <c r="V225" s="15" t="s">
        <v>1067</v>
      </c>
      <c r="W225" s="15" t="s">
        <v>1484</v>
      </c>
      <c r="X225" s="15" t="s">
        <v>886</v>
      </c>
      <c r="Y225" s="15" t="s">
        <v>1485</v>
      </c>
      <c r="Z225" s="17"/>
      <c r="AA225" s="17"/>
      <c r="AB225" s="17"/>
      <c r="AC225" s="17"/>
      <c r="AD225" s="17"/>
      <c r="AE225" s="17"/>
      <c r="AF225" s="51" t="str">
        <f t="shared" si="28"/>
        <v/>
      </c>
      <c r="AG225" s="51" t="str">
        <f t="shared" si="29"/>
        <v/>
      </c>
      <c r="AH225" s="51" t="str">
        <f t="shared" si="30"/>
        <v/>
      </c>
      <c r="AI225" s="51" t="str">
        <f t="shared" si="31"/>
        <v/>
      </c>
      <c r="AJ225" s="17"/>
      <c r="AK225" s="17"/>
      <c r="AL225" s="17"/>
      <c r="AM225" s="17"/>
      <c r="AN225" s="17"/>
      <c r="AO225" s="17"/>
      <c r="AP225" s="17"/>
      <c r="AQ225" s="17"/>
      <c r="AR225" s="17"/>
      <c r="AS225" s="17"/>
      <c r="AT225" s="17"/>
      <c r="AU225" s="17"/>
      <c r="AX225" s="67"/>
      <c r="AY225" s="71"/>
      <c r="BA225" s="71"/>
      <c r="BJ225" s="21"/>
      <c r="BK225" s="21"/>
      <c r="BL225" s="21"/>
      <c r="BN225" s="17"/>
      <c r="BO225" s="17"/>
      <c r="BP225" s="17"/>
      <c r="BQ225" s="17"/>
      <c r="BR225" s="17"/>
      <c r="BS225" s="65"/>
      <c r="BX225" s="17"/>
    </row>
    <row r="226" spans="1:76" s="15" customFormat="1" x14ac:dyDescent="0.25">
      <c r="A226" s="15" t="s">
        <v>1500</v>
      </c>
      <c r="B226" s="15" t="s">
        <v>52</v>
      </c>
      <c r="C226" s="15">
        <v>2014</v>
      </c>
      <c r="D226" s="15" t="s">
        <v>1501</v>
      </c>
      <c r="E226" s="72">
        <v>12780</v>
      </c>
      <c r="F226" s="67"/>
      <c r="G226" s="17">
        <v>30738378</v>
      </c>
      <c r="H226" s="15" t="s">
        <v>42</v>
      </c>
      <c r="I226" s="15" t="s">
        <v>110</v>
      </c>
      <c r="J226" s="15" t="s">
        <v>1505</v>
      </c>
      <c r="K226" s="15" t="s">
        <v>1506</v>
      </c>
      <c r="M226" s="15" t="s">
        <v>493</v>
      </c>
      <c r="N226" s="15" t="s">
        <v>682</v>
      </c>
      <c r="O226" s="15" t="s">
        <v>37</v>
      </c>
      <c r="V226" s="15" t="s">
        <v>1507</v>
      </c>
      <c r="W226" s="15" t="s">
        <v>1508</v>
      </c>
      <c r="X226" s="15" t="s">
        <v>1895</v>
      </c>
      <c r="Y226" s="15" t="s">
        <v>1509</v>
      </c>
      <c r="Z226" s="17"/>
      <c r="AA226" s="17"/>
      <c r="AB226" s="17"/>
      <c r="AC226" s="17"/>
      <c r="AD226" s="17"/>
      <c r="AE226" s="17"/>
      <c r="AF226" s="51" t="str">
        <f t="shared" si="28"/>
        <v/>
      </c>
      <c r="AG226" s="51" t="str">
        <f t="shared" si="29"/>
        <v/>
      </c>
      <c r="AH226" s="51" t="str">
        <f t="shared" si="30"/>
        <v/>
      </c>
      <c r="AI226" s="51" t="str">
        <f t="shared" si="31"/>
        <v/>
      </c>
      <c r="AJ226" s="17"/>
      <c r="AK226" s="17"/>
      <c r="AL226" s="17"/>
      <c r="AM226" s="17"/>
      <c r="AN226" s="17"/>
      <c r="AO226" s="17"/>
      <c r="AP226" s="17"/>
      <c r="AQ226" s="17"/>
      <c r="AR226" s="17"/>
      <c r="AS226" s="17"/>
      <c r="AT226" s="17"/>
      <c r="AU226" s="17"/>
      <c r="AX226" s="67"/>
      <c r="AY226" s="71"/>
      <c r="BA226" s="71"/>
      <c r="BJ226" s="21"/>
      <c r="BK226" s="21"/>
      <c r="BL226" s="21"/>
      <c r="BN226" s="17"/>
      <c r="BO226" s="17"/>
      <c r="BP226" s="17"/>
      <c r="BQ226" s="17"/>
      <c r="BR226" s="17"/>
      <c r="BS226" s="65"/>
      <c r="BX226" s="65" t="s">
        <v>1152</v>
      </c>
    </row>
    <row r="227" spans="1:76" x14ac:dyDescent="0.25">
      <c r="A227" s="15" t="s">
        <v>1556</v>
      </c>
      <c r="B227" s="15" t="s">
        <v>52</v>
      </c>
      <c r="C227" s="15">
        <v>2018</v>
      </c>
      <c r="D227" s="15" t="s">
        <v>1557</v>
      </c>
      <c r="E227" s="61">
        <v>910</v>
      </c>
      <c r="F227" s="67"/>
      <c r="G227" s="17">
        <v>16529904</v>
      </c>
      <c r="H227" s="15" t="s">
        <v>32</v>
      </c>
      <c r="I227" s="15" t="s">
        <v>89</v>
      </c>
      <c r="J227" t="s">
        <v>1558</v>
      </c>
      <c r="K227" t="s">
        <v>1559</v>
      </c>
      <c r="L227" t="s">
        <v>92</v>
      </c>
      <c r="M227" t="s">
        <v>1560</v>
      </c>
      <c r="N227" t="s">
        <v>1561</v>
      </c>
      <c r="O227" t="s">
        <v>1562</v>
      </c>
      <c r="P227" t="s">
        <v>1563</v>
      </c>
      <c r="Q227" t="s">
        <v>1564</v>
      </c>
      <c r="R227" t="s">
        <v>1565</v>
      </c>
      <c r="S227" t="s">
        <v>1891</v>
      </c>
      <c r="T227" t="s">
        <v>102</v>
      </c>
      <c r="U227" t="s">
        <v>1566</v>
      </c>
      <c r="V227" t="s">
        <v>1567</v>
      </c>
      <c r="W227" t="s">
        <v>1568</v>
      </c>
      <c r="X227" t="s">
        <v>1896</v>
      </c>
      <c r="Y227" t="s">
        <v>102</v>
      </c>
      <c r="Z227" s="17"/>
      <c r="AA227" s="17"/>
      <c r="AB227" s="17"/>
      <c r="AC227" s="17"/>
      <c r="AD227" s="17"/>
      <c r="AE227" s="17"/>
      <c r="AF227" s="51" t="str">
        <f t="shared" si="28"/>
        <v/>
      </c>
      <c r="AG227" s="51" t="str">
        <f t="shared" si="29"/>
        <v/>
      </c>
      <c r="AH227" s="51" t="str">
        <f t="shared" si="30"/>
        <v/>
      </c>
      <c r="AI227" s="51" t="str">
        <f t="shared" si="31"/>
        <v/>
      </c>
      <c r="AJ227" s="17"/>
      <c r="AK227" s="17"/>
      <c r="AL227" s="17"/>
      <c r="AM227" s="17"/>
      <c r="AN227" s="17"/>
      <c r="AO227" s="17"/>
      <c r="AP227" s="17"/>
      <c r="AQ227" s="17"/>
      <c r="AR227" s="17"/>
      <c r="AS227" s="17"/>
      <c r="AT227" s="17"/>
      <c r="AU227" s="17"/>
      <c r="BF227" s="65"/>
      <c r="BG227" s="65"/>
      <c r="BH227" s="65"/>
      <c r="BI227" s="65"/>
      <c r="BN227" s="17"/>
      <c r="BO227" s="17"/>
      <c r="BP227" s="17"/>
      <c r="BQ227" s="17"/>
      <c r="BR227" s="17"/>
      <c r="BX227" s="65" t="s">
        <v>1152</v>
      </c>
    </row>
    <row r="228" spans="1:76" x14ac:dyDescent="0.25">
      <c r="A228" s="15" t="s">
        <v>116</v>
      </c>
      <c r="B228" s="15" t="s">
        <v>142</v>
      </c>
      <c r="C228" s="15">
        <v>2018</v>
      </c>
      <c r="D228" s="15" t="s">
        <v>117</v>
      </c>
      <c r="E228" s="61">
        <v>13040</v>
      </c>
      <c r="F228" s="67"/>
      <c r="G228" s="17">
        <v>44271041</v>
      </c>
      <c r="H228" s="15" t="s">
        <v>109</v>
      </c>
      <c r="I228" s="15" t="s">
        <v>110</v>
      </c>
      <c r="J228" t="s">
        <v>143</v>
      </c>
      <c r="K228" t="s">
        <v>144</v>
      </c>
      <c r="T228" t="s">
        <v>117</v>
      </c>
      <c r="U228" t="s">
        <v>145</v>
      </c>
      <c r="V228" t="s">
        <v>146</v>
      </c>
      <c r="W228" t="s">
        <v>147</v>
      </c>
      <c r="X228" t="s">
        <v>148</v>
      </c>
      <c r="Y228" t="s">
        <v>117</v>
      </c>
      <c r="Z228" s="17"/>
      <c r="AA228" s="17"/>
      <c r="AB228" s="17"/>
      <c r="AC228" s="17"/>
      <c r="AD228" s="17"/>
      <c r="AE228" s="17"/>
      <c r="AF228" s="51" t="str">
        <f t="shared" si="28"/>
        <v/>
      </c>
      <c r="AG228" s="51" t="str">
        <f t="shared" si="29"/>
        <v/>
      </c>
      <c r="AH228" s="51" t="str">
        <f t="shared" si="30"/>
        <v/>
      </c>
      <c r="AI228" s="51" t="str">
        <f t="shared" si="31"/>
        <v/>
      </c>
      <c r="AJ228" s="17"/>
      <c r="AK228" s="17"/>
      <c r="AL228" s="17"/>
      <c r="AM228" s="17"/>
      <c r="AN228" s="17"/>
      <c r="AO228" s="17"/>
      <c r="AP228" s="17"/>
      <c r="AQ228" s="17"/>
      <c r="AR228" s="17"/>
      <c r="AS228" s="17"/>
      <c r="AT228" s="17"/>
      <c r="AU228" s="17"/>
      <c r="BF228" s="17">
        <v>371621232</v>
      </c>
      <c r="BG228" s="21">
        <v>0.35799999999999998</v>
      </c>
      <c r="BN228" s="17"/>
      <c r="BO228" s="17"/>
      <c r="BP228" s="17"/>
      <c r="BQ228" s="17"/>
      <c r="BR228" s="17"/>
      <c r="BU228" t="s">
        <v>149</v>
      </c>
      <c r="BX228" s="17" t="s">
        <v>173</v>
      </c>
    </row>
    <row r="229" spans="1:76" x14ac:dyDescent="0.25">
      <c r="A229" s="15" t="s">
        <v>448</v>
      </c>
      <c r="B229" s="15" t="s">
        <v>142</v>
      </c>
      <c r="C229" s="15">
        <v>2016</v>
      </c>
      <c r="D229" s="15" t="s">
        <v>449</v>
      </c>
      <c r="E229" s="61">
        <v>6350</v>
      </c>
      <c r="F229" s="67"/>
      <c r="G229" s="65">
        <v>49065615</v>
      </c>
      <c r="H229" s="15" t="s">
        <v>42</v>
      </c>
      <c r="I229" s="15" t="s">
        <v>110</v>
      </c>
      <c r="J229" t="s">
        <v>461</v>
      </c>
      <c r="K229" t="s">
        <v>462</v>
      </c>
      <c r="L229" t="s">
        <v>98</v>
      </c>
      <c r="M229" t="s">
        <v>402</v>
      </c>
      <c r="N229" t="s">
        <v>452</v>
      </c>
      <c r="O229" t="s">
        <v>101</v>
      </c>
      <c r="P229" t="s">
        <v>1966</v>
      </c>
      <c r="Q229" t="s">
        <v>1967</v>
      </c>
      <c r="R229" t="s">
        <v>1968</v>
      </c>
      <c r="S229" t="s">
        <v>1969</v>
      </c>
      <c r="T229" t="s">
        <v>453</v>
      </c>
      <c r="Y229" t="s">
        <v>453</v>
      </c>
      <c r="Z229" s="17"/>
      <c r="AA229" s="17"/>
      <c r="AB229" s="17"/>
      <c r="AC229" s="17"/>
      <c r="AD229" s="17"/>
      <c r="AE229" s="17"/>
      <c r="AF229" s="51" t="str">
        <f t="shared" si="28"/>
        <v/>
      </c>
      <c r="AG229" s="51" t="str">
        <f t="shared" si="29"/>
        <v/>
      </c>
      <c r="AH229" s="51" t="str">
        <f t="shared" si="30"/>
        <v/>
      </c>
      <c r="AI229" s="51" t="str">
        <f t="shared" si="31"/>
        <v/>
      </c>
      <c r="AJ229" s="69" t="str">
        <f>IF(ISERROR((AE229/$G229)*1000),"",IF((AE229/$G229)*1000=0,"",(AE229/$G229)*1000))</f>
        <v/>
      </c>
      <c r="AK229" s="17"/>
      <c r="AL229" s="17"/>
      <c r="AM229" s="17"/>
      <c r="AN229" s="17"/>
      <c r="AO229" s="17"/>
      <c r="AP229" s="17"/>
      <c r="AQ229" s="17"/>
      <c r="AR229" s="17"/>
      <c r="AS229" s="17"/>
      <c r="AT229" s="65"/>
      <c r="AU229" s="17"/>
      <c r="AV229" s="67"/>
      <c r="AX229" s="65"/>
      <c r="AY229" s="65"/>
      <c r="BA229" s="65"/>
      <c r="BL229" s="21">
        <v>3.1199999999999999E-2</v>
      </c>
      <c r="BN229" s="17"/>
      <c r="BO229" s="17"/>
      <c r="BP229" s="17"/>
      <c r="BQ229" s="17"/>
      <c r="BR229" s="17"/>
      <c r="BT229" t="s">
        <v>463</v>
      </c>
      <c r="BU229" t="s">
        <v>464</v>
      </c>
      <c r="BV229" t="s">
        <v>455</v>
      </c>
      <c r="BW229" s="67"/>
      <c r="BX229" s="17"/>
    </row>
    <row r="230" spans="1:76" x14ac:dyDescent="0.25">
      <c r="A230" s="15" t="s">
        <v>1063</v>
      </c>
      <c r="B230" s="15" t="s">
        <v>142</v>
      </c>
      <c r="C230" s="15">
        <v>2016</v>
      </c>
      <c r="D230" s="15" t="s">
        <v>1064</v>
      </c>
      <c r="E230" s="61">
        <v>19850</v>
      </c>
      <c r="F230" s="67"/>
      <c r="G230" s="17">
        <v>10293718</v>
      </c>
      <c r="H230" s="15" t="s">
        <v>109</v>
      </c>
      <c r="I230" s="15" t="s">
        <v>43</v>
      </c>
      <c r="J230" t="s">
        <v>1079</v>
      </c>
      <c r="K230" t="s">
        <v>432</v>
      </c>
      <c r="L230" t="s">
        <v>190</v>
      </c>
      <c r="M230" t="s">
        <v>48</v>
      </c>
      <c r="N230" t="s">
        <v>62</v>
      </c>
      <c r="O230" t="s">
        <v>63</v>
      </c>
      <c r="Z230" s="17"/>
      <c r="AA230" s="17"/>
      <c r="AB230" s="17"/>
      <c r="AC230" s="17"/>
      <c r="AD230" s="17"/>
      <c r="AE230" s="17"/>
      <c r="AF230" s="51" t="str">
        <f t="shared" si="28"/>
        <v/>
      </c>
      <c r="AG230" s="51" t="str">
        <f t="shared" si="29"/>
        <v/>
      </c>
      <c r="AH230" s="51" t="str">
        <f t="shared" si="30"/>
        <v/>
      </c>
      <c r="AI230" s="51" t="str">
        <f t="shared" si="31"/>
        <v/>
      </c>
      <c r="AJ230" s="17"/>
      <c r="AK230" s="17"/>
      <c r="AL230" s="17"/>
      <c r="AM230" s="17"/>
      <c r="AN230" s="17"/>
      <c r="AO230" s="17"/>
      <c r="AP230" s="17"/>
      <c r="AQ230" s="17"/>
      <c r="AR230" s="17"/>
      <c r="AS230" s="17"/>
      <c r="AT230" s="17"/>
      <c r="AU230" s="17"/>
      <c r="BL230" s="21">
        <v>0.1784</v>
      </c>
      <c r="BN230" s="17"/>
      <c r="BO230" s="17"/>
      <c r="BP230" s="17"/>
      <c r="BQ230" s="17"/>
      <c r="BR230" s="17"/>
      <c r="BX230" s="17"/>
    </row>
    <row r="231" spans="1:76" x14ac:dyDescent="0.25">
      <c r="A231" s="15" t="s">
        <v>1141</v>
      </c>
      <c r="B231" s="15" t="s">
        <v>142</v>
      </c>
      <c r="C231" s="15">
        <v>2016</v>
      </c>
      <c r="D231" s="15" t="s">
        <v>1142</v>
      </c>
      <c r="E231" s="61">
        <v>21700</v>
      </c>
      <c r="F231" s="67"/>
      <c r="G231" s="17">
        <v>2066748</v>
      </c>
      <c r="H231" s="15" t="s">
        <v>109</v>
      </c>
      <c r="I231" s="15" t="s">
        <v>43</v>
      </c>
      <c r="J231" t="s">
        <v>1145</v>
      </c>
      <c r="K231" t="s">
        <v>432</v>
      </c>
      <c r="L231" t="s">
        <v>92</v>
      </c>
      <c r="M231" t="s">
        <v>48</v>
      </c>
      <c r="N231" t="s">
        <v>62</v>
      </c>
      <c r="O231" t="s">
        <v>63</v>
      </c>
      <c r="Z231" s="17">
        <v>55055</v>
      </c>
      <c r="AA231" s="17">
        <v>5079</v>
      </c>
      <c r="AB231" s="17">
        <v>1171</v>
      </c>
      <c r="AC231" s="17">
        <v>6250</v>
      </c>
      <c r="AD231" s="17">
        <v>61305</v>
      </c>
      <c r="AE231" s="17">
        <v>244</v>
      </c>
      <c r="AF231" s="51">
        <f t="shared" si="28"/>
        <v>26.638467776429444</v>
      </c>
      <c r="AG231" s="51">
        <f t="shared" si="29"/>
        <v>3.0240745364214701</v>
      </c>
      <c r="AH231" s="51">
        <f t="shared" si="30"/>
        <v>29.662542312850913</v>
      </c>
      <c r="AI231" s="51">
        <f t="shared" si="31"/>
        <v>0.11805986990189418</v>
      </c>
      <c r="AJ231" s="17"/>
      <c r="AK231" s="17"/>
      <c r="AL231" s="17"/>
      <c r="AM231" s="17"/>
      <c r="AN231" s="17"/>
      <c r="AO231" s="17"/>
      <c r="AP231" s="17"/>
      <c r="AQ231" s="17"/>
      <c r="AR231" s="17"/>
      <c r="AS231" s="17"/>
      <c r="AT231" s="17"/>
      <c r="AU231" s="17"/>
      <c r="BF231" s="67">
        <v>4355000000</v>
      </c>
      <c r="BG231" s="68">
        <v>0.46789999999999998</v>
      </c>
      <c r="BN231" s="17"/>
      <c r="BO231" s="17"/>
      <c r="BP231" s="17"/>
      <c r="BQ231" s="17"/>
      <c r="BR231" s="17"/>
      <c r="BT231" t="s">
        <v>1147</v>
      </c>
      <c r="BX231" s="17"/>
    </row>
    <row r="232" spans="1:76" x14ac:dyDescent="0.25">
      <c r="A232" s="15" t="s">
        <v>1171</v>
      </c>
      <c r="B232" s="15" t="s">
        <v>142</v>
      </c>
      <c r="C232" s="15">
        <v>2016</v>
      </c>
      <c r="D232" s="15" t="s">
        <v>1172</v>
      </c>
      <c r="E232" s="61">
        <v>27580</v>
      </c>
      <c r="F232" s="67"/>
      <c r="G232" s="17">
        <v>46572028</v>
      </c>
      <c r="H232" s="15" t="s">
        <v>109</v>
      </c>
      <c r="I232" s="15" t="s">
        <v>43</v>
      </c>
      <c r="J232" t="s">
        <v>1180</v>
      </c>
      <c r="K232" t="s">
        <v>1181</v>
      </c>
      <c r="L232" t="s">
        <v>190</v>
      </c>
      <c r="M232" t="s">
        <v>48</v>
      </c>
      <c r="N232" t="s">
        <v>62</v>
      </c>
      <c r="O232" t="s">
        <v>63</v>
      </c>
      <c r="Z232" s="17"/>
      <c r="AA232" s="17"/>
      <c r="AB232" s="17"/>
      <c r="AC232" s="17"/>
      <c r="AD232" s="17"/>
      <c r="AE232" s="17"/>
      <c r="AF232" s="51" t="str">
        <f t="shared" si="28"/>
        <v/>
      </c>
      <c r="AG232" s="51" t="str">
        <f t="shared" si="29"/>
        <v/>
      </c>
      <c r="AH232" s="51" t="str">
        <f t="shared" si="30"/>
        <v/>
      </c>
      <c r="AI232" s="51" t="str">
        <f t="shared" si="31"/>
        <v/>
      </c>
      <c r="AJ232" s="17"/>
      <c r="AK232" s="17"/>
      <c r="AL232" s="17"/>
      <c r="AM232" s="17"/>
      <c r="AN232" s="17"/>
      <c r="AO232" s="17"/>
      <c r="AP232" s="17"/>
      <c r="AQ232" s="17"/>
      <c r="AR232" s="17"/>
      <c r="AS232" s="17"/>
      <c r="AT232" s="17"/>
      <c r="AU232" s="17"/>
      <c r="BF232" s="67">
        <v>247000000000</v>
      </c>
      <c r="BG232" s="68">
        <v>0.501</v>
      </c>
      <c r="BH232" s="66">
        <v>246000000000</v>
      </c>
      <c r="BI232" s="70">
        <v>0.499</v>
      </c>
      <c r="BN232" s="17"/>
      <c r="BO232" s="17"/>
      <c r="BP232" s="17"/>
      <c r="BQ232" s="17"/>
      <c r="BR232" s="17"/>
      <c r="BT232" t="s">
        <v>1182</v>
      </c>
      <c r="BX232" s="17"/>
    </row>
    <row r="233" spans="1:76" x14ac:dyDescent="0.25">
      <c r="A233" s="15" t="s">
        <v>1224</v>
      </c>
      <c r="B233" s="15" t="s">
        <v>142</v>
      </c>
      <c r="C233" s="15">
        <v>2016</v>
      </c>
      <c r="D233" s="15" t="s">
        <v>1225</v>
      </c>
      <c r="E233" s="61">
        <v>54530</v>
      </c>
      <c r="F233" s="67"/>
      <c r="G233" s="17">
        <v>10067744</v>
      </c>
      <c r="H233" s="15" t="s">
        <v>109</v>
      </c>
      <c r="I233" s="15" t="s">
        <v>43</v>
      </c>
      <c r="J233" t="s">
        <v>1230</v>
      </c>
      <c r="K233" t="s">
        <v>271</v>
      </c>
      <c r="L233" t="s">
        <v>92</v>
      </c>
      <c r="M233" t="s">
        <v>48</v>
      </c>
      <c r="N233" t="s">
        <v>62</v>
      </c>
      <c r="O233" t="s">
        <v>63</v>
      </c>
      <c r="Z233" s="17"/>
      <c r="AA233" s="17"/>
      <c r="AB233" s="17"/>
      <c r="AC233" s="17"/>
      <c r="AD233" s="17"/>
      <c r="AE233" s="17"/>
      <c r="AF233" s="51" t="str">
        <f t="shared" si="28"/>
        <v/>
      </c>
      <c r="AG233" s="51" t="str">
        <f t="shared" si="29"/>
        <v/>
      </c>
      <c r="AH233" s="51" t="str">
        <f t="shared" si="30"/>
        <v/>
      </c>
      <c r="AI233" s="51" t="str">
        <f t="shared" si="31"/>
        <v/>
      </c>
      <c r="AJ233" s="17"/>
      <c r="AK233" s="17"/>
      <c r="AL233" s="17"/>
      <c r="AM233" s="17"/>
      <c r="AN233" s="17"/>
      <c r="AO233" s="17"/>
      <c r="AP233" s="17"/>
      <c r="AQ233" s="17"/>
      <c r="AR233" s="17"/>
      <c r="AS233" s="17"/>
      <c r="AT233" s="17"/>
      <c r="AU233" s="17"/>
      <c r="BL233" s="21">
        <v>1.0999999999999999E-2</v>
      </c>
      <c r="BN233" s="17"/>
      <c r="BO233" s="17"/>
      <c r="BP233" s="17"/>
      <c r="BQ233" s="17"/>
      <c r="BR233" s="17"/>
      <c r="BX233" s="67"/>
    </row>
    <row r="234" spans="1:76" x14ac:dyDescent="0.25">
      <c r="A234" s="15" t="s">
        <v>1342</v>
      </c>
      <c r="B234" s="15" t="s">
        <v>142</v>
      </c>
      <c r="C234" s="15">
        <v>2015</v>
      </c>
      <c r="D234" s="15" t="s">
        <v>1343</v>
      </c>
      <c r="E234" s="61">
        <v>12000</v>
      </c>
      <c r="F234" s="67"/>
      <c r="G234" s="17">
        <v>78271472</v>
      </c>
      <c r="H234" s="15" t="s">
        <v>42</v>
      </c>
      <c r="I234" s="15" t="s">
        <v>43</v>
      </c>
      <c r="J234" t="s">
        <v>1352</v>
      </c>
      <c r="K234" t="s">
        <v>1353</v>
      </c>
      <c r="L234" t="s">
        <v>1354</v>
      </c>
      <c r="M234" t="s">
        <v>622</v>
      </c>
      <c r="N234" t="s">
        <v>62</v>
      </c>
      <c r="O234" t="s">
        <v>63</v>
      </c>
      <c r="Y234" t="s">
        <v>55</v>
      </c>
      <c r="Z234" s="17"/>
      <c r="AA234" s="17"/>
      <c r="AB234" s="17"/>
      <c r="AC234" s="17"/>
      <c r="AD234" s="17"/>
      <c r="AE234" s="17"/>
      <c r="AF234" s="51" t="str">
        <f t="shared" si="28"/>
        <v/>
      </c>
      <c r="AG234" s="51" t="str">
        <f t="shared" si="29"/>
        <v/>
      </c>
      <c r="AH234" s="51" t="str">
        <f t="shared" si="30"/>
        <v/>
      </c>
      <c r="AI234" s="51" t="str">
        <f t="shared" si="31"/>
        <v/>
      </c>
      <c r="AJ234" s="17"/>
      <c r="AK234" s="17"/>
      <c r="AL234" s="17"/>
      <c r="AM234" s="17"/>
      <c r="AN234" s="17"/>
      <c r="AO234" s="17"/>
      <c r="AP234" s="17"/>
      <c r="AQ234" s="17"/>
      <c r="AR234" s="17"/>
      <c r="AS234" s="17"/>
      <c r="AT234" s="17"/>
      <c r="AU234" s="17"/>
      <c r="BF234" s="67"/>
      <c r="BG234" s="68">
        <v>0.35339999999999999</v>
      </c>
      <c r="BL234" s="21">
        <v>3.9199999999999999E-2</v>
      </c>
      <c r="BN234" s="17"/>
      <c r="BO234" s="17"/>
      <c r="BP234" s="17"/>
      <c r="BQ234" s="17">
        <v>1093136</v>
      </c>
      <c r="BR234" s="17"/>
      <c r="BX234" s="67" t="s">
        <v>1369</v>
      </c>
    </row>
    <row r="235" spans="1:76" x14ac:dyDescent="0.25">
      <c r="A235" s="15" t="s">
        <v>1395</v>
      </c>
      <c r="B235" s="15" t="s">
        <v>142</v>
      </c>
      <c r="C235" s="15">
        <v>2015</v>
      </c>
      <c r="D235" s="15" t="s">
        <v>1396</v>
      </c>
      <c r="E235" s="61">
        <v>56300</v>
      </c>
      <c r="F235" s="67"/>
      <c r="G235" s="17">
        <v>321039839</v>
      </c>
      <c r="H235" s="15" t="s">
        <v>109</v>
      </c>
      <c r="I235" s="15" t="s">
        <v>300</v>
      </c>
      <c r="J235" t="s">
        <v>1401</v>
      </c>
      <c r="K235" t="s">
        <v>1402</v>
      </c>
      <c r="L235" t="s">
        <v>954</v>
      </c>
      <c r="M235" t="s">
        <v>309</v>
      </c>
      <c r="N235" t="s">
        <v>422</v>
      </c>
      <c r="O235" t="s">
        <v>1084</v>
      </c>
      <c r="Z235" s="17"/>
      <c r="AA235" s="17"/>
      <c r="AB235" s="17"/>
      <c r="AC235" s="17"/>
      <c r="AD235" s="17"/>
      <c r="AE235" s="17"/>
      <c r="AF235" s="51" t="str">
        <f t="shared" si="28"/>
        <v/>
      </c>
      <c r="AG235" s="51" t="str">
        <f t="shared" si="29"/>
        <v/>
      </c>
      <c r="AH235" s="51" t="str">
        <f t="shared" si="30"/>
        <v/>
      </c>
      <c r="AI235" s="51" t="str">
        <f t="shared" si="31"/>
        <v/>
      </c>
      <c r="AJ235" s="17"/>
      <c r="AK235" s="17"/>
      <c r="AL235" s="17"/>
      <c r="AM235" s="17"/>
      <c r="AN235" s="17"/>
      <c r="AO235" s="17"/>
      <c r="AP235" s="17"/>
      <c r="AQ235" s="17"/>
      <c r="AR235" s="17"/>
      <c r="AS235" s="17"/>
      <c r="AT235" s="17"/>
      <c r="AU235" s="17"/>
      <c r="BF235" s="67">
        <v>599000000</v>
      </c>
      <c r="BG235" s="68">
        <v>0.22</v>
      </c>
      <c r="BH235" s="66">
        <v>2119700000</v>
      </c>
      <c r="BI235" s="70">
        <v>0.78</v>
      </c>
      <c r="BN235" s="17"/>
      <c r="BO235" s="17"/>
      <c r="BP235" s="17"/>
      <c r="BQ235" s="17"/>
      <c r="BR235" s="17"/>
      <c r="BX235" s="67"/>
    </row>
    <row r="236" spans="1:76" x14ac:dyDescent="0.25">
      <c r="A236" s="15" t="s">
        <v>116</v>
      </c>
      <c r="B236" s="15" t="s">
        <v>150</v>
      </c>
      <c r="C236" s="15">
        <v>2018</v>
      </c>
      <c r="D236" s="15" t="s">
        <v>117</v>
      </c>
      <c r="E236" s="61">
        <v>13040</v>
      </c>
      <c r="F236" s="67"/>
      <c r="G236" s="17">
        <v>44271041</v>
      </c>
      <c r="H236" s="15" t="s">
        <v>109</v>
      </c>
      <c r="I236" s="15" t="s">
        <v>110</v>
      </c>
      <c r="J236" t="s">
        <v>151</v>
      </c>
      <c r="K236" t="s">
        <v>152</v>
      </c>
      <c r="L236" t="s">
        <v>153</v>
      </c>
      <c r="M236" t="s">
        <v>154</v>
      </c>
      <c r="N236" t="s">
        <v>155</v>
      </c>
      <c r="O236" t="s">
        <v>156</v>
      </c>
      <c r="T236" t="s">
        <v>117</v>
      </c>
      <c r="U236" t="s">
        <v>157</v>
      </c>
      <c r="V236" t="s">
        <v>158</v>
      </c>
      <c r="W236" t="s">
        <v>159</v>
      </c>
      <c r="X236" t="s">
        <v>160</v>
      </c>
      <c r="Y236" t="s">
        <v>117</v>
      </c>
      <c r="Z236" s="17"/>
      <c r="AA236" s="17"/>
      <c r="AB236" s="17"/>
      <c r="AC236" s="17"/>
      <c r="AD236" s="17">
        <v>853886</v>
      </c>
      <c r="AE236" s="17"/>
      <c r="AF236" s="51" t="str">
        <f t="shared" si="28"/>
        <v/>
      </c>
      <c r="AG236" s="51" t="str">
        <f t="shared" si="29"/>
        <v/>
      </c>
      <c r="AH236" s="51">
        <f t="shared" si="30"/>
        <v>19.287687407215024</v>
      </c>
      <c r="AI236" s="51" t="str">
        <f t="shared" si="31"/>
        <v/>
      </c>
      <c r="AJ236" s="17"/>
      <c r="AK236" s="17"/>
      <c r="AL236" s="17"/>
      <c r="AM236" s="17"/>
      <c r="AN236" s="17"/>
      <c r="AO236" s="17"/>
      <c r="AP236" s="17"/>
      <c r="AQ236" s="17"/>
      <c r="AR236" s="17"/>
      <c r="AS236" s="17"/>
      <c r="AT236" s="17"/>
      <c r="AU236" s="17"/>
      <c r="AV236" t="s">
        <v>152</v>
      </c>
      <c r="BN236" s="17"/>
      <c r="BO236" s="17"/>
      <c r="BP236" s="17"/>
      <c r="BQ236" s="17"/>
      <c r="BR236" s="17"/>
      <c r="BX236" s="67"/>
    </row>
    <row r="237" spans="1:76" x14ac:dyDescent="0.25">
      <c r="A237" s="15" t="s">
        <v>342</v>
      </c>
      <c r="B237" s="15" t="s">
        <v>150</v>
      </c>
      <c r="C237" s="15">
        <v>2016</v>
      </c>
      <c r="D237" s="15" t="s">
        <v>343</v>
      </c>
      <c r="E237" s="61">
        <v>8860</v>
      </c>
      <c r="F237" s="67"/>
      <c r="G237" s="17">
        <v>209288278</v>
      </c>
      <c r="H237" s="15" t="s">
        <v>42</v>
      </c>
      <c r="I237" s="15" t="s">
        <v>110</v>
      </c>
      <c r="J237" t="s">
        <v>356</v>
      </c>
      <c r="K237" t="s">
        <v>357</v>
      </c>
      <c r="L237" t="s">
        <v>61</v>
      </c>
      <c r="M237" t="s">
        <v>48</v>
      </c>
      <c r="N237" t="s">
        <v>62</v>
      </c>
      <c r="O237" t="s">
        <v>63</v>
      </c>
      <c r="T237" t="s">
        <v>362</v>
      </c>
      <c r="U237" t="s">
        <v>358</v>
      </c>
      <c r="V237" t="s">
        <v>359</v>
      </c>
      <c r="W237" t="s">
        <v>360</v>
      </c>
      <c r="X237" t="s">
        <v>361</v>
      </c>
      <c r="Y237" t="s">
        <v>362</v>
      </c>
      <c r="Z237" s="17"/>
      <c r="AA237" s="17"/>
      <c r="AB237" s="17"/>
      <c r="AC237" s="17"/>
      <c r="AD237" s="17"/>
      <c r="AE237" s="17"/>
      <c r="AF237" s="51" t="str">
        <f t="shared" si="28"/>
        <v/>
      </c>
      <c r="AG237" s="51" t="str">
        <f t="shared" si="29"/>
        <v/>
      </c>
      <c r="AH237" s="51" t="str">
        <f t="shared" si="30"/>
        <v/>
      </c>
      <c r="AI237" s="51" t="str">
        <f t="shared" si="31"/>
        <v/>
      </c>
      <c r="AJ237" s="17"/>
      <c r="AK237" s="17"/>
      <c r="AL237" s="17"/>
      <c r="AM237" s="17"/>
      <c r="AN237" s="17"/>
      <c r="AO237" s="17"/>
      <c r="AP237" s="17"/>
      <c r="AQ237" s="17"/>
      <c r="AR237" s="17"/>
      <c r="AS237" s="17"/>
      <c r="AT237" s="17">
        <v>1689991503273.0005</v>
      </c>
      <c r="AU237" s="17"/>
      <c r="BK237" s="21">
        <v>6.6600000000000006E-2</v>
      </c>
      <c r="BN237" s="17"/>
      <c r="BO237" s="17"/>
      <c r="BP237" s="17"/>
      <c r="BQ237" s="17"/>
      <c r="BR237" s="17"/>
      <c r="BU237" t="s">
        <v>363</v>
      </c>
      <c r="BX237" s="67"/>
    </row>
    <row r="238" spans="1:76" x14ac:dyDescent="0.25">
      <c r="A238" s="15" t="s">
        <v>448</v>
      </c>
      <c r="B238" s="15" t="s">
        <v>150</v>
      </c>
      <c r="C238" s="15">
        <v>2005</v>
      </c>
      <c r="D238" s="15" t="s">
        <v>449</v>
      </c>
      <c r="E238" s="61">
        <v>2920</v>
      </c>
      <c r="F238" s="67"/>
      <c r="G238" s="17">
        <v>43285634</v>
      </c>
      <c r="H238" s="15" t="s">
        <v>42</v>
      </c>
      <c r="I238" s="15" t="s">
        <v>110</v>
      </c>
      <c r="J238" t="s">
        <v>465</v>
      </c>
      <c r="K238" t="s">
        <v>466</v>
      </c>
      <c r="L238" t="s">
        <v>98</v>
      </c>
      <c r="M238" t="s">
        <v>402</v>
      </c>
      <c r="N238" t="s">
        <v>452</v>
      </c>
      <c r="O238" t="s">
        <v>101</v>
      </c>
      <c r="P238" t="s">
        <v>1858</v>
      </c>
      <c r="Q238" t="s">
        <v>1859</v>
      </c>
      <c r="R238" t="s">
        <v>1860</v>
      </c>
      <c r="S238" t="s">
        <v>1861</v>
      </c>
      <c r="T238" t="s">
        <v>453</v>
      </c>
      <c r="Y238" t="s">
        <v>453</v>
      </c>
      <c r="Z238" s="17">
        <v>1336051</v>
      </c>
      <c r="AA238" s="17">
        <v>46200</v>
      </c>
      <c r="AB238" s="17">
        <v>7447</v>
      </c>
      <c r="AC238" s="17">
        <v>53647</v>
      </c>
      <c r="AD238" s="17">
        <v>1389698</v>
      </c>
      <c r="AE238" s="17">
        <v>1844</v>
      </c>
      <c r="AF238" s="51">
        <f t="shared" si="28"/>
        <v>30.865921936132438</v>
      </c>
      <c r="AG238" s="51">
        <f t="shared" si="29"/>
        <v>1.2393719357327653</v>
      </c>
      <c r="AH238" s="51">
        <f t="shared" si="30"/>
        <v>32.1052938718652</v>
      </c>
      <c r="AI238" s="51">
        <f t="shared" si="31"/>
        <v>4.260073908123882E-2</v>
      </c>
      <c r="AJ238" s="17"/>
      <c r="AK238" s="17"/>
      <c r="AL238" s="17"/>
      <c r="AM238" s="17"/>
      <c r="AN238" s="17"/>
      <c r="AO238" s="17"/>
      <c r="AP238" s="17"/>
      <c r="AQ238" s="17"/>
      <c r="AR238" s="17"/>
      <c r="AS238" s="17"/>
      <c r="AT238" s="17"/>
      <c r="AU238" s="17"/>
      <c r="AV238" t="s">
        <v>467</v>
      </c>
      <c r="AW238" t="s">
        <v>468</v>
      </c>
      <c r="BN238" s="17"/>
      <c r="BO238" s="17"/>
      <c r="BP238" s="17"/>
      <c r="BQ238" s="17">
        <v>1093133</v>
      </c>
      <c r="BR238" s="17"/>
      <c r="BT238" t="s">
        <v>469</v>
      </c>
      <c r="BU238" t="s">
        <v>463</v>
      </c>
      <c r="BV238" t="s">
        <v>455</v>
      </c>
      <c r="BW238" t="s">
        <v>470</v>
      </c>
      <c r="BX238" s="67" t="s">
        <v>490</v>
      </c>
    </row>
    <row r="239" spans="1:76" x14ac:dyDescent="0.25">
      <c r="A239" s="15" t="s">
        <v>847</v>
      </c>
      <c r="B239" s="15" t="s">
        <v>150</v>
      </c>
      <c r="C239" s="15">
        <v>2015</v>
      </c>
      <c r="D239" s="15" t="s">
        <v>848</v>
      </c>
      <c r="E239" s="61">
        <v>9860</v>
      </c>
      <c r="F239" s="67"/>
      <c r="G239" s="17">
        <v>125890949</v>
      </c>
      <c r="H239" s="15" t="s">
        <v>42</v>
      </c>
      <c r="I239" s="15" t="s">
        <v>110</v>
      </c>
      <c r="J239" t="s">
        <v>863</v>
      </c>
      <c r="K239" t="s">
        <v>864</v>
      </c>
      <c r="L239" t="s">
        <v>504</v>
      </c>
      <c r="M239" t="s">
        <v>858</v>
      </c>
      <c r="N239" t="s">
        <v>859</v>
      </c>
      <c r="O239" t="s">
        <v>860</v>
      </c>
      <c r="Z239" s="17"/>
      <c r="AA239" s="17"/>
      <c r="AB239" s="17"/>
      <c r="AC239" s="17"/>
      <c r="AD239" s="17"/>
      <c r="AE239" s="17"/>
      <c r="AF239" s="51" t="str">
        <f t="shared" si="28"/>
        <v/>
      </c>
      <c r="AG239" s="51" t="str">
        <f t="shared" si="29"/>
        <v/>
      </c>
      <c r="AH239" s="51" t="str">
        <f t="shared" si="30"/>
        <v/>
      </c>
      <c r="AI239" s="51" t="str">
        <f t="shared" si="31"/>
        <v/>
      </c>
      <c r="AJ239" s="17"/>
      <c r="AK239" s="17"/>
      <c r="AL239" s="17"/>
      <c r="AM239" s="17"/>
      <c r="AN239" s="17"/>
      <c r="AO239" s="17"/>
      <c r="AP239" s="17"/>
      <c r="AQ239" s="17"/>
      <c r="AR239" s="17"/>
      <c r="AS239" s="17"/>
      <c r="AT239" s="17"/>
      <c r="AU239" s="17"/>
      <c r="BF239" s="67">
        <v>438475650000</v>
      </c>
      <c r="BG239" s="68">
        <v>0.18099999999999999</v>
      </c>
      <c r="BH239" s="66">
        <v>1786773930000</v>
      </c>
      <c r="BI239" s="70">
        <v>0.73899999999999999</v>
      </c>
      <c r="BL239" s="21">
        <v>4.6699999999999998E-2</v>
      </c>
      <c r="BN239" s="17"/>
      <c r="BO239" s="17"/>
      <c r="BP239" s="17"/>
      <c r="BQ239" s="17"/>
      <c r="BR239" s="17"/>
      <c r="BX239" s="67"/>
    </row>
    <row r="240" spans="1:76" x14ac:dyDescent="0.25">
      <c r="A240" s="15" t="s">
        <v>1395</v>
      </c>
      <c r="B240" s="15" t="s">
        <v>150</v>
      </c>
      <c r="C240" s="15">
        <v>2016</v>
      </c>
      <c r="D240" s="15" t="s">
        <v>1396</v>
      </c>
      <c r="E240" s="61">
        <v>56800</v>
      </c>
      <c r="F240" s="67"/>
      <c r="G240" s="17">
        <v>325719178</v>
      </c>
      <c r="H240" s="15" t="s">
        <v>109</v>
      </c>
      <c r="I240" s="15" t="s">
        <v>300</v>
      </c>
      <c r="J240" t="s">
        <v>1408</v>
      </c>
      <c r="K240" t="s">
        <v>1409</v>
      </c>
      <c r="L240" t="s">
        <v>92</v>
      </c>
      <c r="M240" t="s">
        <v>893</v>
      </c>
      <c r="N240" t="s">
        <v>422</v>
      </c>
      <c r="O240" t="s">
        <v>1084</v>
      </c>
      <c r="Z240" s="17"/>
      <c r="AA240" s="17"/>
      <c r="AB240" s="17"/>
      <c r="AC240" s="17"/>
      <c r="AD240" s="17"/>
      <c r="AE240" s="17"/>
      <c r="AF240" s="51" t="str">
        <f t="shared" si="28"/>
        <v/>
      </c>
      <c r="AG240" s="51" t="str">
        <f t="shared" si="29"/>
        <v/>
      </c>
      <c r="AH240" s="51" t="str">
        <f t="shared" si="30"/>
        <v/>
      </c>
      <c r="AI240" s="51" t="str">
        <f t="shared" si="31"/>
        <v/>
      </c>
      <c r="AJ240" s="17"/>
      <c r="AK240" s="17"/>
      <c r="AL240" s="17"/>
      <c r="AM240" s="17"/>
      <c r="AN240" s="17"/>
      <c r="AO240" s="17"/>
      <c r="AP240" s="17"/>
      <c r="AQ240" s="17"/>
      <c r="AR240" s="17"/>
      <c r="AS240" s="17"/>
      <c r="AT240" s="17"/>
      <c r="AU240" s="17"/>
      <c r="BF240" s="67">
        <v>613000000000</v>
      </c>
      <c r="BG240" s="68">
        <v>0.185</v>
      </c>
      <c r="BL240" s="21">
        <v>1.2500000000000001E-2</v>
      </c>
      <c r="BN240" s="17"/>
      <c r="BO240" s="17"/>
      <c r="BP240" s="17"/>
      <c r="BQ240" s="17"/>
      <c r="BR240" s="17"/>
      <c r="BX240" s="67" t="s">
        <v>1486</v>
      </c>
    </row>
    <row r="241" spans="1:79" x14ac:dyDescent="0.25">
      <c r="A241" s="15" t="s">
        <v>342</v>
      </c>
      <c r="B241" s="15" t="s">
        <v>364</v>
      </c>
      <c r="C241" s="15">
        <v>2014</v>
      </c>
      <c r="D241" s="15" t="s">
        <v>343</v>
      </c>
      <c r="E241" s="61">
        <v>12020</v>
      </c>
      <c r="F241" s="67"/>
      <c r="G241" s="17">
        <v>204213133</v>
      </c>
      <c r="H241" s="15" t="s">
        <v>42</v>
      </c>
      <c r="I241" s="15" t="s">
        <v>110</v>
      </c>
      <c r="J241" t="s">
        <v>365</v>
      </c>
      <c r="K241" t="s">
        <v>366</v>
      </c>
      <c r="T241" t="s">
        <v>362</v>
      </c>
      <c r="Y241" t="s">
        <v>362</v>
      </c>
      <c r="Z241" s="17"/>
      <c r="AA241" s="17"/>
      <c r="AB241" s="17"/>
      <c r="AC241" s="17"/>
      <c r="AD241" s="17"/>
      <c r="AE241" s="17"/>
      <c r="AF241" s="51" t="str">
        <f t="shared" si="28"/>
        <v/>
      </c>
      <c r="AG241" s="51" t="str">
        <f t="shared" si="29"/>
        <v/>
      </c>
      <c r="AH241" s="51" t="str">
        <f t="shared" si="30"/>
        <v/>
      </c>
      <c r="AI241" s="51" t="str">
        <f t="shared" si="31"/>
        <v/>
      </c>
      <c r="AJ241" s="17"/>
      <c r="AK241" s="17"/>
      <c r="AL241" s="17"/>
      <c r="AM241" s="17"/>
      <c r="AN241" s="17"/>
      <c r="AO241" s="17"/>
      <c r="AP241" s="17"/>
      <c r="AQ241" s="17"/>
      <c r="AR241" s="17"/>
      <c r="AS241" s="17"/>
      <c r="AT241" s="17"/>
      <c r="AU241" s="17"/>
      <c r="BN241" s="17"/>
      <c r="BO241" s="17"/>
      <c r="BP241" s="17"/>
      <c r="BQ241" s="17"/>
      <c r="BR241" s="17"/>
      <c r="BS241" s="43">
        <v>0.16300000000000001</v>
      </c>
      <c r="BX241" s="67"/>
    </row>
    <row r="242" spans="1:79" x14ac:dyDescent="0.25">
      <c r="Z242" s="17"/>
      <c r="AA242" s="17"/>
      <c r="AB242" s="17"/>
      <c r="AC242" s="17"/>
      <c r="AD242" s="17"/>
      <c r="AE242" s="17"/>
      <c r="AF242" s="60"/>
      <c r="AJ242" s="17"/>
      <c r="AK242" s="17"/>
      <c r="AL242" s="17"/>
      <c r="AM242" s="17"/>
      <c r="AN242" s="17"/>
      <c r="AO242" s="17"/>
      <c r="AP242" s="17"/>
      <c r="AQ242" s="17"/>
      <c r="AR242" s="17"/>
      <c r="AS242" s="17"/>
      <c r="AT242" s="17"/>
      <c r="AU242" s="17"/>
      <c r="BF242" s="17"/>
      <c r="BN242" s="17"/>
      <c r="BO242" s="17"/>
      <c r="BP242" s="17"/>
      <c r="BQ242" s="17"/>
      <c r="BR242" s="17"/>
    </row>
    <row r="243" spans="1:79" x14ac:dyDescent="0.25">
      <c r="Z243" s="17"/>
      <c r="AA243" s="17"/>
      <c r="AB243" s="17"/>
      <c r="AC243" s="17"/>
      <c r="AD243" s="17"/>
      <c r="AE243" s="17"/>
      <c r="AF243" s="60"/>
      <c r="AJ243" s="17"/>
      <c r="AK243" s="17"/>
      <c r="AL243" s="17"/>
      <c r="AM243" s="17"/>
      <c r="AN243" s="17"/>
      <c r="AO243" s="17"/>
      <c r="AP243" s="17"/>
      <c r="AQ243" s="17"/>
      <c r="AR243" s="17"/>
      <c r="AS243" s="17"/>
      <c r="AT243" s="17"/>
      <c r="AU243" s="17"/>
      <c r="BF243" s="17"/>
      <c r="BN243" s="17"/>
      <c r="BO243" s="17"/>
      <c r="BP243" s="17"/>
      <c r="BQ243" s="17"/>
      <c r="BR243" s="17"/>
    </row>
    <row r="244" spans="1:79" x14ac:dyDescent="0.25">
      <c r="Z244" s="17"/>
      <c r="AA244" s="17"/>
      <c r="AB244" s="17"/>
      <c r="AC244" s="17"/>
      <c r="AD244" s="17"/>
      <c r="AE244" s="17"/>
      <c r="AF244" s="60"/>
      <c r="AJ244" s="17"/>
      <c r="AK244" s="17"/>
      <c r="AL244" s="17"/>
      <c r="AM244" s="17"/>
      <c r="AN244" s="17"/>
      <c r="AO244" s="17"/>
      <c r="AP244" s="17"/>
      <c r="AQ244" s="17"/>
      <c r="AR244" s="17"/>
      <c r="AS244" s="17"/>
      <c r="AT244" s="17"/>
      <c r="AU244" s="17"/>
      <c r="BF244" s="17"/>
      <c r="BN244" s="17"/>
      <c r="BO244" s="17"/>
      <c r="BP244" s="17"/>
      <c r="BQ244" s="17"/>
      <c r="BR244" s="17"/>
      <c r="CA244" s="17"/>
    </row>
    <row r="245" spans="1:79" x14ac:dyDescent="0.25">
      <c r="Z245" s="17"/>
      <c r="AA245" s="17"/>
      <c r="AB245" s="17"/>
      <c r="AC245" s="17"/>
      <c r="AD245" s="17"/>
      <c r="AE245" s="17"/>
      <c r="AF245" s="60"/>
      <c r="AJ245" s="17"/>
      <c r="AK245" s="17"/>
      <c r="AL245" s="17"/>
      <c r="AM245" s="17"/>
      <c r="AN245" s="17"/>
      <c r="AO245" s="17"/>
      <c r="AP245" s="17"/>
      <c r="AQ245" s="17"/>
      <c r="AR245" s="17"/>
      <c r="AS245" s="17"/>
      <c r="AT245" s="17"/>
      <c r="AU245" s="17"/>
      <c r="BF245" s="17"/>
      <c r="BN245" s="17"/>
      <c r="BO245" s="17"/>
      <c r="BP245" s="17"/>
      <c r="BQ245" s="17"/>
      <c r="BR245" s="17"/>
      <c r="CA245" s="17"/>
    </row>
    <row r="246" spans="1:79" x14ac:dyDescent="0.25">
      <c r="Z246" s="17"/>
      <c r="AA246" s="17"/>
      <c r="AB246" s="17"/>
      <c r="AC246" s="17"/>
      <c r="AD246" s="17"/>
      <c r="AE246" s="17"/>
      <c r="AF246" s="60"/>
      <c r="AJ246" s="17"/>
      <c r="AK246" s="17"/>
      <c r="AL246" s="17"/>
      <c r="AM246" s="17"/>
      <c r="AN246" s="17"/>
      <c r="AO246" s="17"/>
      <c r="AP246" s="17"/>
      <c r="AQ246" s="17"/>
      <c r="AR246" s="17"/>
      <c r="AS246" s="17"/>
      <c r="AT246" s="17"/>
      <c r="AU246" s="17"/>
      <c r="BF246" s="17"/>
      <c r="BN246" s="17"/>
      <c r="BO246" s="17"/>
      <c r="BP246" s="17"/>
      <c r="BQ246" s="17"/>
      <c r="BR246" s="17"/>
    </row>
    <row r="247" spans="1:79" x14ac:dyDescent="0.25">
      <c r="Z247" s="17"/>
      <c r="AA247" s="17"/>
      <c r="AB247" s="17"/>
      <c r="AC247" s="17"/>
      <c r="AD247" s="17"/>
      <c r="AE247" s="17"/>
      <c r="AF247" s="60"/>
      <c r="AJ247" s="17"/>
      <c r="AK247" s="17"/>
      <c r="AL247" s="17"/>
      <c r="AM247" s="17"/>
      <c r="AN247" s="17"/>
      <c r="AO247" s="17"/>
      <c r="AP247" s="17"/>
      <c r="AQ247" s="17"/>
      <c r="AR247" s="17"/>
      <c r="AS247" s="17"/>
      <c r="AT247" s="17"/>
      <c r="AU247" s="17"/>
      <c r="BF247" s="17"/>
      <c r="BN247" s="17"/>
      <c r="BO247" s="17"/>
      <c r="BP247" s="17"/>
      <c r="BQ247" s="17"/>
      <c r="BR247" s="17"/>
    </row>
    <row r="248" spans="1:79" x14ac:dyDescent="0.25">
      <c r="Z248" s="17"/>
      <c r="AA248" s="17"/>
      <c r="AB248" s="17"/>
      <c r="AC248" s="17"/>
      <c r="AD248" s="17"/>
      <c r="AE248" s="17"/>
      <c r="AF248" s="60"/>
      <c r="AJ248" s="17"/>
      <c r="AK248" s="17"/>
      <c r="AL248" s="17"/>
      <c r="AM248" s="17"/>
      <c r="AN248" s="17"/>
      <c r="AO248" s="17"/>
      <c r="AP248" s="17"/>
      <c r="AQ248" s="17"/>
      <c r="AR248" s="17"/>
      <c r="AS248" s="17"/>
      <c r="AT248" s="17"/>
      <c r="AU248" s="17"/>
      <c r="BN248" s="17"/>
      <c r="BO248" s="17"/>
      <c r="BP248" s="17"/>
      <c r="BQ248" s="17"/>
      <c r="BR248" s="17"/>
    </row>
    <row r="249" spans="1:79" x14ac:dyDescent="0.25">
      <c r="Z249" s="17"/>
      <c r="AA249" s="17"/>
      <c r="AB249" s="17"/>
      <c r="AC249" s="17"/>
      <c r="AD249" s="17"/>
      <c r="AE249" s="17"/>
      <c r="AF249" s="60"/>
      <c r="AJ249" s="17"/>
      <c r="AK249" s="17"/>
      <c r="AL249" s="17"/>
      <c r="AM249" s="17"/>
      <c r="AN249" s="17"/>
      <c r="AO249" s="17"/>
      <c r="AP249" s="17"/>
      <c r="AQ249" s="17"/>
      <c r="AR249" s="17"/>
      <c r="AS249" s="17"/>
      <c r="AT249" s="17"/>
      <c r="AU249" s="17"/>
      <c r="BN249" s="17"/>
      <c r="BO249" s="17"/>
      <c r="BP249" s="17"/>
      <c r="BQ249" s="17"/>
      <c r="BR249" s="17"/>
    </row>
    <row r="250" spans="1:79" x14ac:dyDescent="0.25">
      <c r="Z250" s="17"/>
      <c r="AA250" s="17"/>
      <c r="AB250" s="17"/>
      <c r="AC250" s="17"/>
      <c r="AD250" s="17"/>
      <c r="AE250" s="17"/>
      <c r="AF250" s="60"/>
      <c r="AJ250" s="17"/>
      <c r="AK250" s="17"/>
      <c r="AL250" s="17"/>
      <c r="AM250" s="17"/>
      <c r="AN250" s="17"/>
      <c r="AO250" s="17"/>
      <c r="AP250" s="17"/>
      <c r="AQ250" s="17"/>
      <c r="AR250" s="17"/>
      <c r="AS250" s="17"/>
      <c r="AT250" s="17"/>
      <c r="AU250" s="17"/>
      <c r="BN250" s="17"/>
      <c r="BO250" s="17"/>
      <c r="BP250" s="17"/>
      <c r="BQ250" s="17"/>
      <c r="BR250" s="17"/>
    </row>
    <row r="251" spans="1:79" x14ac:dyDescent="0.25">
      <c r="Z251" s="17"/>
      <c r="AA251" s="17"/>
      <c r="AB251" s="17"/>
      <c r="AC251" s="17"/>
      <c r="AD251" s="17"/>
      <c r="AE251" s="17"/>
      <c r="AF251" s="60"/>
      <c r="AJ251" s="17"/>
      <c r="AK251" s="17"/>
      <c r="AL251" s="17"/>
      <c r="AM251" s="17"/>
      <c r="AN251" s="17"/>
      <c r="AO251" s="17"/>
      <c r="AP251" s="17"/>
      <c r="AQ251" s="17"/>
      <c r="AR251" s="17"/>
      <c r="AS251" s="17"/>
      <c r="AT251" s="17"/>
      <c r="AU251" s="17"/>
      <c r="BN251" s="17"/>
      <c r="BO251" s="17"/>
      <c r="BP251" s="17"/>
      <c r="BQ251" s="17"/>
      <c r="BR251" s="17"/>
    </row>
    <row r="252" spans="1:79" x14ac:dyDescent="0.25">
      <c r="Z252" s="17"/>
      <c r="AA252" s="17"/>
      <c r="AB252" s="17"/>
      <c r="AC252" s="17"/>
      <c r="AD252" s="17"/>
      <c r="AE252" s="17"/>
      <c r="AF252" s="60"/>
      <c r="AJ252" s="17"/>
      <c r="AK252" s="17"/>
      <c r="AL252" s="17"/>
      <c r="AM252" s="17"/>
      <c r="AN252" s="17"/>
      <c r="AO252" s="17"/>
      <c r="AP252" s="17"/>
      <c r="AQ252" s="17"/>
      <c r="AR252" s="17"/>
      <c r="AS252" s="17"/>
      <c r="AT252" s="17"/>
      <c r="AU252" s="17"/>
      <c r="BN252" s="17"/>
      <c r="BO252" s="17"/>
      <c r="BP252" s="17"/>
      <c r="BQ252" s="17"/>
      <c r="BR252" s="17"/>
    </row>
    <row r="253" spans="1:79" x14ac:dyDescent="0.25">
      <c r="Z253" s="17"/>
      <c r="AA253" s="17"/>
      <c r="AB253" s="17"/>
      <c r="AC253" s="17"/>
      <c r="AD253" s="17"/>
      <c r="AE253" s="17"/>
      <c r="AF253" s="60"/>
      <c r="AJ253" s="17"/>
      <c r="AK253" s="17"/>
      <c r="AL253" s="17"/>
      <c r="AM253" s="17"/>
      <c r="AN253" s="17"/>
      <c r="AO253" s="17"/>
      <c r="AP253" s="17"/>
      <c r="AQ253" s="17"/>
      <c r="AR253" s="17"/>
      <c r="AS253" s="17"/>
      <c r="AT253" s="17"/>
      <c r="AU253" s="17"/>
      <c r="BN253" s="17"/>
      <c r="BO253" s="17"/>
      <c r="BP253" s="17"/>
      <c r="BQ253" s="17"/>
      <c r="BR253" s="17"/>
    </row>
    <row r="254" spans="1:79" x14ac:dyDescent="0.25">
      <c r="Z254" s="17"/>
      <c r="AA254" s="17"/>
      <c r="AB254" s="17"/>
      <c r="AC254" s="17"/>
      <c r="AD254" s="17"/>
      <c r="AE254" s="17"/>
      <c r="AF254" s="60"/>
      <c r="AJ254" s="17"/>
      <c r="AK254" s="17"/>
      <c r="AL254" s="17"/>
      <c r="AM254" s="17"/>
      <c r="AN254" s="17"/>
      <c r="AO254" s="17"/>
      <c r="AP254" s="17"/>
      <c r="AQ254" s="17"/>
      <c r="AR254" s="17"/>
      <c r="AS254" s="17"/>
      <c r="AT254" s="17"/>
      <c r="AU254" s="17"/>
      <c r="BN254" s="17"/>
      <c r="BO254" s="17"/>
      <c r="BP254" s="17"/>
      <c r="BQ254" s="17"/>
      <c r="BR254" s="17"/>
    </row>
    <row r="255" spans="1:79" x14ac:dyDescent="0.25">
      <c r="Z255" s="17"/>
      <c r="AA255" s="17"/>
      <c r="AB255" s="17"/>
      <c r="AC255" s="17"/>
      <c r="AD255" s="17"/>
      <c r="AE255" s="17"/>
      <c r="AF255" s="60"/>
      <c r="AJ255" s="17"/>
      <c r="AK255" s="17"/>
      <c r="AL255" s="17"/>
      <c r="AM255" s="17"/>
      <c r="AN255" s="17"/>
      <c r="AO255" s="17"/>
      <c r="AP255" s="17"/>
      <c r="AQ255" s="17"/>
      <c r="AR255" s="17"/>
      <c r="AS255" s="17"/>
      <c r="AT255" s="17"/>
      <c r="AU255" s="17"/>
      <c r="BN255" s="17"/>
      <c r="BO255" s="17"/>
      <c r="BP255" s="17"/>
      <c r="BQ255" s="17"/>
      <c r="BR255" s="17"/>
    </row>
    <row r="256" spans="1:79" x14ac:dyDescent="0.25">
      <c r="Z256" s="17"/>
      <c r="AA256" s="17"/>
      <c r="AB256" s="17"/>
      <c r="AC256" s="17"/>
      <c r="AD256" s="17"/>
      <c r="AE256" s="17"/>
      <c r="AF256" s="60"/>
      <c r="AJ256" s="17"/>
      <c r="AK256" s="17"/>
      <c r="AL256" s="17"/>
      <c r="AM256" s="17"/>
      <c r="AN256" s="17"/>
      <c r="AO256" s="17"/>
      <c r="AP256" s="17"/>
      <c r="AQ256" s="17"/>
      <c r="AR256" s="17"/>
      <c r="AS256" s="17"/>
      <c r="AT256" s="17"/>
      <c r="AU256" s="17"/>
      <c r="BN256" s="17"/>
      <c r="BO256" s="17"/>
      <c r="BP256" s="17"/>
      <c r="BQ256" s="17"/>
      <c r="BR256" s="17"/>
    </row>
    <row r="257" spans="26:70" x14ac:dyDescent="0.25">
      <c r="Z257" s="17"/>
      <c r="AA257" s="17"/>
      <c r="AB257" s="17"/>
      <c r="AC257" s="17"/>
      <c r="AD257" s="17"/>
      <c r="AE257" s="17"/>
      <c r="AF257" s="60"/>
      <c r="AJ257" s="17"/>
      <c r="AK257" s="17"/>
      <c r="AL257" s="17"/>
      <c r="AM257" s="17"/>
      <c r="AN257" s="17"/>
      <c r="AO257" s="17"/>
      <c r="AP257" s="17"/>
      <c r="AQ257" s="17"/>
      <c r="AR257" s="17"/>
      <c r="AS257" s="17"/>
      <c r="AT257" s="17"/>
      <c r="AU257" s="17"/>
      <c r="BN257" s="17"/>
      <c r="BO257" s="17"/>
      <c r="BP257" s="17"/>
      <c r="BQ257" s="17"/>
      <c r="BR257" s="17"/>
    </row>
    <row r="258" spans="26:70" x14ac:dyDescent="0.25">
      <c r="Z258" s="17"/>
      <c r="AA258" s="17"/>
      <c r="AB258" s="17"/>
      <c r="AC258" s="17"/>
      <c r="AD258" s="17"/>
      <c r="AE258" s="17"/>
      <c r="AF258" s="60"/>
      <c r="AJ258" s="17"/>
      <c r="AK258" s="17"/>
      <c r="AL258" s="17"/>
      <c r="AM258" s="17"/>
      <c r="AN258" s="17"/>
      <c r="AO258" s="17"/>
      <c r="AP258" s="17"/>
      <c r="AQ258" s="17"/>
      <c r="AR258" s="17"/>
      <c r="AS258" s="17"/>
      <c r="AT258" s="17"/>
      <c r="AU258" s="17"/>
      <c r="BN258" s="17"/>
      <c r="BO258" s="17"/>
      <c r="BP258" s="17"/>
      <c r="BQ258" s="17"/>
      <c r="BR258" s="17"/>
    </row>
    <row r="259" spans="26:70" x14ac:dyDescent="0.25">
      <c r="Z259" s="17"/>
      <c r="AA259" s="17"/>
      <c r="AB259" s="17"/>
      <c r="AC259" s="17"/>
      <c r="AD259" s="17"/>
      <c r="AE259" s="17"/>
      <c r="AF259" s="60"/>
      <c r="AJ259" s="17"/>
      <c r="AK259" s="17"/>
      <c r="AL259" s="17"/>
      <c r="AM259" s="17"/>
      <c r="AN259" s="17"/>
      <c r="AO259" s="17"/>
      <c r="AP259" s="17"/>
      <c r="AQ259" s="17"/>
      <c r="AR259" s="17"/>
      <c r="AS259" s="17"/>
      <c r="AT259" s="17"/>
      <c r="AU259" s="17"/>
      <c r="BN259" s="17"/>
      <c r="BO259" s="17"/>
      <c r="BP259" s="17"/>
      <c r="BQ259" s="17"/>
      <c r="BR259" s="17"/>
    </row>
    <row r="260" spans="26:70" x14ac:dyDescent="0.25">
      <c r="Z260" s="17"/>
      <c r="AA260" s="17"/>
      <c r="AB260" s="17"/>
      <c r="AC260" s="17"/>
      <c r="AD260" s="17"/>
      <c r="AE260" s="17"/>
      <c r="AF260" s="60"/>
      <c r="AJ260" s="17"/>
      <c r="AK260" s="17"/>
      <c r="AL260" s="17"/>
      <c r="AM260" s="17"/>
      <c r="AN260" s="17"/>
      <c r="AO260" s="17"/>
      <c r="AP260" s="17"/>
      <c r="AQ260" s="17"/>
      <c r="AR260" s="17"/>
      <c r="AS260" s="17"/>
      <c r="AT260" s="17"/>
      <c r="AU260" s="17"/>
      <c r="BN260" s="17"/>
      <c r="BO260" s="17"/>
      <c r="BP260" s="17"/>
      <c r="BQ260" s="17"/>
      <c r="BR260" s="17"/>
    </row>
    <row r="261" spans="26:70" x14ac:dyDescent="0.25">
      <c r="Z261" s="17"/>
      <c r="AA261" s="17"/>
      <c r="AB261" s="17"/>
      <c r="AC261" s="17"/>
      <c r="AD261" s="17"/>
      <c r="AE261" s="17"/>
      <c r="AF261" s="60"/>
      <c r="AJ261" s="17"/>
      <c r="AK261" s="17"/>
      <c r="AL261" s="17"/>
      <c r="AM261" s="17"/>
      <c r="AN261" s="17"/>
      <c r="AO261" s="17"/>
      <c r="AP261" s="17"/>
      <c r="AQ261" s="17"/>
      <c r="AR261" s="17"/>
      <c r="AS261" s="17"/>
      <c r="AT261" s="17"/>
      <c r="AU261" s="17"/>
      <c r="BN261" s="17"/>
      <c r="BO261" s="17"/>
      <c r="BP261" s="17"/>
      <c r="BQ261" s="17"/>
      <c r="BR261" s="17"/>
    </row>
    <row r="262" spans="26:70" x14ac:dyDescent="0.25">
      <c r="Z262" s="17"/>
      <c r="AA262" s="17"/>
      <c r="AB262" s="17"/>
      <c r="AC262" s="17"/>
      <c r="AD262" s="17"/>
      <c r="AE262" s="17"/>
      <c r="AF262" s="60"/>
      <c r="AJ262" s="17"/>
      <c r="AK262" s="17"/>
      <c r="AL262" s="17"/>
      <c r="AM262" s="17"/>
      <c r="AN262" s="17"/>
      <c r="AO262" s="17"/>
      <c r="AP262" s="17"/>
      <c r="AQ262" s="17"/>
      <c r="AR262" s="17"/>
      <c r="AS262" s="17"/>
      <c r="AT262" s="17"/>
      <c r="AU262" s="17"/>
      <c r="BN262" s="17"/>
      <c r="BO262" s="17"/>
      <c r="BP262" s="17"/>
      <c r="BQ262" s="17"/>
      <c r="BR262" s="17"/>
    </row>
    <row r="263" spans="26:70" x14ac:dyDescent="0.25">
      <c r="Z263" s="17"/>
      <c r="AA263" s="17"/>
      <c r="AB263" s="17"/>
      <c r="AC263" s="17"/>
      <c r="AD263" s="17"/>
      <c r="AE263" s="17"/>
      <c r="AF263" s="60"/>
      <c r="AJ263" s="17"/>
      <c r="AK263" s="17"/>
      <c r="AL263" s="17"/>
      <c r="AM263" s="17"/>
      <c r="AN263" s="17"/>
      <c r="AO263" s="17"/>
      <c r="AP263" s="17"/>
      <c r="AQ263" s="17"/>
      <c r="AR263" s="17"/>
      <c r="AS263" s="17"/>
      <c r="AT263" s="17"/>
      <c r="AU263" s="17"/>
      <c r="BN263" s="17"/>
      <c r="BO263" s="17"/>
      <c r="BP263" s="17"/>
      <c r="BQ263" s="17"/>
      <c r="BR263" s="17"/>
    </row>
    <row r="264" spans="26:70" x14ac:dyDescent="0.25">
      <c r="Z264" s="17"/>
      <c r="AA264" s="17"/>
      <c r="AB264" s="17"/>
      <c r="AC264" s="17"/>
      <c r="AD264" s="17"/>
      <c r="AE264" s="17"/>
      <c r="AF264" s="60"/>
      <c r="AJ264" s="17"/>
      <c r="AK264" s="17"/>
      <c r="AL264" s="17"/>
      <c r="AM264" s="17"/>
      <c r="AN264" s="17"/>
      <c r="AO264" s="17"/>
      <c r="AP264" s="17"/>
      <c r="AQ264" s="17"/>
      <c r="AR264" s="17"/>
      <c r="AS264" s="17"/>
      <c r="AT264" s="17"/>
      <c r="AU264" s="17"/>
      <c r="BN264" s="17"/>
      <c r="BO264" s="17"/>
      <c r="BP264" s="17"/>
      <c r="BQ264" s="17"/>
      <c r="BR264" s="17"/>
    </row>
    <row r="265" spans="26:70" x14ac:dyDescent="0.25">
      <c r="Z265" s="17"/>
      <c r="AA265" s="17"/>
      <c r="AB265" s="17"/>
      <c r="AC265" s="17"/>
      <c r="AD265" s="17"/>
      <c r="AE265" s="17"/>
      <c r="AF265" s="60"/>
      <c r="AJ265" s="17"/>
      <c r="AK265" s="17"/>
      <c r="AL265" s="17"/>
      <c r="AM265" s="17"/>
      <c r="AN265" s="17"/>
      <c r="AO265" s="17"/>
      <c r="AP265" s="17"/>
      <c r="AQ265" s="17"/>
      <c r="AR265" s="17"/>
      <c r="AS265" s="17"/>
      <c r="AT265" s="17"/>
      <c r="AU265" s="17"/>
      <c r="BN265" s="17"/>
      <c r="BO265" s="17"/>
      <c r="BP265" s="17"/>
      <c r="BQ265" s="17"/>
      <c r="BR265" s="17"/>
    </row>
    <row r="266" spans="26:70" x14ac:dyDescent="0.25">
      <c r="Z266" s="17"/>
      <c r="AA266" s="17"/>
      <c r="AB266" s="17"/>
      <c r="AC266" s="17"/>
      <c r="AD266" s="17"/>
      <c r="AE266" s="17"/>
      <c r="AF266" s="60"/>
      <c r="AJ266" s="17"/>
      <c r="AK266" s="17"/>
      <c r="AL266" s="17"/>
      <c r="AM266" s="17"/>
      <c r="AN266" s="17"/>
      <c r="AO266" s="17"/>
      <c r="AP266" s="17"/>
      <c r="AQ266" s="17"/>
      <c r="AR266" s="17"/>
      <c r="AS266" s="17"/>
      <c r="AT266" s="17"/>
      <c r="AU266" s="17"/>
      <c r="BN266" s="17"/>
      <c r="BO266" s="17"/>
      <c r="BP266" s="17"/>
      <c r="BQ266" s="17"/>
      <c r="BR266" s="17"/>
    </row>
    <row r="267" spans="26:70" x14ac:dyDescent="0.25">
      <c r="Z267" s="17"/>
      <c r="AA267" s="17"/>
      <c r="AB267" s="17"/>
      <c r="AC267" s="17"/>
      <c r="AD267" s="17"/>
      <c r="AE267" s="17"/>
      <c r="AF267" s="60"/>
      <c r="AJ267" s="17"/>
      <c r="AK267" s="17"/>
      <c r="AL267" s="17"/>
      <c r="AM267" s="17"/>
      <c r="AN267" s="17"/>
      <c r="AO267" s="17"/>
      <c r="AP267" s="17"/>
      <c r="AQ267" s="17"/>
      <c r="AR267" s="17"/>
      <c r="AS267" s="17"/>
      <c r="AT267" s="17"/>
      <c r="AU267" s="17"/>
      <c r="BN267" s="17"/>
      <c r="BO267" s="17"/>
      <c r="BP267" s="17"/>
      <c r="BQ267" s="17"/>
      <c r="BR267" s="17"/>
    </row>
    <row r="268" spans="26:70" x14ac:dyDescent="0.25">
      <c r="Z268" s="17"/>
      <c r="AA268" s="17"/>
      <c r="AB268" s="17"/>
      <c r="AC268" s="17"/>
      <c r="AD268" s="17"/>
      <c r="AE268" s="17"/>
      <c r="AF268" s="60"/>
      <c r="AJ268" s="17"/>
      <c r="AK268" s="17"/>
      <c r="AL268" s="17"/>
      <c r="AM268" s="17"/>
      <c r="AN268" s="17"/>
      <c r="AO268" s="17"/>
      <c r="AP268" s="17"/>
      <c r="AQ268" s="17"/>
      <c r="AR268" s="17"/>
      <c r="AS268" s="17"/>
      <c r="AT268" s="17"/>
      <c r="AU268" s="17"/>
      <c r="BN268" s="17"/>
      <c r="BO268" s="17"/>
      <c r="BP268" s="17"/>
      <c r="BQ268" s="17"/>
      <c r="BR268" s="17"/>
    </row>
    <row r="269" spans="26:70" x14ac:dyDescent="0.25">
      <c r="Z269" s="17"/>
      <c r="AA269" s="17"/>
      <c r="AB269" s="17"/>
      <c r="AC269" s="17"/>
      <c r="AD269" s="17"/>
      <c r="AE269" s="17"/>
      <c r="AF269" s="60"/>
      <c r="AJ269" s="17"/>
      <c r="AK269" s="17"/>
      <c r="AL269" s="17"/>
      <c r="AM269" s="17"/>
      <c r="AN269" s="17"/>
      <c r="AO269" s="17"/>
      <c r="AP269" s="17"/>
      <c r="AQ269" s="17"/>
      <c r="AR269" s="17"/>
      <c r="AS269" s="17"/>
      <c r="AT269" s="17"/>
      <c r="AU269" s="17"/>
      <c r="BN269" s="17"/>
      <c r="BO269" s="17"/>
      <c r="BP269" s="17"/>
      <c r="BQ269" s="17"/>
      <c r="BR269" s="17"/>
    </row>
    <row r="270" spans="26:70" x14ac:dyDescent="0.25">
      <c r="Z270" s="17"/>
      <c r="AA270" s="17"/>
      <c r="AB270" s="17"/>
      <c r="AC270" s="17"/>
      <c r="AD270" s="17"/>
      <c r="AE270" s="17"/>
      <c r="AF270" s="60"/>
      <c r="AJ270" s="17"/>
      <c r="AK270" s="17"/>
      <c r="AL270" s="17"/>
      <c r="AM270" s="17"/>
      <c r="AN270" s="17"/>
      <c r="AO270" s="17"/>
      <c r="AP270" s="17"/>
      <c r="AQ270" s="17"/>
      <c r="AR270" s="17"/>
      <c r="AS270" s="17"/>
      <c r="AT270" s="17"/>
      <c r="AU270" s="17"/>
      <c r="BN270" s="17"/>
      <c r="BO270" s="17"/>
      <c r="BP270" s="17"/>
      <c r="BQ270" s="17"/>
      <c r="BR270" s="17"/>
    </row>
    <row r="271" spans="26:70" x14ac:dyDescent="0.25">
      <c r="Z271" s="17"/>
      <c r="AA271" s="17"/>
      <c r="AB271" s="17"/>
      <c r="AC271" s="17"/>
      <c r="AD271" s="17"/>
      <c r="AE271" s="17"/>
      <c r="AF271" s="60"/>
      <c r="AJ271" s="17"/>
      <c r="AK271" s="17"/>
      <c r="AL271" s="17"/>
      <c r="AM271" s="17"/>
      <c r="AN271" s="17"/>
      <c r="AO271" s="17"/>
      <c r="AP271" s="17"/>
      <c r="AQ271" s="17"/>
      <c r="AR271" s="17"/>
      <c r="AS271" s="17"/>
      <c r="AT271" s="17"/>
      <c r="AU271" s="17"/>
      <c r="BN271" s="17"/>
      <c r="BO271" s="17"/>
      <c r="BP271" s="17"/>
      <c r="BQ271" s="17"/>
      <c r="BR271" s="17"/>
    </row>
    <row r="272" spans="26:70" x14ac:dyDescent="0.25">
      <c r="Z272" s="17"/>
      <c r="AA272" s="17"/>
      <c r="AB272" s="17"/>
      <c r="AC272" s="17"/>
      <c r="AD272" s="17"/>
      <c r="AE272" s="17"/>
      <c r="AF272" s="60"/>
      <c r="AJ272" s="17"/>
      <c r="AK272" s="17"/>
      <c r="AL272" s="17"/>
      <c r="AM272" s="17"/>
      <c r="AN272" s="17"/>
      <c r="AO272" s="17"/>
      <c r="AP272" s="17"/>
      <c r="AQ272" s="17"/>
      <c r="AR272" s="17"/>
      <c r="AS272" s="17"/>
      <c r="AT272" s="17"/>
      <c r="AU272" s="17"/>
      <c r="BN272" s="17"/>
      <c r="BO272" s="17"/>
      <c r="BP272" s="17"/>
      <c r="BQ272" s="17">
        <v>1093137</v>
      </c>
      <c r="BR272" s="17"/>
    </row>
    <row r="273" spans="26:70" x14ac:dyDescent="0.25">
      <c r="Z273" s="17"/>
      <c r="AA273" s="17"/>
      <c r="AB273" s="17"/>
      <c r="AC273" s="17"/>
      <c r="AD273" s="17"/>
      <c r="AE273" s="17"/>
      <c r="AF273" s="60"/>
      <c r="AJ273" s="17"/>
      <c r="AK273" s="17"/>
      <c r="AL273" s="17"/>
      <c r="AM273" s="17"/>
      <c r="AN273" s="17"/>
      <c r="AO273" s="17"/>
      <c r="AP273" s="17"/>
      <c r="AQ273" s="17"/>
      <c r="AR273" s="17"/>
      <c r="AS273" s="17"/>
      <c r="AT273" s="17"/>
      <c r="AU273" s="17"/>
      <c r="BN273" s="17"/>
      <c r="BO273" s="17"/>
      <c r="BP273" s="17"/>
      <c r="BQ273" s="17"/>
      <c r="BR273" s="17"/>
    </row>
    <row r="274" spans="26:70" x14ac:dyDescent="0.25">
      <c r="Z274" s="17"/>
      <c r="AA274" s="17"/>
      <c r="AB274" s="17"/>
      <c r="AC274" s="17"/>
      <c r="AD274" s="17"/>
      <c r="AE274" s="17"/>
      <c r="AF274" s="60"/>
      <c r="AJ274" s="17"/>
      <c r="AK274" s="17"/>
      <c r="AL274" s="17"/>
      <c r="AM274" s="17"/>
      <c r="AN274" s="17"/>
      <c r="AO274" s="17"/>
      <c r="AP274" s="17"/>
      <c r="AQ274" s="17"/>
      <c r="AR274" s="17"/>
      <c r="AS274" s="17"/>
      <c r="AT274" s="17"/>
      <c r="AU274" s="17"/>
      <c r="BN274" s="17"/>
      <c r="BO274" s="17"/>
      <c r="BP274" s="17"/>
      <c r="BQ274" s="17"/>
      <c r="BR274" s="17"/>
    </row>
    <row r="275" spans="26:70" x14ac:dyDescent="0.25">
      <c r="Z275" s="17"/>
      <c r="AA275" s="17"/>
      <c r="AB275" s="17"/>
      <c r="AC275" s="17"/>
      <c r="AD275" s="17"/>
      <c r="AE275" s="17"/>
      <c r="AF275" s="60"/>
      <c r="AJ275" s="17"/>
      <c r="AK275" s="17"/>
      <c r="AL275" s="17"/>
      <c r="AM275" s="17"/>
      <c r="AN275" s="17"/>
      <c r="AO275" s="17"/>
      <c r="AP275" s="17"/>
      <c r="AQ275" s="17"/>
      <c r="AR275" s="17"/>
      <c r="AS275" s="17"/>
      <c r="AT275" s="17"/>
      <c r="AU275" s="17"/>
      <c r="BN275" s="17"/>
      <c r="BO275" s="17"/>
      <c r="BP275" s="17"/>
      <c r="BQ275" s="17"/>
      <c r="BR275" s="17"/>
    </row>
    <row r="276" spans="26:70" x14ac:dyDescent="0.25">
      <c r="Z276" s="17"/>
      <c r="AA276" s="17"/>
      <c r="AB276" s="17"/>
      <c r="AC276" s="17"/>
      <c r="AD276" s="17"/>
      <c r="AE276" s="17"/>
      <c r="AF276" s="60"/>
      <c r="AJ276" s="17"/>
      <c r="AK276" s="17"/>
      <c r="AL276" s="17"/>
      <c r="AM276" s="17"/>
      <c r="AN276" s="17"/>
      <c r="AO276" s="17"/>
      <c r="AP276" s="17"/>
      <c r="AQ276" s="17"/>
      <c r="AR276" s="17"/>
      <c r="AS276" s="17"/>
      <c r="AT276" s="17"/>
      <c r="AU276" s="17"/>
      <c r="BN276" s="17"/>
      <c r="BO276" s="17"/>
      <c r="BP276" s="17"/>
      <c r="BQ276" s="17"/>
      <c r="BR276" s="17"/>
    </row>
    <row r="277" spans="26:70" x14ac:dyDescent="0.25">
      <c r="Z277" s="17"/>
      <c r="AA277" s="17"/>
      <c r="AB277" s="17"/>
      <c r="AC277" s="17"/>
      <c r="AD277" s="17"/>
      <c r="AE277" s="17"/>
      <c r="AF277" s="60"/>
      <c r="AJ277" s="17"/>
      <c r="AK277" s="17"/>
      <c r="AL277" s="17"/>
      <c r="AM277" s="17"/>
      <c r="AN277" s="17"/>
      <c r="AO277" s="17"/>
      <c r="AP277" s="17"/>
      <c r="AQ277" s="17"/>
      <c r="AR277" s="17"/>
      <c r="AS277" s="17"/>
      <c r="AT277" s="17"/>
      <c r="AU277" s="17"/>
      <c r="BN277" s="17"/>
      <c r="BO277" s="17"/>
      <c r="BP277" s="17"/>
      <c r="BQ277" s="17"/>
      <c r="BR277" s="17"/>
    </row>
    <row r="278" spans="26:70" x14ac:dyDescent="0.25">
      <c r="Z278" s="17"/>
      <c r="AA278" s="17"/>
      <c r="AB278" s="17"/>
      <c r="AC278" s="17"/>
      <c r="AD278" s="17"/>
      <c r="AE278" s="17"/>
      <c r="AF278" s="60"/>
      <c r="AJ278" s="17"/>
      <c r="AK278" s="17"/>
      <c r="AL278" s="17"/>
      <c r="AM278" s="17"/>
      <c r="AN278" s="17"/>
      <c r="AO278" s="17"/>
      <c r="AP278" s="17"/>
      <c r="AQ278" s="17"/>
      <c r="AR278" s="17"/>
      <c r="AS278" s="17"/>
      <c r="AT278" s="17"/>
      <c r="AU278" s="17"/>
      <c r="BN278" s="17"/>
      <c r="BO278" s="17"/>
      <c r="BP278" s="17"/>
      <c r="BQ278" s="17"/>
      <c r="BR278" s="17"/>
    </row>
    <row r="279" spans="26:70" x14ac:dyDescent="0.25">
      <c r="Z279" s="17"/>
      <c r="AA279" s="17"/>
      <c r="AB279" s="17"/>
      <c r="AC279" s="17"/>
      <c r="AD279" s="17"/>
      <c r="AE279" s="17"/>
      <c r="AF279" s="60"/>
      <c r="AJ279" s="17"/>
      <c r="AK279" s="17"/>
      <c r="AL279" s="17"/>
      <c r="AM279" s="17"/>
      <c r="AN279" s="17"/>
      <c r="AO279" s="17"/>
      <c r="AP279" s="17"/>
      <c r="AQ279" s="17"/>
      <c r="AR279" s="17"/>
      <c r="AS279" s="17"/>
      <c r="AT279" s="17"/>
      <c r="AU279" s="17"/>
      <c r="BN279" s="17"/>
      <c r="BO279" s="17"/>
      <c r="BP279" s="17"/>
      <c r="BQ279" s="17"/>
      <c r="BR279" s="17"/>
    </row>
    <row r="280" spans="26:70" x14ac:dyDescent="0.25">
      <c r="Z280" s="17"/>
      <c r="AA280" s="17"/>
      <c r="AB280" s="17"/>
      <c r="AC280" s="17"/>
      <c r="AD280" s="17"/>
      <c r="AE280" s="17"/>
      <c r="AF280" s="60"/>
      <c r="AJ280" s="17"/>
      <c r="AK280" s="17"/>
      <c r="AL280" s="17"/>
      <c r="AM280" s="17"/>
      <c r="AN280" s="17"/>
      <c r="AO280" s="17"/>
      <c r="AP280" s="17"/>
      <c r="AQ280" s="17"/>
      <c r="AR280" s="17"/>
      <c r="AS280" s="17"/>
      <c r="AT280" s="17"/>
      <c r="AU280" s="17"/>
      <c r="BN280" s="17"/>
      <c r="BO280" s="17"/>
      <c r="BP280" s="17"/>
      <c r="BQ280" s="17"/>
      <c r="BR280" s="17"/>
    </row>
    <row r="281" spans="26:70" x14ac:dyDescent="0.25">
      <c r="Z281" s="17"/>
      <c r="AA281" s="17"/>
      <c r="AB281" s="17"/>
      <c r="AC281" s="17"/>
      <c r="AD281" s="17"/>
      <c r="AE281" s="17"/>
      <c r="AF281" s="60"/>
      <c r="AJ281" s="17"/>
      <c r="AK281" s="17"/>
      <c r="AL281" s="17"/>
      <c r="AM281" s="17"/>
      <c r="AN281" s="17"/>
      <c r="AO281" s="17"/>
      <c r="AP281" s="17"/>
      <c r="AQ281" s="17"/>
      <c r="AR281" s="17"/>
      <c r="AS281" s="17"/>
      <c r="AT281" s="17"/>
      <c r="AU281" s="17"/>
      <c r="BN281" s="17"/>
      <c r="BO281" s="17"/>
      <c r="BP281" s="17"/>
      <c r="BQ281" s="17"/>
      <c r="BR281" s="17"/>
    </row>
    <row r="282" spans="26:70" x14ac:dyDescent="0.25">
      <c r="Z282" s="17"/>
      <c r="AA282" s="17"/>
      <c r="AB282" s="17"/>
      <c r="AC282" s="17"/>
      <c r="AD282" s="17"/>
      <c r="AE282" s="17"/>
      <c r="AF282" s="60"/>
      <c r="AJ282" s="17"/>
      <c r="AK282" s="17"/>
      <c r="AL282" s="17"/>
      <c r="AM282" s="17"/>
      <c r="AN282" s="17"/>
      <c r="AO282" s="17"/>
      <c r="AP282" s="17"/>
      <c r="AQ282" s="17"/>
      <c r="AR282" s="17"/>
      <c r="AS282" s="17"/>
      <c r="AT282" s="17"/>
      <c r="AU282" s="17"/>
      <c r="BN282" s="17"/>
      <c r="BO282" s="17"/>
      <c r="BP282" s="17"/>
      <c r="BQ282" s="17"/>
      <c r="BR282" s="17"/>
    </row>
    <row r="283" spans="26:70" x14ac:dyDescent="0.25">
      <c r="Z283" s="17"/>
      <c r="AA283" s="17"/>
      <c r="AB283" s="17"/>
      <c r="AC283" s="17"/>
      <c r="AD283" s="17"/>
      <c r="AE283" s="17"/>
      <c r="AF283" s="60"/>
      <c r="AJ283" s="17"/>
      <c r="AK283" s="17"/>
      <c r="AL283" s="17"/>
      <c r="AM283" s="17"/>
      <c r="AN283" s="17"/>
      <c r="AO283" s="17"/>
      <c r="AP283" s="17"/>
      <c r="AQ283" s="17"/>
      <c r="AR283" s="17"/>
      <c r="AS283" s="17"/>
      <c r="AT283" s="17"/>
      <c r="AU283" s="17"/>
      <c r="BN283" s="17"/>
      <c r="BO283" s="17"/>
      <c r="BP283" s="17"/>
      <c r="BQ283" s="17"/>
      <c r="BR283" s="17"/>
    </row>
    <row r="284" spans="26:70" x14ac:dyDescent="0.25">
      <c r="Z284" s="17"/>
      <c r="AA284" s="17"/>
      <c r="AB284" s="17"/>
      <c r="AC284" s="17"/>
      <c r="AD284" s="17"/>
      <c r="AE284" s="17"/>
      <c r="AF284" s="60"/>
      <c r="AJ284" s="17"/>
      <c r="AK284" s="17"/>
      <c r="AL284" s="17"/>
      <c r="AM284" s="17"/>
      <c r="AN284" s="17"/>
      <c r="AO284" s="17"/>
      <c r="AP284" s="17"/>
      <c r="AQ284" s="17"/>
      <c r="AR284" s="17"/>
      <c r="AS284" s="17"/>
      <c r="AT284" s="17"/>
      <c r="AU284" s="17"/>
      <c r="BN284" s="17"/>
      <c r="BO284" s="17"/>
      <c r="BP284" s="17"/>
      <c r="BQ284" s="17"/>
      <c r="BR284" s="17"/>
    </row>
    <row r="285" spans="26:70" x14ac:dyDescent="0.25">
      <c r="Z285" s="17"/>
      <c r="AA285" s="17"/>
      <c r="AB285" s="17"/>
      <c r="AC285" s="17"/>
      <c r="AD285" s="17"/>
      <c r="AE285" s="17"/>
      <c r="AF285" s="60"/>
      <c r="AJ285" s="17"/>
      <c r="AK285" s="17"/>
      <c r="AL285" s="17"/>
      <c r="AM285" s="17"/>
      <c r="AN285" s="17"/>
      <c r="AO285" s="17"/>
      <c r="AP285" s="17"/>
      <c r="AQ285" s="17"/>
      <c r="AR285" s="17"/>
      <c r="AS285" s="17"/>
      <c r="AT285" s="17"/>
      <c r="AU285" s="17"/>
      <c r="BN285" s="17"/>
      <c r="BO285" s="17"/>
      <c r="BP285" s="17"/>
      <c r="BQ285" s="17"/>
      <c r="BR285" s="17"/>
    </row>
    <row r="286" spans="26:70" x14ac:dyDescent="0.25">
      <c r="Z286" s="17"/>
      <c r="AA286" s="17"/>
      <c r="AB286" s="17"/>
      <c r="AC286" s="17"/>
      <c r="AD286" s="17"/>
      <c r="AE286" s="17"/>
      <c r="AF286" s="60"/>
      <c r="AJ286" s="17"/>
      <c r="AK286" s="17"/>
      <c r="AL286" s="17"/>
      <c r="AM286" s="17"/>
      <c r="AN286" s="17"/>
      <c r="AO286" s="17"/>
      <c r="AP286" s="17"/>
      <c r="AQ286" s="17"/>
      <c r="AR286" s="17"/>
      <c r="AS286" s="17"/>
      <c r="AT286" s="17"/>
      <c r="AU286" s="17"/>
      <c r="BN286" s="17"/>
      <c r="BO286" s="17"/>
      <c r="BP286" s="17"/>
      <c r="BQ286" s="17"/>
      <c r="BR286" s="17"/>
    </row>
    <row r="287" spans="26:70" x14ac:dyDescent="0.25">
      <c r="Z287" s="17"/>
      <c r="AA287" s="17"/>
      <c r="AB287" s="17"/>
      <c r="AC287" s="17"/>
      <c r="AD287" s="17"/>
      <c r="AE287" s="17"/>
      <c r="AF287" s="60"/>
      <c r="AJ287" s="17"/>
      <c r="AK287" s="17"/>
      <c r="AL287" s="17"/>
      <c r="AM287" s="17"/>
      <c r="AN287" s="17"/>
      <c r="AO287" s="17"/>
      <c r="AP287" s="17"/>
      <c r="AQ287" s="17"/>
      <c r="AR287" s="17"/>
      <c r="AS287" s="17"/>
      <c r="AT287" s="17"/>
      <c r="AU287" s="17"/>
      <c r="BN287" s="17"/>
      <c r="BO287" s="17"/>
      <c r="BP287" s="17"/>
      <c r="BQ287" s="17"/>
      <c r="BR287" s="17"/>
    </row>
    <row r="288" spans="26:70" x14ac:dyDescent="0.25">
      <c r="Z288" s="17"/>
      <c r="AA288" s="17"/>
      <c r="AB288" s="17"/>
      <c r="AC288" s="17"/>
      <c r="AD288" s="17"/>
      <c r="AE288" s="17"/>
      <c r="AF288" s="60"/>
      <c r="AJ288" s="17"/>
      <c r="AK288" s="17"/>
      <c r="AL288" s="17"/>
      <c r="AM288" s="17"/>
      <c r="AN288" s="17"/>
      <c r="AO288" s="17"/>
      <c r="AP288" s="17"/>
      <c r="AQ288" s="17"/>
      <c r="AR288" s="17"/>
      <c r="AS288" s="17"/>
      <c r="AT288" s="17"/>
      <c r="AU288" s="17"/>
      <c r="BN288" s="17"/>
      <c r="BO288" s="17"/>
      <c r="BP288" s="17"/>
      <c r="BQ288" s="17"/>
      <c r="BR288" s="17"/>
    </row>
    <row r="289" spans="26:70" x14ac:dyDescent="0.25">
      <c r="Z289" s="17"/>
      <c r="AA289" s="17"/>
      <c r="AB289" s="17"/>
      <c r="AC289" s="17"/>
      <c r="AD289" s="17"/>
      <c r="AE289" s="17"/>
      <c r="AF289" s="60"/>
      <c r="AJ289" s="17"/>
      <c r="AK289" s="17"/>
      <c r="AL289" s="17"/>
      <c r="AM289" s="17"/>
      <c r="AN289" s="17"/>
      <c r="AO289" s="17"/>
      <c r="AP289" s="17"/>
      <c r="AQ289" s="17"/>
      <c r="AR289" s="17"/>
      <c r="AS289" s="17"/>
      <c r="AT289" s="17"/>
      <c r="AU289" s="17"/>
      <c r="BN289" s="17"/>
      <c r="BO289" s="17"/>
      <c r="BP289" s="17"/>
      <c r="BQ289" s="17"/>
      <c r="BR289" s="17"/>
    </row>
    <row r="290" spans="26:70" x14ac:dyDescent="0.25">
      <c r="AJ290" s="17"/>
      <c r="AK290" s="17"/>
      <c r="AL290" s="17"/>
      <c r="AM290" s="17"/>
      <c r="AN290" s="17"/>
      <c r="AO290" s="17"/>
      <c r="AP290" s="17"/>
      <c r="AQ290" s="17"/>
      <c r="AR290" s="17"/>
      <c r="AS290" s="17"/>
      <c r="AT290" s="17"/>
      <c r="AU290" s="17"/>
      <c r="BN290" s="17"/>
      <c r="BO290" s="17"/>
      <c r="BP290" s="17"/>
      <c r="BQ290" s="17"/>
      <c r="BR290" s="17"/>
    </row>
    <row r="291" spans="26:70" x14ac:dyDescent="0.25">
      <c r="AJ291" s="17"/>
      <c r="AK291" s="17"/>
      <c r="AL291" s="17"/>
      <c r="AM291" s="17"/>
      <c r="AN291" s="17"/>
      <c r="AO291" s="17"/>
      <c r="AP291" s="17"/>
      <c r="AQ291" s="17"/>
      <c r="AR291" s="17"/>
      <c r="AS291" s="17"/>
      <c r="AT291" s="17"/>
      <c r="AU291" s="17"/>
      <c r="BN291" s="17"/>
      <c r="BO291" s="17"/>
      <c r="BP291" s="17"/>
      <c r="BQ291" s="17"/>
      <c r="BR291" s="17"/>
    </row>
    <row r="292" spans="26:70" x14ac:dyDescent="0.25">
      <c r="AJ292" s="17"/>
      <c r="AK292" s="17"/>
      <c r="AL292" s="17"/>
      <c r="AM292" s="17"/>
      <c r="AN292" s="17"/>
      <c r="AO292" s="17"/>
      <c r="AP292" s="17"/>
      <c r="AQ292" s="17"/>
      <c r="AR292" s="17"/>
      <c r="AS292" s="17"/>
      <c r="AT292" s="17"/>
      <c r="AU292" s="17"/>
      <c r="BN292" s="17"/>
      <c r="BO292" s="17"/>
      <c r="BP292" s="17"/>
      <c r="BQ292" s="17"/>
      <c r="BR292" s="17"/>
    </row>
    <row r="293" spans="26:70" x14ac:dyDescent="0.25">
      <c r="AJ293" s="17"/>
      <c r="AK293" s="17"/>
      <c r="AL293" s="17"/>
      <c r="AM293" s="17"/>
      <c r="AN293" s="17"/>
      <c r="AO293" s="17"/>
      <c r="AP293" s="17"/>
      <c r="AQ293" s="17"/>
      <c r="AR293" s="17"/>
      <c r="AS293" s="17"/>
      <c r="AT293" s="17"/>
      <c r="AU293" s="17"/>
      <c r="BN293" s="17"/>
      <c r="BO293" s="17"/>
      <c r="BP293" s="17"/>
      <c r="BQ293" s="17"/>
      <c r="BR293" s="17"/>
    </row>
    <row r="294" spans="26:70" x14ac:dyDescent="0.25">
      <c r="AJ294" s="17"/>
      <c r="AK294" s="17"/>
      <c r="AL294" s="17"/>
      <c r="AM294" s="17"/>
      <c r="AN294" s="17"/>
      <c r="AO294" s="17"/>
      <c r="AP294" s="17"/>
      <c r="AQ294" s="17"/>
      <c r="AR294" s="17"/>
      <c r="AS294" s="17"/>
      <c r="AT294" s="17"/>
      <c r="AU294" s="17"/>
      <c r="BN294" s="17"/>
      <c r="BO294" s="17"/>
      <c r="BP294" s="17"/>
      <c r="BQ294" s="17"/>
      <c r="BR294" s="17"/>
    </row>
    <row r="295" spans="26:70" x14ac:dyDescent="0.25">
      <c r="AJ295" s="17"/>
      <c r="AK295" s="17"/>
      <c r="AL295" s="17"/>
      <c r="AM295" s="17"/>
      <c r="AN295" s="17"/>
      <c r="AO295" s="17"/>
      <c r="AP295" s="17"/>
      <c r="AQ295" s="17"/>
      <c r="AR295" s="17"/>
      <c r="AS295" s="17"/>
      <c r="AT295" s="17"/>
      <c r="AU295" s="17"/>
      <c r="BN295" s="17"/>
      <c r="BO295" s="17"/>
      <c r="BP295" s="17"/>
      <c r="BQ295" s="17"/>
      <c r="BR295" s="17"/>
    </row>
    <row r="296" spans="26:70" x14ac:dyDescent="0.25">
      <c r="AJ296" s="17"/>
      <c r="AK296" s="17"/>
      <c r="AL296" s="17"/>
      <c r="AM296" s="17"/>
      <c r="AN296" s="17"/>
      <c r="AO296" s="17"/>
      <c r="AP296" s="17"/>
      <c r="AQ296" s="17"/>
      <c r="AR296" s="17"/>
      <c r="AS296" s="17"/>
      <c r="AT296" s="17"/>
      <c r="AU296" s="17"/>
      <c r="BN296" s="17"/>
      <c r="BO296" s="17"/>
      <c r="BP296" s="17"/>
      <c r="BQ296" s="17"/>
      <c r="BR296" s="17"/>
    </row>
    <row r="297" spans="26:70" x14ac:dyDescent="0.25">
      <c r="AJ297" s="17"/>
      <c r="AK297" s="17"/>
      <c r="AL297" s="17"/>
      <c r="AM297" s="17"/>
      <c r="AN297" s="17"/>
      <c r="AO297" s="17"/>
      <c r="AP297" s="17"/>
      <c r="AQ297" s="17"/>
      <c r="AR297" s="17"/>
      <c r="AS297" s="17"/>
      <c r="AT297" s="17"/>
      <c r="AU297" s="17"/>
      <c r="BN297" s="17"/>
      <c r="BO297" s="17"/>
      <c r="BP297" s="17"/>
      <c r="BQ297" s="17"/>
      <c r="BR297" s="17"/>
    </row>
    <row r="298" spans="26:70" x14ac:dyDescent="0.25">
      <c r="AJ298" s="17"/>
      <c r="AK298" s="17"/>
      <c r="AL298" s="17"/>
      <c r="AM298" s="17"/>
      <c r="AN298" s="17"/>
      <c r="AO298" s="17"/>
      <c r="AP298" s="17"/>
      <c r="AQ298" s="17"/>
      <c r="AR298" s="17"/>
      <c r="AS298" s="17"/>
      <c r="AT298" s="17"/>
      <c r="AU298" s="17"/>
      <c r="BN298" s="17"/>
      <c r="BO298" s="17"/>
      <c r="BP298" s="17"/>
      <c r="BQ298" s="17"/>
      <c r="BR298" s="17"/>
    </row>
    <row r="299" spans="26:70" x14ac:dyDescent="0.25">
      <c r="AJ299" s="17"/>
      <c r="AK299" s="17"/>
      <c r="AL299" s="17"/>
      <c r="AM299" s="17"/>
      <c r="AN299" s="17"/>
      <c r="AO299" s="17"/>
      <c r="AP299" s="17"/>
      <c r="AQ299" s="17"/>
      <c r="AR299" s="17"/>
      <c r="AS299" s="17"/>
      <c r="AT299" s="17"/>
      <c r="AU299" s="17"/>
      <c r="BN299" s="17"/>
      <c r="BO299" s="17"/>
      <c r="BP299" s="17"/>
      <c r="BQ299" s="17"/>
      <c r="BR299" s="17"/>
    </row>
    <row r="300" spans="26:70" x14ac:dyDescent="0.25">
      <c r="AJ300" s="17"/>
      <c r="AK300" s="17"/>
      <c r="AL300" s="17"/>
      <c r="AM300" s="17"/>
      <c r="AN300" s="17"/>
      <c r="AO300" s="17"/>
      <c r="AP300" s="17"/>
      <c r="AQ300" s="17"/>
      <c r="AR300" s="17"/>
      <c r="AS300" s="17"/>
      <c r="AT300" s="17"/>
      <c r="AU300" s="17"/>
      <c r="BN300" s="17"/>
      <c r="BO300" s="17"/>
      <c r="BP300" s="17"/>
      <c r="BQ300" s="17"/>
      <c r="BR300" s="17"/>
    </row>
    <row r="301" spans="26:70" x14ac:dyDescent="0.25">
      <c r="BN301" s="17"/>
      <c r="BO301" s="17"/>
      <c r="BP301" s="17"/>
      <c r="BQ301" s="17"/>
      <c r="BR301" s="17"/>
    </row>
    <row r="302" spans="26:70" x14ac:dyDescent="0.25">
      <c r="BN302" s="17"/>
      <c r="BO302" s="17"/>
      <c r="BP302" s="17"/>
      <c r="BQ302" s="17"/>
      <c r="BR302" s="17"/>
    </row>
    <row r="303" spans="26:70" x14ac:dyDescent="0.25">
      <c r="BN303" s="17"/>
      <c r="BO303" s="17"/>
      <c r="BP303" s="17"/>
      <c r="BQ303" s="17"/>
      <c r="BR303" s="17"/>
    </row>
    <row r="304" spans="26:70" x14ac:dyDescent="0.25">
      <c r="BN304" s="17"/>
      <c r="BO304" s="17"/>
      <c r="BP304" s="17"/>
      <c r="BQ304" s="17"/>
      <c r="BR304" s="17"/>
    </row>
    <row r="305" spans="66:70" x14ac:dyDescent="0.25">
      <c r="BN305" s="17"/>
      <c r="BO305" s="17"/>
      <c r="BP305" s="17"/>
      <c r="BQ305" s="17"/>
      <c r="BR305" s="17"/>
    </row>
    <row r="306" spans="66:70" x14ac:dyDescent="0.25">
      <c r="BN306" s="17"/>
      <c r="BO306" s="17"/>
      <c r="BP306" s="17"/>
      <c r="BQ306" s="17"/>
      <c r="BR306" s="17"/>
    </row>
    <row r="307" spans="66:70" x14ac:dyDescent="0.25">
      <c r="BN307" s="17"/>
      <c r="BO307" s="17"/>
      <c r="BP307" s="17"/>
      <c r="BQ307" s="17"/>
      <c r="BR307" s="17"/>
    </row>
    <row r="308" spans="66:70" x14ac:dyDescent="0.25">
      <c r="BN308" s="17"/>
      <c r="BO308" s="17"/>
      <c r="BP308" s="17"/>
      <c r="BQ308" s="17"/>
      <c r="BR308" s="17"/>
    </row>
    <row r="309" spans="66:70" x14ac:dyDescent="0.25">
      <c r="BN309" s="17"/>
      <c r="BO309" s="17"/>
      <c r="BP309" s="17"/>
      <c r="BQ309" s="17"/>
      <c r="BR309" s="17"/>
    </row>
    <row r="310" spans="66:70" x14ac:dyDescent="0.25">
      <c r="BN310" s="17"/>
      <c r="BO310" s="17"/>
      <c r="BP310" s="17"/>
      <c r="BQ310" s="17"/>
      <c r="BR310" s="17"/>
    </row>
    <row r="311" spans="66:70" x14ac:dyDescent="0.25">
      <c r="BN311" s="17"/>
      <c r="BO311" s="17"/>
      <c r="BP311" s="17"/>
      <c r="BQ311" s="17"/>
      <c r="BR311" s="17"/>
    </row>
    <row r="312" spans="66:70" x14ac:dyDescent="0.25">
      <c r="BN312" s="17"/>
      <c r="BO312" s="17"/>
      <c r="BP312" s="17"/>
      <c r="BQ312" s="17"/>
      <c r="BR312" s="17"/>
    </row>
    <row r="313" spans="66:70" x14ac:dyDescent="0.25">
      <c r="BN313" s="17"/>
      <c r="BO313" s="17"/>
      <c r="BP313" s="17"/>
      <c r="BQ313" s="17"/>
      <c r="BR313" s="17"/>
    </row>
    <row r="314" spans="66:70" x14ac:dyDescent="0.25">
      <c r="BN314" s="17"/>
      <c r="BO314" s="17"/>
      <c r="BP314" s="17"/>
      <c r="BQ314" s="17"/>
      <c r="BR314" s="17"/>
    </row>
    <row r="315" spans="66:70" x14ac:dyDescent="0.25">
      <c r="BN315" s="17"/>
      <c r="BO315" s="17"/>
      <c r="BP315" s="17"/>
      <c r="BQ315" s="17"/>
      <c r="BR315" s="17"/>
    </row>
    <row r="316" spans="66:70" x14ac:dyDescent="0.25">
      <c r="BN316" s="17"/>
      <c r="BO316" s="17"/>
      <c r="BP316" s="17"/>
      <c r="BQ316" s="17"/>
      <c r="BR316" s="17"/>
    </row>
    <row r="317" spans="66:70" x14ac:dyDescent="0.25">
      <c r="BN317" s="17"/>
      <c r="BO317" s="17"/>
      <c r="BP317" s="17"/>
      <c r="BQ317" s="17"/>
      <c r="BR317" s="17"/>
    </row>
    <row r="318" spans="66:70" x14ac:dyDescent="0.25">
      <c r="BN318" s="17"/>
      <c r="BO318" s="17"/>
      <c r="BP318" s="17"/>
      <c r="BQ318" s="17"/>
      <c r="BR318" s="17"/>
    </row>
    <row r="319" spans="66:70" x14ac:dyDescent="0.25">
      <c r="BN319" s="17"/>
      <c r="BO319" s="17"/>
      <c r="BP319" s="17"/>
      <c r="BQ319" s="17"/>
      <c r="BR319" s="17"/>
    </row>
    <row r="320" spans="66:70" x14ac:dyDescent="0.25">
      <c r="BN320" s="17"/>
      <c r="BO320" s="17"/>
      <c r="BP320" s="17"/>
      <c r="BQ320" s="17"/>
      <c r="BR320" s="17"/>
    </row>
    <row r="321" spans="66:70" x14ac:dyDescent="0.25">
      <c r="BN321" s="17"/>
      <c r="BO321" s="17"/>
      <c r="BP321" s="17"/>
      <c r="BQ321" s="17"/>
      <c r="BR321" s="17"/>
    </row>
    <row r="322" spans="66:70" x14ac:dyDescent="0.25">
      <c r="BN322" s="17"/>
      <c r="BO322" s="17"/>
      <c r="BP322" s="17"/>
      <c r="BQ322" s="17"/>
      <c r="BR322" s="17"/>
    </row>
    <row r="323" spans="66:70" x14ac:dyDescent="0.25">
      <c r="BN323" s="17"/>
      <c r="BO323" s="17"/>
      <c r="BP323" s="17"/>
      <c r="BQ323" s="17"/>
      <c r="BR323" s="17"/>
    </row>
    <row r="324" spans="66:70" x14ac:dyDescent="0.25">
      <c r="BN324" s="17"/>
      <c r="BO324" s="17"/>
      <c r="BP324" s="17"/>
      <c r="BQ324" s="17"/>
      <c r="BR324" s="17"/>
    </row>
    <row r="325" spans="66:70" x14ac:dyDescent="0.25">
      <c r="BN325" s="17"/>
      <c r="BO325" s="17"/>
      <c r="BP325" s="17"/>
      <c r="BQ325" s="17"/>
      <c r="BR325" s="17"/>
    </row>
    <row r="326" spans="66:70" x14ac:dyDescent="0.25">
      <c r="BN326" s="17"/>
      <c r="BO326" s="17"/>
      <c r="BP326" s="17"/>
      <c r="BQ326" s="17">
        <v>1093138</v>
      </c>
      <c r="BR326" s="17"/>
    </row>
    <row r="327" spans="66:70" x14ac:dyDescent="0.25">
      <c r="BN327" s="17"/>
      <c r="BO327" s="17"/>
      <c r="BP327" s="17"/>
      <c r="BQ327" s="17"/>
      <c r="BR327" s="17"/>
    </row>
    <row r="328" spans="66:70" x14ac:dyDescent="0.25">
      <c r="BN328" s="17"/>
      <c r="BO328" s="17"/>
      <c r="BP328" s="17"/>
      <c r="BQ328" s="17"/>
      <c r="BR328" s="17"/>
    </row>
    <row r="329" spans="66:70" x14ac:dyDescent="0.25">
      <c r="BN329" s="17"/>
      <c r="BO329" s="17"/>
      <c r="BP329" s="17"/>
      <c r="BQ329" s="17"/>
      <c r="BR329" s="17"/>
    </row>
    <row r="330" spans="66:70" x14ac:dyDescent="0.25">
      <c r="BN330" s="17"/>
      <c r="BO330" s="17"/>
      <c r="BP330" s="17"/>
      <c r="BQ330" s="17"/>
      <c r="BR330" s="17"/>
    </row>
    <row r="331" spans="66:70" x14ac:dyDescent="0.25">
      <c r="BN331" s="17"/>
      <c r="BO331" s="17"/>
      <c r="BP331" s="17"/>
      <c r="BQ331" s="17"/>
      <c r="BR331" s="17"/>
    </row>
    <row r="332" spans="66:70" x14ac:dyDescent="0.25">
      <c r="BN332" s="17"/>
      <c r="BO332" s="17"/>
      <c r="BP332" s="17"/>
      <c r="BQ332" s="17"/>
      <c r="BR332" s="17"/>
    </row>
    <row r="333" spans="66:70" x14ac:dyDescent="0.25">
      <c r="BN333" s="17"/>
      <c r="BO333" s="17"/>
      <c r="BP333" s="17"/>
      <c r="BQ333" s="17"/>
      <c r="BR333" s="17"/>
    </row>
    <row r="334" spans="66:70" x14ac:dyDescent="0.25">
      <c r="BN334" s="17"/>
      <c r="BO334" s="17"/>
      <c r="BP334" s="17"/>
      <c r="BQ334" s="17"/>
      <c r="BR334" s="17"/>
    </row>
    <row r="335" spans="66:70" x14ac:dyDescent="0.25">
      <c r="BN335" s="17"/>
      <c r="BO335" s="17"/>
      <c r="BP335" s="17"/>
      <c r="BQ335" s="17"/>
      <c r="BR335" s="17"/>
    </row>
    <row r="336" spans="66:70" x14ac:dyDescent="0.25">
      <c r="BN336" s="17"/>
      <c r="BO336" s="17"/>
      <c r="BP336" s="17"/>
      <c r="BQ336" s="17"/>
      <c r="BR336" s="17"/>
    </row>
    <row r="337" spans="66:70" x14ac:dyDescent="0.25">
      <c r="BN337" s="17"/>
      <c r="BO337" s="17"/>
      <c r="BP337" s="17"/>
      <c r="BQ337" s="17"/>
      <c r="BR337" s="17"/>
    </row>
    <row r="338" spans="66:70" x14ac:dyDescent="0.25">
      <c r="BN338" s="17"/>
      <c r="BO338" s="17"/>
      <c r="BP338" s="17"/>
      <c r="BQ338" s="17"/>
      <c r="BR338" s="17"/>
    </row>
    <row r="339" spans="66:70" x14ac:dyDescent="0.25">
      <c r="BN339" s="17"/>
      <c r="BO339" s="17"/>
      <c r="BP339" s="17"/>
      <c r="BQ339" s="17"/>
      <c r="BR339" s="17"/>
    </row>
    <row r="340" spans="66:70" x14ac:dyDescent="0.25">
      <c r="BN340" s="17"/>
      <c r="BO340" s="17"/>
      <c r="BP340" s="17"/>
      <c r="BQ340" s="17"/>
      <c r="BR340" s="17"/>
    </row>
    <row r="341" spans="66:70" x14ac:dyDescent="0.25">
      <c r="BN341" s="17"/>
      <c r="BO341" s="17"/>
      <c r="BP341" s="17"/>
      <c r="BQ341" s="17"/>
      <c r="BR341" s="17"/>
    </row>
    <row r="342" spans="66:70" x14ac:dyDescent="0.25">
      <c r="BN342" s="17"/>
      <c r="BO342" s="17"/>
      <c r="BP342" s="17"/>
      <c r="BQ342" s="17"/>
      <c r="BR342" s="17"/>
    </row>
    <row r="343" spans="66:70" x14ac:dyDescent="0.25">
      <c r="BN343" s="17"/>
      <c r="BO343" s="17"/>
      <c r="BP343" s="17"/>
      <c r="BQ343" s="17"/>
      <c r="BR343" s="17"/>
    </row>
    <row r="344" spans="66:70" x14ac:dyDescent="0.25">
      <c r="BN344" s="17"/>
      <c r="BO344" s="17"/>
      <c r="BP344" s="17"/>
      <c r="BQ344" s="17"/>
      <c r="BR344" s="17"/>
    </row>
    <row r="345" spans="66:70" x14ac:dyDescent="0.25">
      <c r="BN345" s="17"/>
      <c r="BO345" s="17"/>
      <c r="BP345" s="17"/>
      <c r="BQ345" s="17"/>
      <c r="BR345" s="17"/>
    </row>
    <row r="346" spans="66:70" x14ac:dyDescent="0.25">
      <c r="BN346" s="17"/>
      <c r="BO346" s="17"/>
      <c r="BP346" s="17"/>
      <c r="BQ346" s="17"/>
      <c r="BR346" s="17"/>
    </row>
    <row r="347" spans="66:70" x14ac:dyDescent="0.25">
      <c r="BN347" s="17"/>
      <c r="BO347" s="17"/>
      <c r="BP347" s="17"/>
      <c r="BQ347" s="17"/>
      <c r="BR347" s="17"/>
    </row>
    <row r="348" spans="66:70" x14ac:dyDescent="0.25">
      <c r="BN348" s="17"/>
      <c r="BO348" s="17"/>
      <c r="BP348" s="17"/>
      <c r="BQ348" s="17"/>
      <c r="BR348" s="17"/>
    </row>
    <row r="349" spans="66:70" x14ac:dyDescent="0.25">
      <c r="BN349" s="17"/>
      <c r="BO349" s="17"/>
      <c r="BP349" s="17"/>
      <c r="BQ349" s="17"/>
      <c r="BR349" s="17"/>
    </row>
    <row r="350" spans="66:70" x14ac:dyDescent="0.25">
      <c r="BN350" s="17"/>
      <c r="BO350" s="17"/>
      <c r="BP350" s="17"/>
      <c r="BQ350" s="17"/>
      <c r="BR350" s="17"/>
    </row>
    <row r="351" spans="66:70" x14ac:dyDescent="0.25">
      <c r="BN351" s="17"/>
      <c r="BO351" s="17"/>
      <c r="BP351" s="17"/>
      <c r="BQ351" s="17"/>
      <c r="BR351" s="17"/>
    </row>
    <row r="352" spans="66:70" x14ac:dyDescent="0.25">
      <c r="BN352" s="17"/>
      <c r="BO352" s="17"/>
      <c r="BP352" s="17"/>
      <c r="BQ352" s="17"/>
      <c r="BR352" s="17"/>
    </row>
    <row r="353" spans="66:70" x14ac:dyDescent="0.25">
      <c r="BN353" s="17"/>
      <c r="BO353" s="17"/>
      <c r="BP353" s="17"/>
      <c r="BQ353" s="17"/>
      <c r="BR353" s="17"/>
    </row>
    <row r="354" spans="66:70" x14ac:dyDescent="0.25">
      <c r="BN354" s="17"/>
      <c r="BO354" s="17"/>
      <c r="BP354" s="17"/>
      <c r="BQ354" s="17"/>
      <c r="BR354" s="17"/>
    </row>
    <row r="355" spans="66:70" x14ac:dyDescent="0.25">
      <c r="BN355" s="17"/>
      <c r="BO355" s="17"/>
      <c r="BP355" s="17"/>
      <c r="BQ355" s="17"/>
      <c r="BR355" s="17"/>
    </row>
    <row r="356" spans="66:70" x14ac:dyDescent="0.25">
      <c r="BN356" s="17"/>
      <c r="BO356" s="17"/>
      <c r="BP356" s="17"/>
      <c r="BQ356" s="17"/>
      <c r="BR356" s="17"/>
    </row>
    <row r="357" spans="66:70" x14ac:dyDescent="0.25">
      <c r="BN357" s="17"/>
      <c r="BO357" s="17"/>
      <c r="BP357" s="17"/>
      <c r="BQ357" s="17"/>
      <c r="BR357" s="17"/>
    </row>
    <row r="358" spans="66:70" x14ac:dyDescent="0.25">
      <c r="BN358" s="17"/>
      <c r="BO358" s="17"/>
      <c r="BP358" s="17"/>
      <c r="BQ358" s="17"/>
      <c r="BR358" s="17"/>
    </row>
    <row r="359" spans="66:70" x14ac:dyDescent="0.25">
      <c r="BN359" s="17"/>
      <c r="BO359" s="17"/>
      <c r="BP359" s="17"/>
      <c r="BQ359" s="17"/>
      <c r="BR359" s="17"/>
    </row>
    <row r="360" spans="66:70" x14ac:dyDescent="0.25">
      <c r="BN360" s="17"/>
      <c r="BO360" s="17"/>
      <c r="BP360" s="17"/>
      <c r="BQ360" s="17"/>
      <c r="BR360" s="17"/>
    </row>
    <row r="361" spans="66:70" x14ac:dyDescent="0.25">
      <c r="BN361" s="17"/>
      <c r="BO361" s="17"/>
      <c r="BP361" s="17"/>
      <c r="BQ361" s="17"/>
      <c r="BR361" s="17"/>
    </row>
    <row r="362" spans="66:70" x14ac:dyDescent="0.25">
      <c r="BN362" s="17"/>
      <c r="BO362" s="17"/>
      <c r="BP362" s="17"/>
      <c r="BQ362" s="17"/>
      <c r="BR362" s="17"/>
    </row>
    <row r="363" spans="66:70" x14ac:dyDescent="0.25">
      <c r="BN363" s="17"/>
      <c r="BO363" s="17"/>
      <c r="BP363" s="17"/>
      <c r="BQ363" s="17"/>
      <c r="BR363" s="17"/>
    </row>
    <row r="364" spans="66:70" x14ac:dyDescent="0.25">
      <c r="BN364" s="17"/>
      <c r="BO364" s="17"/>
      <c r="BP364" s="17"/>
      <c r="BQ364" s="17"/>
      <c r="BR364" s="17"/>
    </row>
    <row r="365" spans="66:70" x14ac:dyDescent="0.25">
      <c r="BN365" s="17"/>
      <c r="BO365" s="17"/>
      <c r="BP365" s="17"/>
      <c r="BQ365" s="17"/>
      <c r="BR365" s="17"/>
    </row>
    <row r="366" spans="66:70" x14ac:dyDescent="0.25">
      <c r="BN366" s="17"/>
      <c r="BO366" s="17"/>
      <c r="BP366" s="17"/>
      <c r="BQ366" s="17"/>
      <c r="BR366" s="17"/>
    </row>
    <row r="367" spans="66:70" x14ac:dyDescent="0.25">
      <c r="BN367" s="17"/>
      <c r="BO367" s="17"/>
      <c r="BP367" s="17"/>
      <c r="BQ367" s="17"/>
      <c r="BR367" s="17"/>
    </row>
    <row r="368" spans="66:70" x14ac:dyDescent="0.25">
      <c r="BN368" s="17"/>
      <c r="BO368" s="17"/>
      <c r="BP368" s="17"/>
      <c r="BQ368" s="17"/>
      <c r="BR368" s="17"/>
    </row>
    <row r="369" spans="66:70" x14ac:dyDescent="0.25">
      <c r="BN369" s="17"/>
      <c r="BO369" s="17"/>
      <c r="BP369" s="17"/>
      <c r="BQ369" s="17"/>
      <c r="BR369" s="17"/>
    </row>
    <row r="370" spans="66:70" x14ac:dyDescent="0.25">
      <c r="BN370" s="17"/>
      <c r="BO370" s="17"/>
      <c r="BP370" s="17"/>
      <c r="BQ370" s="17"/>
      <c r="BR370" s="17"/>
    </row>
    <row r="371" spans="66:70" x14ac:dyDescent="0.25">
      <c r="BN371" s="17"/>
      <c r="BO371" s="17"/>
      <c r="BP371" s="17"/>
      <c r="BQ371" s="17"/>
      <c r="BR371" s="17"/>
    </row>
    <row r="372" spans="66:70" x14ac:dyDescent="0.25">
      <c r="BN372" s="17"/>
      <c r="BO372" s="17"/>
      <c r="BP372" s="17"/>
      <c r="BQ372" s="17"/>
      <c r="BR372" s="17"/>
    </row>
    <row r="373" spans="66:70" x14ac:dyDescent="0.25">
      <c r="BN373" s="17"/>
      <c r="BO373" s="17"/>
      <c r="BP373" s="17"/>
      <c r="BQ373" s="17"/>
      <c r="BR373" s="17"/>
    </row>
    <row r="374" spans="66:70" x14ac:dyDescent="0.25">
      <c r="BN374" s="17"/>
      <c r="BO374" s="17"/>
      <c r="BP374" s="17"/>
      <c r="BQ374" s="17"/>
      <c r="BR374" s="17"/>
    </row>
    <row r="375" spans="66:70" x14ac:dyDescent="0.25">
      <c r="BN375" s="17"/>
      <c r="BO375" s="17"/>
      <c r="BP375" s="17"/>
      <c r="BQ375" s="17"/>
      <c r="BR375" s="17"/>
    </row>
    <row r="376" spans="66:70" x14ac:dyDescent="0.25">
      <c r="BN376" s="17"/>
      <c r="BO376" s="17"/>
      <c r="BP376" s="17"/>
      <c r="BQ376" s="17"/>
      <c r="BR376" s="17"/>
    </row>
    <row r="377" spans="66:70" x14ac:dyDescent="0.25">
      <c r="BN377" s="17"/>
      <c r="BO377" s="17"/>
      <c r="BP377" s="17"/>
      <c r="BQ377" s="17"/>
      <c r="BR377" s="17"/>
    </row>
    <row r="378" spans="66:70" x14ac:dyDescent="0.25">
      <c r="BN378" s="17"/>
      <c r="BO378" s="17"/>
      <c r="BP378" s="17"/>
      <c r="BQ378" s="17"/>
      <c r="BR378" s="17"/>
    </row>
    <row r="379" spans="66:70" x14ac:dyDescent="0.25">
      <c r="BN379" s="17"/>
      <c r="BO379" s="17"/>
      <c r="BP379" s="17"/>
      <c r="BQ379" s="17"/>
      <c r="BR379" s="17"/>
    </row>
    <row r="380" spans="66:70" x14ac:dyDescent="0.25">
      <c r="BN380" s="17"/>
      <c r="BO380" s="17"/>
      <c r="BP380" s="17"/>
      <c r="BQ380" s="17">
        <v>1093139</v>
      </c>
      <c r="BR380" s="17"/>
    </row>
    <row r="381" spans="66:70" x14ac:dyDescent="0.25">
      <c r="BN381" s="17"/>
      <c r="BO381" s="17"/>
      <c r="BP381" s="17"/>
      <c r="BQ381" s="17"/>
      <c r="BR381" s="17"/>
    </row>
    <row r="382" spans="66:70" x14ac:dyDescent="0.25">
      <c r="BN382" s="17"/>
      <c r="BO382" s="17"/>
      <c r="BP382" s="17"/>
      <c r="BQ382" s="17"/>
      <c r="BR382" s="17"/>
    </row>
    <row r="383" spans="66:70" x14ac:dyDescent="0.25">
      <c r="BN383" s="17"/>
      <c r="BO383" s="17"/>
      <c r="BP383" s="17"/>
      <c r="BQ383" s="17"/>
      <c r="BR383" s="17"/>
    </row>
    <row r="384" spans="66:70" x14ac:dyDescent="0.25">
      <c r="BN384" s="17"/>
      <c r="BO384" s="17"/>
      <c r="BP384" s="17"/>
      <c r="BQ384" s="17"/>
      <c r="BR384" s="17"/>
    </row>
    <row r="385" spans="66:70" x14ac:dyDescent="0.25">
      <c r="BN385" s="17"/>
      <c r="BO385" s="17"/>
      <c r="BP385" s="17"/>
      <c r="BQ385" s="17"/>
      <c r="BR385" s="17"/>
    </row>
    <row r="386" spans="66:70" x14ac:dyDescent="0.25">
      <c r="BN386" s="17"/>
      <c r="BO386" s="17"/>
      <c r="BP386" s="17"/>
      <c r="BQ386" s="17"/>
      <c r="BR386" s="17"/>
    </row>
    <row r="387" spans="66:70" x14ac:dyDescent="0.25">
      <c r="BN387" s="17"/>
      <c r="BO387" s="17"/>
      <c r="BP387" s="17"/>
      <c r="BQ387" s="17"/>
      <c r="BR387" s="17"/>
    </row>
    <row r="388" spans="66:70" x14ac:dyDescent="0.25">
      <c r="BN388" s="17"/>
      <c r="BO388" s="17"/>
      <c r="BP388" s="17"/>
      <c r="BQ388" s="17"/>
      <c r="BR388" s="17"/>
    </row>
    <row r="389" spans="66:70" x14ac:dyDescent="0.25">
      <c r="BN389" s="17"/>
      <c r="BO389" s="17"/>
      <c r="BP389" s="17"/>
      <c r="BQ389" s="17"/>
      <c r="BR389" s="17"/>
    </row>
    <row r="390" spans="66:70" x14ac:dyDescent="0.25">
      <c r="BN390" s="17"/>
      <c r="BO390" s="17"/>
      <c r="BP390" s="17"/>
      <c r="BQ390" s="17"/>
      <c r="BR390" s="17"/>
    </row>
    <row r="391" spans="66:70" x14ac:dyDescent="0.25">
      <c r="BN391" s="17"/>
      <c r="BO391" s="17"/>
      <c r="BP391" s="17"/>
      <c r="BQ391" s="17"/>
      <c r="BR391" s="17"/>
    </row>
    <row r="392" spans="66:70" x14ac:dyDescent="0.25">
      <c r="BN392" s="17"/>
      <c r="BO392" s="17"/>
      <c r="BP392" s="17"/>
      <c r="BQ392" s="17"/>
      <c r="BR392" s="17"/>
    </row>
    <row r="393" spans="66:70" x14ac:dyDescent="0.25">
      <c r="BN393" s="17"/>
      <c r="BO393" s="17"/>
      <c r="BP393" s="17"/>
      <c r="BQ393" s="17"/>
      <c r="BR393" s="17"/>
    </row>
    <row r="394" spans="66:70" x14ac:dyDescent="0.25">
      <c r="BN394" s="17"/>
      <c r="BO394" s="17"/>
      <c r="BP394" s="17"/>
      <c r="BQ394" s="17"/>
      <c r="BR394" s="17"/>
    </row>
    <row r="395" spans="66:70" x14ac:dyDescent="0.25">
      <c r="BN395" s="17"/>
      <c r="BO395" s="17"/>
      <c r="BP395" s="17"/>
      <c r="BQ395" s="17"/>
      <c r="BR395" s="17"/>
    </row>
    <row r="396" spans="66:70" x14ac:dyDescent="0.25">
      <c r="BN396" s="17"/>
      <c r="BO396" s="17"/>
      <c r="BP396" s="17"/>
      <c r="BQ396" s="17"/>
      <c r="BR396" s="17"/>
    </row>
    <row r="397" spans="66:70" x14ac:dyDescent="0.25">
      <c r="BN397" s="17"/>
      <c r="BO397" s="17"/>
      <c r="BP397" s="17"/>
      <c r="BQ397" s="17"/>
      <c r="BR397" s="17"/>
    </row>
    <row r="398" spans="66:70" x14ac:dyDescent="0.25">
      <c r="BN398" s="17"/>
      <c r="BO398" s="17"/>
      <c r="BP398" s="17"/>
      <c r="BQ398" s="17"/>
      <c r="BR398" s="17"/>
    </row>
    <row r="399" spans="66:70" x14ac:dyDescent="0.25">
      <c r="BN399" s="17"/>
      <c r="BO399" s="17"/>
      <c r="BP399" s="17"/>
      <c r="BQ399" s="17"/>
      <c r="BR399" s="17"/>
    </row>
    <row r="400" spans="66:70" x14ac:dyDescent="0.25">
      <c r="BN400" s="17"/>
      <c r="BO400" s="17"/>
      <c r="BP400" s="17"/>
      <c r="BQ400" s="17"/>
      <c r="BR400" s="17"/>
    </row>
    <row r="401" spans="66:70" x14ac:dyDescent="0.25">
      <c r="BN401" s="17"/>
      <c r="BO401" s="17"/>
      <c r="BP401" s="17"/>
      <c r="BQ401" s="17"/>
      <c r="BR401" s="17"/>
    </row>
    <row r="402" spans="66:70" x14ac:dyDescent="0.25">
      <c r="BN402" s="17"/>
      <c r="BO402" s="17"/>
      <c r="BP402" s="17"/>
      <c r="BQ402" s="17"/>
      <c r="BR402" s="17"/>
    </row>
    <row r="403" spans="66:70" x14ac:dyDescent="0.25">
      <c r="BN403" s="17"/>
      <c r="BO403" s="17"/>
      <c r="BP403" s="17"/>
      <c r="BQ403" s="17"/>
      <c r="BR403" s="17"/>
    </row>
    <row r="404" spans="66:70" x14ac:dyDescent="0.25">
      <c r="BN404" s="17"/>
      <c r="BO404" s="17"/>
      <c r="BP404" s="17"/>
      <c r="BQ404" s="17"/>
      <c r="BR404" s="17"/>
    </row>
    <row r="405" spans="66:70" x14ac:dyDescent="0.25">
      <c r="BN405" s="17"/>
      <c r="BO405" s="17"/>
      <c r="BP405" s="17"/>
      <c r="BQ405" s="17"/>
      <c r="BR405" s="17"/>
    </row>
    <row r="406" spans="66:70" x14ac:dyDescent="0.25">
      <c r="BN406" s="17"/>
      <c r="BO406" s="17"/>
      <c r="BP406" s="17"/>
      <c r="BQ406" s="17"/>
      <c r="BR406" s="17"/>
    </row>
    <row r="407" spans="66:70" x14ac:dyDescent="0.25">
      <c r="BN407" s="17"/>
      <c r="BO407" s="17"/>
      <c r="BP407" s="17"/>
      <c r="BQ407" s="17"/>
      <c r="BR407" s="17"/>
    </row>
    <row r="408" spans="66:70" x14ac:dyDescent="0.25">
      <c r="BN408" s="17"/>
      <c r="BO408" s="17"/>
      <c r="BP408" s="17"/>
      <c r="BQ408" s="17"/>
      <c r="BR408" s="17"/>
    </row>
    <row r="409" spans="66:70" x14ac:dyDescent="0.25">
      <c r="BN409" s="17"/>
      <c r="BO409" s="17"/>
      <c r="BP409" s="17"/>
      <c r="BQ409" s="17"/>
      <c r="BR409" s="17"/>
    </row>
    <row r="410" spans="66:70" x14ac:dyDescent="0.25">
      <c r="BN410" s="17"/>
      <c r="BO410" s="17"/>
      <c r="BP410" s="17"/>
      <c r="BQ410" s="17"/>
      <c r="BR410" s="17"/>
    </row>
    <row r="411" spans="66:70" x14ac:dyDescent="0.25">
      <c r="BN411" s="17"/>
      <c r="BO411" s="17"/>
      <c r="BP411" s="17"/>
      <c r="BQ411" s="17"/>
      <c r="BR411" s="17"/>
    </row>
    <row r="412" spans="66:70" x14ac:dyDescent="0.25">
      <c r="BN412" s="17"/>
      <c r="BO412" s="17"/>
      <c r="BP412" s="17"/>
      <c r="BQ412" s="17"/>
      <c r="BR412" s="17"/>
    </row>
    <row r="413" spans="66:70" x14ac:dyDescent="0.25">
      <c r="BN413" s="17"/>
      <c r="BO413" s="17"/>
      <c r="BP413" s="17"/>
      <c r="BQ413" s="17"/>
      <c r="BR413" s="17"/>
    </row>
    <row r="414" spans="66:70" x14ac:dyDescent="0.25">
      <c r="BN414" s="17"/>
      <c r="BO414" s="17"/>
      <c r="BP414" s="17"/>
      <c r="BQ414" s="17"/>
      <c r="BR414" s="17"/>
    </row>
    <row r="415" spans="66:70" x14ac:dyDescent="0.25">
      <c r="BN415" s="17"/>
      <c r="BO415" s="17"/>
      <c r="BP415" s="17"/>
      <c r="BQ415" s="17"/>
      <c r="BR415" s="17"/>
    </row>
    <row r="416" spans="66:70" x14ac:dyDescent="0.25">
      <c r="BN416" s="17"/>
      <c r="BO416" s="17"/>
      <c r="BP416" s="17"/>
      <c r="BQ416" s="17"/>
      <c r="BR416" s="17"/>
    </row>
    <row r="417" spans="66:70" x14ac:dyDescent="0.25">
      <c r="BN417" s="17"/>
      <c r="BO417" s="17"/>
      <c r="BP417" s="17"/>
      <c r="BQ417" s="17"/>
      <c r="BR417" s="17"/>
    </row>
    <row r="418" spans="66:70" x14ac:dyDescent="0.25">
      <c r="BN418" s="17"/>
      <c r="BO418" s="17"/>
      <c r="BP418" s="17"/>
      <c r="BQ418" s="17"/>
      <c r="BR418" s="17"/>
    </row>
    <row r="419" spans="66:70" x14ac:dyDescent="0.25">
      <c r="BN419" s="17"/>
      <c r="BO419" s="17"/>
      <c r="BP419" s="17"/>
      <c r="BQ419" s="17"/>
      <c r="BR419" s="17"/>
    </row>
    <row r="420" spans="66:70" x14ac:dyDescent="0.25">
      <c r="BN420" s="17"/>
      <c r="BO420" s="17"/>
      <c r="BP420" s="17"/>
      <c r="BQ420" s="17"/>
      <c r="BR420" s="17"/>
    </row>
    <row r="421" spans="66:70" x14ac:dyDescent="0.25">
      <c r="BN421" s="17"/>
      <c r="BO421" s="17"/>
      <c r="BP421" s="17"/>
      <c r="BQ421" s="17"/>
      <c r="BR421" s="17"/>
    </row>
    <row r="422" spans="66:70" x14ac:dyDescent="0.25">
      <c r="BN422" s="17"/>
      <c r="BO422" s="17"/>
      <c r="BP422" s="17"/>
      <c r="BQ422" s="17"/>
      <c r="BR422" s="17"/>
    </row>
    <row r="423" spans="66:70" x14ac:dyDescent="0.25">
      <c r="BN423" s="17"/>
      <c r="BO423" s="17"/>
      <c r="BP423" s="17"/>
      <c r="BQ423" s="17"/>
      <c r="BR423" s="17"/>
    </row>
    <row r="424" spans="66:70" x14ac:dyDescent="0.25">
      <c r="BN424" s="17"/>
      <c r="BO424" s="17"/>
      <c r="BP424" s="17"/>
      <c r="BQ424" s="17"/>
      <c r="BR424" s="17"/>
    </row>
    <row r="425" spans="66:70" x14ac:dyDescent="0.25">
      <c r="BN425" s="17"/>
      <c r="BO425" s="17"/>
      <c r="BP425" s="17"/>
      <c r="BQ425" s="17"/>
      <c r="BR425" s="17"/>
    </row>
    <row r="426" spans="66:70" x14ac:dyDescent="0.25">
      <c r="BN426" s="17"/>
      <c r="BO426" s="17"/>
      <c r="BP426" s="17"/>
      <c r="BQ426" s="17"/>
      <c r="BR426" s="17"/>
    </row>
    <row r="427" spans="66:70" x14ac:dyDescent="0.25">
      <c r="BN427" s="17"/>
      <c r="BO427" s="17"/>
      <c r="BP427" s="17"/>
      <c r="BQ427" s="17"/>
      <c r="BR427" s="17"/>
    </row>
    <row r="428" spans="66:70" x14ac:dyDescent="0.25">
      <c r="BN428" s="17"/>
      <c r="BO428" s="17"/>
      <c r="BP428" s="17"/>
      <c r="BQ428" s="17"/>
      <c r="BR428" s="17"/>
    </row>
    <row r="429" spans="66:70" x14ac:dyDescent="0.25">
      <c r="BN429" s="17"/>
      <c r="BO429" s="17"/>
      <c r="BP429" s="17"/>
      <c r="BQ429" s="17"/>
      <c r="BR429" s="17"/>
    </row>
    <row r="430" spans="66:70" x14ac:dyDescent="0.25">
      <c r="BN430" s="17"/>
      <c r="BO430" s="17"/>
      <c r="BP430" s="17"/>
      <c r="BQ430" s="17"/>
      <c r="BR430" s="17"/>
    </row>
    <row r="431" spans="66:70" x14ac:dyDescent="0.25">
      <c r="BN431" s="17"/>
      <c r="BO431" s="17"/>
      <c r="BP431" s="17"/>
      <c r="BQ431" s="17"/>
      <c r="BR431" s="17"/>
    </row>
    <row r="432" spans="66:70" x14ac:dyDescent="0.25">
      <c r="BN432" s="17"/>
      <c r="BO432" s="17"/>
      <c r="BP432" s="17"/>
      <c r="BQ432" s="17"/>
      <c r="BR432" s="17"/>
    </row>
    <row r="433" spans="66:70" x14ac:dyDescent="0.25">
      <c r="BN433" s="17"/>
      <c r="BO433" s="17"/>
      <c r="BP433" s="17"/>
      <c r="BQ433" s="17"/>
      <c r="BR433" s="17"/>
    </row>
    <row r="434" spans="66:70" x14ac:dyDescent="0.25">
      <c r="BN434" s="17"/>
      <c r="BO434" s="17"/>
      <c r="BP434" s="17"/>
      <c r="BQ434" s="17">
        <v>1093140</v>
      </c>
      <c r="BR434" s="17"/>
    </row>
    <row r="435" spans="66:70" x14ac:dyDescent="0.25">
      <c r="BN435" s="17"/>
      <c r="BO435" s="17"/>
      <c r="BP435" s="17"/>
      <c r="BQ435" s="17"/>
      <c r="BR435" s="17"/>
    </row>
    <row r="436" spans="66:70" x14ac:dyDescent="0.25">
      <c r="BN436" s="17"/>
      <c r="BO436" s="17"/>
      <c r="BP436" s="17"/>
      <c r="BQ436" s="17"/>
      <c r="BR436" s="17"/>
    </row>
    <row r="437" spans="66:70" x14ac:dyDescent="0.25">
      <c r="BN437" s="17"/>
      <c r="BO437" s="17"/>
      <c r="BP437" s="17"/>
      <c r="BQ437" s="17"/>
      <c r="BR437" s="17"/>
    </row>
    <row r="438" spans="66:70" x14ac:dyDescent="0.25">
      <c r="BN438" s="17"/>
      <c r="BO438" s="17"/>
      <c r="BP438" s="17"/>
      <c r="BQ438" s="17"/>
      <c r="BR438" s="17"/>
    </row>
    <row r="439" spans="66:70" x14ac:dyDescent="0.25">
      <c r="BN439" s="17"/>
      <c r="BO439" s="17"/>
      <c r="BP439" s="17"/>
      <c r="BQ439" s="17"/>
      <c r="BR439" s="17"/>
    </row>
    <row r="440" spans="66:70" x14ac:dyDescent="0.25">
      <c r="BN440" s="17"/>
      <c r="BO440" s="17"/>
      <c r="BP440" s="17"/>
      <c r="BQ440" s="17"/>
      <c r="BR440" s="17"/>
    </row>
    <row r="441" spans="66:70" x14ac:dyDescent="0.25">
      <c r="BN441" s="17"/>
      <c r="BO441" s="17"/>
      <c r="BP441" s="17"/>
      <c r="BQ441" s="17"/>
      <c r="BR441" s="17"/>
    </row>
    <row r="442" spans="66:70" x14ac:dyDescent="0.25">
      <c r="BN442" s="17"/>
      <c r="BO442" s="17"/>
      <c r="BP442" s="17"/>
      <c r="BQ442" s="17"/>
      <c r="BR442" s="17"/>
    </row>
    <row r="443" spans="66:70" x14ac:dyDescent="0.25">
      <c r="BN443" s="17"/>
      <c r="BO443" s="17"/>
      <c r="BP443" s="17"/>
      <c r="BQ443" s="17"/>
      <c r="BR443" s="17"/>
    </row>
    <row r="444" spans="66:70" x14ac:dyDescent="0.25">
      <c r="BN444" s="17"/>
      <c r="BO444" s="17"/>
      <c r="BP444" s="17"/>
      <c r="BQ444" s="17"/>
      <c r="BR444" s="17"/>
    </row>
    <row r="445" spans="66:70" x14ac:dyDescent="0.25">
      <c r="BN445" s="17"/>
      <c r="BO445" s="17"/>
      <c r="BP445" s="17"/>
      <c r="BQ445" s="17"/>
      <c r="BR445" s="17"/>
    </row>
    <row r="446" spans="66:70" x14ac:dyDescent="0.25">
      <c r="BN446" s="17"/>
      <c r="BO446" s="17"/>
      <c r="BP446" s="17"/>
      <c r="BQ446" s="17"/>
      <c r="BR446" s="17"/>
    </row>
    <row r="447" spans="66:70" x14ac:dyDescent="0.25">
      <c r="BN447" s="17"/>
      <c r="BO447" s="17"/>
      <c r="BP447" s="17"/>
      <c r="BQ447" s="17"/>
      <c r="BR447" s="17"/>
    </row>
    <row r="448" spans="66:70" x14ac:dyDescent="0.25">
      <c r="BN448" s="17"/>
      <c r="BO448" s="17"/>
      <c r="BP448" s="17"/>
      <c r="BQ448" s="17"/>
      <c r="BR448" s="17"/>
    </row>
    <row r="449" spans="66:70" x14ac:dyDescent="0.25">
      <c r="BN449" s="17"/>
      <c r="BO449" s="17"/>
      <c r="BP449" s="17"/>
      <c r="BQ449" s="17"/>
      <c r="BR449" s="17"/>
    </row>
    <row r="450" spans="66:70" x14ac:dyDescent="0.25">
      <c r="BN450" s="17"/>
      <c r="BO450" s="17"/>
      <c r="BP450" s="17"/>
      <c r="BQ450" s="17"/>
      <c r="BR450" s="17"/>
    </row>
    <row r="451" spans="66:70" x14ac:dyDescent="0.25">
      <c r="BN451" s="17"/>
      <c r="BO451" s="17"/>
      <c r="BP451" s="17"/>
      <c r="BQ451" s="17"/>
      <c r="BR451" s="17"/>
    </row>
    <row r="452" spans="66:70" x14ac:dyDescent="0.25">
      <c r="BN452" s="17"/>
      <c r="BO452" s="17"/>
      <c r="BP452" s="17"/>
      <c r="BQ452" s="17"/>
      <c r="BR452" s="17"/>
    </row>
    <row r="453" spans="66:70" x14ac:dyDescent="0.25">
      <c r="BN453" s="17"/>
      <c r="BO453" s="17"/>
      <c r="BP453" s="17"/>
      <c r="BQ453" s="17"/>
      <c r="BR453" s="17"/>
    </row>
    <row r="454" spans="66:70" x14ac:dyDescent="0.25">
      <c r="BN454" s="17"/>
      <c r="BO454" s="17"/>
      <c r="BP454" s="17"/>
      <c r="BQ454" s="17"/>
      <c r="BR454" s="17"/>
    </row>
    <row r="455" spans="66:70" x14ac:dyDescent="0.25">
      <c r="BN455" s="17"/>
      <c r="BO455" s="17"/>
      <c r="BP455" s="17"/>
      <c r="BQ455" s="17"/>
      <c r="BR455" s="17"/>
    </row>
    <row r="456" spans="66:70" x14ac:dyDescent="0.25">
      <c r="BN456" s="17"/>
      <c r="BO456" s="17"/>
      <c r="BP456" s="17"/>
      <c r="BQ456" s="17"/>
      <c r="BR456" s="17"/>
    </row>
    <row r="457" spans="66:70" x14ac:dyDescent="0.25">
      <c r="BN457" s="17"/>
      <c r="BO457" s="17"/>
      <c r="BP457" s="17"/>
      <c r="BQ457" s="17"/>
      <c r="BR457" s="17"/>
    </row>
    <row r="458" spans="66:70" x14ac:dyDescent="0.25">
      <c r="BN458" s="17"/>
      <c r="BO458" s="17"/>
      <c r="BP458" s="17"/>
      <c r="BQ458" s="17"/>
      <c r="BR458" s="17"/>
    </row>
    <row r="459" spans="66:70" x14ac:dyDescent="0.25">
      <c r="BN459" s="17"/>
      <c r="BO459" s="17"/>
      <c r="BP459" s="17"/>
      <c r="BQ459" s="17"/>
      <c r="BR459" s="17"/>
    </row>
    <row r="460" spans="66:70" x14ac:dyDescent="0.25">
      <c r="BN460" s="17"/>
      <c r="BO460" s="17"/>
      <c r="BP460" s="17"/>
      <c r="BQ460" s="17"/>
      <c r="BR460" s="17"/>
    </row>
    <row r="461" spans="66:70" x14ac:dyDescent="0.25">
      <c r="BN461" s="17"/>
      <c r="BO461" s="17"/>
      <c r="BP461" s="17"/>
      <c r="BQ461" s="17"/>
      <c r="BR461" s="17"/>
    </row>
    <row r="462" spans="66:70" x14ac:dyDescent="0.25">
      <c r="BN462" s="17"/>
      <c r="BO462" s="17"/>
      <c r="BP462" s="17"/>
      <c r="BQ462" s="17"/>
      <c r="BR462" s="17"/>
    </row>
    <row r="463" spans="66:70" x14ac:dyDescent="0.25">
      <c r="BN463" s="17"/>
      <c r="BO463" s="17"/>
      <c r="BP463" s="17"/>
      <c r="BQ463" s="17"/>
      <c r="BR463" s="17"/>
    </row>
    <row r="464" spans="66:70" x14ac:dyDescent="0.25">
      <c r="BN464" s="17"/>
      <c r="BO464" s="17"/>
      <c r="BP464" s="17"/>
      <c r="BQ464" s="17"/>
      <c r="BR464" s="17"/>
    </row>
    <row r="465" spans="66:70" x14ac:dyDescent="0.25">
      <c r="BN465" s="17"/>
      <c r="BO465" s="17"/>
      <c r="BP465" s="17"/>
      <c r="BQ465" s="17"/>
      <c r="BR465" s="17"/>
    </row>
    <row r="466" spans="66:70" x14ac:dyDescent="0.25">
      <c r="BN466" s="17"/>
      <c r="BO466" s="17"/>
      <c r="BP466" s="17"/>
      <c r="BQ466" s="17"/>
      <c r="BR466" s="17"/>
    </row>
    <row r="467" spans="66:70" x14ac:dyDescent="0.25">
      <c r="BN467" s="17"/>
      <c r="BO467" s="17"/>
      <c r="BP467" s="17"/>
      <c r="BQ467" s="17"/>
      <c r="BR467" s="17"/>
    </row>
    <row r="468" spans="66:70" x14ac:dyDescent="0.25">
      <c r="BN468" s="17"/>
      <c r="BO468" s="17"/>
      <c r="BP468" s="17"/>
      <c r="BQ468" s="17"/>
      <c r="BR468" s="17"/>
    </row>
    <row r="469" spans="66:70" x14ac:dyDescent="0.25">
      <c r="BN469" s="17"/>
      <c r="BO469" s="17"/>
      <c r="BP469" s="17"/>
      <c r="BQ469" s="17"/>
      <c r="BR469" s="17"/>
    </row>
    <row r="470" spans="66:70" x14ac:dyDescent="0.25">
      <c r="BN470" s="17"/>
      <c r="BO470" s="17"/>
      <c r="BP470" s="17"/>
      <c r="BQ470" s="17"/>
      <c r="BR470" s="17"/>
    </row>
    <row r="471" spans="66:70" x14ac:dyDescent="0.25">
      <c r="BN471" s="17"/>
      <c r="BO471" s="17"/>
      <c r="BP471" s="17"/>
      <c r="BQ471" s="17"/>
      <c r="BR471" s="17"/>
    </row>
    <row r="472" spans="66:70" x14ac:dyDescent="0.25">
      <c r="BN472" s="17"/>
      <c r="BO472" s="17"/>
      <c r="BP472" s="17"/>
      <c r="BQ472" s="17"/>
      <c r="BR472" s="17"/>
    </row>
    <row r="473" spans="66:70" x14ac:dyDescent="0.25">
      <c r="BN473" s="17"/>
      <c r="BO473" s="17"/>
      <c r="BP473" s="17"/>
      <c r="BQ473" s="17"/>
      <c r="BR473" s="17"/>
    </row>
    <row r="474" spans="66:70" x14ac:dyDescent="0.25">
      <c r="BN474" s="17"/>
      <c r="BO474" s="17"/>
      <c r="BP474" s="17"/>
      <c r="BQ474" s="17"/>
      <c r="BR474" s="17"/>
    </row>
    <row r="475" spans="66:70" x14ac:dyDescent="0.25">
      <c r="BN475" s="17"/>
      <c r="BO475" s="17"/>
      <c r="BP475" s="17"/>
      <c r="BQ475" s="17"/>
      <c r="BR475" s="17"/>
    </row>
    <row r="476" spans="66:70" x14ac:dyDescent="0.25">
      <c r="BN476" s="17"/>
      <c r="BO476" s="17"/>
      <c r="BP476" s="17"/>
      <c r="BQ476" s="17"/>
      <c r="BR476" s="17"/>
    </row>
    <row r="477" spans="66:70" x14ac:dyDescent="0.25">
      <c r="BN477" s="17"/>
      <c r="BO477" s="17"/>
      <c r="BP477" s="17"/>
      <c r="BQ477" s="17"/>
      <c r="BR477" s="17"/>
    </row>
    <row r="478" spans="66:70" x14ac:dyDescent="0.25">
      <c r="BN478" s="17"/>
      <c r="BO478" s="17"/>
      <c r="BP478" s="17"/>
      <c r="BQ478" s="17"/>
      <c r="BR478" s="17"/>
    </row>
    <row r="479" spans="66:70" x14ac:dyDescent="0.25">
      <c r="BN479" s="17"/>
      <c r="BO479" s="17"/>
      <c r="BP479" s="17"/>
      <c r="BQ479" s="17"/>
      <c r="BR479" s="17"/>
    </row>
    <row r="480" spans="66:70" x14ac:dyDescent="0.25">
      <c r="BN480" s="17"/>
      <c r="BO480" s="17"/>
      <c r="BP480" s="17"/>
      <c r="BQ480" s="17"/>
      <c r="BR480" s="17"/>
    </row>
    <row r="481" spans="66:70" x14ac:dyDescent="0.25">
      <c r="BN481" s="17"/>
      <c r="BO481" s="17"/>
      <c r="BP481" s="17"/>
      <c r="BQ481" s="17"/>
      <c r="BR481" s="17"/>
    </row>
    <row r="482" spans="66:70" x14ac:dyDescent="0.25">
      <c r="BN482" s="17"/>
      <c r="BO482" s="17"/>
      <c r="BP482" s="17"/>
      <c r="BQ482" s="17"/>
      <c r="BR482" s="17"/>
    </row>
    <row r="483" spans="66:70" x14ac:dyDescent="0.25">
      <c r="BN483" s="17"/>
      <c r="BO483" s="17"/>
      <c r="BP483" s="17"/>
      <c r="BQ483" s="17"/>
      <c r="BR483" s="17"/>
    </row>
    <row r="484" spans="66:70" x14ac:dyDescent="0.25">
      <c r="BN484" s="17"/>
      <c r="BO484" s="17"/>
      <c r="BP484" s="17"/>
      <c r="BQ484" s="17"/>
      <c r="BR484" s="17"/>
    </row>
    <row r="485" spans="66:70" x14ac:dyDescent="0.25">
      <c r="BN485" s="17"/>
      <c r="BO485" s="17"/>
      <c r="BP485" s="17"/>
      <c r="BQ485" s="17"/>
      <c r="BR485" s="17"/>
    </row>
    <row r="486" spans="66:70" x14ac:dyDescent="0.25">
      <c r="BN486" s="17"/>
      <c r="BO486" s="17"/>
      <c r="BP486" s="17"/>
      <c r="BQ486" s="17"/>
      <c r="BR486" s="17"/>
    </row>
    <row r="487" spans="66:70" x14ac:dyDescent="0.25">
      <c r="BN487" s="17"/>
      <c r="BO487" s="17"/>
      <c r="BP487" s="17"/>
      <c r="BQ487" s="17"/>
      <c r="BR487" s="17"/>
    </row>
    <row r="488" spans="66:70" x14ac:dyDescent="0.25">
      <c r="BN488" s="17"/>
      <c r="BO488" s="17"/>
      <c r="BP488" s="17"/>
      <c r="BQ488" s="17">
        <v>1093141</v>
      </c>
      <c r="BR488" s="17"/>
    </row>
    <row r="489" spans="66:70" x14ac:dyDescent="0.25">
      <c r="BN489" s="17"/>
      <c r="BO489" s="17"/>
      <c r="BP489" s="17"/>
      <c r="BQ489" s="17"/>
      <c r="BR489" s="17"/>
    </row>
    <row r="490" spans="66:70" x14ac:dyDescent="0.25">
      <c r="BN490" s="17"/>
      <c r="BO490" s="17"/>
      <c r="BP490" s="17"/>
      <c r="BQ490" s="17"/>
      <c r="BR490" s="17"/>
    </row>
    <row r="491" spans="66:70" x14ac:dyDescent="0.25">
      <c r="BN491" s="17"/>
      <c r="BO491" s="17"/>
      <c r="BP491" s="17"/>
      <c r="BQ491" s="17"/>
      <c r="BR491" s="17"/>
    </row>
    <row r="492" spans="66:70" x14ac:dyDescent="0.25">
      <c r="BN492" s="17"/>
      <c r="BO492" s="17"/>
      <c r="BP492" s="17"/>
      <c r="BQ492" s="17"/>
      <c r="BR492" s="17"/>
    </row>
    <row r="493" spans="66:70" x14ac:dyDescent="0.25">
      <c r="BN493" s="17"/>
      <c r="BO493" s="17"/>
      <c r="BP493" s="17"/>
      <c r="BQ493" s="17"/>
      <c r="BR493" s="17"/>
    </row>
    <row r="494" spans="66:70" x14ac:dyDescent="0.25">
      <c r="BN494" s="17"/>
      <c r="BO494" s="17"/>
      <c r="BP494" s="17"/>
      <c r="BQ494" s="17"/>
      <c r="BR494" s="17"/>
    </row>
    <row r="495" spans="66:70" x14ac:dyDescent="0.25">
      <c r="BN495" s="17"/>
      <c r="BO495" s="17"/>
      <c r="BP495" s="17"/>
      <c r="BQ495" s="17"/>
      <c r="BR495" s="17"/>
    </row>
    <row r="496" spans="66:70" x14ac:dyDescent="0.25">
      <c r="BN496" s="17"/>
      <c r="BO496" s="17"/>
      <c r="BP496" s="17"/>
      <c r="BQ496" s="17"/>
      <c r="BR496" s="17"/>
    </row>
    <row r="497" spans="66:70" x14ac:dyDescent="0.25">
      <c r="BN497" s="17"/>
      <c r="BO497" s="17"/>
      <c r="BP497" s="17"/>
      <c r="BQ497" s="17"/>
      <c r="BR497" s="17"/>
    </row>
    <row r="498" spans="66:70" x14ac:dyDescent="0.25">
      <c r="BN498" s="17"/>
      <c r="BO498" s="17"/>
      <c r="BP498" s="17"/>
      <c r="BQ498" s="17"/>
      <c r="BR498" s="17"/>
    </row>
    <row r="499" spans="66:70" x14ac:dyDescent="0.25">
      <c r="BN499" s="17"/>
      <c r="BO499" s="17"/>
      <c r="BP499" s="17"/>
      <c r="BQ499" s="17"/>
      <c r="BR499" s="17"/>
    </row>
    <row r="500" spans="66:70" x14ac:dyDescent="0.25">
      <c r="BN500" s="17"/>
      <c r="BO500" s="17"/>
      <c r="BP500" s="17"/>
      <c r="BQ500" s="17"/>
      <c r="BR500" s="17"/>
    </row>
    <row r="501" spans="66:70" x14ac:dyDescent="0.25">
      <c r="BN501" s="17"/>
      <c r="BO501" s="17"/>
      <c r="BP501" s="17"/>
      <c r="BQ501" s="17"/>
      <c r="BR501" s="17"/>
    </row>
    <row r="502" spans="66:70" x14ac:dyDescent="0.25">
      <c r="BN502" s="17"/>
      <c r="BO502" s="17"/>
      <c r="BP502" s="17"/>
      <c r="BQ502" s="17"/>
      <c r="BR502" s="17"/>
    </row>
    <row r="503" spans="66:70" x14ac:dyDescent="0.25">
      <c r="BN503" s="17"/>
      <c r="BO503" s="17"/>
      <c r="BP503" s="17"/>
      <c r="BQ503" s="17"/>
      <c r="BR503" s="17"/>
    </row>
    <row r="504" spans="66:70" x14ac:dyDescent="0.25">
      <c r="BN504" s="17"/>
      <c r="BO504" s="17"/>
      <c r="BP504" s="17"/>
      <c r="BQ504" s="17"/>
      <c r="BR504" s="17"/>
    </row>
    <row r="505" spans="66:70" x14ac:dyDescent="0.25">
      <c r="BN505" s="17"/>
      <c r="BO505" s="17"/>
      <c r="BP505" s="17"/>
      <c r="BQ505" s="17"/>
      <c r="BR505" s="17"/>
    </row>
    <row r="506" spans="66:70" x14ac:dyDescent="0.25">
      <c r="BN506" s="17"/>
      <c r="BO506" s="17"/>
      <c r="BP506" s="17"/>
      <c r="BQ506" s="17"/>
      <c r="BR506" s="17"/>
    </row>
    <row r="507" spans="66:70" x14ac:dyDescent="0.25">
      <c r="BN507" s="17"/>
      <c r="BO507" s="17"/>
      <c r="BP507" s="17"/>
      <c r="BQ507" s="17"/>
      <c r="BR507" s="17"/>
    </row>
    <row r="508" spans="66:70" x14ac:dyDescent="0.25">
      <c r="BN508" s="17"/>
      <c r="BO508" s="17"/>
      <c r="BP508" s="17"/>
      <c r="BQ508" s="17"/>
      <c r="BR508" s="17"/>
    </row>
    <row r="509" spans="66:70" x14ac:dyDescent="0.25">
      <c r="BN509" s="17"/>
      <c r="BO509" s="17"/>
      <c r="BP509" s="17"/>
      <c r="BQ509" s="17"/>
      <c r="BR509" s="17"/>
    </row>
    <row r="510" spans="66:70" x14ac:dyDescent="0.25">
      <c r="BN510" s="17"/>
      <c r="BO510" s="17"/>
      <c r="BP510" s="17"/>
      <c r="BQ510" s="17"/>
      <c r="BR510" s="17"/>
    </row>
    <row r="511" spans="66:70" x14ac:dyDescent="0.25">
      <c r="BN511" s="17"/>
      <c r="BO511" s="17"/>
      <c r="BP511" s="17"/>
      <c r="BQ511" s="17"/>
      <c r="BR511" s="17"/>
    </row>
    <row r="512" spans="66:70" x14ac:dyDescent="0.25">
      <c r="BN512" s="17"/>
      <c r="BO512" s="17"/>
      <c r="BP512" s="17"/>
      <c r="BQ512" s="17"/>
      <c r="BR512" s="17"/>
    </row>
    <row r="513" spans="66:70" x14ac:dyDescent="0.25">
      <c r="BN513" s="17"/>
      <c r="BO513" s="17"/>
      <c r="BP513" s="17"/>
      <c r="BQ513" s="17"/>
      <c r="BR513" s="17"/>
    </row>
    <row r="514" spans="66:70" x14ac:dyDescent="0.25">
      <c r="BN514" s="17"/>
      <c r="BO514" s="17"/>
      <c r="BP514" s="17"/>
      <c r="BQ514" s="17"/>
      <c r="BR514" s="17"/>
    </row>
    <row r="515" spans="66:70" x14ac:dyDescent="0.25">
      <c r="BN515" s="17"/>
      <c r="BO515" s="17"/>
      <c r="BP515" s="17"/>
      <c r="BQ515" s="17"/>
      <c r="BR515" s="17"/>
    </row>
    <row r="516" spans="66:70" x14ac:dyDescent="0.25">
      <c r="BN516" s="17"/>
      <c r="BO516" s="17"/>
      <c r="BP516" s="17"/>
      <c r="BQ516" s="17"/>
      <c r="BR516" s="17"/>
    </row>
    <row r="517" spans="66:70" x14ac:dyDescent="0.25">
      <c r="BN517" s="17"/>
      <c r="BO517" s="17"/>
      <c r="BP517" s="17"/>
      <c r="BQ517" s="17"/>
      <c r="BR517" s="17"/>
    </row>
    <row r="518" spans="66:70" x14ac:dyDescent="0.25">
      <c r="BN518" s="17"/>
      <c r="BO518" s="17"/>
      <c r="BP518" s="17"/>
      <c r="BQ518" s="17"/>
      <c r="BR518" s="17"/>
    </row>
    <row r="519" spans="66:70" x14ac:dyDescent="0.25">
      <c r="BN519" s="17"/>
      <c r="BO519" s="17"/>
      <c r="BP519" s="17"/>
      <c r="BQ519" s="17"/>
      <c r="BR519" s="17"/>
    </row>
    <row r="520" spans="66:70" x14ac:dyDescent="0.25">
      <c r="BN520" s="17"/>
      <c r="BO520" s="17"/>
      <c r="BP520" s="17"/>
      <c r="BQ520" s="17"/>
      <c r="BR520" s="17"/>
    </row>
    <row r="521" spans="66:70" x14ac:dyDescent="0.25">
      <c r="BN521" s="17"/>
      <c r="BO521" s="17"/>
      <c r="BP521" s="17"/>
      <c r="BQ521" s="17"/>
      <c r="BR521" s="17"/>
    </row>
    <row r="522" spans="66:70" x14ac:dyDescent="0.25">
      <c r="BN522" s="17"/>
      <c r="BO522" s="17"/>
      <c r="BP522" s="17"/>
      <c r="BQ522" s="17"/>
      <c r="BR522" s="17"/>
    </row>
    <row r="523" spans="66:70" x14ac:dyDescent="0.25">
      <c r="BN523" s="17"/>
      <c r="BO523" s="17"/>
      <c r="BP523" s="17"/>
      <c r="BQ523" s="17"/>
      <c r="BR523" s="17"/>
    </row>
    <row r="524" spans="66:70" x14ac:dyDescent="0.25">
      <c r="BN524" s="17"/>
      <c r="BO524" s="17"/>
      <c r="BP524" s="17"/>
      <c r="BQ524" s="17"/>
      <c r="BR524" s="17"/>
    </row>
    <row r="525" spans="66:70" x14ac:dyDescent="0.25">
      <c r="BN525" s="17"/>
      <c r="BO525" s="17"/>
      <c r="BP525" s="17"/>
      <c r="BQ525" s="17"/>
      <c r="BR525" s="17"/>
    </row>
    <row r="526" spans="66:70" x14ac:dyDescent="0.25">
      <c r="BN526" s="17"/>
      <c r="BO526" s="17"/>
      <c r="BP526" s="17"/>
      <c r="BQ526" s="17"/>
      <c r="BR526" s="17"/>
    </row>
    <row r="527" spans="66:70" x14ac:dyDescent="0.25">
      <c r="BN527" s="17"/>
      <c r="BO527" s="17"/>
      <c r="BP527" s="17"/>
      <c r="BQ527" s="17"/>
      <c r="BR527" s="17"/>
    </row>
    <row r="528" spans="66:70" x14ac:dyDescent="0.25">
      <c r="BN528" s="17"/>
      <c r="BO528" s="17"/>
      <c r="BP528" s="17"/>
      <c r="BQ528" s="17"/>
      <c r="BR528" s="17"/>
    </row>
    <row r="529" spans="66:70" x14ac:dyDescent="0.25">
      <c r="BN529" s="17"/>
      <c r="BO529" s="17"/>
      <c r="BP529" s="17"/>
      <c r="BQ529" s="17"/>
      <c r="BR529" s="17"/>
    </row>
    <row r="530" spans="66:70" x14ac:dyDescent="0.25">
      <c r="BN530" s="17"/>
      <c r="BO530" s="17"/>
      <c r="BP530" s="17"/>
      <c r="BQ530" s="17"/>
      <c r="BR530" s="17"/>
    </row>
    <row r="531" spans="66:70" x14ac:dyDescent="0.25">
      <c r="BN531" s="17"/>
      <c r="BO531" s="17"/>
      <c r="BP531" s="17"/>
      <c r="BQ531" s="17"/>
      <c r="BR531" s="17"/>
    </row>
    <row r="532" spans="66:70" x14ac:dyDescent="0.25">
      <c r="BN532" s="17"/>
      <c r="BO532" s="17"/>
      <c r="BP532" s="17"/>
      <c r="BQ532" s="17"/>
      <c r="BR532" s="17"/>
    </row>
    <row r="533" spans="66:70" x14ac:dyDescent="0.25">
      <c r="BN533" s="17"/>
      <c r="BO533" s="17"/>
      <c r="BP533" s="17"/>
      <c r="BQ533" s="17"/>
      <c r="BR533" s="17"/>
    </row>
    <row r="534" spans="66:70" x14ac:dyDescent="0.25">
      <c r="BN534" s="17"/>
      <c r="BO534" s="17"/>
      <c r="BP534" s="17"/>
      <c r="BQ534" s="17"/>
      <c r="BR534" s="17"/>
    </row>
    <row r="535" spans="66:70" x14ac:dyDescent="0.25">
      <c r="BN535" s="17"/>
      <c r="BO535" s="17"/>
      <c r="BP535" s="17"/>
      <c r="BQ535" s="17"/>
      <c r="BR535" s="17"/>
    </row>
    <row r="536" spans="66:70" x14ac:dyDescent="0.25">
      <c r="BN536" s="17"/>
      <c r="BO536" s="17"/>
      <c r="BP536" s="17"/>
      <c r="BQ536" s="17"/>
      <c r="BR536" s="17"/>
    </row>
    <row r="537" spans="66:70" x14ac:dyDescent="0.25">
      <c r="BN537" s="17"/>
      <c r="BO537" s="17"/>
      <c r="BP537" s="17"/>
      <c r="BQ537" s="17"/>
      <c r="BR537" s="17"/>
    </row>
    <row r="538" spans="66:70" x14ac:dyDescent="0.25">
      <c r="BN538" s="17"/>
      <c r="BO538" s="17"/>
      <c r="BP538" s="17"/>
      <c r="BQ538" s="17"/>
      <c r="BR538" s="17"/>
    </row>
    <row r="539" spans="66:70" x14ac:dyDescent="0.25">
      <c r="BN539" s="17"/>
      <c r="BO539" s="17"/>
      <c r="BP539" s="17"/>
      <c r="BQ539" s="17"/>
      <c r="BR539" s="17"/>
    </row>
    <row r="540" spans="66:70" x14ac:dyDescent="0.25">
      <c r="BN540" s="17"/>
      <c r="BO540" s="17"/>
      <c r="BP540" s="17"/>
      <c r="BQ540" s="17"/>
      <c r="BR540" s="17"/>
    </row>
    <row r="541" spans="66:70" x14ac:dyDescent="0.25">
      <c r="BN541" s="17"/>
      <c r="BO541" s="17"/>
      <c r="BP541" s="17"/>
      <c r="BQ541" s="17"/>
      <c r="BR541" s="17"/>
    </row>
    <row r="542" spans="66:70" x14ac:dyDescent="0.25">
      <c r="BN542" s="17"/>
      <c r="BO542" s="17"/>
      <c r="BP542" s="17"/>
      <c r="BQ542" s="17">
        <v>1093142</v>
      </c>
      <c r="BR542" s="17"/>
    </row>
    <row r="543" spans="66:70" x14ac:dyDescent="0.25">
      <c r="BN543" s="17"/>
      <c r="BO543" s="17"/>
      <c r="BP543" s="17"/>
      <c r="BQ543" s="17"/>
      <c r="BR543" s="17"/>
    </row>
    <row r="544" spans="66:70" x14ac:dyDescent="0.25">
      <c r="BN544" s="17"/>
      <c r="BO544" s="17"/>
      <c r="BP544" s="17"/>
      <c r="BQ544" s="17"/>
      <c r="BR544" s="17"/>
    </row>
    <row r="545" spans="66:70" x14ac:dyDescent="0.25">
      <c r="BN545" s="17"/>
      <c r="BO545" s="17"/>
      <c r="BP545" s="17"/>
      <c r="BQ545" s="17"/>
      <c r="BR545" s="17"/>
    </row>
    <row r="546" spans="66:70" x14ac:dyDescent="0.25">
      <c r="BN546" s="17"/>
      <c r="BO546" s="17"/>
      <c r="BP546" s="17"/>
      <c r="BQ546" s="17"/>
      <c r="BR546" s="17"/>
    </row>
    <row r="547" spans="66:70" x14ac:dyDescent="0.25">
      <c r="BN547" s="17"/>
      <c r="BO547" s="17"/>
      <c r="BP547" s="17"/>
      <c r="BQ547" s="17"/>
      <c r="BR547" s="17"/>
    </row>
    <row r="548" spans="66:70" x14ac:dyDescent="0.25">
      <c r="BN548" s="17"/>
      <c r="BO548" s="17"/>
      <c r="BP548" s="17"/>
      <c r="BQ548" s="17"/>
      <c r="BR548" s="17"/>
    </row>
    <row r="549" spans="66:70" x14ac:dyDescent="0.25">
      <c r="BN549" s="17"/>
      <c r="BO549" s="17"/>
      <c r="BP549" s="17"/>
      <c r="BQ549" s="17"/>
      <c r="BR549" s="17"/>
    </row>
    <row r="550" spans="66:70" x14ac:dyDescent="0.25">
      <c r="BN550" s="17"/>
      <c r="BO550" s="17"/>
      <c r="BP550" s="17"/>
      <c r="BQ550" s="17"/>
      <c r="BR550" s="17"/>
    </row>
    <row r="551" spans="66:70" x14ac:dyDescent="0.25">
      <c r="BN551" s="17"/>
      <c r="BO551" s="17"/>
      <c r="BP551" s="17"/>
      <c r="BQ551" s="17"/>
      <c r="BR551" s="17"/>
    </row>
    <row r="552" spans="66:70" x14ac:dyDescent="0.25">
      <c r="BN552" s="17"/>
      <c r="BO552" s="17"/>
      <c r="BP552" s="17"/>
      <c r="BQ552" s="17"/>
      <c r="BR552" s="17"/>
    </row>
    <row r="553" spans="66:70" x14ac:dyDescent="0.25">
      <c r="BN553" s="17"/>
      <c r="BO553" s="17"/>
      <c r="BP553" s="17"/>
      <c r="BQ553" s="17"/>
      <c r="BR553" s="17"/>
    </row>
    <row r="554" spans="66:70" x14ac:dyDescent="0.25">
      <c r="BN554" s="17"/>
      <c r="BO554" s="17"/>
      <c r="BP554" s="17"/>
      <c r="BQ554" s="17"/>
      <c r="BR554" s="17"/>
    </row>
    <row r="555" spans="66:70" x14ac:dyDescent="0.25">
      <c r="BN555" s="17"/>
      <c r="BO555" s="17"/>
      <c r="BP555" s="17"/>
      <c r="BQ555" s="17"/>
      <c r="BR555" s="17"/>
    </row>
    <row r="556" spans="66:70" x14ac:dyDescent="0.25">
      <c r="BN556" s="17"/>
      <c r="BO556" s="17"/>
      <c r="BP556" s="17"/>
      <c r="BQ556" s="17"/>
      <c r="BR556" s="17"/>
    </row>
    <row r="557" spans="66:70" x14ac:dyDescent="0.25">
      <c r="BN557" s="17"/>
      <c r="BO557" s="17"/>
      <c r="BP557" s="17"/>
      <c r="BQ557" s="17"/>
      <c r="BR557" s="17"/>
    </row>
    <row r="558" spans="66:70" x14ac:dyDescent="0.25">
      <c r="BN558" s="17"/>
      <c r="BO558" s="17"/>
      <c r="BP558" s="17"/>
      <c r="BQ558" s="17"/>
      <c r="BR558" s="17"/>
    </row>
    <row r="559" spans="66:70" x14ac:dyDescent="0.25">
      <c r="BN559" s="17"/>
      <c r="BO559" s="17"/>
      <c r="BP559" s="17"/>
      <c r="BQ559" s="17"/>
      <c r="BR559" s="17"/>
    </row>
    <row r="560" spans="66:70" x14ac:dyDescent="0.25">
      <c r="BN560" s="17"/>
      <c r="BO560" s="17"/>
      <c r="BP560" s="17"/>
      <c r="BQ560" s="17"/>
      <c r="BR560" s="17"/>
    </row>
    <row r="561" spans="66:70" x14ac:dyDescent="0.25">
      <c r="BN561" s="17"/>
      <c r="BO561" s="17"/>
      <c r="BP561" s="17"/>
      <c r="BQ561" s="17"/>
      <c r="BR561" s="17"/>
    </row>
    <row r="562" spans="66:70" x14ac:dyDescent="0.25">
      <c r="BN562" s="17"/>
      <c r="BO562" s="17"/>
      <c r="BP562" s="17"/>
      <c r="BQ562" s="17"/>
      <c r="BR562" s="17"/>
    </row>
    <row r="563" spans="66:70" x14ac:dyDescent="0.25">
      <c r="BN563" s="17"/>
      <c r="BO563" s="17"/>
      <c r="BP563" s="17"/>
      <c r="BQ563" s="17"/>
      <c r="BR563" s="17"/>
    </row>
    <row r="564" spans="66:70" x14ac:dyDescent="0.25">
      <c r="BN564" s="17"/>
      <c r="BO564" s="17"/>
      <c r="BP564" s="17"/>
      <c r="BQ564" s="17"/>
      <c r="BR564" s="17"/>
    </row>
    <row r="565" spans="66:70" x14ac:dyDescent="0.25">
      <c r="BN565" s="17"/>
      <c r="BO565" s="17"/>
      <c r="BP565" s="17"/>
      <c r="BQ565" s="17"/>
      <c r="BR565" s="17"/>
    </row>
    <row r="566" spans="66:70" x14ac:dyDescent="0.25">
      <c r="BN566" s="17"/>
      <c r="BO566" s="17"/>
      <c r="BP566" s="17"/>
      <c r="BQ566" s="17"/>
      <c r="BR566" s="17"/>
    </row>
    <row r="567" spans="66:70" x14ac:dyDescent="0.25">
      <c r="BN567" s="17"/>
      <c r="BO567" s="17"/>
      <c r="BP567" s="17"/>
      <c r="BQ567" s="17"/>
      <c r="BR567" s="17"/>
    </row>
    <row r="568" spans="66:70" x14ac:dyDescent="0.25">
      <c r="BN568" s="17"/>
      <c r="BO568" s="17"/>
      <c r="BP568" s="17"/>
      <c r="BQ568" s="17"/>
      <c r="BR568" s="17"/>
    </row>
    <row r="569" spans="66:70" x14ac:dyDescent="0.25">
      <c r="BN569" s="17"/>
      <c r="BO569" s="17"/>
      <c r="BP569" s="17"/>
      <c r="BQ569" s="17"/>
      <c r="BR569" s="17"/>
    </row>
    <row r="570" spans="66:70" x14ac:dyDescent="0.25">
      <c r="BN570" s="17"/>
      <c r="BO570" s="17"/>
      <c r="BP570" s="17"/>
      <c r="BQ570" s="17"/>
      <c r="BR570" s="17"/>
    </row>
    <row r="571" spans="66:70" x14ac:dyDescent="0.25">
      <c r="BN571" s="17"/>
      <c r="BO571" s="17"/>
      <c r="BP571" s="17"/>
      <c r="BQ571" s="17"/>
      <c r="BR571" s="17"/>
    </row>
    <row r="572" spans="66:70" x14ac:dyDescent="0.25">
      <c r="BN572" s="17"/>
      <c r="BO572" s="17"/>
      <c r="BP572" s="17"/>
      <c r="BQ572" s="17"/>
      <c r="BR572" s="17"/>
    </row>
    <row r="573" spans="66:70" x14ac:dyDescent="0.25">
      <c r="BN573" s="17"/>
      <c r="BO573" s="17"/>
      <c r="BP573" s="17"/>
      <c r="BQ573" s="17"/>
      <c r="BR573" s="17"/>
    </row>
    <row r="574" spans="66:70" x14ac:dyDescent="0.25">
      <c r="BN574" s="17"/>
      <c r="BO574" s="17"/>
      <c r="BP574" s="17"/>
      <c r="BQ574" s="17"/>
      <c r="BR574" s="17"/>
    </row>
    <row r="575" spans="66:70" x14ac:dyDescent="0.25">
      <c r="BN575" s="17"/>
      <c r="BO575" s="17"/>
      <c r="BP575" s="17"/>
      <c r="BQ575" s="17"/>
      <c r="BR575" s="17"/>
    </row>
    <row r="576" spans="66:70" x14ac:dyDescent="0.25">
      <c r="BN576" s="17"/>
      <c r="BO576" s="17"/>
      <c r="BP576" s="17"/>
      <c r="BQ576" s="17"/>
      <c r="BR576" s="17"/>
    </row>
    <row r="577" spans="66:70" x14ac:dyDescent="0.25">
      <c r="BN577" s="17"/>
      <c r="BO577" s="17"/>
      <c r="BP577" s="17"/>
      <c r="BQ577" s="17"/>
      <c r="BR577" s="17"/>
    </row>
    <row r="578" spans="66:70" x14ac:dyDescent="0.25">
      <c r="BN578" s="17"/>
      <c r="BO578" s="17"/>
      <c r="BP578" s="17"/>
      <c r="BQ578" s="17"/>
      <c r="BR578" s="17"/>
    </row>
    <row r="579" spans="66:70" x14ac:dyDescent="0.25">
      <c r="BN579" s="17"/>
      <c r="BO579" s="17"/>
      <c r="BP579" s="17"/>
      <c r="BQ579" s="17"/>
      <c r="BR579" s="17"/>
    </row>
    <row r="580" spans="66:70" x14ac:dyDescent="0.25">
      <c r="BN580" s="17"/>
      <c r="BO580" s="17"/>
      <c r="BP580" s="17"/>
      <c r="BQ580" s="17"/>
      <c r="BR580" s="17"/>
    </row>
    <row r="581" spans="66:70" x14ac:dyDescent="0.25">
      <c r="BN581" s="17"/>
      <c r="BO581" s="17"/>
      <c r="BP581" s="17"/>
      <c r="BQ581" s="17"/>
      <c r="BR581" s="17"/>
    </row>
    <row r="582" spans="66:70" x14ac:dyDescent="0.25">
      <c r="BN582" s="17"/>
      <c r="BO582" s="17"/>
      <c r="BP582" s="17"/>
      <c r="BQ582" s="17"/>
      <c r="BR582" s="17"/>
    </row>
    <row r="583" spans="66:70" x14ac:dyDescent="0.25">
      <c r="BN583" s="17"/>
      <c r="BO583" s="17"/>
      <c r="BP583" s="17"/>
      <c r="BQ583" s="17"/>
      <c r="BR583" s="17"/>
    </row>
    <row r="584" spans="66:70" x14ac:dyDescent="0.25">
      <c r="BN584" s="17"/>
      <c r="BO584" s="17"/>
      <c r="BP584" s="17"/>
      <c r="BQ584" s="17"/>
      <c r="BR584" s="17"/>
    </row>
    <row r="585" spans="66:70" x14ac:dyDescent="0.25">
      <c r="BN585" s="17"/>
      <c r="BO585" s="17"/>
      <c r="BP585" s="17"/>
      <c r="BQ585" s="17"/>
      <c r="BR585" s="17"/>
    </row>
    <row r="586" spans="66:70" x14ac:dyDescent="0.25">
      <c r="BN586" s="17"/>
      <c r="BO586" s="17"/>
      <c r="BP586" s="17"/>
      <c r="BQ586" s="17"/>
      <c r="BR586" s="17"/>
    </row>
    <row r="587" spans="66:70" x14ac:dyDescent="0.25">
      <c r="BN587" s="17"/>
      <c r="BO587" s="17"/>
      <c r="BP587" s="17"/>
      <c r="BQ587" s="17"/>
      <c r="BR587" s="17"/>
    </row>
    <row r="588" spans="66:70" x14ac:dyDescent="0.25">
      <c r="BN588" s="17"/>
      <c r="BO588" s="17"/>
      <c r="BP588" s="17"/>
      <c r="BQ588" s="17"/>
      <c r="BR588" s="17"/>
    </row>
    <row r="589" spans="66:70" x14ac:dyDescent="0.25">
      <c r="BN589" s="17"/>
      <c r="BO589" s="17"/>
      <c r="BP589" s="17"/>
      <c r="BQ589" s="17"/>
      <c r="BR589" s="17"/>
    </row>
    <row r="590" spans="66:70" x14ac:dyDescent="0.25">
      <c r="BN590" s="17"/>
      <c r="BO590" s="17"/>
      <c r="BP590" s="17"/>
      <c r="BQ590" s="17"/>
      <c r="BR590" s="17"/>
    </row>
    <row r="591" spans="66:70" x14ac:dyDescent="0.25">
      <c r="BN591" s="17"/>
      <c r="BO591" s="17"/>
      <c r="BP591" s="17"/>
      <c r="BQ591" s="17"/>
      <c r="BR591" s="17"/>
    </row>
    <row r="592" spans="66:70" x14ac:dyDescent="0.25">
      <c r="BN592" s="17"/>
      <c r="BO592" s="17"/>
      <c r="BP592" s="17"/>
      <c r="BQ592" s="17"/>
      <c r="BR592" s="17"/>
    </row>
    <row r="593" spans="66:70" x14ac:dyDescent="0.25">
      <c r="BN593" s="17"/>
      <c r="BO593" s="17"/>
      <c r="BP593" s="17"/>
      <c r="BQ593" s="17"/>
      <c r="BR593" s="17"/>
    </row>
    <row r="594" spans="66:70" x14ac:dyDescent="0.25">
      <c r="BN594" s="17"/>
      <c r="BO594" s="17"/>
      <c r="BP594" s="17"/>
      <c r="BQ594" s="17"/>
      <c r="BR594" s="17"/>
    </row>
    <row r="595" spans="66:70" x14ac:dyDescent="0.25">
      <c r="BN595" s="17"/>
      <c r="BO595" s="17"/>
      <c r="BP595" s="17"/>
      <c r="BQ595" s="17"/>
      <c r="BR595" s="17"/>
    </row>
    <row r="596" spans="66:70" x14ac:dyDescent="0.25">
      <c r="BN596" s="17"/>
      <c r="BO596" s="17"/>
      <c r="BP596" s="17"/>
      <c r="BQ596" s="17">
        <v>1093143</v>
      </c>
      <c r="BR596" s="17"/>
    </row>
    <row r="597" spans="66:70" x14ac:dyDescent="0.25">
      <c r="BN597" s="17"/>
      <c r="BO597" s="17"/>
      <c r="BP597" s="17"/>
      <c r="BQ597" s="17"/>
      <c r="BR597" s="17"/>
    </row>
    <row r="598" spans="66:70" x14ac:dyDescent="0.25">
      <c r="BN598" s="17"/>
      <c r="BO598" s="17"/>
      <c r="BP598" s="17"/>
      <c r="BQ598" s="17"/>
      <c r="BR598" s="17"/>
    </row>
    <row r="599" spans="66:70" x14ac:dyDescent="0.25">
      <c r="BN599" s="17"/>
      <c r="BO599" s="17"/>
      <c r="BP599" s="17"/>
      <c r="BQ599" s="17"/>
      <c r="BR599" s="17"/>
    </row>
    <row r="600" spans="66:70" x14ac:dyDescent="0.25">
      <c r="BN600" s="17"/>
      <c r="BO600" s="17"/>
      <c r="BP600" s="17"/>
      <c r="BQ600" s="17"/>
      <c r="BR600" s="17"/>
    </row>
    <row r="601" spans="66:70" x14ac:dyDescent="0.25">
      <c r="BN601" s="17"/>
      <c r="BO601" s="17"/>
      <c r="BP601" s="17"/>
      <c r="BQ601" s="17"/>
      <c r="BR601" s="17"/>
    </row>
    <row r="602" spans="66:70" x14ac:dyDescent="0.25">
      <c r="BN602" s="17"/>
      <c r="BO602" s="17"/>
      <c r="BP602" s="17"/>
      <c r="BQ602" s="17"/>
      <c r="BR602" s="17"/>
    </row>
    <row r="603" spans="66:70" x14ac:dyDescent="0.25">
      <c r="BN603" s="17"/>
      <c r="BO603" s="17"/>
      <c r="BP603" s="17"/>
      <c r="BQ603" s="17"/>
      <c r="BR603" s="17"/>
    </row>
    <row r="604" spans="66:70" x14ac:dyDescent="0.25">
      <c r="BN604" s="17"/>
      <c r="BO604" s="17"/>
      <c r="BP604" s="17"/>
      <c r="BQ604" s="17"/>
      <c r="BR604" s="17"/>
    </row>
    <row r="605" spans="66:70" x14ac:dyDescent="0.25">
      <c r="BN605" s="17"/>
      <c r="BO605" s="17"/>
      <c r="BP605" s="17"/>
      <c r="BQ605" s="17"/>
      <c r="BR605" s="17"/>
    </row>
    <row r="606" spans="66:70" x14ac:dyDescent="0.25">
      <c r="BN606" s="17"/>
      <c r="BO606" s="17"/>
      <c r="BP606" s="17"/>
      <c r="BQ606" s="17"/>
      <c r="BR606" s="17"/>
    </row>
    <row r="607" spans="66:70" x14ac:dyDescent="0.25">
      <c r="BN607" s="17"/>
      <c r="BO607" s="17"/>
      <c r="BP607" s="17"/>
      <c r="BQ607" s="17"/>
      <c r="BR607" s="17"/>
    </row>
    <row r="608" spans="66:70" x14ac:dyDescent="0.25">
      <c r="BN608" s="17"/>
      <c r="BO608" s="17"/>
      <c r="BP608" s="17"/>
      <c r="BQ608" s="17"/>
      <c r="BR608" s="17"/>
    </row>
    <row r="609" spans="66:70" x14ac:dyDescent="0.25">
      <c r="BN609" s="17"/>
      <c r="BO609" s="17"/>
      <c r="BP609" s="17"/>
      <c r="BQ609" s="17"/>
      <c r="BR609" s="17"/>
    </row>
    <row r="610" spans="66:70" x14ac:dyDescent="0.25">
      <c r="BN610" s="17"/>
      <c r="BO610" s="17"/>
      <c r="BP610" s="17"/>
      <c r="BQ610" s="17"/>
      <c r="BR610" s="17"/>
    </row>
    <row r="611" spans="66:70" x14ac:dyDescent="0.25">
      <c r="BN611" s="17"/>
      <c r="BO611" s="17"/>
      <c r="BP611" s="17"/>
      <c r="BQ611" s="17"/>
      <c r="BR611" s="17"/>
    </row>
    <row r="612" spans="66:70" x14ac:dyDescent="0.25">
      <c r="BN612" s="17"/>
      <c r="BO612" s="17"/>
      <c r="BP612" s="17"/>
      <c r="BQ612" s="17"/>
      <c r="BR612" s="17"/>
    </row>
    <row r="613" spans="66:70" x14ac:dyDescent="0.25">
      <c r="BN613" s="17"/>
      <c r="BO613" s="17"/>
      <c r="BP613" s="17"/>
      <c r="BQ613" s="17"/>
      <c r="BR613" s="17"/>
    </row>
    <row r="614" spans="66:70" x14ac:dyDescent="0.25">
      <c r="BN614" s="17"/>
      <c r="BO614" s="17"/>
      <c r="BP614" s="17"/>
      <c r="BQ614" s="17"/>
      <c r="BR614" s="17"/>
    </row>
    <row r="615" spans="66:70" x14ac:dyDescent="0.25">
      <c r="BN615" s="17"/>
      <c r="BO615" s="17"/>
      <c r="BP615" s="17"/>
      <c r="BQ615" s="17"/>
      <c r="BR615" s="17"/>
    </row>
    <row r="616" spans="66:70" x14ac:dyDescent="0.25">
      <c r="BN616" s="17"/>
      <c r="BO616" s="17"/>
      <c r="BP616" s="17"/>
      <c r="BQ616" s="17"/>
      <c r="BR616" s="17"/>
    </row>
    <row r="617" spans="66:70" x14ac:dyDescent="0.25">
      <c r="BN617" s="17"/>
      <c r="BO617" s="17"/>
      <c r="BP617" s="17"/>
      <c r="BQ617" s="17"/>
      <c r="BR617" s="17"/>
    </row>
    <row r="618" spans="66:70" x14ac:dyDescent="0.25">
      <c r="BN618" s="17"/>
      <c r="BO618" s="17"/>
      <c r="BP618" s="17"/>
      <c r="BQ618" s="17"/>
      <c r="BR618" s="17"/>
    </row>
    <row r="619" spans="66:70" x14ac:dyDescent="0.25">
      <c r="BN619" s="17"/>
      <c r="BO619" s="17"/>
      <c r="BP619" s="17"/>
      <c r="BQ619" s="17"/>
      <c r="BR619" s="17"/>
    </row>
    <row r="620" spans="66:70" x14ac:dyDescent="0.25">
      <c r="BN620" s="17"/>
      <c r="BO620" s="17"/>
      <c r="BP620" s="17"/>
      <c r="BQ620" s="17"/>
      <c r="BR620" s="17"/>
    </row>
    <row r="621" spans="66:70" x14ac:dyDescent="0.25">
      <c r="BN621" s="17"/>
      <c r="BO621" s="17"/>
      <c r="BP621" s="17"/>
      <c r="BQ621" s="17"/>
      <c r="BR621" s="17"/>
    </row>
    <row r="622" spans="66:70" x14ac:dyDescent="0.25">
      <c r="BN622" s="17"/>
      <c r="BO622" s="17"/>
      <c r="BP622" s="17"/>
      <c r="BQ622" s="17"/>
      <c r="BR622" s="17"/>
    </row>
    <row r="623" spans="66:70" x14ac:dyDescent="0.25">
      <c r="BN623" s="17"/>
      <c r="BO623" s="17"/>
      <c r="BP623" s="17"/>
      <c r="BQ623" s="17"/>
      <c r="BR623" s="17"/>
    </row>
    <row r="624" spans="66:70" x14ac:dyDescent="0.25">
      <c r="BN624" s="17"/>
      <c r="BO624" s="17"/>
      <c r="BP624" s="17"/>
      <c r="BQ624" s="17"/>
      <c r="BR624" s="17"/>
    </row>
    <row r="625" spans="66:70" x14ac:dyDescent="0.25">
      <c r="BN625" s="17"/>
      <c r="BO625" s="17"/>
      <c r="BP625" s="17"/>
      <c r="BQ625" s="17"/>
      <c r="BR625" s="17"/>
    </row>
    <row r="626" spans="66:70" x14ac:dyDescent="0.25">
      <c r="BN626" s="17"/>
      <c r="BO626" s="17"/>
      <c r="BP626" s="17"/>
      <c r="BQ626" s="17"/>
      <c r="BR626" s="17"/>
    </row>
    <row r="627" spans="66:70" x14ac:dyDescent="0.25">
      <c r="BN627" s="17"/>
      <c r="BO627" s="17"/>
      <c r="BP627" s="17"/>
      <c r="BQ627" s="17"/>
      <c r="BR627" s="17"/>
    </row>
    <row r="628" spans="66:70" x14ac:dyDescent="0.25">
      <c r="BN628" s="17"/>
      <c r="BO628" s="17"/>
      <c r="BP628" s="17"/>
      <c r="BQ628" s="17"/>
      <c r="BR628" s="17"/>
    </row>
    <row r="629" spans="66:70" x14ac:dyDescent="0.25">
      <c r="BN629" s="17"/>
      <c r="BO629" s="17"/>
      <c r="BP629" s="17"/>
      <c r="BQ629" s="17"/>
      <c r="BR629" s="17"/>
    </row>
    <row r="630" spans="66:70" x14ac:dyDescent="0.25">
      <c r="BN630" s="17"/>
      <c r="BO630" s="17"/>
      <c r="BP630" s="17"/>
      <c r="BQ630" s="17"/>
      <c r="BR630" s="17"/>
    </row>
    <row r="631" spans="66:70" x14ac:dyDescent="0.25">
      <c r="BN631" s="17"/>
      <c r="BO631" s="17"/>
      <c r="BP631" s="17"/>
      <c r="BQ631" s="17"/>
      <c r="BR631" s="17"/>
    </row>
    <row r="632" spans="66:70" x14ac:dyDescent="0.25">
      <c r="BN632" s="17"/>
      <c r="BO632" s="17"/>
      <c r="BP632" s="17"/>
      <c r="BQ632" s="17"/>
      <c r="BR632" s="17"/>
    </row>
    <row r="633" spans="66:70" x14ac:dyDescent="0.25">
      <c r="BN633" s="17"/>
      <c r="BO633" s="17"/>
      <c r="BP633" s="17"/>
      <c r="BQ633" s="17"/>
      <c r="BR633" s="17"/>
    </row>
    <row r="634" spans="66:70" x14ac:dyDescent="0.25">
      <c r="BN634" s="17"/>
      <c r="BO634" s="17"/>
      <c r="BP634" s="17"/>
      <c r="BQ634" s="17"/>
      <c r="BR634" s="17"/>
    </row>
    <row r="635" spans="66:70" x14ac:dyDescent="0.25">
      <c r="BN635" s="17"/>
      <c r="BO635" s="17"/>
      <c r="BP635" s="17"/>
      <c r="BQ635" s="17"/>
      <c r="BR635" s="17"/>
    </row>
    <row r="636" spans="66:70" x14ac:dyDescent="0.25">
      <c r="BN636" s="17"/>
      <c r="BO636" s="17"/>
      <c r="BP636" s="17"/>
      <c r="BQ636" s="17"/>
      <c r="BR636" s="17"/>
    </row>
    <row r="637" spans="66:70" x14ac:dyDescent="0.25">
      <c r="BN637" s="17"/>
      <c r="BO637" s="17"/>
      <c r="BP637" s="17"/>
      <c r="BQ637" s="17"/>
      <c r="BR637" s="17"/>
    </row>
    <row r="638" spans="66:70" x14ac:dyDescent="0.25">
      <c r="BN638" s="17"/>
      <c r="BO638" s="17"/>
      <c r="BP638" s="17"/>
      <c r="BQ638" s="17"/>
      <c r="BR638" s="17"/>
    </row>
    <row r="639" spans="66:70" x14ac:dyDescent="0.25">
      <c r="BN639" s="17"/>
      <c r="BO639" s="17"/>
      <c r="BP639" s="17"/>
      <c r="BQ639" s="17"/>
      <c r="BR639" s="17"/>
    </row>
    <row r="640" spans="66:70" x14ac:dyDescent="0.25">
      <c r="BN640" s="17"/>
      <c r="BO640" s="17"/>
      <c r="BP640" s="17"/>
      <c r="BQ640" s="17"/>
      <c r="BR640" s="17"/>
    </row>
    <row r="641" spans="66:70" x14ac:dyDescent="0.25">
      <c r="BN641" s="17"/>
      <c r="BO641" s="17"/>
      <c r="BP641" s="17"/>
      <c r="BQ641" s="17"/>
      <c r="BR641" s="17"/>
    </row>
    <row r="642" spans="66:70" x14ac:dyDescent="0.25">
      <c r="BN642" s="17"/>
      <c r="BO642" s="17"/>
      <c r="BP642" s="17"/>
      <c r="BQ642" s="17"/>
      <c r="BR642" s="17"/>
    </row>
    <row r="643" spans="66:70" x14ac:dyDescent="0.25">
      <c r="BN643" s="17"/>
      <c r="BO643" s="17"/>
      <c r="BP643" s="17"/>
      <c r="BQ643" s="17"/>
      <c r="BR643" s="17"/>
    </row>
    <row r="644" spans="66:70" x14ac:dyDescent="0.25">
      <c r="BN644" s="17"/>
      <c r="BO644" s="17"/>
      <c r="BP644" s="17"/>
      <c r="BQ644" s="17"/>
      <c r="BR644" s="17"/>
    </row>
    <row r="645" spans="66:70" x14ac:dyDescent="0.25">
      <c r="BN645" s="17"/>
      <c r="BO645" s="17"/>
      <c r="BP645" s="17"/>
      <c r="BQ645" s="17"/>
      <c r="BR645" s="17"/>
    </row>
    <row r="646" spans="66:70" x14ac:dyDescent="0.25">
      <c r="BN646" s="17"/>
      <c r="BO646" s="17"/>
      <c r="BP646" s="17"/>
      <c r="BQ646" s="17"/>
      <c r="BR646" s="17"/>
    </row>
    <row r="647" spans="66:70" x14ac:dyDescent="0.25">
      <c r="BN647" s="17"/>
      <c r="BO647" s="17"/>
      <c r="BP647" s="17"/>
      <c r="BQ647" s="17"/>
      <c r="BR647" s="17"/>
    </row>
    <row r="648" spans="66:70" x14ac:dyDescent="0.25">
      <c r="BN648" s="17"/>
      <c r="BO648" s="17"/>
      <c r="BP648" s="17"/>
      <c r="BQ648" s="17"/>
      <c r="BR648" s="17"/>
    </row>
    <row r="649" spans="66:70" x14ac:dyDescent="0.25">
      <c r="BN649" s="17"/>
      <c r="BO649" s="17"/>
      <c r="BP649" s="17"/>
      <c r="BQ649" s="17"/>
      <c r="BR649" s="17"/>
    </row>
    <row r="650" spans="66:70" x14ac:dyDescent="0.25">
      <c r="BN650" s="17"/>
      <c r="BO650" s="17"/>
      <c r="BP650" s="17"/>
      <c r="BQ650" s="17">
        <v>1093144</v>
      </c>
      <c r="BR650" s="17"/>
    </row>
    <row r="651" spans="66:70" x14ac:dyDescent="0.25">
      <c r="BN651" s="17"/>
      <c r="BO651" s="17"/>
      <c r="BP651" s="17"/>
      <c r="BQ651" s="17"/>
      <c r="BR651" s="17"/>
    </row>
    <row r="652" spans="66:70" x14ac:dyDescent="0.25">
      <c r="BN652" s="17"/>
      <c r="BO652" s="17"/>
      <c r="BP652" s="17"/>
      <c r="BQ652" s="17"/>
      <c r="BR652" s="17"/>
    </row>
    <row r="653" spans="66:70" x14ac:dyDescent="0.25">
      <c r="BN653" s="17"/>
      <c r="BO653" s="17"/>
      <c r="BP653" s="17"/>
      <c r="BQ653" s="17"/>
      <c r="BR653" s="17"/>
    </row>
    <row r="654" spans="66:70" x14ac:dyDescent="0.25">
      <c r="BN654" s="17"/>
      <c r="BO654" s="17"/>
      <c r="BP654" s="17"/>
      <c r="BQ654" s="17"/>
      <c r="BR654" s="17"/>
    </row>
    <row r="655" spans="66:70" x14ac:dyDescent="0.25">
      <c r="BN655" s="17"/>
      <c r="BO655" s="17"/>
      <c r="BP655" s="17"/>
      <c r="BQ655" s="17"/>
      <c r="BR655" s="17"/>
    </row>
    <row r="656" spans="66:70" x14ac:dyDescent="0.25">
      <c r="BN656" s="17"/>
      <c r="BO656" s="17"/>
      <c r="BP656" s="17"/>
      <c r="BQ656" s="17"/>
      <c r="BR656" s="17"/>
    </row>
    <row r="657" spans="66:70" x14ac:dyDescent="0.25">
      <c r="BN657" s="17"/>
      <c r="BO657" s="17"/>
      <c r="BP657" s="17"/>
      <c r="BQ657" s="17"/>
      <c r="BR657" s="17"/>
    </row>
    <row r="658" spans="66:70" x14ac:dyDescent="0.25">
      <c r="BN658" s="17"/>
      <c r="BO658" s="17"/>
      <c r="BP658" s="17"/>
      <c r="BQ658" s="17"/>
      <c r="BR658" s="17"/>
    </row>
    <row r="659" spans="66:70" x14ac:dyDescent="0.25">
      <c r="BN659" s="17"/>
      <c r="BO659" s="17"/>
      <c r="BP659" s="17"/>
      <c r="BQ659" s="17"/>
      <c r="BR659" s="17"/>
    </row>
    <row r="660" spans="66:70" x14ac:dyDescent="0.25">
      <c r="BN660" s="17"/>
      <c r="BO660" s="17"/>
      <c r="BP660" s="17"/>
      <c r="BQ660" s="17"/>
      <c r="BR660" s="17"/>
    </row>
    <row r="661" spans="66:70" x14ac:dyDescent="0.25">
      <c r="BN661" s="17"/>
      <c r="BO661" s="17"/>
      <c r="BP661" s="17"/>
      <c r="BQ661" s="17"/>
      <c r="BR661" s="17"/>
    </row>
    <row r="662" spans="66:70" x14ac:dyDescent="0.25">
      <c r="BN662" s="17"/>
      <c r="BO662" s="17"/>
      <c r="BP662" s="17"/>
      <c r="BQ662" s="17"/>
      <c r="BR662" s="17"/>
    </row>
    <row r="663" spans="66:70" x14ac:dyDescent="0.25">
      <c r="BN663" s="17"/>
      <c r="BO663" s="17"/>
      <c r="BP663" s="17"/>
      <c r="BQ663" s="17"/>
      <c r="BR663" s="17"/>
    </row>
    <row r="664" spans="66:70" x14ac:dyDescent="0.25">
      <c r="BN664" s="17"/>
      <c r="BO664" s="17"/>
      <c r="BP664" s="17"/>
      <c r="BQ664" s="17"/>
      <c r="BR664" s="17"/>
    </row>
    <row r="665" spans="66:70" x14ac:dyDescent="0.25">
      <c r="BN665" s="17"/>
      <c r="BO665" s="17"/>
      <c r="BP665" s="17"/>
      <c r="BQ665" s="17"/>
      <c r="BR665" s="17"/>
    </row>
    <row r="666" spans="66:70" x14ac:dyDescent="0.25">
      <c r="BN666" s="17"/>
      <c r="BO666" s="17"/>
      <c r="BP666" s="17"/>
      <c r="BQ666" s="17"/>
      <c r="BR666" s="17"/>
    </row>
    <row r="667" spans="66:70" x14ac:dyDescent="0.25">
      <c r="BN667" s="17"/>
      <c r="BO667" s="17"/>
      <c r="BP667" s="17"/>
      <c r="BQ667" s="17"/>
      <c r="BR667" s="17"/>
    </row>
    <row r="668" spans="66:70" x14ac:dyDescent="0.25">
      <c r="BN668" s="17"/>
      <c r="BO668" s="17"/>
      <c r="BP668" s="17"/>
      <c r="BQ668" s="17"/>
      <c r="BR668" s="17"/>
    </row>
    <row r="669" spans="66:70" x14ac:dyDescent="0.25">
      <c r="BN669" s="17"/>
      <c r="BO669" s="17"/>
      <c r="BP669" s="17"/>
      <c r="BQ669" s="17"/>
      <c r="BR669" s="17"/>
    </row>
    <row r="670" spans="66:70" x14ac:dyDescent="0.25">
      <c r="BN670" s="17"/>
      <c r="BO670" s="17"/>
      <c r="BP670" s="17"/>
      <c r="BQ670" s="17"/>
      <c r="BR670" s="17"/>
    </row>
    <row r="671" spans="66:70" x14ac:dyDescent="0.25">
      <c r="BN671" s="17"/>
      <c r="BO671" s="17"/>
      <c r="BP671" s="17"/>
      <c r="BQ671" s="17"/>
      <c r="BR671" s="17"/>
    </row>
    <row r="672" spans="66:70" x14ac:dyDescent="0.25">
      <c r="BN672" s="17"/>
      <c r="BO672" s="17"/>
      <c r="BP672" s="17"/>
      <c r="BQ672" s="17"/>
      <c r="BR672" s="17"/>
    </row>
    <row r="673" spans="66:70" x14ac:dyDescent="0.25">
      <c r="BN673" s="17"/>
      <c r="BO673" s="17"/>
      <c r="BP673" s="17"/>
      <c r="BQ673" s="17"/>
      <c r="BR673" s="17"/>
    </row>
    <row r="674" spans="66:70" x14ac:dyDescent="0.25">
      <c r="BN674" s="17"/>
      <c r="BO674" s="17"/>
      <c r="BP674" s="17"/>
      <c r="BQ674" s="17"/>
      <c r="BR674" s="17"/>
    </row>
    <row r="675" spans="66:70" x14ac:dyDescent="0.25">
      <c r="BN675" s="17"/>
      <c r="BO675" s="17"/>
      <c r="BP675" s="17"/>
      <c r="BQ675" s="17"/>
      <c r="BR675" s="17"/>
    </row>
    <row r="676" spans="66:70" x14ac:dyDescent="0.25">
      <c r="BN676" s="17"/>
      <c r="BO676" s="17"/>
      <c r="BP676" s="17"/>
      <c r="BQ676" s="17"/>
      <c r="BR676" s="17"/>
    </row>
    <row r="677" spans="66:70" x14ac:dyDescent="0.25">
      <c r="BN677" s="17"/>
      <c r="BO677" s="17"/>
      <c r="BP677" s="17"/>
      <c r="BQ677" s="17"/>
      <c r="BR677" s="17"/>
    </row>
    <row r="678" spans="66:70" x14ac:dyDescent="0.25">
      <c r="BN678" s="17"/>
      <c r="BO678" s="17"/>
      <c r="BP678" s="17"/>
      <c r="BQ678" s="17"/>
      <c r="BR678" s="17"/>
    </row>
    <row r="679" spans="66:70" x14ac:dyDescent="0.25">
      <c r="BN679" s="17"/>
      <c r="BO679" s="17"/>
      <c r="BP679" s="17"/>
      <c r="BQ679" s="17"/>
      <c r="BR679" s="17"/>
    </row>
    <row r="680" spans="66:70" x14ac:dyDescent="0.25">
      <c r="BN680" s="17"/>
      <c r="BO680" s="17"/>
      <c r="BP680" s="17"/>
      <c r="BQ680" s="17"/>
      <c r="BR680" s="17"/>
    </row>
    <row r="681" spans="66:70" x14ac:dyDescent="0.25">
      <c r="BN681" s="17"/>
      <c r="BO681" s="17"/>
      <c r="BP681" s="17"/>
      <c r="BQ681" s="17"/>
      <c r="BR681" s="17"/>
    </row>
    <row r="682" spans="66:70" x14ac:dyDescent="0.25">
      <c r="BN682" s="17"/>
      <c r="BO682" s="17"/>
      <c r="BP682" s="17"/>
      <c r="BQ682" s="17"/>
      <c r="BR682" s="17"/>
    </row>
    <row r="683" spans="66:70" x14ac:dyDescent="0.25">
      <c r="BN683" s="17"/>
      <c r="BO683" s="17"/>
      <c r="BP683" s="17"/>
      <c r="BQ683" s="17"/>
      <c r="BR683" s="17"/>
    </row>
    <row r="684" spans="66:70" x14ac:dyDescent="0.25">
      <c r="BN684" s="17"/>
      <c r="BO684" s="17"/>
      <c r="BP684" s="17"/>
      <c r="BQ684" s="17"/>
      <c r="BR684" s="17"/>
    </row>
    <row r="685" spans="66:70" x14ac:dyDescent="0.25">
      <c r="BN685" s="17"/>
      <c r="BO685" s="17"/>
      <c r="BP685" s="17"/>
      <c r="BQ685" s="17"/>
      <c r="BR685" s="17"/>
    </row>
    <row r="686" spans="66:70" x14ac:dyDescent="0.25">
      <c r="BN686" s="17"/>
      <c r="BO686" s="17"/>
      <c r="BP686" s="17"/>
      <c r="BQ686" s="17"/>
      <c r="BR686" s="17"/>
    </row>
    <row r="687" spans="66:70" x14ac:dyDescent="0.25">
      <c r="BN687" s="17"/>
      <c r="BO687" s="17"/>
      <c r="BP687" s="17"/>
      <c r="BQ687" s="17"/>
      <c r="BR687" s="17"/>
    </row>
    <row r="688" spans="66:70" x14ac:dyDescent="0.25">
      <c r="BN688" s="17"/>
      <c r="BO688" s="17"/>
      <c r="BP688" s="17"/>
      <c r="BQ688" s="17"/>
      <c r="BR688" s="17"/>
    </row>
    <row r="689" spans="66:70" x14ac:dyDescent="0.25">
      <c r="BN689" s="17"/>
      <c r="BO689" s="17"/>
      <c r="BP689" s="17"/>
      <c r="BQ689" s="17"/>
      <c r="BR689" s="17"/>
    </row>
    <row r="690" spans="66:70" x14ac:dyDescent="0.25">
      <c r="BN690" s="17"/>
      <c r="BO690" s="17"/>
      <c r="BP690" s="17"/>
      <c r="BQ690" s="17"/>
      <c r="BR690" s="17"/>
    </row>
    <row r="691" spans="66:70" x14ac:dyDescent="0.25">
      <c r="BN691" s="17"/>
      <c r="BO691" s="17"/>
      <c r="BP691" s="17"/>
      <c r="BQ691" s="17"/>
      <c r="BR691" s="17"/>
    </row>
    <row r="692" spans="66:70" x14ac:dyDescent="0.25">
      <c r="BN692" s="17"/>
      <c r="BO692" s="17"/>
      <c r="BP692" s="17"/>
      <c r="BQ692" s="17"/>
      <c r="BR692" s="17"/>
    </row>
    <row r="693" spans="66:70" x14ac:dyDescent="0.25">
      <c r="BN693" s="17"/>
      <c r="BO693" s="17"/>
      <c r="BP693" s="17"/>
      <c r="BQ693" s="17"/>
      <c r="BR693" s="17"/>
    </row>
    <row r="694" spans="66:70" x14ac:dyDescent="0.25">
      <c r="BN694" s="17"/>
      <c r="BO694" s="17"/>
      <c r="BP694" s="17"/>
      <c r="BQ694" s="17"/>
      <c r="BR694" s="17"/>
    </row>
    <row r="695" spans="66:70" x14ac:dyDescent="0.25">
      <c r="BN695" s="17"/>
      <c r="BO695" s="17"/>
      <c r="BP695" s="17"/>
      <c r="BQ695" s="17"/>
      <c r="BR695" s="17"/>
    </row>
    <row r="696" spans="66:70" x14ac:dyDescent="0.25">
      <c r="BN696" s="17"/>
      <c r="BO696" s="17"/>
      <c r="BP696" s="17"/>
      <c r="BQ696" s="17"/>
      <c r="BR696" s="17"/>
    </row>
    <row r="697" spans="66:70" x14ac:dyDescent="0.25">
      <c r="BN697" s="17"/>
      <c r="BO697" s="17"/>
      <c r="BP697" s="17"/>
      <c r="BQ697" s="17"/>
      <c r="BR697" s="17"/>
    </row>
    <row r="698" spans="66:70" x14ac:dyDescent="0.25">
      <c r="BN698" s="17"/>
      <c r="BO698" s="17"/>
      <c r="BP698" s="17"/>
      <c r="BQ698" s="17"/>
      <c r="BR698" s="17"/>
    </row>
    <row r="699" spans="66:70" x14ac:dyDescent="0.25">
      <c r="BN699" s="17"/>
      <c r="BO699" s="17"/>
      <c r="BP699" s="17"/>
      <c r="BQ699" s="17"/>
      <c r="BR699" s="17"/>
    </row>
    <row r="700" spans="66:70" x14ac:dyDescent="0.25">
      <c r="BN700" s="17"/>
      <c r="BO700" s="17"/>
      <c r="BP700" s="17"/>
      <c r="BQ700" s="17"/>
      <c r="BR700" s="17"/>
    </row>
    <row r="701" spans="66:70" x14ac:dyDescent="0.25">
      <c r="BN701" s="17"/>
      <c r="BO701" s="17"/>
      <c r="BP701" s="17"/>
      <c r="BQ701" s="17"/>
      <c r="BR701" s="17"/>
    </row>
    <row r="702" spans="66:70" x14ac:dyDescent="0.25">
      <c r="BN702" s="17"/>
      <c r="BO702" s="17"/>
      <c r="BP702" s="17"/>
      <c r="BQ702" s="17"/>
      <c r="BR702" s="17"/>
    </row>
    <row r="703" spans="66:70" x14ac:dyDescent="0.25">
      <c r="BN703" s="17"/>
      <c r="BO703" s="17"/>
      <c r="BP703" s="17"/>
      <c r="BQ703" s="17"/>
      <c r="BR703" s="17"/>
    </row>
    <row r="704" spans="66:70" x14ac:dyDescent="0.25">
      <c r="BN704" s="17"/>
      <c r="BO704" s="17"/>
      <c r="BP704" s="17"/>
      <c r="BQ704" s="17">
        <v>1093145</v>
      </c>
      <c r="BR704" s="17"/>
    </row>
    <row r="705" spans="66:70" x14ac:dyDescent="0.25">
      <c r="BN705" s="17"/>
      <c r="BO705" s="17"/>
      <c r="BP705" s="17"/>
      <c r="BQ705" s="17"/>
      <c r="BR705" s="17"/>
    </row>
    <row r="706" spans="66:70" x14ac:dyDescent="0.25">
      <c r="BN706" s="17"/>
      <c r="BO706" s="17"/>
      <c r="BP706" s="17"/>
      <c r="BQ706" s="17"/>
      <c r="BR706" s="17"/>
    </row>
    <row r="707" spans="66:70" x14ac:dyDescent="0.25">
      <c r="BN707" s="17"/>
      <c r="BO707" s="17"/>
      <c r="BP707" s="17"/>
      <c r="BQ707" s="17"/>
      <c r="BR707" s="17"/>
    </row>
    <row r="708" spans="66:70" x14ac:dyDescent="0.25">
      <c r="BN708" s="17"/>
      <c r="BO708" s="17"/>
      <c r="BP708" s="17"/>
      <c r="BQ708" s="17"/>
      <c r="BR708" s="17"/>
    </row>
    <row r="709" spans="66:70" x14ac:dyDescent="0.25">
      <c r="BN709" s="17"/>
      <c r="BO709" s="17"/>
      <c r="BP709" s="17"/>
      <c r="BQ709" s="17"/>
      <c r="BR709" s="17"/>
    </row>
    <row r="710" spans="66:70" x14ac:dyDescent="0.25">
      <c r="BN710" s="17"/>
      <c r="BO710" s="17"/>
      <c r="BP710" s="17"/>
      <c r="BQ710" s="17"/>
      <c r="BR710" s="17"/>
    </row>
    <row r="711" spans="66:70" x14ac:dyDescent="0.25">
      <c r="BN711" s="17"/>
      <c r="BO711" s="17"/>
      <c r="BP711" s="17"/>
      <c r="BQ711" s="17"/>
      <c r="BR711" s="17"/>
    </row>
    <row r="712" spans="66:70" x14ac:dyDescent="0.25">
      <c r="BN712" s="17"/>
      <c r="BO712" s="17"/>
      <c r="BP712" s="17"/>
      <c r="BQ712" s="17"/>
      <c r="BR712" s="17"/>
    </row>
    <row r="713" spans="66:70" x14ac:dyDescent="0.25">
      <c r="BN713" s="17"/>
      <c r="BO713" s="17"/>
      <c r="BP713" s="17"/>
      <c r="BQ713" s="17"/>
      <c r="BR713" s="17"/>
    </row>
    <row r="714" spans="66:70" x14ac:dyDescent="0.25">
      <c r="BN714" s="17"/>
      <c r="BO714" s="17"/>
      <c r="BP714" s="17"/>
      <c r="BQ714" s="17"/>
      <c r="BR714" s="17"/>
    </row>
    <row r="715" spans="66:70" x14ac:dyDescent="0.25">
      <c r="BN715" s="17"/>
      <c r="BO715" s="17"/>
      <c r="BP715" s="17"/>
      <c r="BQ715" s="17"/>
      <c r="BR715" s="17"/>
    </row>
    <row r="716" spans="66:70" x14ac:dyDescent="0.25">
      <c r="BN716" s="17"/>
      <c r="BO716" s="17"/>
      <c r="BP716" s="17"/>
      <c r="BQ716" s="17"/>
      <c r="BR716" s="17"/>
    </row>
    <row r="717" spans="66:70" x14ac:dyDescent="0.25">
      <c r="BN717" s="17"/>
      <c r="BO717" s="17"/>
      <c r="BP717" s="17"/>
      <c r="BQ717" s="17"/>
      <c r="BR717" s="17"/>
    </row>
    <row r="718" spans="66:70" x14ac:dyDescent="0.25">
      <c r="BN718" s="17"/>
      <c r="BO718" s="17"/>
      <c r="BP718" s="17"/>
      <c r="BQ718" s="17"/>
      <c r="BR718" s="17"/>
    </row>
    <row r="719" spans="66:70" x14ac:dyDescent="0.25">
      <c r="BN719" s="17"/>
      <c r="BO719" s="17"/>
      <c r="BP719" s="17"/>
      <c r="BQ719" s="17"/>
      <c r="BR719" s="17"/>
    </row>
    <row r="720" spans="66:70" x14ac:dyDescent="0.25">
      <c r="BN720" s="17"/>
      <c r="BO720" s="17"/>
      <c r="BP720" s="17"/>
      <c r="BQ720" s="17"/>
      <c r="BR720" s="17"/>
    </row>
    <row r="721" spans="66:70" x14ac:dyDescent="0.25">
      <c r="BN721" s="17"/>
      <c r="BO721" s="17"/>
      <c r="BP721" s="17"/>
      <c r="BQ721" s="17"/>
      <c r="BR721" s="17"/>
    </row>
    <row r="722" spans="66:70" x14ac:dyDescent="0.25">
      <c r="BN722" s="17"/>
      <c r="BO722" s="17"/>
      <c r="BP722" s="17"/>
      <c r="BQ722" s="17"/>
      <c r="BR722" s="17"/>
    </row>
    <row r="723" spans="66:70" x14ac:dyDescent="0.25">
      <c r="BN723" s="17"/>
      <c r="BO723" s="17"/>
      <c r="BP723" s="17"/>
      <c r="BQ723" s="17"/>
      <c r="BR723" s="17"/>
    </row>
    <row r="724" spans="66:70" x14ac:dyDescent="0.25">
      <c r="BN724" s="17"/>
      <c r="BO724" s="17"/>
      <c r="BP724" s="17"/>
      <c r="BQ724" s="17"/>
      <c r="BR724" s="17"/>
    </row>
    <row r="725" spans="66:70" x14ac:dyDescent="0.25">
      <c r="BN725" s="17"/>
      <c r="BO725" s="17"/>
      <c r="BP725" s="17"/>
      <c r="BQ725" s="17"/>
      <c r="BR725" s="17"/>
    </row>
    <row r="726" spans="66:70" x14ac:dyDescent="0.25">
      <c r="BN726" s="17"/>
      <c r="BO726" s="17"/>
      <c r="BP726" s="17"/>
      <c r="BQ726" s="17"/>
      <c r="BR726" s="17"/>
    </row>
    <row r="727" spans="66:70" x14ac:dyDescent="0.25">
      <c r="BN727" s="17"/>
      <c r="BO727" s="17"/>
      <c r="BP727" s="17"/>
      <c r="BQ727" s="17"/>
      <c r="BR727" s="17"/>
    </row>
    <row r="728" spans="66:70" x14ac:dyDescent="0.25">
      <c r="BN728" s="17"/>
      <c r="BO728" s="17"/>
      <c r="BP728" s="17"/>
      <c r="BQ728" s="17"/>
      <c r="BR728" s="17"/>
    </row>
    <row r="729" spans="66:70" x14ac:dyDescent="0.25">
      <c r="BN729" s="17"/>
      <c r="BO729" s="17"/>
      <c r="BP729" s="17"/>
      <c r="BQ729" s="17"/>
      <c r="BR729" s="17"/>
    </row>
    <row r="730" spans="66:70" x14ac:dyDescent="0.25">
      <c r="BN730" s="17"/>
      <c r="BO730" s="17"/>
      <c r="BP730" s="17"/>
      <c r="BQ730" s="17"/>
      <c r="BR730" s="17"/>
    </row>
    <row r="731" spans="66:70" x14ac:dyDescent="0.25">
      <c r="BN731" s="17"/>
      <c r="BO731" s="17"/>
      <c r="BP731" s="17"/>
      <c r="BQ731" s="17"/>
      <c r="BR731" s="17"/>
    </row>
    <row r="732" spans="66:70" x14ac:dyDescent="0.25">
      <c r="BN732" s="17"/>
      <c r="BO732" s="17"/>
      <c r="BP732" s="17"/>
      <c r="BQ732" s="17"/>
      <c r="BR732" s="17"/>
    </row>
    <row r="733" spans="66:70" x14ac:dyDescent="0.25">
      <c r="BN733" s="17"/>
      <c r="BO733" s="17"/>
      <c r="BP733" s="17"/>
      <c r="BQ733" s="17"/>
      <c r="BR733" s="17"/>
    </row>
    <row r="734" spans="66:70" x14ac:dyDescent="0.25">
      <c r="BN734" s="17"/>
      <c r="BO734" s="17"/>
      <c r="BP734" s="17"/>
      <c r="BQ734" s="17"/>
      <c r="BR734" s="17"/>
    </row>
    <row r="735" spans="66:70" x14ac:dyDescent="0.25">
      <c r="BN735" s="17"/>
      <c r="BO735" s="17"/>
      <c r="BP735" s="17"/>
      <c r="BQ735" s="17"/>
      <c r="BR735" s="17"/>
    </row>
    <row r="736" spans="66:70" x14ac:dyDescent="0.25">
      <c r="BN736" s="17"/>
      <c r="BO736" s="17"/>
      <c r="BP736" s="17"/>
      <c r="BQ736" s="17"/>
      <c r="BR736" s="17"/>
    </row>
    <row r="737" spans="66:70" x14ac:dyDescent="0.25">
      <c r="BN737" s="17"/>
      <c r="BO737" s="17"/>
      <c r="BP737" s="17"/>
      <c r="BQ737" s="17"/>
      <c r="BR737" s="17"/>
    </row>
    <row r="738" spans="66:70" x14ac:dyDescent="0.25">
      <c r="BN738" s="17"/>
      <c r="BO738" s="17"/>
      <c r="BP738" s="17"/>
      <c r="BQ738" s="17"/>
      <c r="BR738" s="17"/>
    </row>
    <row r="739" spans="66:70" x14ac:dyDescent="0.25">
      <c r="BN739" s="17"/>
      <c r="BO739" s="17"/>
      <c r="BP739" s="17"/>
      <c r="BQ739" s="17"/>
      <c r="BR739" s="17"/>
    </row>
    <row r="740" spans="66:70" x14ac:dyDescent="0.25">
      <c r="BN740" s="17"/>
      <c r="BO740" s="17"/>
      <c r="BP740" s="17"/>
      <c r="BQ740" s="17"/>
      <c r="BR740" s="17"/>
    </row>
    <row r="741" spans="66:70" x14ac:dyDescent="0.25">
      <c r="BN741" s="17"/>
      <c r="BO741" s="17"/>
      <c r="BP741" s="17"/>
      <c r="BQ741" s="17"/>
      <c r="BR741" s="17"/>
    </row>
    <row r="742" spans="66:70" x14ac:dyDescent="0.25">
      <c r="BN742" s="17"/>
      <c r="BO742" s="17"/>
      <c r="BP742" s="17"/>
      <c r="BQ742" s="17"/>
      <c r="BR742" s="17"/>
    </row>
    <row r="743" spans="66:70" x14ac:dyDescent="0.25">
      <c r="BN743" s="17"/>
      <c r="BO743" s="17"/>
      <c r="BP743" s="17"/>
      <c r="BQ743" s="17"/>
      <c r="BR743" s="17"/>
    </row>
    <row r="744" spans="66:70" x14ac:dyDescent="0.25">
      <c r="BN744" s="17"/>
      <c r="BO744" s="17"/>
      <c r="BP744" s="17"/>
      <c r="BQ744" s="17"/>
      <c r="BR744" s="17"/>
    </row>
    <row r="745" spans="66:70" x14ac:dyDescent="0.25">
      <c r="BN745" s="17"/>
      <c r="BO745" s="17"/>
      <c r="BP745" s="17"/>
      <c r="BQ745" s="17"/>
      <c r="BR745" s="17"/>
    </row>
    <row r="746" spans="66:70" x14ac:dyDescent="0.25">
      <c r="BN746" s="17"/>
      <c r="BO746" s="17"/>
      <c r="BP746" s="17"/>
      <c r="BQ746" s="17"/>
      <c r="BR746" s="17"/>
    </row>
    <row r="747" spans="66:70" x14ac:dyDescent="0.25">
      <c r="BN747" s="17"/>
      <c r="BO747" s="17"/>
      <c r="BP747" s="17"/>
      <c r="BQ747" s="17"/>
      <c r="BR747" s="17"/>
    </row>
    <row r="748" spans="66:70" x14ac:dyDescent="0.25">
      <c r="BN748" s="17"/>
      <c r="BO748" s="17"/>
      <c r="BP748" s="17"/>
      <c r="BQ748" s="17"/>
      <c r="BR748" s="17"/>
    </row>
    <row r="749" spans="66:70" x14ac:dyDescent="0.25">
      <c r="BN749" s="17"/>
      <c r="BO749" s="17"/>
      <c r="BP749" s="17"/>
      <c r="BQ749" s="17"/>
      <c r="BR749" s="17"/>
    </row>
    <row r="750" spans="66:70" x14ac:dyDescent="0.25">
      <c r="BN750" s="17"/>
      <c r="BO750" s="17"/>
      <c r="BP750" s="17"/>
      <c r="BQ750" s="17"/>
      <c r="BR750" s="17"/>
    </row>
    <row r="751" spans="66:70" x14ac:dyDescent="0.25">
      <c r="BN751" s="17"/>
      <c r="BO751" s="17"/>
      <c r="BP751" s="17"/>
      <c r="BQ751" s="17"/>
      <c r="BR751" s="17"/>
    </row>
    <row r="752" spans="66:70" x14ac:dyDescent="0.25">
      <c r="BN752" s="17"/>
      <c r="BO752" s="17"/>
      <c r="BP752" s="17"/>
      <c r="BQ752" s="17"/>
      <c r="BR752" s="17"/>
    </row>
    <row r="753" spans="66:70" x14ac:dyDescent="0.25">
      <c r="BN753" s="17"/>
      <c r="BO753" s="17"/>
      <c r="BP753" s="17"/>
      <c r="BQ753" s="17"/>
      <c r="BR753" s="17"/>
    </row>
    <row r="754" spans="66:70" x14ac:dyDescent="0.25">
      <c r="BN754" s="17"/>
      <c r="BO754" s="17"/>
      <c r="BP754" s="17"/>
      <c r="BQ754" s="17"/>
      <c r="BR754" s="17"/>
    </row>
    <row r="755" spans="66:70" x14ac:dyDescent="0.25">
      <c r="BN755" s="17"/>
      <c r="BO755" s="17"/>
      <c r="BP755" s="17"/>
      <c r="BQ755" s="17"/>
      <c r="BR755" s="17"/>
    </row>
    <row r="756" spans="66:70" x14ac:dyDescent="0.25">
      <c r="BN756" s="17"/>
      <c r="BO756" s="17"/>
      <c r="BP756" s="17"/>
      <c r="BQ756" s="17"/>
      <c r="BR756" s="17"/>
    </row>
    <row r="757" spans="66:70" x14ac:dyDescent="0.25">
      <c r="BN757" s="17"/>
      <c r="BO757" s="17"/>
      <c r="BP757" s="17"/>
      <c r="BQ757" s="17"/>
      <c r="BR757" s="17"/>
    </row>
    <row r="758" spans="66:70" x14ac:dyDescent="0.25">
      <c r="BN758" s="17"/>
      <c r="BO758" s="17"/>
      <c r="BP758" s="17"/>
      <c r="BQ758" s="17">
        <v>1093146</v>
      </c>
      <c r="BR758" s="17"/>
    </row>
    <row r="759" spans="66:70" x14ac:dyDescent="0.25">
      <c r="BN759" s="17"/>
      <c r="BO759" s="17"/>
      <c r="BP759" s="17"/>
      <c r="BQ759" s="17"/>
      <c r="BR759" s="17"/>
    </row>
    <row r="760" spans="66:70" x14ac:dyDescent="0.25">
      <c r="BN760" s="17"/>
      <c r="BO760" s="17"/>
      <c r="BP760" s="17"/>
      <c r="BQ760" s="17"/>
      <c r="BR760" s="17"/>
    </row>
    <row r="761" spans="66:70" x14ac:dyDescent="0.25">
      <c r="BN761" s="17"/>
      <c r="BO761" s="17"/>
      <c r="BP761" s="17"/>
      <c r="BQ761" s="17"/>
      <c r="BR761" s="17"/>
    </row>
    <row r="762" spans="66:70" x14ac:dyDescent="0.25">
      <c r="BN762" s="17"/>
      <c r="BO762" s="17"/>
      <c r="BP762" s="17"/>
      <c r="BQ762" s="17"/>
      <c r="BR762" s="17"/>
    </row>
    <row r="763" spans="66:70" x14ac:dyDescent="0.25">
      <c r="BN763" s="17"/>
      <c r="BO763" s="17"/>
      <c r="BP763" s="17"/>
      <c r="BQ763" s="17"/>
      <c r="BR763" s="17"/>
    </row>
    <row r="764" spans="66:70" x14ac:dyDescent="0.25">
      <c r="BN764" s="17"/>
      <c r="BO764" s="17"/>
      <c r="BP764" s="17"/>
      <c r="BQ764" s="17"/>
      <c r="BR764" s="17"/>
    </row>
    <row r="765" spans="66:70" x14ac:dyDescent="0.25">
      <c r="BN765" s="17"/>
      <c r="BO765" s="17"/>
      <c r="BP765" s="17"/>
      <c r="BQ765" s="17"/>
      <c r="BR765" s="17"/>
    </row>
    <row r="766" spans="66:70" x14ac:dyDescent="0.25">
      <c r="BN766" s="17"/>
      <c r="BO766" s="17"/>
      <c r="BP766" s="17"/>
      <c r="BQ766" s="17"/>
      <c r="BR766" s="17"/>
    </row>
    <row r="767" spans="66:70" x14ac:dyDescent="0.25">
      <c r="BN767" s="17"/>
      <c r="BO767" s="17"/>
      <c r="BP767" s="17"/>
      <c r="BQ767" s="17"/>
      <c r="BR767" s="17"/>
    </row>
    <row r="768" spans="66:70" x14ac:dyDescent="0.25">
      <c r="BN768" s="17"/>
      <c r="BO768" s="17"/>
      <c r="BP768" s="17"/>
      <c r="BQ768" s="17"/>
      <c r="BR768" s="17"/>
    </row>
    <row r="769" spans="66:70" x14ac:dyDescent="0.25">
      <c r="BN769" s="17"/>
      <c r="BO769" s="17"/>
      <c r="BP769" s="17"/>
      <c r="BQ769" s="17"/>
      <c r="BR769" s="17"/>
    </row>
    <row r="770" spans="66:70" x14ac:dyDescent="0.25">
      <c r="BN770" s="17"/>
      <c r="BO770" s="17"/>
      <c r="BP770" s="17"/>
      <c r="BQ770" s="17"/>
      <c r="BR770" s="17"/>
    </row>
    <row r="771" spans="66:70" x14ac:dyDescent="0.25">
      <c r="BN771" s="17"/>
      <c r="BO771" s="17"/>
      <c r="BP771" s="17"/>
      <c r="BQ771" s="17"/>
      <c r="BR771" s="17"/>
    </row>
    <row r="772" spans="66:70" x14ac:dyDescent="0.25">
      <c r="BN772" s="17"/>
      <c r="BO772" s="17"/>
      <c r="BP772" s="17"/>
      <c r="BQ772" s="17"/>
      <c r="BR772" s="17"/>
    </row>
    <row r="773" spans="66:70" x14ac:dyDescent="0.25">
      <c r="BN773" s="17"/>
      <c r="BO773" s="17"/>
      <c r="BP773" s="17"/>
      <c r="BQ773" s="17"/>
      <c r="BR773" s="17"/>
    </row>
    <row r="774" spans="66:70" x14ac:dyDescent="0.25">
      <c r="BN774" s="17"/>
      <c r="BO774" s="17"/>
      <c r="BP774" s="17"/>
      <c r="BQ774" s="17"/>
      <c r="BR774" s="17"/>
    </row>
    <row r="775" spans="66:70" x14ac:dyDescent="0.25">
      <c r="BN775" s="17"/>
      <c r="BO775" s="17"/>
      <c r="BP775" s="17"/>
      <c r="BQ775" s="17"/>
      <c r="BR775" s="17"/>
    </row>
    <row r="776" spans="66:70" x14ac:dyDescent="0.25">
      <c r="BN776" s="17"/>
      <c r="BO776" s="17"/>
      <c r="BP776" s="17"/>
      <c r="BQ776" s="17"/>
      <c r="BR776" s="17"/>
    </row>
    <row r="777" spans="66:70" x14ac:dyDescent="0.25">
      <c r="BN777" s="17"/>
      <c r="BO777" s="17"/>
      <c r="BP777" s="17"/>
      <c r="BQ777" s="17"/>
      <c r="BR777" s="17"/>
    </row>
    <row r="778" spans="66:70" x14ac:dyDescent="0.25">
      <c r="BN778" s="17"/>
      <c r="BO778" s="17"/>
      <c r="BP778" s="17"/>
      <c r="BQ778" s="17"/>
      <c r="BR778" s="17"/>
    </row>
    <row r="779" spans="66:70" x14ac:dyDescent="0.25">
      <c r="BN779" s="17"/>
      <c r="BO779" s="17"/>
      <c r="BP779" s="17"/>
      <c r="BQ779" s="17"/>
      <c r="BR779" s="17"/>
    </row>
    <row r="780" spans="66:70" x14ac:dyDescent="0.25">
      <c r="BN780" s="17"/>
      <c r="BO780" s="17"/>
      <c r="BP780" s="17"/>
      <c r="BQ780" s="17"/>
      <c r="BR780" s="17"/>
    </row>
    <row r="781" spans="66:70" x14ac:dyDescent="0.25">
      <c r="BN781" s="17"/>
      <c r="BO781" s="17"/>
      <c r="BP781" s="17"/>
      <c r="BQ781" s="17"/>
      <c r="BR781" s="17"/>
    </row>
    <row r="782" spans="66:70" x14ac:dyDescent="0.25">
      <c r="BN782" s="17"/>
      <c r="BO782" s="17"/>
      <c r="BP782" s="17"/>
      <c r="BQ782" s="17"/>
      <c r="BR782" s="17"/>
    </row>
    <row r="783" spans="66:70" x14ac:dyDescent="0.25">
      <c r="BN783" s="17"/>
      <c r="BO783" s="17"/>
      <c r="BP783" s="17"/>
      <c r="BQ783" s="17"/>
      <c r="BR783" s="17"/>
    </row>
    <row r="784" spans="66:70" x14ac:dyDescent="0.25">
      <c r="BN784" s="17"/>
      <c r="BO784" s="17"/>
      <c r="BP784" s="17"/>
      <c r="BQ784" s="17"/>
      <c r="BR784" s="17"/>
    </row>
    <row r="785" spans="66:70" x14ac:dyDescent="0.25">
      <c r="BN785" s="17"/>
      <c r="BO785" s="17"/>
      <c r="BP785" s="17"/>
      <c r="BQ785" s="17"/>
      <c r="BR785" s="17"/>
    </row>
    <row r="786" spans="66:70" x14ac:dyDescent="0.25">
      <c r="BN786" s="17"/>
      <c r="BO786" s="17"/>
      <c r="BP786" s="17"/>
      <c r="BQ786" s="17"/>
      <c r="BR786" s="17"/>
    </row>
    <row r="787" spans="66:70" x14ac:dyDescent="0.25">
      <c r="BN787" s="17"/>
      <c r="BO787" s="17"/>
      <c r="BP787" s="17"/>
      <c r="BQ787" s="17"/>
      <c r="BR787" s="17"/>
    </row>
    <row r="788" spans="66:70" x14ac:dyDescent="0.25">
      <c r="BN788" s="17"/>
      <c r="BO788" s="17"/>
      <c r="BP788" s="17"/>
      <c r="BQ788" s="17"/>
      <c r="BR788" s="17"/>
    </row>
    <row r="789" spans="66:70" x14ac:dyDescent="0.25">
      <c r="BN789" s="17"/>
      <c r="BO789" s="17"/>
      <c r="BP789" s="17"/>
      <c r="BQ789" s="17"/>
      <c r="BR789" s="17"/>
    </row>
    <row r="790" spans="66:70" x14ac:dyDescent="0.25">
      <c r="BN790" s="17"/>
      <c r="BO790" s="17"/>
      <c r="BP790" s="17"/>
      <c r="BQ790" s="17"/>
      <c r="BR790" s="17"/>
    </row>
    <row r="791" spans="66:70" x14ac:dyDescent="0.25">
      <c r="BN791" s="17"/>
      <c r="BO791" s="17"/>
      <c r="BP791" s="17"/>
      <c r="BQ791" s="17"/>
      <c r="BR791" s="17"/>
    </row>
    <row r="792" spans="66:70" x14ac:dyDescent="0.25">
      <c r="BN792" s="17"/>
      <c r="BO792" s="17"/>
      <c r="BP792" s="17"/>
      <c r="BQ792" s="17"/>
      <c r="BR792" s="17"/>
    </row>
    <row r="793" spans="66:70" x14ac:dyDescent="0.25">
      <c r="BN793" s="17"/>
      <c r="BO793" s="17"/>
      <c r="BP793" s="17"/>
      <c r="BQ793" s="17"/>
      <c r="BR793" s="17"/>
    </row>
    <row r="794" spans="66:70" x14ac:dyDescent="0.25">
      <c r="BN794" s="17"/>
      <c r="BO794" s="17"/>
      <c r="BP794" s="17"/>
      <c r="BQ794" s="17"/>
      <c r="BR794" s="17"/>
    </row>
    <row r="795" spans="66:70" x14ac:dyDescent="0.25">
      <c r="BN795" s="17"/>
      <c r="BO795" s="17"/>
      <c r="BP795" s="17"/>
      <c r="BQ795" s="17"/>
      <c r="BR795" s="17"/>
    </row>
    <row r="796" spans="66:70" x14ac:dyDescent="0.25">
      <c r="BN796" s="17"/>
      <c r="BO796" s="17"/>
      <c r="BP796" s="17"/>
      <c r="BQ796" s="17"/>
      <c r="BR796" s="17"/>
    </row>
    <row r="797" spans="66:70" x14ac:dyDescent="0.25">
      <c r="BN797" s="17"/>
      <c r="BO797" s="17"/>
      <c r="BP797" s="17"/>
      <c r="BQ797" s="17"/>
      <c r="BR797" s="17"/>
    </row>
    <row r="798" spans="66:70" x14ac:dyDescent="0.25">
      <c r="BN798" s="17"/>
      <c r="BO798" s="17"/>
      <c r="BP798" s="17"/>
      <c r="BQ798" s="17"/>
      <c r="BR798" s="17"/>
    </row>
    <row r="799" spans="66:70" x14ac:dyDescent="0.25">
      <c r="BN799" s="17"/>
      <c r="BO799" s="17"/>
      <c r="BP799" s="17"/>
      <c r="BQ799" s="17"/>
      <c r="BR799" s="17"/>
    </row>
    <row r="800" spans="66:70" x14ac:dyDescent="0.25">
      <c r="BN800" s="17"/>
      <c r="BO800" s="17"/>
      <c r="BP800" s="17"/>
      <c r="BQ800" s="17"/>
      <c r="BR800" s="17"/>
    </row>
    <row r="801" spans="66:70" x14ac:dyDescent="0.25">
      <c r="BN801" s="17"/>
      <c r="BO801" s="17"/>
      <c r="BP801" s="17"/>
      <c r="BQ801" s="17"/>
      <c r="BR801" s="17"/>
    </row>
    <row r="802" spans="66:70" x14ac:dyDescent="0.25">
      <c r="BN802" s="17"/>
      <c r="BO802" s="17"/>
      <c r="BP802" s="17"/>
      <c r="BQ802" s="17"/>
      <c r="BR802" s="17"/>
    </row>
    <row r="803" spans="66:70" x14ac:dyDescent="0.25">
      <c r="BN803" s="17"/>
      <c r="BO803" s="17"/>
      <c r="BP803" s="17"/>
      <c r="BQ803" s="17"/>
      <c r="BR803" s="17"/>
    </row>
    <row r="804" spans="66:70" x14ac:dyDescent="0.25">
      <c r="BN804" s="17"/>
      <c r="BO804" s="17"/>
      <c r="BP804" s="17"/>
      <c r="BQ804" s="17"/>
      <c r="BR804" s="17"/>
    </row>
    <row r="805" spans="66:70" x14ac:dyDescent="0.25">
      <c r="BN805" s="17"/>
      <c r="BO805" s="17"/>
      <c r="BP805" s="17"/>
      <c r="BQ805" s="17"/>
      <c r="BR805" s="17"/>
    </row>
    <row r="806" spans="66:70" x14ac:dyDescent="0.25">
      <c r="BN806" s="17"/>
      <c r="BO806" s="17"/>
      <c r="BP806" s="17"/>
      <c r="BQ806" s="17"/>
      <c r="BR806" s="17"/>
    </row>
    <row r="807" spans="66:70" x14ac:dyDescent="0.25">
      <c r="BN807" s="17"/>
      <c r="BO807" s="17"/>
      <c r="BP807" s="17"/>
      <c r="BQ807" s="17"/>
      <c r="BR807" s="17"/>
    </row>
    <row r="808" spans="66:70" x14ac:dyDescent="0.25">
      <c r="BN808" s="17"/>
      <c r="BO808" s="17"/>
      <c r="BP808" s="17"/>
      <c r="BQ808" s="17"/>
      <c r="BR808" s="17"/>
    </row>
    <row r="809" spans="66:70" x14ac:dyDescent="0.25">
      <c r="BN809" s="17"/>
      <c r="BO809" s="17"/>
      <c r="BP809" s="17"/>
      <c r="BQ809" s="17"/>
      <c r="BR809" s="17"/>
    </row>
    <row r="810" spans="66:70" x14ac:dyDescent="0.25">
      <c r="BN810" s="17"/>
      <c r="BO810" s="17"/>
      <c r="BP810" s="17"/>
      <c r="BQ810" s="17"/>
      <c r="BR810" s="17"/>
    </row>
    <row r="811" spans="66:70" x14ac:dyDescent="0.25">
      <c r="BN811" s="17"/>
      <c r="BO811" s="17"/>
      <c r="BP811" s="17"/>
      <c r="BQ811" s="17"/>
      <c r="BR811" s="17"/>
    </row>
    <row r="812" spans="66:70" x14ac:dyDescent="0.25">
      <c r="BN812" s="17"/>
      <c r="BO812" s="17"/>
      <c r="BP812" s="17"/>
      <c r="BQ812" s="17">
        <v>1093147</v>
      </c>
      <c r="BR812" s="17"/>
    </row>
    <row r="813" spans="66:70" x14ac:dyDescent="0.25">
      <c r="BN813" s="17"/>
      <c r="BO813" s="17"/>
      <c r="BP813" s="17"/>
      <c r="BQ813" s="17"/>
      <c r="BR813" s="17"/>
    </row>
    <row r="814" spans="66:70" x14ac:dyDescent="0.25">
      <c r="BN814" s="17"/>
      <c r="BO814" s="17"/>
      <c r="BP814" s="17"/>
      <c r="BQ814" s="17"/>
      <c r="BR814" s="17"/>
    </row>
    <row r="815" spans="66:70" x14ac:dyDescent="0.25">
      <c r="BN815" s="17"/>
      <c r="BO815" s="17"/>
      <c r="BP815" s="17"/>
      <c r="BQ815" s="17"/>
      <c r="BR815" s="17"/>
    </row>
    <row r="816" spans="66:70" x14ac:dyDescent="0.25">
      <c r="BN816" s="17"/>
      <c r="BO816" s="17"/>
      <c r="BP816" s="17"/>
      <c r="BQ816" s="17"/>
      <c r="BR816" s="17"/>
    </row>
    <row r="817" spans="66:70" x14ac:dyDescent="0.25">
      <c r="BN817" s="17"/>
      <c r="BO817" s="17"/>
      <c r="BP817" s="17"/>
      <c r="BQ817" s="17"/>
      <c r="BR817" s="17"/>
    </row>
    <row r="818" spans="66:70" x14ac:dyDescent="0.25">
      <c r="BN818" s="17"/>
      <c r="BO818" s="17"/>
      <c r="BP818" s="17"/>
      <c r="BQ818" s="17"/>
      <c r="BR818" s="17"/>
    </row>
    <row r="819" spans="66:70" x14ac:dyDescent="0.25">
      <c r="BN819" s="17"/>
      <c r="BO819" s="17"/>
      <c r="BP819" s="17"/>
      <c r="BQ819" s="17"/>
      <c r="BR819" s="17"/>
    </row>
    <row r="820" spans="66:70" x14ac:dyDescent="0.25">
      <c r="BN820" s="17"/>
      <c r="BO820" s="17"/>
      <c r="BP820" s="17"/>
      <c r="BQ820" s="17"/>
      <c r="BR820" s="17"/>
    </row>
    <row r="821" spans="66:70" x14ac:dyDescent="0.25">
      <c r="BN821" s="17"/>
      <c r="BO821" s="17"/>
      <c r="BP821" s="17"/>
      <c r="BQ821" s="17"/>
      <c r="BR821" s="17"/>
    </row>
    <row r="822" spans="66:70" x14ac:dyDescent="0.25">
      <c r="BN822" s="17"/>
      <c r="BO822" s="17"/>
      <c r="BP822" s="17"/>
      <c r="BQ822" s="17"/>
      <c r="BR822" s="17"/>
    </row>
    <row r="823" spans="66:70" x14ac:dyDescent="0.25">
      <c r="BN823" s="17"/>
      <c r="BO823" s="17"/>
      <c r="BP823" s="17"/>
      <c r="BQ823" s="17"/>
      <c r="BR823" s="17"/>
    </row>
    <row r="824" spans="66:70" x14ac:dyDescent="0.25">
      <c r="BN824" s="17"/>
      <c r="BO824" s="17"/>
      <c r="BP824" s="17"/>
      <c r="BQ824" s="17"/>
      <c r="BR824" s="17"/>
    </row>
    <row r="825" spans="66:70" x14ac:dyDescent="0.25">
      <c r="BN825" s="17"/>
      <c r="BO825" s="17"/>
      <c r="BP825" s="17"/>
      <c r="BQ825" s="17"/>
      <c r="BR825" s="17"/>
    </row>
    <row r="826" spans="66:70" x14ac:dyDescent="0.25">
      <c r="BN826" s="17"/>
      <c r="BO826" s="17"/>
      <c r="BP826" s="17"/>
      <c r="BQ826" s="17"/>
      <c r="BR826" s="17"/>
    </row>
    <row r="827" spans="66:70" x14ac:dyDescent="0.25">
      <c r="BN827" s="17"/>
      <c r="BO827" s="17"/>
      <c r="BP827" s="17"/>
      <c r="BQ827" s="17"/>
      <c r="BR827" s="17"/>
    </row>
    <row r="828" spans="66:70" x14ac:dyDescent="0.25">
      <c r="BN828" s="17"/>
      <c r="BO828" s="17"/>
      <c r="BP828" s="17"/>
      <c r="BQ828" s="17"/>
      <c r="BR828" s="17"/>
    </row>
    <row r="829" spans="66:70" x14ac:dyDescent="0.25">
      <c r="BN829" s="17"/>
      <c r="BO829" s="17"/>
      <c r="BP829" s="17"/>
      <c r="BQ829" s="17"/>
      <c r="BR829" s="17"/>
    </row>
    <row r="830" spans="66:70" x14ac:dyDescent="0.25">
      <c r="BN830" s="17"/>
      <c r="BO830" s="17"/>
      <c r="BP830" s="17"/>
      <c r="BQ830" s="17"/>
      <c r="BR830" s="17"/>
    </row>
    <row r="831" spans="66:70" x14ac:dyDescent="0.25">
      <c r="BN831" s="17"/>
      <c r="BO831" s="17"/>
      <c r="BP831" s="17"/>
      <c r="BQ831" s="17"/>
      <c r="BR831" s="17"/>
    </row>
    <row r="832" spans="66:70" x14ac:dyDescent="0.25">
      <c r="BN832" s="17"/>
      <c r="BO832" s="17"/>
      <c r="BP832" s="17"/>
      <c r="BQ832" s="17"/>
      <c r="BR832" s="17"/>
    </row>
    <row r="833" spans="66:70" x14ac:dyDescent="0.25">
      <c r="BN833" s="17"/>
      <c r="BO833" s="17"/>
      <c r="BP833" s="17"/>
      <c r="BQ833" s="17"/>
      <c r="BR833" s="17"/>
    </row>
    <row r="834" spans="66:70" x14ac:dyDescent="0.25">
      <c r="BN834" s="17"/>
      <c r="BO834" s="17"/>
      <c r="BP834" s="17"/>
      <c r="BQ834" s="17"/>
      <c r="BR834" s="17"/>
    </row>
    <row r="835" spans="66:70" x14ac:dyDescent="0.25">
      <c r="BN835" s="17"/>
      <c r="BO835" s="17"/>
      <c r="BP835" s="17"/>
      <c r="BQ835" s="17"/>
      <c r="BR835" s="17"/>
    </row>
    <row r="836" spans="66:70" x14ac:dyDescent="0.25">
      <c r="BN836" s="17"/>
      <c r="BO836" s="17"/>
      <c r="BP836" s="17"/>
      <c r="BQ836" s="17"/>
      <c r="BR836" s="17"/>
    </row>
    <row r="837" spans="66:70" x14ac:dyDescent="0.25">
      <c r="BN837" s="17"/>
      <c r="BO837" s="17"/>
      <c r="BP837" s="17"/>
      <c r="BQ837" s="17"/>
      <c r="BR837" s="17"/>
    </row>
    <row r="838" spans="66:70" x14ac:dyDescent="0.25">
      <c r="BN838" s="17"/>
      <c r="BO838" s="17"/>
      <c r="BP838" s="17"/>
      <c r="BQ838" s="17"/>
      <c r="BR838" s="17"/>
    </row>
    <row r="839" spans="66:70" x14ac:dyDescent="0.25">
      <c r="BN839" s="17"/>
      <c r="BO839" s="17"/>
      <c r="BP839" s="17"/>
      <c r="BQ839" s="17"/>
      <c r="BR839" s="17"/>
    </row>
    <row r="840" spans="66:70" x14ac:dyDescent="0.25">
      <c r="BN840" s="17"/>
      <c r="BO840" s="17"/>
      <c r="BP840" s="17"/>
      <c r="BQ840" s="17"/>
      <c r="BR840" s="17"/>
    </row>
    <row r="841" spans="66:70" x14ac:dyDescent="0.25">
      <c r="BN841" s="17"/>
      <c r="BO841" s="17"/>
      <c r="BP841" s="17"/>
      <c r="BQ841" s="17"/>
      <c r="BR841" s="17"/>
    </row>
    <row r="842" spans="66:70" x14ac:dyDescent="0.25">
      <c r="BN842" s="17"/>
      <c r="BO842" s="17"/>
      <c r="BP842" s="17"/>
      <c r="BQ842" s="17"/>
      <c r="BR842" s="17"/>
    </row>
    <row r="843" spans="66:70" x14ac:dyDescent="0.25">
      <c r="BN843" s="17"/>
      <c r="BO843" s="17"/>
      <c r="BP843" s="17"/>
      <c r="BQ843" s="17"/>
      <c r="BR843" s="17"/>
    </row>
    <row r="844" spans="66:70" x14ac:dyDescent="0.25">
      <c r="BN844" s="17"/>
      <c r="BO844" s="17"/>
      <c r="BP844" s="17"/>
      <c r="BQ844" s="17"/>
      <c r="BR844" s="17"/>
    </row>
    <row r="845" spans="66:70" x14ac:dyDescent="0.25">
      <c r="BN845" s="17"/>
      <c r="BO845" s="17"/>
      <c r="BP845" s="17"/>
      <c r="BQ845" s="17"/>
      <c r="BR845" s="17"/>
    </row>
    <row r="846" spans="66:70" x14ac:dyDescent="0.25">
      <c r="BN846" s="17"/>
      <c r="BO846" s="17"/>
      <c r="BP846" s="17"/>
      <c r="BQ846" s="17"/>
      <c r="BR846" s="17"/>
    </row>
    <row r="847" spans="66:70" x14ac:dyDescent="0.25">
      <c r="BN847" s="17"/>
      <c r="BO847" s="17"/>
      <c r="BP847" s="17"/>
      <c r="BQ847" s="17"/>
      <c r="BR847" s="17"/>
    </row>
    <row r="848" spans="66:70" x14ac:dyDescent="0.25">
      <c r="BN848" s="17"/>
      <c r="BO848" s="17"/>
      <c r="BP848" s="17"/>
      <c r="BQ848" s="17"/>
      <c r="BR848" s="17"/>
    </row>
    <row r="849" spans="66:70" x14ac:dyDescent="0.25">
      <c r="BN849" s="17"/>
      <c r="BO849" s="17"/>
      <c r="BP849" s="17"/>
      <c r="BQ849" s="17"/>
      <c r="BR849" s="17"/>
    </row>
    <row r="850" spans="66:70" x14ac:dyDescent="0.25">
      <c r="BN850" s="17"/>
      <c r="BO850" s="17"/>
      <c r="BP850" s="17"/>
      <c r="BQ850" s="17"/>
      <c r="BR850" s="17"/>
    </row>
    <row r="851" spans="66:70" x14ac:dyDescent="0.25">
      <c r="BN851" s="17"/>
      <c r="BO851" s="17"/>
      <c r="BP851" s="17"/>
      <c r="BQ851" s="17"/>
      <c r="BR851" s="17"/>
    </row>
    <row r="852" spans="66:70" x14ac:dyDescent="0.25">
      <c r="BN852" s="17"/>
      <c r="BO852" s="17"/>
      <c r="BP852" s="17"/>
      <c r="BQ852" s="17"/>
      <c r="BR852" s="17"/>
    </row>
    <row r="853" spans="66:70" x14ac:dyDescent="0.25">
      <c r="BN853" s="17"/>
      <c r="BO853" s="17"/>
      <c r="BP853" s="17"/>
      <c r="BQ853" s="17"/>
      <c r="BR853" s="17"/>
    </row>
    <row r="854" spans="66:70" x14ac:dyDescent="0.25">
      <c r="BN854" s="17"/>
      <c r="BO854" s="17"/>
      <c r="BP854" s="17"/>
    </row>
    <row r="855" spans="66:70" x14ac:dyDescent="0.25">
      <c r="BN855" s="17"/>
      <c r="BO855" s="17"/>
      <c r="BP855" s="17"/>
    </row>
    <row r="856" spans="66:70" x14ac:dyDescent="0.25">
      <c r="BN856" s="17"/>
      <c r="BO856" s="17"/>
      <c r="BP856" s="17"/>
    </row>
    <row r="857" spans="66:70" x14ac:dyDescent="0.25">
      <c r="BN857" s="17"/>
      <c r="BO857" s="17"/>
      <c r="BP857" s="17"/>
    </row>
    <row r="858" spans="66:70" x14ac:dyDescent="0.25">
      <c r="BN858" s="17"/>
      <c r="BO858" s="17"/>
      <c r="BP858" s="17"/>
    </row>
    <row r="859" spans="66:70" x14ac:dyDescent="0.25">
      <c r="BN859" s="17"/>
      <c r="BO859" s="17"/>
      <c r="BP859" s="17"/>
    </row>
    <row r="860" spans="66:70" x14ac:dyDescent="0.25">
      <c r="BN860" s="17"/>
      <c r="BO860" s="17"/>
      <c r="BP860" s="17"/>
    </row>
    <row r="861" spans="66:70" x14ac:dyDescent="0.25">
      <c r="BN861" s="17"/>
      <c r="BO861" s="17"/>
      <c r="BP861" s="17"/>
    </row>
  </sheetData>
  <autoFilter ref="A2:CB241" xr:uid="{391DAE73-E42D-4961-BAC7-B7627481EEBE}">
    <sortState ref="A4:CB241">
      <sortCondition ref="B2:B241"/>
    </sortState>
  </autoFilter>
  <mergeCells count="24">
    <mergeCell ref="BT1:BU1"/>
    <mergeCell ref="BV1:BW1"/>
    <mergeCell ref="L1:O1"/>
    <mergeCell ref="Z1:AE1"/>
    <mergeCell ref="AJ1:AO1"/>
    <mergeCell ref="AP1:AU1"/>
    <mergeCell ref="P1:T1"/>
    <mergeCell ref="U1:Y1"/>
    <mergeCell ref="AV1:AW1"/>
    <mergeCell ref="AX1:BI1"/>
    <mergeCell ref="BJ1:BL1"/>
    <mergeCell ref="BM1:BP1"/>
    <mergeCell ref="BQ1:BS1"/>
    <mergeCell ref="I1:I2"/>
    <mergeCell ref="J1:J2"/>
    <mergeCell ref="K1:K2"/>
    <mergeCell ref="A1:A2"/>
    <mergeCell ref="B1:B2"/>
    <mergeCell ref="C1:C2"/>
    <mergeCell ref="D1:D2"/>
    <mergeCell ref="E1:E2"/>
    <mergeCell ref="F1:F2"/>
    <mergeCell ref="G1:G2"/>
    <mergeCell ref="H1: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3E821-61C3-484E-9F77-B34F08B89AEC}">
  <sheetPr filterMode="1"/>
  <dimension ref="A1:BW857"/>
  <sheetViews>
    <sheetView zoomScale="115" zoomScaleNormal="115" workbookViewId="0">
      <pane xSplit="3" ySplit="2" topLeftCell="D3" activePane="bottomRight" state="frozen"/>
      <selection pane="topRight" activeCell="D1" sqref="D1"/>
      <selection pane="bottomLeft" activeCell="A3" sqref="A3"/>
      <selection pane="bottomRight" activeCell="BO673" sqref="BO673"/>
    </sheetView>
  </sheetViews>
  <sheetFormatPr defaultColWidth="8.85546875" defaultRowHeight="15" x14ac:dyDescent="0.25"/>
  <cols>
    <col min="1" max="1" width="28.7109375" style="15" bestFit="1" customWidth="1"/>
    <col min="2" max="2" width="8.85546875" style="15"/>
    <col min="3" max="3" width="10.28515625" style="15" bestFit="1" customWidth="1"/>
    <col min="4" max="4" width="8" style="15" bestFit="1" customWidth="1"/>
    <col min="5" max="5" width="15.85546875" style="17" bestFit="1" customWidth="1"/>
    <col min="6" max="6" width="17.85546875" style="17" bestFit="1" customWidth="1"/>
    <col min="7" max="7" width="20.42578125" style="15" bestFit="1" customWidth="1"/>
    <col min="8" max="8" width="24.42578125" style="15" bestFit="1" customWidth="1"/>
    <col min="9" max="9" width="35.42578125" style="15" customWidth="1"/>
    <col min="10" max="10" width="8.85546875" style="15"/>
    <col min="11" max="14" width="8.85546875" style="8"/>
    <col min="15" max="15" width="13.42578125" style="8" customWidth="1"/>
    <col min="16" max="16" width="25.140625" style="8" customWidth="1"/>
    <col min="17" max="17" width="27.85546875" style="8" customWidth="1"/>
    <col min="18" max="19" width="8.85546875" style="8"/>
    <col min="20" max="20" width="13.42578125" style="8" customWidth="1"/>
    <col min="21" max="21" width="17.42578125" style="8" customWidth="1"/>
    <col min="22" max="22" width="18.7109375" style="8" customWidth="1"/>
    <col min="23" max="23" width="11.42578125" style="8" customWidth="1"/>
    <col min="24" max="24" width="9.140625" style="8" bestFit="1" customWidth="1"/>
    <col min="25" max="25" width="14.140625" style="17" bestFit="1" customWidth="1"/>
    <col min="26" max="26" width="13.42578125" style="17" bestFit="1" customWidth="1"/>
    <col min="27" max="27" width="14" style="17" bestFit="1" customWidth="1"/>
    <col min="28" max="28" width="13.42578125" style="17" bestFit="1" customWidth="1"/>
    <col min="29" max="29" width="15.28515625" style="17" customWidth="1"/>
    <col min="30" max="30" width="14.42578125" style="17" bestFit="1" customWidth="1"/>
    <col min="31" max="31" width="14.85546875" style="51" bestFit="1" customWidth="1"/>
    <col min="32" max="32" width="12.85546875" style="51" bestFit="1" customWidth="1"/>
    <col min="33" max="33" width="14" style="51" bestFit="1" customWidth="1"/>
    <col min="34" max="34" width="12.7109375" style="51" bestFit="1" customWidth="1"/>
    <col min="35" max="35" width="20.85546875" style="17" bestFit="1" customWidth="1"/>
    <col min="36" max="37" width="19.7109375" style="17" bestFit="1" customWidth="1"/>
    <col min="38" max="38" width="20.5703125" style="17" bestFit="1" customWidth="1"/>
    <col min="39" max="39" width="20.85546875" style="17" bestFit="1" customWidth="1"/>
    <col min="40" max="40" width="19.7109375" style="17" bestFit="1" customWidth="1"/>
    <col min="41" max="42" width="22.42578125" style="17" bestFit="1" customWidth="1"/>
    <col min="43" max="43" width="26.85546875" style="17" bestFit="1" customWidth="1"/>
    <col min="44" max="44" width="27.85546875" style="17" customWidth="1"/>
    <col min="45" max="45" width="23.42578125" style="17" bestFit="1" customWidth="1"/>
    <col min="46" max="46" width="25.85546875" style="17" bestFit="1" customWidth="1"/>
    <col min="47" max="47" width="19" style="15" bestFit="1" customWidth="1"/>
    <col min="48" max="48" width="8.85546875" style="15"/>
    <col min="49" max="49" width="19.28515625" style="15" bestFit="1" customWidth="1"/>
    <col min="50" max="50" width="15.7109375" style="15" customWidth="1"/>
    <col min="51" max="51" width="16.28515625" style="15" customWidth="1"/>
    <col min="52" max="52" width="16.42578125" style="15" customWidth="1"/>
    <col min="53" max="53" width="15" style="15" bestFit="1" customWidth="1"/>
    <col min="54" max="54" width="11.85546875" style="15" customWidth="1"/>
    <col min="55" max="55" width="20.28515625" style="15" customWidth="1"/>
    <col min="56" max="56" width="22.7109375" style="15" customWidth="1"/>
    <col min="57" max="57" width="21.7109375" style="15" customWidth="1"/>
    <col min="58" max="58" width="18.5703125" style="15" customWidth="1"/>
    <col min="59" max="59" width="21.42578125" style="17" bestFit="1" customWidth="1"/>
    <col min="60" max="60" width="9.7109375" style="15" customWidth="1"/>
    <col min="61" max="62" width="10.7109375" style="21" bestFit="1" customWidth="1"/>
    <col min="63" max="63" width="18.5703125" style="21" bestFit="1" customWidth="1"/>
    <col min="64" max="64" width="12.42578125" style="15" bestFit="1" customWidth="1"/>
    <col min="65" max="65" width="15.140625" style="15" customWidth="1"/>
    <col min="66" max="66" width="15.28515625" style="15" bestFit="1" customWidth="1"/>
    <col min="67" max="67" width="15.28515625" style="15" customWidth="1"/>
    <col min="68" max="68" width="15.140625" style="15" bestFit="1" customWidth="1"/>
    <col min="69" max="69" width="12.85546875" style="15" bestFit="1" customWidth="1"/>
    <col min="70" max="70" width="10.42578125" style="43" bestFit="1" customWidth="1"/>
    <col min="71" max="71" width="11.42578125" style="15" bestFit="1" customWidth="1"/>
    <col min="72" max="72" width="13.28515625" style="15" bestFit="1" customWidth="1"/>
    <col min="73" max="74" width="8.85546875" style="15"/>
    <col min="75" max="75" width="10.7109375" style="15" customWidth="1"/>
    <col min="76" max="16384" width="8.85546875" style="15"/>
  </cols>
  <sheetData>
    <row r="1" spans="1:75" ht="38.25" customHeight="1" x14ac:dyDescent="0.25">
      <c r="A1" s="82" t="s">
        <v>0</v>
      </c>
      <c r="B1" s="84" t="s">
        <v>1</v>
      </c>
      <c r="C1" s="82" t="s">
        <v>2</v>
      </c>
      <c r="D1" s="82" t="s">
        <v>3</v>
      </c>
      <c r="E1" s="86" t="s">
        <v>4</v>
      </c>
      <c r="F1" s="86" t="s">
        <v>5</v>
      </c>
      <c r="G1" s="82" t="s">
        <v>6</v>
      </c>
      <c r="H1" s="82" t="s">
        <v>7</v>
      </c>
      <c r="I1" s="82" t="s">
        <v>8</v>
      </c>
      <c r="J1" s="82" t="s">
        <v>9</v>
      </c>
      <c r="K1" s="90" t="s">
        <v>10</v>
      </c>
      <c r="L1" s="91"/>
      <c r="M1" s="91"/>
      <c r="N1" s="92"/>
      <c r="O1" s="90" t="s">
        <v>11</v>
      </c>
      <c r="P1" s="91"/>
      <c r="Q1" s="91"/>
      <c r="R1" s="92"/>
      <c r="S1" s="1" t="s">
        <v>12</v>
      </c>
      <c r="T1" s="90" t="s">
        <v>13</v>
      </c>
      <c r="U1" s="91"/>
      <c r="V1" s="91"/>
      <c r="W1" s="92"/>
      <c r="X1" s="1" t="s">
        <v>12</v>
      </c>
      <c r="Y1" s="93" t="s">
        <v>14</v>
      </c>
      <c r="Z1" s="94"/>
      <c r="AA1" s="94"/>
      <c r="AB1" s="94"/>
      <c r="AC1" s="94"/>
      <c r="AD1" s="95"/>
      <c r="AE1" s="57"/>
      <c r="AF1" s="57"/>
      <c r="AG1" s="57"/>
      <c r="AH1" s="57"/>
      <c r="AI1" s="96" t="s">
        <v>15</v>
      </c>
      <c r="AJ1" s="97"/>
      <c r="AK1" s="97"/>
      <c r="AL1" s="97"/>
      <c r="AM1" s="97"/>
      <c r="AN1" s="98"/>
      <c r="AO1" s="99" t="s">
        <v>16</v>
      </c>
      <c r="AP1" s="100"/>
      <c r="AQ1" s="100"/>
      <c r="AR1" s="100"/>
      <c r="AS1" s="100"/>
      <c r="AT1" s="101"/>
      <c r="AU1" s="115" t="s">
        <v>1945</v>
      </c>
      <c r="AV1" s="116"/>
      <c r="AW1" s="111" t="s">
        <v>1881</v>
      </c>
      <c r="AX1" s="112"/>
      <c r="AY1" s="112"/>
      <c r="AZ1" s="112"/>
      <c r="BA1" s="112"/>
      <c r="BB1" s="112"/>
      <c r="BC1" s="112"/>
      <c r="BD1" s="112"/>
      <c r="BE1" s="112"/>
      <c r="BF1" s="112"/>
      <c r="BG1" s="113"/>
      <c r="BH1" s="114"/>
      <c r="BI1" s="107" t="s">
        <v>17</v>
      </c>
      <c r="BJ1" s="108"/>
      <c r="BK1" s="109"/>
      <c r="BL1" s="88" t="s">
        <v>1883</v>
      </c>
      <c r="BM1" s="110"/>
      <c r="BN1" s="110"/>
      <c r="BO1" s="89"/>
      <c r="BP1" s="88" t="s">
        <v>1876</v>
      </c>
      <c r="BQ1" s="110"/>
      <c r="BR1" s="89"/>
      <c r="BS1" s="88" t="s">
        <v>1877</v>
      </c>
      <c r="BT1" s="89"/>
      <c r="BU1" s="88" t="s">
        <v>1877</v>
      </c>
      <c r="BV1" s="89"/>
      <c r="BW1" s="50" t="s">
        <v>1944</v>
      </c>
    </row>
    <row r="2" spans="1:75" s="20" customFormat="1" ht="71.25" customHeight="1" x14ac:dyDescent="0.25">
      <c r="A2" s="83"/>
      <c r="B2" s="85"/>
      <c r="C2" s="83"/>
      <c r="D2" s="83"/>
      <c r="E2" s="87"/>
      <c r="F2" s="87"/>
      <c r="G2" s="83"/>
      <c r="H2" s="83"/>
      <c r="I2" s="83"/>
      <c r="J2" s="83"/>
      <c r="K2" s="2" t="s">
        <v>18</v>
      </c>
      <c r="L2" s="2" t="s">
        <v>19</v>
      </c>
      <c r="M2" s="2" t="s">
        <v>20</v>
      </c>
      <c r="N2" s="2" t="s">
        <v>21</v>
      </c>
      <c r="O2" s="2" t="s">
        <v>18</v>
      </c>
      <c r="P2" s="2" t="s">
        <v>19</v>
      </c>
      <c r="Q2" s="2" t="s">
        <v>20</v>
      </c>
      <c r="R2" s="2" t="s">
        <v>21</v>
      </c>
      <c r="S2" s="2"/>
      <c r="T2" s="2" t="s">
        <v>18</v>
      </c>
      <c r="U2" s="2" t="s">
        <v>19</v>
      </c>
      <c r="V2" s="2" t="s">
        <v>20</v>
      </c>
      <c r="W2" s="2" t="s">
        <v>21</v>
      </c>
      <c r="X2" s="2"/>
      <c r="Y2" s="3" t="s">
        <v>18</v>
      </c>
      <c r="Z2" s="3" t="s">
        <v>19</v>
      </c>
      <c r="AA2" s="3" t="s">
        <v>20</v>
      </c>
      <c r="AB2" s="3" t="s">
        <v>22</v>
      </c>
      <c r="AC2" s="3" t="s">
        <v>23</v>
      </c>
      <c r="AD2" s="3" t="s">
        <v>21</v>
      </c>
      <c r="AE2" s="58" t="s">
        <v>24</v>
      </c>
      <c r="AF2" s="58" t="s">
        <v>25</v>
      </c>
      <c r="AG2" s="58" t="s">
        <v>26</v>
      </c>
      <c r="AH2" s="58" t="s">
        <v>27</v>
      </c>
      <c r="AI2" s="3" t="s">
        <v>18</v>
      </c>
      <c r="AJ2" s="3" t="s">
        <v>19</v>
      </c>
      <c r="AK2" s="3" t="s">
        <v>20</v>
      </c>
      <c r="AL2" s="3" t="s">
        <v>22</v>
      </c>
      <c r="AM2" s="3" t="s">
        <v>23</v>
      </c>
      <c r="AN2" s="3" t="s">
        <v>21</v>
      </c>
      <c r="AO2" s="3" t="s">
        <v>18</v>
      </c>
      <c r="AP2" s="3" t="s">
        <v>19</v>
      </c>
      <c r="AQ2" s="3" t="s">
        <v>20</v>
      </c>
      <c r="AR2" s="3" t="s">
        <v>22</v>
      </c>
      <c r="AS2" s="3" t="s">
        <v>23</v>
      </c>
      <c r="AT2" s="3" t="s">
        <v>21</v>
      </c>
      <c r="AU2" s="4" t="s">
        <v>1946</v>
      </c>
      <c r="AV2" s="4" t="s">
        <v>1947</v>
      </c>
      <c r="AW2" s="18" t="s">
        <v>1932</v>
      </c>
      <c r="AX2" s="18" t="s">
        <v>1931</v>
      </c>
      <c r="AY2" s="18" t="s">
        <v>1933</v>
      </c>
      <c r="AZ2" s="18" t="s">
        <v>1934</v>
      </c>
      <c r="BA2" s="18" t="s">
        <v>1935</v>
      </c>
      <c r="BB2" s="18" t="s">
        <v>1936</v>
      </c>
      <c r="BC2" s="18" t="s">
        <v>1937</v>
      </c>
      <c r="BD2" s="18" t="s">
        <v>1938</v>
      </c>
      <c r="BE2" s="18" t="s">
        <v>1939</v>
      </c>
      <c r="BF2" s="18" t="s">
        <v>1942</v>
      </c>
      <c r="BG2" s="3" t="s">
        <v>1940</v>
      </c>
      <c r="BH2" s="18" t="s">
        <v>1941</v>
      </c>
      <c r="BI2" s="46" t="s">
        <v>1948</v>
      </c>
      <c r="BJ2" s="46" t="s">
        <v>1949</v>
      </c>
      <c r="BK2" s="46" t="s">
        <v>1950</v>
      </c>
      <c r="BL2" s="5" t="s">
        <v>1872</v>
      </c>
      <c r="BM2" s="19" t="s">
        <v>18</v>
      </c>
      <c r="BN2" s="19" t="s">
        <v>1873</v>
      </c>
      <c r="BO2" s="19" t="s">
        <v>1874</v>
      </c>
      <c r="BP2" s="19" t="s">
        <v>18</v>
      </c>
      <c r="BQ2" s="19" t="s">
        <v>1873</v>
      </c>
      <c r="BR2" s="19" t="s">
        <v>1875</v>
      </c>
      <c r="BS2" s="19"/>
      <c r="BT2" s="19"/>
      <c r="BU2" s="19"/>
      <c r="BV2" s="19"/>
      <c r="BW2" s="55"/>
    </row>
    <row r="3" spans="1:75" hidden="1" x14ac:dyDescent="0.25">
      <c r="A3" s="15" t="s">
        <v>29</v>
      </c>
      <c r="B3" s="15" t="s">
        <v>30</v>
      </c>
      <c r="C3" s="15">
        <v>2015</v>
      </c>
      <c r="D3" s="15" t="s">
        <v>31</v>
      </c>
      <c r="E3" s="15">
        <v>600</v>
      </c>
      <c r="F3" s="17">
        <v>33736494</v>
      </c>
      <c r="G3" s="15" t="s">
        <v>32</v>
      </c>
      <c r="H3" s="15" t="s">
        <v>33</v>
      </c>
      <c r="I3" s="15" t="s">
        <v>1676</v>
      </c>
      <c r="J3" s="15" t="s">
        <v>1634</v>
      </c>
      <c r="K3" s="15" t="s">
        <v>34</v>
      </c>
      <c r="L3" s="15" t="s">
        <v>35</v>
      </c>
      <c r="M3" s="15" t="s">
        <v>36</v>
      </c>
      <c r="N3" s="15" t="s">
        <v>37</v>
      </c>
      <c r="O3" s="15"/>
      <c r="P3" s="15"/>
      <c r="Q3" s="15"/>
      <c r="R3" s="15"/>
      <c r="S3" s="15" t="s">
        <v>39</v>
      </c>
      <c r="T3" s="15"/>
      <c r="U3" s="15"/>
      <c r="V3" s="15"/>
      <c r="W3" s="15"/>
      <c r="X3" s="15" t="s">
        <v>39</v>
      </c>
      <c r="Y3" s="17">
        <v>660110</v>
      </c>
      <c r="Z3" s="17">
        <v>24999</v>
      </c>
      <c r="AA3" s="17">
        <v>1846</v>
      </c>
      <c r="AB3" s="17">
        <v>26845</v>
      </c>
      <c r="AC3" s="17">
        <v>686955</v>
      </c>
      <c r="AD3" s="17">
        <v>103</v>
      </c>
      <c r="AE3" s="51">
        <f t="shared" ref="AE3:AE66" si="0">IF(ISERROR((Y3/$F3)*1000),"",IF((Y3/$F3)*1000=0,"",(Y3/$F3)*1000))</f>
        <v>19.566644951309996</v>
      </c>
      <c r="AF3" s="51">
        <f t="shared" ref="AF3:AF66" si="1">IF(ISERROR((AB3/$F3)*1000),"",IF((AB3/$F3)*1000=0,"",(AB3/$F3)*1000))</f>
        <v>0.79572583920546103</v>
      </c>
      <c r="AG3" s="51">
        <f t="shared" ref="AG3:AG66" si="2">IF(ISERROR((AC3/$F3)*1000),"",IF((AC3/$F3)*1000=0,"",(AC3/$F3)*1000))</f>
        <v>20.362370790515456</v>
      </c>
      <c r="AH3" s="51">
        <f t="shared" ref="AH3:AH66" si="3">IF(ISERROR((AD3/$F3)*1000),"",IF((AD3/$F3)*1000=0,"",(AD3/$F3)*1000))</f>
        <v>3.053073624070124E-3</v>
      </c>
      <c r="AI3" s="17">
        <v>1051144</v>
      </c>
      <c r="AJ3" s="17">
        <v>263432</v>
      </c>
      <c r="AK3" s="17">
        <v>56993</v>
      </c>
      <c r="AL3" s="17">
        <v>320425</v>
      </c>
      <c r="AM3" s="17">
        <v>1371569</v>
      </c>
      <c r="AN3" s="17">
        <v>37671</v>
      </c>
      <c r="AO3" s="17">
        <v>159505000000</v>
      </c>
      <c r="AP3" s="17">
        <v>24879000000</v>
      </c>
      <c r="AQ3" s="17">
        <v>14366000000</v>
      </c>
      <c r="AR3" s="17">
        <v>39245000000</v>
      </c>
      <c r="AS3" s="17">
        <v>198750000000</v>
      </c>
      <c r="AT3" s="17">
        <v>29369000000</v>
      </c>
      <c r="BG3" s="15"/>
      <c r="BM3" s="17"/>
      <c r="BN3" s="17"/>
      <c r="BO3" s="17"/>
      <c r="BP3" s="17"/>
      <c r="BQ3" s="17"/>
      <c r="BW3" s="17"/>
    </row>
    <row r="4" spans="1:75" ht="15.75" hidden="1" customHeight="1" x14ac:dyDescent="0.25">
      <c r="A4" s="15" t="s">
        <v>40</v>
      </c>
      <c r="B4" s="15" t="s">
        <v>30</v>
      </c>
      <c r="C4" s="15">
        <v>2017</v>
      </c>
      <c r="D4" s="15" t="s">
        <v>41</v>
      </c>
      <c r="E4" s="15">
        <v>4320</v>
      </c>
      <c r="F4" s="17">
        <v>2873457</v>
      </c>
      <c r="G4" s="15" t="s">
        <v>42</v>
      </c>
      <c r="H4" s="15" t="s">
        <v>43</v>
      </c>
      <c r="I4" s="15" t="s">
        <v>44</v>
      </c>
      <c r="J4" s="15" t="s">
        <v>45</v>
      </c>
      <c r="K4" s="15" t="s">
        <v>46</v>
      </c>
      <c r="L4" s="15" t="s">
        <v>47</v>
      </c>
      <c r="M4" s="15" t="s">
        <v>48</v>
      </c>
      <c r="N4" s="15" t="s">
        <v>49</v>
      </c>
      <c r="O4" s="15"/>
      <c r="P4" s="15"/>
      <c r="Q4" s="15"/>
      <c r="R4" s="15"/>
      <c r="S4" s="15" t="s">
        <v>50</v>
      </c>
      <c r="T4" s="15"/>
      <c r="U4" s="15"/>
      <c r="V4" s="15"/>
      <c r="W4" s="15"/>
      <c r="X4" s="15" t="s">
        <v>50</v>
      </c>
      <c r="Y4" s="17">
        <v>146304</v>
      </c>
      <c r="Z4" s="17">
        <v>8023</v>
      </c>
      <c r="AA4" s="17">
        <v>6297</v>
      </c>
      <c r="AB4" s="17">
        <v>14320</v>
      </c>
      <c r="AC4" s="17">
        <v>160624</v>
      </c>
      <c r="AD4" s="17">
        <v>1828</v>
      </c>
      <c r="AE4" s="51">
        <f t="shared" si="0"/>
        <v>50.915674046975475</v>
      </c>
      <c r="AF4" s="51">
        <f t="shared" si="1"/>
        <v>4.9835442117282422</v>
      </c>
      <c r="AG4" s="51">
        <f t="shared" si="2"/>
        <v>55.899218258703712</v>
      </c>
      <c r="AH4" s="51">
        <f t="shared" si="3"/>
        <v>0.63616751529603544</v>
      </c>
      <c r="AU4" s="15" t="s">
        <v>51</v>
      </c>
      <c r="AV4" s="15" t="s">
        <v>51</v>
      </c>
      <c r="BG4" s="15"/>
      <c r="BM4" s="17">
        <v>44145</v>
      </c>
      <c r="BN4" s="17">
        <v>3606</v>
      </c>
      <c r="BO4" s="17">
        <f>BN4+BM4</f>
        <v>47751</v>
      </c>
      <c r="BP4" s="17"/>
      <c r="BQ4" s="17"/>
      <c r="BW4" s="17"/>
    </row>
    <row r="5" spans="1:75" ht="15.75" hidden="1" customHeight="1" x14ac:dyDescent="0.25">
      <c r="A5" s="15" t="s">
        <v>40</v>
      </c>
      <c r="B5" s="15" t="s">
        <v>30</v>
      </c>
      <c r="C5" s="15">
        <v>2016</v>
      </c>
      <c r="D5" s="15" t="s">
        <v>41</v>
      </c>
      <c r="E5" s="15">
        <v>4320</v>
      </c>
      <c r="F5" s="17">
        <v>2876101</v>
      </c>
      <c r="G5" s="15" t="s">
        <v>42</v>
      </c>
      <c r="H5" s="15" t="s">
        <v>43</v>
      </c>
      <c r="I5" s="15" t="s">
        <v>44</v>
      </c>
      <c r="J5" s="15" t="s">
        <v>45</v>
      </c>
      <c r="K5" s="15" t="s">
        <v>46</v>
      </c>
      <c r="L5" s="15" t="s">
        <v>47</v>
      </c>
      <c r="M5" s="15" t="s">
        <v>48</v>
      </c>
      <c r="N5" s="15" t="s">
        <v>49</v>
      </c>
      <c r="O5" s="15"/>
      <c r="P5" s="15"/>
      <c r="Q5" s="15"/>
      <c r="R5" s="15"/>
      <c r="S5" s="15" t="s">
        <v>50</v>
      </c>
      <c r="T5" s="15"/>
      <c r="U5" s="15"/>
      <c r="V5" s="15"/>
      <c r="W5" s="15"/>
      <c r="X5" s="15" t="s">
        <v>50</v>
      </c>
      <c r="Y5" s="17">
        <v>145456</v>
      </c>
      <c r="Z5" s="17">
        <v>7631</v>
      </c>
      <c r="AA5" s="17">
        <v>5902</v>
      </c>
      <c r="AB5" s="17">
        <v>13533</v>
      </c>
      <c r="AC5" s="17">
        <v>158989</v>
      </c>
      <c r="AD5" s="17">
        <v>1690</v>
      </c>
      <c r="AE5" s="51">
        <f t="shared" si="0"/>
        <v>50.574023652159639</v>
      </c>
      <c r="AF5" s="51">
        <f t="shared" si="1"/>
        <v>4.7053284985471651</v>
      </c>
      <c r="AG5" s="51">
        <f t="shared" si="2"/>
        <v>55.279352150706806</v>
      </c>
      <c r="AH5" s="51">
        <f t="shared" si="3"/>
        <v>0.58760106129791678</v>
      </c>
      <c r="AU5" s="15" t="s">
        <v>51</v>
      </c>
      <c r="BG5" s="15"/>
      <c r="BM5" s="17">
        <v>39882</v>
      </c>
      <c r="BN5" s="17">
        <v>2796</v>
      </c>
      <c r="BO5" s="17">
        <f>BN5+BM5</f>
        <v>42678</v>
      </c>
      <c r="BP5" s="17"/>
      <c r="BQ5" s="17"/>
      <c r="BW5" s="17"/>
    </row>
    <row r="6" spans="1:75" ht="15.75" hidden="1" customHeight="1" x14ac:dyDescent="0.25">
      <c r="A6" s="15" t="s">
        <v>40</v>
      </c>
      <c r="B6" s="15" t="s">
        <v>30</v>
      </c>
      <c r="C6" s="15">
        <v>2015</v>
      </c>
      <c r="D6" s="15" t="s">
        <v>41</v>
      </c>
      <c r="E6" s="15">
        <v>4390</v>
      </c>
      <c r="F6" s="17">
        <v>2880703</v>
      </c>
      <c r="G6" s="15" t="s">
        <v>42</v>
      </c>
      <c r="H6" s="15" t="s">
        <v>43</v>
      </c>
      <c r="I6" s="15" t="s">
        <v>44</v>
      </c>
      <c r="J6" s="15" t="s">
        <v>45</v>
      </c>
      <c r="K6" s="15" t="s">
        <v>46</v>
      </c>
      <c r="L6" s="15" t="s">
        <v>47</v>
      </c>
      <c r="M6" s="15" t="s">
        <v>48</v>
      </c>
      <c r="N6" s="15" t="s">
        <v>49</v>
      </c>
      <c r="O6" s="15"/>
      <c r="P6" s="15"/>
      <c r="Q6" s="15"/>
      <c r="R6" s="15"/>
      <c r="S6" s="15" t="s">
        <v>50</v>
      </c>
      <c r="T6" s="15"/>
      <c r="U6" s="15"/>
      <c r="V6" s="15"/>
      <c r="W6" s="15"/>
      <c r="X6" s="15" t="s">
        <v>50</v>
      </c>
      <c r="Y6" s="17">
        <v>136470</v>
      </c>
      <c r="Z6" s="17">
        <v>8172</v>
      </c>
      <c r="AA6" s="17">
        <v>5994</v>
      </c>
      <c r="AB6" s="17">
        <v>14166</v>
      </c>
      <c r="AC6" s="17">
        <v>150636</v>
      </c>
      <c r="AD6" s="17">
        <v>1652</v>
      </c>
      <c r="AE6" s="51">
        <f t="shared" si="0"/>
        <v>47.373852840782263</v>
      </c>
      <c r="AF6" s="51">
        <f t="shared" si="1"/>
        <v>4.9175496397927869</v>
      </c>
      <c r="AG6" s="51">
        <f t="shared" si="2"/>
        <v>52.291402480575051</v>
      </c>
      <c r="AH6" s="51">
        <f t="shared" si="3"/>
        <v>0.5734711284016436</v>
      </c>
      <c r="AU6" s="15" t="s">
        <v>51</v>
      </c>
      <c r="BG6" s="15"/>
      <c r="BM6" s="17"/>
      <c r="BN6" s="17"/>
      <c r="BO6" s="17"/>
      <c r="BP6" s="17"/>
      <c r="BQ6" s="17"/>
      <c r="BW6" s="17"/>
    </row>
    <row r="7" spans="1:75" ht="15.75" hidden="1" customHeight="1" x14ac:dyDescent="0.25">
      <c r="A7" s="15" t="s">
        <v>40</v>
      </c>
      <c r="B7" s="15" t="s">
        <v>30</v>
      </c>
      <c r="C7" s="15">
        <v>2014</v>
      </c>
      <c r="D7" s="15" t="s">
        <v>41</v>
      </c>
      <c r="E7" s="15">
        <v>4540</v>
      </c>
      <c r="F7" s="17">
        <v>2889104</v>
      </c>
      <c r="G7" s="15" t="s">
        <v>42</v>
      </c>
      <c r="H7" s="15" t="s">
        <v>43</v>
      </c>
      <c r="I7" s="15" t="s">
        <v>44</v>
      </c>
      <c r="J7" s="15" t="s">
        <v>45</v>
      </c>
      <c r="K7" s="15" t="s">
        <v>46</v>
      </c>
      <c r="L7" s="15" t="s">
        <v>47</v>
      </c>
      <c r="M7" s="15" t="s">
        <v>48</v>
      </c>
      <c r="N7" s="15" t="s">
        <v>49</v>
      </c>
      <c r="O7" s="15"/>
      <c r="P7" s="15"/>
      <c r="Q7" s="15"/>
      <c r="R7" s="15"/>
      <c r="S7" s="15" t="s">
        <v>50</v>
      </c>
      <c r="T7" s="15"/>
      <c r="U7" s="15"/>
      <c r="V7" s="15"/>
      <c r="W7" s="15"/>
      <c r="X7" s="15" t="s">
        <v>50</v>
      </c>
      <c r="Y7" s="17">
        <v>101025</v>
      </c>
      <c r="Z7" s="17">
        <v>5387</v>
      </c>
      <c r="AA7" s="17">
        <v>4647</v>
      </c>
      <c r="AB7" s="17">
        <v>10034</v>
      </c>
      <c r="AC7" s="17">
        <v>111059</v>
      </c>
      <c r="AD7" s="17">
        <v>1478</v>
      </c>
      <c r="AE7" s="51">
        <f t="shared" si="0"/>
        <v>34.967588567251305</v>
      </c>
      <c r="AF7" s="51">
        <f t="shared" si="1"/>
        <v>3.4730490837297654</v>
      </c>
      <c r="AG7" s="51">
        <f t="shared" si="2"/>
        <v>38.440637650981067</v>
      </c>
      <c r="AH7" s="51">
        <f t="shared" si="3"/>
        <v>0.51157729178319644</v>
      </c>
      <c r="AU7" s="15" t="s">
        <v>51</v>
      </c>
      <c r="BG7" s="15"/>
      <c r="BM7" s="17"/>
      <c r="BN7" s="17"/>
      <c r="BO7" s="17"/>
      <c r="BP7" s="17"/>
      <c r="BQ7" s="17"/>
      <c r="BW7" s="17"/>
    </row>
    <row r="8" spans="1:75" ht="15.75" hidden="1" customHeight="1" x14ac:dyDescent="0.25">
      <c r="A8" s="15" t="s">
        <v>40</v>
      </c>
      <c r="B8" s="15" t="s">
        <v>30</v>
      </c>
      <c r="C8" s="15">
        <v>2013</v>
      </c>
      <c r="D8" s="15" t="s">
        <v>41</v>
      </c>
      <c r="E8" s="15">
        <v>4540</v>
      </c>
      <c r="F8" s="17">
        <v>2895092</v>
      </c>
      <c r="G8" s="15" t="s">
        <v>42</v>
      </c>
      <c r="H8" s="15" t="s">
        <v>43</v>
      </c>
      <c r="I8" s="15" t="s">
        <v>44</v>
      </c>
      <c r="J8" s="15" t="s">
        <v>45</v>
      </c>
      <c r="K8" s="15" t="s">
        <v>46</v>
      </c>
      <c r="L8" s="15" t="s">
        <v>47</v>
      </c>
      <c r="M8" s="15" t="s">
        <v>48</v>
      </c>
      <c r="N8" s="15" t="s">
        <v>49</v>
      </c>
      <c r="O8" s="15"/>
      <c r="P8" s="15"/>
      <c r="Q8" s="15"/>
      <c r="R8" s="15"/>
      <c r="S8" s="15" t="s">
        <v>50</v>
      </c>
      <c r="T8" s="15"/>
      <c r="U8" s="15"/>
      <c r="V8" s="15"/>
      <c r="W8" s="15"/>
      <c r="X8" s="15" t="s">
        <v>50</v>
      </c>
      <c r="Y8" s="17">
        <v>99782</v>
      </c>
      <c r="Z8" s="17">
        <v>5235</v>
      </c>
      <c r="AA8" s="17">
        <v>4660</v>
      </c>
      <c r="AB8" s="17">
        <v>9895</v>
      </c>
      <c r="AC8" s="17">
        <v>109677</v>
      </c>
      <c r="AD8" s="17">
        <v>1406</v>
      </c>
      <c r="AE8" s="51">
        <f t="shared" si="0"/>
        <v>34.465916799880624</v>
      </c>
      <c r="AF8" s="51">
        <f t="shared" si="1"/>
        <v>3.4178533877334467</v>
      </c>
      <c r="AG8" s="51">
        <f t="shared" si="2"/>
        <v>37.883770187614076</v>
      </c>
      <c r="AH8" s="51">
        <f t="shared" si="3"/>
        <v>0.48564950612968433</v>
      </c>
      <c r="AU8" s="15" t="s">
        <v>51</v>
      </c>
      <c r="BG8" s="15"/>
      <c r="BM8" s="17"/>
      <c r="BN8" s="17"/>
      <c r="BO8" s="17"/>
      <c r="BP8" s="17"/>
      <c r="BQ8" s="17"/>
      <c r="BW8" s="17"/>
    </row>
    <row r="9" spans="1:75" hidden="1" x14ac:dyDescent="0.25">
      <c r="A9" s="15" t="s">
        <v>56</v>
      </c>
      <c r="B9" s="15" t="s">
        <v>30</v>
      </c>
      <c r="C9" s="15">
        <v>2017</v>
      </c>
      <c r="D9" s="15" t="s">
        <v>57</v>
      </c>
      <c r="E9" s="15">
        <v>3960</v>
      </c>
      <c r="F9" s="17">
        <v>41318142</v>
      </c>
      <c r="G9" s="15" t="s">
        <v>42</v>
      </c>
      <c r="H9" s="15" t="s">
        <v>58</v>
      </c>
      <c r="I9" s="15" t="s">
        <v>59</v>
      </c>
      <c r="J9" s="15" t="s">
        <v>60</v>
      </c>
      <c r="K9" s="15" t="s">
        <v>61</v>
      </c>
      <c r="L9" s="15" t="s">
        <v>48</v>
      </c>
      <c r="M9" s="15" t="s">
        <v>62</v>
      </c>
      <c r="N9" s="15" t="s">
        <v>63</v>
      </c>
      <c r="O9" s="15"/>
      <c r="P9" s="15"/>
      <c r="Q9" s="15"/>
      <c r="R9" s="15"/>
      <c r="S9" s="15" t="s">
        <v>64</v>
      </c>
      <c r="T9" s="15"/>
      <c r="U9" s="15"/>
      <c r="V9" s="15"/>
      <c r="W9" s="15"/>
      <c r="X9" s="15" t="s">
        <v>64</v>
      </c>
      <c r="Y9" s="17">
        <v>1035891</v>
      </c>
      <c r="Z9" s="17">
        <v>21202</v>
      </c>
      <c r="AA9" s="17">
        <v>3196</v>
      </c>
      <c r="AB9" s="17">
        <v>24398</v>
      </c>
      <c r="AC9" s="17">
        <v>1060289</v>
      </c>
      <c r="AE9" s="51">
        <f t="shared" si="0"/>
        <v>25.07109346785245</v>
      </c>
      <c r="AF9" s="51">
        <f t="shared" si="1"/>
        <v>0.59049121811914962</v>
      </c>
      <c r="AG9" s="51">
        <f t="shared" si="2"/>
        <v>25.661584685971601</v>
      </c>
      <c r="AH9" s="51" t="str">
        <f t="shared" si="3"/>
        <v/>
      </c>
      <c r="AM9" s="17">
        <v>2601958</v>
      </c>
      <c r="AU9" s="15" t="s">
        <v>66</v>
      </c>
      <c r="AV9" s="15" t="s">
        <v>67</v>
      </c>
      <c r="BG9" s="15"/>
      <c r="BM9" s="17"/>
      <c r="BN9" s="17"/>
      <c r="BO9" s="17"/>
      <c r="BP9" s="17"/>
      <c r="BQ9" s="17"/>
      <c r="BW9" s="17" t="s">
        <v>65</v>
      </c>
    </row>
    <row r="10" spans="1:75" hidden="1" x14ac:dyDescent="0.25">
      <c r="A10" s="15" t="s">
        <v>56</v>
      </c>
      <c r="B10" s="15" t="s">
        <v>30</v>
      </c>
      <c r="C10" s="15">
        <v>2016</v>
      </c>
      <c r="D10" s="15" t="s">
        <v>57</v>
      </c>
      <c r="E10" s="15">
        <v>4360</v>
      </c>
      <c r="F10" s="17">
        <v>41318142</v>
      </c>
      <c r="G10" s="15" t="s">
        <v>42</v>
      </c>
      <c r="H10" s="15" t="s">
        <v>58</v>
      </c>
      <c r="I10" s="15" t="s">
        <v>59</v>
      </c>
      <c r="J10" s="15" t="s">
        <v>60</v>
      </c>
      <c r="K10" s="15" t="s">
        <v>61</v>
      </c>
      <c r="L10" s="15" t="s">
        <v>48</v>
      </c>
      <c r="M10" s="15" t="s">
        <v>62</v>
      </c>
      <c r="N10" s="15" t="s">
        <v>63</v>
      </c>
      <c r="O10" s="15"/>
      <c r="P10" s="15"/>
      <c r="Q10" s="15"/>
      <c r="R10" s="15"/>
      <c r="S10" s="15" t="s">
        <v>64</v>
      </c>
      <c r="T10" s="15"/>
      <c r="U10" s="15"/>
      <c r="V10" s="15"/>
      <c r="W10" s="15"/>
      <c r="X10" s="15" t="s">
        <v>64</v>
      </c>
      <c r="Y10" s="17">
        <v>993170</v>
      </c>
      <c r="Z10" s="17">
        <v>26281</v>
      </c>
      <c r="AA10" s="17">
        <v>3170</v>
      </c>
      <c r="AB10" s="17">
        <v>29451</v>
      </c>
      <c r="AC10" s="17">
        <v>1022621</v>
      </c>
      <c r="AE10" s="51">
        <f t="shared" si="0"/>
        <v>24.037140876276577</v>
      </c>
      <c r="AF10" s="51">
        <f t="shared" si="1"/>
        <v>0.71278616545729478</v>
      </c>
      <c r="AG10" s="51">
        <f t="shared" si="2"/>
        <v>24.749927041733873</v>
      </c>
      <c r="AH10" s="51" t="str">
        <f t="shared" si="3"/>
        <v/>
      </c>
      <c r="AM10" s="17">
        <v>2540698</v>
      </c>
      <c r="AU10" s="15" t="s">
        <v>69</v>
      </c>
      <c r="AV10" s="15" t="s">
        <v>69</v>
      </c>
      <c r="BG10" s="15"/>
      <c r="BM10" s="17"/>
      <c r="BN10" s="17"/>
      <c r="BO10" s="17"/>
      <c r="BP10" s="17"/>
      <c r="BQ10" s="17"/>
      <c r="BW10" s="17" t="s">
        <v>68</v>
      </c>
    </row>
    <row r="11" spans="1:75" hidden="1" x14ac:dyDescent="0.25">
      <c r="A11" s="15" t="s">
        <v>56</v>
      </c>
      <c r="B11" s="15" t="s">
        <v>30</v>
      </c>
      <c r="C11" s="15">
        <v>2015</v>
      </c>
      <c r="D11" s="15" t="s">
        <v>57</v>
      </c>
      <c r="E11" s="15">
        <v>4830</v>
      </c>
      <c r="F11" s="17">
        <v>39871528</v>
      </c>
      <c r="G11" s="15" t="s">
        <v>42</v>
      </c>
      <c r="H11" s="15" t="s">
        <v>58</v>
      </c>
      <c r="I11" s="15" t="s">
        <v>59</v>
      </c>
      <c r="J11" s="15" t="s">
        <v>60</v>
      </c>
      <c r="K11" s="15" t="s">
        <v>61</v>
      </c>
      <c r="L11" s="15" t="s">
        <v>48</v>
      </c>
      <c r="M11" s="15" t="s">
        <v>62</v>
      </c>
      <c r="N11" s="15" t="s">
        <v>63</v>
      </c>
      <c r="O11" s="15"/>
      <c r="P11" s="15"/>
      <c r="Q11" s="15"/>
      <c r="R11" s="15"/>
      <c r="S11" s="15" t="s">
        <v>64</v>
      </c>
      <c r="T11" s="15"/>
      <c r="U11" s="15"/>
      <c r="V11" s="15"/>
      <c r="W11" s="15"/>
      <c r="X11" s="15" t="s">
        <v>64</v>
      </c>
      <c r="Y11" s="17">
        <v>865423</v>
      </c>
      <c r="Z11" s="17">
        <v>26904</v>
      </c>
      <c r="AA11" s="17">
        <v>4484</v>
      </c>
      <c r="AB11" s="17">
        <v>31388</v>
      </c>
      <c r="AC11" s="17">
        <v>896811</v>
      </c>
      <c r="AE11" s="51">
        <f t="shared" si="0"/>
        <v>21.705288044140172</v>
      </c>
      <c r="AF11" s="51">
        <f t="shared" si="1"/>
        <v>0.78722842024012729</v>
      </c>
      <c r="AG11" s="51">
        <f t="shared" si="2"/>
        <v>22.492516464380294</v>
      </c>
      <c r="AH11" s="51" t="str">
        <f t="shared" si="3"/>
        <v/>
      </c>
      <c r="AM11" s="17">
        <v>2238233</v>
      </c>
      <c r="AU11" s="15" t="s">
        <v>71</v>
      </c>
      <c r="AV11" s="15" t="s">
        <v>71</v>
      </c>
      <c r="BG11" s="15"/>
      <c r="BM11" s="17"/>
      <c r="BN11" s="17"/>
      <c r="BO11" s="17"/>
      <c r="BP11" s="17"/>
      <c r="BQ11" s="17"/>
      <c r="BW11" s="17" t="s">
        <v>70</v>
      </c>
    </row>
    <row r="12" spans="1:75" hidden="1" x14ac:dyDescent="0.25">
      <c r="A12" s="15" t="s">
        <v>56</v>
      </c>
      <c r="B12" s="15" t="s">
        <v>30</v>
      </c>
      <c r="C12" s="15">
        <v>2014</v>
      </c>
      <c r="D12" s="15" t="s">
        <v>57</v>
      </c>
      <c r="E12" s="15">
        <v>5470</v>
      </c>
      <c r="F12" s="17">
        <v>39113313</v>
      </c>
      <c r="G12" s="15" t="s">
        <v>42</v>
      </c>
      <c r="H12" s="15" t="s">
        <v>58</v>
      </c>
      <c r="I12" s="15" t="s">
        <v>59</v>
      </c>
      <c r="J12" s="15" t="s">
        <v>60</v>
      </c>
      <c r="K12" s="15" t="s">
        <v>61</v>
      </c>
      <c r="L12" s="15" t="s">
        <v>48</v>
      </c>
      <c r="M12" s="15" t="s">
        <v>62</v>
      </c>
      <c r="N12" s="15" t="s">
        <v>63</v>
      </c>
      <c r="O12" s="15"/>
      <c r="P12" s="15"/>
      <c r="Q12" s="15"/>
      <c r="R12" s="15"/>
      <c r="S12" s="15" t="s">
        <v>64</v>
      </c>
      <c r="T12" s="15"/>
      <c r="U12" s="15"/>
      <c r="V12" s="15"/>
      <c r="W12" s="15"/>
      <c r="X12" s="15" t="s">
        <v>64</v>
      </c>
      <c r="AC12" s="17">
        <v>852053</v>
      </c>
      <c r="AE12" s="51" t="str">
        <f t="shared" si="0"/>
        <v/>
      </c>
      <c r="AF12" s="51" t="str">
        <f t="shared" si="1"/>
        <v/>
      </c>
      <c r="AG12" s="51">
        <f t="shared" si="2"/>
        <v>21.784219608295519</v>
      </c>
      <c r="AH12" s="51" t="str">
        <f t="shared" si="3"/>
        <v/>
      </c>
      <c r="AM12" s="17">
        <v>2157232</v>
      </c>
      <c r="AU12" s="15" t="s">
        <v>73</v>
      </c>
      <c r="AV12" s="15" t="s">
        <v>73</v>
      </c>
      <c r="BG12" s="15"/>
      <c r="BM12" s="17"/>
      <c r="BN12" s="17"/>
      <c r="BO12" s="17"/>
      <c r="BP12" s="17"/>
      <c r="BQ12" s="17"/>
      <c r="BW12" s="17" t="s">
        <v>72</v>
      </c>
    </row>
    <row r="13" spans="1:75" hidden="1" x14ac:dyDescent="0.25">
      <c r="A13" s="15" t="s">
        <v>56</v>
      </c>
      <c r="B13" s="15" t="s">
        <v>30</v>
      </c>
      <c r="C13" s="15">
        <v>2013</v>
      </c>
      <c r="D13" s="15" t="s">
        <v>57</v>
      </c>
      <c r="E13" s="15">
        <v>5480</v>
      </c>
      <c r="F13" s="17">
        <v>38338562</v>
      </c>
      <c r="G13" s="15" t="s">
        <v>42</v>
      </c>
      <c r="H13" s="15" t="s">
        <v>58</v>
      </c>
      <c r="I13" s="15" t="s">
        <v>59</v>
      </c>
      <c r="J13" s="15" t="s">
        <v>60</v>
      </c>
      <c r="K13" s="15" t="s">
        <v>61</v>
      </c>
      <c r="L13" s="15" t="s">
        <v>48</v>
      </c>
      <c r="M13" s="15" t="s">
        <v>62</v>
      </c>
      <c r="N13" s="15" t="s">
        <v>63</v>
      </c>
      <c r="O13" s="15"/>
      <c r="P13" s="15"/>
      <c r="Q13" s="15"/>
      <c r="R13" s="15"/>
      <c r="S13" s="15" t="s">
        <v>64</v>
      </c>
      <c r="T13" s="15"/>
      <c r="U13" s="15"/>
      <c r="V13" s="15"/>
      <c r="W13" s="15"/>
      <c r="X13" s="15" t="s">
        <v>64</v>
      </c>
      <c r="AC13" s="17">
        <v>777816</v>
      </c>
      <c r="AE13" s="51" t="str">
        <f t="shared" si="0"/>
        <v/>
      </c>
      <c r="AF13" s="51" t="str">
        <f t="shared" si="1"/>
        <v/>
      </c>
      <c r="AG13" s="51">
        <f t="shared" si="2"/>
        <v>20.288084879135528</v>
      </c>
      <c r="AH13" s="51" t="str">
        <f t="shared" si="3"/>
        <v/>
      </c>
      <c r="AM13" s="17">
        <v>2001892</v>
      </c>
      <c r="AU13" s="15" t="s">
        <v>74</v>
      </c>
      <c r="AV13" s="15" t="s">
        <v>74</v>
      </c>
      <c r="BG13" s="15"/>
      <c r="BM13" s="17"/>
      <c r="BN13" s="17"/>
      <c r="BO13" s="17"/>
      <c r="BP13" s="17"/>
      <c r="BQ13" s="17"/>
      <c r="BW13" s="17" t="s">
        <v>72</v>
      </c>
    </row>
    <row r="14" spans="1:75" hidden="1" x14ac:dyDescent="0.25">
      <c r="A14" s="15" t="s">
        <v>75</v>
      </c>
      <c r="B14" s="15" t="s">
        <v>30</v>
      </c>
      <c r="C14" s="15">
        <v>2016</v>
      </c>
      <c r="D14" s="15" t="s">
        <v>76</v>
      </c>
      <c r="E14" s="15">
        <v>11200</v>
      </c>
      <c r="F14" s="17">
        <v>55599</v>
      </c>
      <c r="G14" s="15" t="s">
        <v>42</v>
      </c>
      <c r="H14" s="15" t="s">
        <v>77</v>
      </c>
      <c r="I14" s="15" t="s">
        <v>78</v>
      </c>
      <c r="J14" s="63" t="s">
        <v>79</v>
      </c>
      <c r="K14" s="15" t="s">
        <v>46</v>
      </c>
      <c r="L14" s="15" t="s">
        <v>47</v>
      </c>
      <c r="M14" s="15" t="s">
        <v>80</v>
      </c>
      <c r="N14" s="15" t="s">
        <v>81</v>
      </c>
      <c r="O14" s="15"/>
      <c r="P14" s="15"/>
      <c r="Q14" s="15"/>
      <c r="R14" s="15"/>
      <c r="S14" s="15" t="s">
        <v>102</v>
      </c>
      <c r="T14" s="15"/>
      <c r="U14" s="15"/>
      <c r="V14" s="15"/>
      <c r="W14" s="15"/>
      <c r="X14" s="15" t="s">
        <v>102</v>
      </c>
      <c r="Y14" s="17">
        <v>245</v>
      </c>
      <c r="Z14" s="17">
        <v>137</v>
      </c>
      <c r="AA14" s="17">
        <v>61</v>
      </c>
      <c r="AB14" s="17">
        <f>+Z14+AA14</f>
        <v>198</v>
      </c>
      <c r="AC14" s="17">
        <f>+Y14+AB14</f>
        <v>443</v>
      </c>
      <c r="AD14" s="17">
        <v>61</v>
      </c>
      <c r="AE14" s="51">
        <f t="shared" si="0"/>
        <v>4.4065540747135739</v>
      </c>
      <c r="AF14" s="51">
        <f t="shared" si="1"/>
        <v>3.5612151297685211</v>
      </c>
      <c r="AG14" s="51">
        <f t="shared" si="2"/>
        <v>7.9677692044820958</v>
      </c>
      <c r="AH14" s="51">
        <f t="shared" si="3"/>
        <v>1.0971420349286858</v>
      </c>
      <c r="AI14" s="17">
        <v>458</v>
      </c>
      <c r="AJ14" s="17">
        <v>886</v>
      </c>
      <c r="AK14" s="17">
        <v>829</v>
      </c>
      <c r="AL14" s="17">
        <f>+AJ14+AK14</f>
        <v>1715</v>
      </c>
      <c r="AM14" s="17">
        <f>+AL14+AI14</f>
        <v>2173</v>
      </c>
      <c r="AN14" s="17">
        <v>2754</v>
      </c>
      <c r="AU14" s="15" t="s">
        <v>79</v>
      </c>
      <c r="BG14" s="15"/>
      <c r="BM14" s="17"/>
      <c r="BN14" s="17"/>
      <c r="BO14" s="17"/>
      <c r="BP14" s="17"/>
      <c r="BQ14" s="17"/>
      <c r="BS14" s="15" t="s">
        <v>82</v>
      </c>
      <c r="BW14" s="17"/>
    </row>
    <row r="15" spans="1:75" hidden="1" x14ac:dyDescent="0.25">
      <c r="A15" s="15" t="s">
        <v>75</v>
      </c>
      <c r="B15" s="15" t="s">
        <v>30</v>
      </c>
      <c r="C15" s="15">
        <v>2015</v>
      </c>
      <c r="D15" s="15" t="s">
        <v>76</v>
      </c>
      <c r="E15" s="15">
        <v>11300</v>
      </c>
      <c r="F15" s="17">
        <v>55537</v>
      </c>
      <c r="G15" s="15" t="s">
        <v>42</v>
      </c>
      <c r="H15" s="15" t="s">
        <v>77</v>
      </c>
      <c r="I15" s="15" t="s">
        <v>78</v>
      </c>
      <c r="J15" s="15" t="s">
        <v>79</v>
      </c>
      <c r="K15" s="15" t="s">
        <v>46</v>
      </c>
      <c r="L15" s="15" t="s">
        <v>47</v>
      </c>
      <c r="M15" s="15" t="s">
        <v>80</v>
      </c>
      <c r="N15" s="15" t="s">
        <v>81</v>
      </c>
      <c r="O15" s="15"/>
      <c r="P15" s="15"/>
      <c r="Q15" s="15"/>
      <c r="R15" s="15"/>
      <c r="S15" s="15" t="s">
        <v>102</v>
      </c>
      <c r="T15" s="15"/>
      <c r="U15" s="15"/>
      <c r="V15" s="15"/>
      <c r="W15" s="15"/>
      <c r="X15" s="15" t="s">
        <v>102</v>
      </c>
      <c r="Y15" s="17">
        <v>258</v>
      </c>
      <c r="Z15" s="17">
        <v>107</v>
      </c>
      <c r="AA15" s="17">
        <v>65</v>
      </c>
      <c r="AB15" s="17">
        <f>+Z15+AA15</f>
        <v>172</v>
      </c>
      <c r="AC15" s="17">
        <f>+AB15+Y15</f>
        <v>430</v>
      </c>
      <c r="AD15" s="17">
        <v>56</v>
      </c>
      <c r="AE15" s="51">
        <f t="shared" si="0"/>
        <v>4.6455516142391557</v>
      </c>
      <c r="AF15" s="51">
        <f t="shared" si="1"/>
        <v>3.0970344094927706</v>
      </c>
      <c r="AG15" s="51">
        <f t="shared" si="2"/>
        <v>7.7425860237319259</v>
      </c>
      <c r="AH15" s="51">
        <f t="shared" si="3"/>
        <v>1.0083367844860183</v>
      </c>
      <c r="AI15" s="17">
        <v>493</v>
      </c>
      <c r="AJ15" s="17">
        <v>679</v>
      </c>
      <c r="AK15" s="17">
        <v>868</v>
      </c>
      <c r="AL15" s="17">
        <f>+AJ15+AK15</f>
        <v>1547</v>
      </c>
      <c r="AM15" s="17">
        <f>+AL15+AI15</f>
        <v>2040</v>
      </c>
      <c r="AN15" s="17">
        <v>2624</v>
      </c>
      <c r="AU15" s="15" t="s">
        <v>79</v>
      </c>
      <c r="BG15" s="15"/>
      <c r="BM15" s="17"/>
      <c r="BN15" s="17"/>
      <c r="BO15" s="17"/>
      <c r="BP15" s="17"/>
      <c r="BQ15" s="17"/>
      <c r="BS15" s="15" t="s">
        <v>83</v>
      </c>
      <c r="BW15" s="17"/>
    </row>
    <row r="16" spans="1:75" hidden="1" x14ac:dyDescent="0.25">
      <c r="A16" s="15" t="s">
        <v>75</v>
      </c>
      <c r="B16" s="15" t="s">
        <v>30</v>
      </c>
      <c r="C16" s="15">
        <v>2014</v>
      </c>
      <c r="D16" s="15" t="s">
        <v>76</v>
      </c>
      <c r="E16" s="15">
        <v>11200</v>
      </c>
      <c r="F16" s="17">
        <v>55437</v>
      </c>
      <c r="G16" s="15" t="s">
        <v>42</v>
      </c>
      <c r="H16" s="15" t="s">
        <v>77</v>
      </c>
      <c r="I16" s="15" t="s">
        <v>78</v>
      </c>
      <c r="J16" s="15" t="s">
        <v>79</v>
      </c>
      <c r="K16" s="15" t="s">
        <v>46</v>
      </c>
      <c r="L16" s="15" t="s">
        <v>47</v>
      </c>
      <c r="M16" s="15" t="s">
        <v>80</v>
      </c>
      <c r="N16" s="15" t="s">
        <v>81</v>
      </c>
      <c r="O16" s="15"/>
      <c r="P16" s="15"/>
      <c r="Q16" s="15"/>
      <c r="R16" s="15"/>
      <c r="S16" s="15" t="s">
        <v>102</v>
      </c>
      <c r="T16" s="15"/>
      <c r="U16" s="15"/>
      <c r="V16" s="15"/>
      <c r="W16" s="15"/>
      <c r="X16" s="15" t="s">
        <v>102</v>
      </c>
      <c r="Y16" s="17">
        <v>260</v>
      </c>
      <c r="Z16" s="17">
        <v>112</v>
      </c>
      <c r="AA16" s="17">
        <v>51</v>
      </c>
      <c r="AB16" s="17">
        <f>+AA16+Z16</f>
        <v>163</v>
      </c>
      <c r="AC16" s="17">
        <f>+AB16+Y16</f>
        <v>423</v>
      </c>
      <c r="AD16" s="17">
        <v>57</v>
      </c>
      <c r="AE16" s="51">
        <f t="shared" si="0"/>
        <v>4.6900084780922491</v>
      </c>
      <c r="AF16" s="51">
        <f t="shared" si="1"/>
        <v>2.9402745458809099</v>
      </c>
      <c r="AG16" s="51">
        <f t="shared" si="2"/>
        <v>7.6302830239731581</v>
      </c>
      <c r="AH16" s="51">
        <f t="shared" si="3"/>
        <v>1.028194166350993</v>
      </c>
      <c r="AI16" s="17">
        <v>486</v>
      </c>
      <c r="AJ16" s="17">
        <v>740</v>
      </c>
      <c r="AK16" s="17">
        <v>693</v>
      </c>
      <c r="AL16" s="17">
        <f>+AJ16+AK16</f>
        <v>1433</v>
      </c>
      <c r="AM16" s="17">
        <f>+AL16+AI16</f>
        <v>1919</v>
      </c>
      <c r="AN16" s="17">
        <v>2749</v>
      </c>
      <c r="AU16" s="15" t="s">
        <v>79</v>
      </c>
      <c r="BG16" s="15"/>
      <c r="BM16" s="17"/>
      <c r="BN16" s="17"/>
      <c r="BO16" s="17"/>
      <c r="BP16" s="17"/>
      <c r="BQ16" s="17"/>
      <c r="BS16" s="15" t="s">
        <v>84</v>
      </c>
      <c r="BW16" s="17"/>
    </row>
    <row r="17" spans="1:75" hidden="1" x14ac:dyDescent="0.25">
      <c r="A17" s="15" t="s">
        <v>75</v>
      </c>
      <c r="B17" s="15" t="s">
        <v>30</v>
      </c>
      <c r="C17" s="15">
        <v>2013</v>
      </c>
      <c r="D17" s="15" t="s">
        <v>76</v>
      </c>
      <c r="E17" s="15">
        <v>11200</v>
      </c>
      <c r="F17" s="17">
        <v>55307</v>
      </c>
      <c r="G17" s="15" t="s">
        <v>42</v>
      </c>
      <c r="H17" s="15" t="s">
        <v>77</v>
      </c>
      <c r="I17" s="15" t="s">
        <v>78</v>
      </c>
      <c r="J17" s="15" t="s">
        <v>79</v>
      </c>
      <c r="K17" s="15" t="s">
        <v>46</v>
      </c>
      <c r="L17" s="15" t="s">
        <v>47</v>
      </c>
      <c r="M17" s="15" t="s">
        <v>80</v>
      </c>
      <c r="N17" s="15" t="s">
        <v>81</v>
      </c>
      <c r="O17" s="15"/>
      <c r="P17" s="15"/>
      <c r="Q17" s="15"/>
      <c r="R17" s="15"/>
      <c r="S17" s="15" t="s">
        <v>102</v>
      </c>
      <c r="T17" s="15"/>
      <c r="U17" s="15"/>
      <c r="V17" s="15"/>
      <c r="W17" s="15"/>
      <c r="X17" s="15" t="s">
        <v>102</v>
      </c>
      <c r="Y17" s="17">
        <v>248</v>
      </c>
      <c r="Z17" s="17">
        <v>111</v>
      </c>
      <c r="AA17" s="17">
        <v>51</v>
      </c>
      <c r="AB17" s="17">
        <f>+AA17+Z17</f>
        <v>162</v>
      </c>
      <c r="AC17" s="17">
        <f>+AB17+Y17</f>
        <v>410</v>
      </c>
      <c r="AD17" s="17">
        <v>54</v>
      </c>
      <c r="AE17" s="51">
        <f t="shared" si="0"/>
        <v>4.4840616920100524</v>
      </c>
      <c r="AF17" s="51">
        <f t="shared" si="1"/>
        <v>2.9291048149420504</v>
      </c>
      <c r="AG17" s="51">
        <f t="shared" si="2"/>
        <v>7.4131665069521038</v>
      </c>
      <c r="AH17" s="51">
        <f t="shared" si="3"/>
        <v>0.97636827164735029</v>
      </c>
      <c r="AI17" s="17">
        <v>445</v>
      </c>
      <c r="AJ17" s="17">
        <v>709</v>
      </c>
      <c r="AK17" s="17">
        <v>661</v>
      </c>
      <c r="AL17" s="17">
        <f>+AJ17+AK17</f>
        <v>1370</v>
      </c>
      <c r="AM17" s="17">
        <f>+AL17+AI17</f>
        <v>1815</v>
      </c>
      <c r="AN17" s="17">
        <v>2474</v>
      </c>
      <c r="AU17" s="15" t="s">
        <v>79</v>
      </c>
      <c r="BG17" s="15"/>
      <c r="BM17" s="17"/>
      <c r="BN17" s="17"/>
      <c r="BO17" s="17"/>
      <c r="BP17" s="17"/>
      <c r="BQ17" s="17"/>
      <c r="BS17" s="15" t="s">
        <v>84</v>
      </c>
      <c r="BW17" s="17"/>
    </row>
    <row r="18" spans="1:75" hidden="1" x14ac:dyDescent="0.25">
      <c r="A18" s="15" t="s">
        <v>75</v>
      </c>
      <c r="B18" s="15" t="s">
        <v>30</v>
      </c>
      <c r="C18" s="15">
        <v>2012</v>
      </c>
      <c r="D18" s="15" t="s">
        <v>76</v>
      </c>
      <c r="E18" s="15">
        <v>11200</v>
      </c>
      <c r="F18" s="17">
        <v>55230</v>
      </c>
      <c r="G18" s="15" t="s">
        <v>42</v>
      </c>
      <c r="H18" s="15" t="s">
        <v>77</v>
      </c>
      <c r="I18" s="15" t="s">
        <v>78</v>
      </c>
      <c r="J18" s="15" t="s">
        <v>79</v>
      </c>
      <c r="K18" s="15" t="s">
        <v>46</v>
      </c>
      <c r="L18" s="15" t="s">
        <v>47</v>
      </c>
      <c r="M18" s="15" t="s">
        <v>80</v>
      </c>
      <c r="N18" s="15" t="s">
        <v>81</v>
      </c>
      <c r="O18" s="15"/>
      <c r="P18" s="15"/>
      <c r="Q18" s="15"/>
      <c r="R18" s="15"/>
      <c r="S18" s="15" t="s">
        <v>102</v>
      </c>
      <c r="T18" s="15"/>
      <c r="U18" s="15"/>
      <c r="V18" s="15"/>
      <c r="W18" s="15"/>
      <c r="X18" s="15" t="s">
        <v>102</v>
      </c>
      <c r="Y18" s="17">
        <v>252</v>
      </c>
      <c r="Z18" s="17">
        <v>83</v>
      </c>
      <c r="AA18" s="17">
        <v>69</v>
      </c>
      <c r="AB18" s="17">
        <f>+AA18+Z18</f>
        <v>152</v>
      </c>
      <c r="AC18" s="17">
        <f>+AB18+Y18</f>
        <v>404</v>
      </c>
      <c r="AD18" s="17">
        <v>57</v>
      </c>
      <c r="AE18" s="51">
        <f t="shared" si="0"/>
        <v>4.5627376425855513</v>
      </c>
      <c r="AF18" s="51">
        <f t="shared" si="1"/>
        <v>2.7521274669563645</v>
      </c>
      <c r="AG18" s="51">
        <f t="shared" si="2"/>
        <v>7.3148651095419162</v>
      </c>
      <c r="AH18" s="51">
        <f t="shared" si="3"/>
        <v>1.0320478001086366</v>
      </c>
      <c r="AI18" s="17">
        <v>509</v>
      </c>
      <c r="AJ18" s="17">
        <v>525</v>
      </c>
      <c r="AK18" s="17">
        <v>898</v>
      </c>
      <c r="AL18" s="17">
        <f>+AJ18+AK18</f>
        <v>1423</v>
      </c>
      <c r="AM18" s="17">
        <f>+AL18+AI18</f>
        <v>1932</v>
      </c>
      <c r="AN18" s="17">
        <v>2679</v>
      </c>
      <c r="AU18" s="15" t="s">
        <v>79</v>
      </c>
      <c r="BG18" s="15"/>
      <c r="BM18" s="17"/>
      <c r="BN18" s="17"/>
      <c r="BO18" s="17"/>
      <c r="BP18" s="17"/>
      <c r="BQ18" s="17"/>
      <c r="BS18" s="15" t="s">
        <v>84</v>
      </c>
      <c r="BW18" s="17"/>
    </row>
    <row r="19" spans="1:75" hidden="1" x14ac:dyDescent="0.25">
      <c r="A19" s="15" t="s">
        <v>85</v>
      </c>
      <c r="B19" s="15" t="s">
        <v>30</v>
      </c>
      <c r="C19" s="15">
        <v>2016</v>
      </c>
      <c r="D19" s="15" t="s">
        <v>87</v>
      </c>
      <c r="E19" s="15">
        <v>3450</v>
      </c>
      <c r="F19" s="17">
        <v>29784193</v>
      </c>
      <c r="G19" s="15" t="s">
        <v>88</v>
      </c>
      <c r="H19" s="15" t="s">
        <v>89</v>
      </c>
      <c r="I19" s="15" t="s">
        <v>90</v>
      </c>
      <c r="J19" s="15" t="s">
        <v>91</v>
      </c>
      <c r="K19" s="15" t="s">
        <v>92</v>
      </c>
      <c r="L19" s="15" t="s">
        <v>80</v>
      </c>
      <c r="M19" s="15" t="s">
        <v>81</v>
      </c>
      <c r="N19" s="15"/>
      <c r="O19" s="15"/>
      <c r="P19" s="15"/>
      <c r="Q19" s="15"/>
      <c r="R19" s="15"/>
      <c r="S19" s="15" t="s">
        <v>93</v>
      </c>
      <c r="T19" s="15"/>
      <c r="U19" s="15"/>
      <c r="V19" s="15"/>
      <c r="W19" s="15"/>
      <c r="X19" s="15" t="s">
        <v>93</v>
      </c>
      <c r="Y19" s="17">
        <v>14428</v>
      </c>
      <c r="Z19" s="17">
        <v>7836</v>
      </c>
      <c r="AE19" s="51">
        <f t="shared" si="0"/>
        <v>0.48441802670295619</v>
      </c>
      <c r="AF19" s="51" t="str">
        <f t="shared" si="1"/>
        <v/>
      </c>
      <c r="AG19" s="51" t="str">
        <f t="shared" si="2"/>
        <v/>
      </c>
      <c r="AH19" s="51" t="str">
        <f t="shared" si="3"/>
        <v/>
      </c>
      <c r="AU19" s="15" t="s">
        <v>95</v>
      </c>
      <c r="AV19" s="15" t="s">
        <v>95</v>
      </c>
      <c r="BG19" s="15"/>
      <c r="BM19" s="17"/>
      <c r="BN19" s="17"/>
      <c r="BO19" s="17"/>
      <c r="BP19" s="17"/>
      <c r="BQ19" s="17"/>
      <c r="BS19" s="49" t="s">
        <v>86</v>
      </c>
      <c r="BW19" s="17" t="s">
        <v>94</v>
      </c>
    </row>
    <row r="20" spans="1:75" hidden="1" x14ac:dyDescent="0.25">
      <c r="A20" s="15" t="s">
        <v>85</v>
      </c>
      <c r="B20" s="15" t="s">
        <v>30</v>
      </c>
      <c r="C20" s="15">
        <v>2015</v>
      </c>
      <c r="D20" s="15" t="s">
        <v>87</v>
      </c>
      <c r="E20" s="15">
        <v>4030</v>
      </c>
      <c r="F20" s="17">
        <v>27859305</v>
      </c>
      <c r="G20" s="15" t="s">
        <v>88</v>
      </c>
      <c r="H20" s="15" t="s">
        <v>89</v>
      </c>
      <c r="I20" s="15" t="s">
        <v>90</v>
      </c>
      <c r="J20" s="15" t="s">
        <v>91</v>
      </c>
      <c r="K20" s="15" t="s">
        <v>92</v>
      </c>
      <c r="L20" s="15" t="s">
        <v>80</v>
      </c>
      <c r="M20" s="15" t="s">
        <v>81</v>
      </c>
      <c r="N20" s="15"/>
      <c r="O20" s="15"/>
      <c r="P20" s="15"/>
      <c r="Q20" s="15"/>
      <c r="R20" s="15"/>
      <c r="S20" s="15" t="s">
        <v>93</v>
      </c>
      <c r="T20" s="15"/>
      <c r="U20" s="15"/>
      <c r="V20" s="15"/>
      <c r="W20" s="15"/>
      <c r="X20" s="15" t="s">
        <v>93</v>
      </c>
      <c r="Y20" s="17">
        <v>2656</v>
      </c>
      <c r="Z20" s="17">
        <v>7222</v>
      </c>
      <c r="AE20" s="51">
        <f t="shared" si="0"/>
        <v>9.5336190188520506E-2</v>
      </c>
      <c r="AF20" s="51" t="str">
        <f t="shared" si="1"/>
        <v/>
      </c>
      <c r="AG20" s="51" t="str">
        <f t="shared" si="2"/>
        <v/>
      </c>
      <c r="AH20" s="51" t="str">
        <f t="shared" si="3"/>
        <v/>
      </c>
      <c r="AU20" s="15" t="s">
        <v>95</v>
      </c>
      <c r="AV20" s="15" t="s">
        <v>95</v>
      </c>
      <c r="BG20" s="15"/>
      <c r="BM20" s="17"/>
      <c r="BN20" s="17"/>
      <c r="BO20" s="17"/>
      <c r="BP20" s="17"/>
      <c r="BQ20" s="17"/>
      <c r="BW20" s="17"/>
    </row>
    <row r="21" spans="1:75" hidden="1" x14ac:dyDescent="0.25">
      <c r="A21" s="15" t="s">
        <v>85</v>
      </c>
      <c r="B21" s="15" t="s">
        <v>30</v>
      </c>
      <c r="C21" s="15">
        <v>2014</v>
      </c>
      <c r="D21" s="15" t="s">
        <v>87</v>
      </c>
      <c r="E21" s="15">
        <v>4440</v>
      </c>
      <c r="F21" s="17">
        <v>26920466</v>
      </c>
      <c r="G21" s="15" t="s">
        <v>88</v>
      </c>
      <c r="H21" s="15" t="s">
        <v>89</v>
      </c>
      <c r="I21" s="15" t="s">
        <v>90</v>
      </c>
      <c r="J21" s="15" t="s">
        <v>91</v>
      </c>
      <c r="K21" s="15" t="s">
        <v>92</v>
      </c>
      <c r="L21" s="15" t="s">
        <v>80</v>
      </c>
      <c r="M21" s="15" t="s">
        <v>81</v>
      </c>
      <c r="N21" s="15"/>
      <c r="O21" s="15"/>
      <c r="P21" s="15"/>
      <c r="Q21" s="15"/>
      <c r="R21" s="15"/>
      <c r="S21" s="15" t="s">
        <v>93</v>
      </c>
      <c r="T21" s="15"/>
      <c r="U21" s="15"/>
      <c r="V21" s="15"/>
      <c r="W21" s="15"/>
      <c r="X21" s="15" t="s">
        <v>93</v>
      </c>
      <c r="Y21" s="17">
        <v>451</v>
      </c>
      <c r="Z21" s="17">
        <v>24808</v>
      </c>
      <c r="AE21" s="51">
        <f t="shared" si="0"/>
        <v>1.6753053234665402E-2</v>
      </c>
      <c r="AF21" s="51" t="str">
        <f t="shared" si="1"/>
        <v/>
      </c>
      <c r="AG21" s="51" t="str">
        <f t="shared" si="2"/>
        <v/>
      </c>
      <c r="AH21" s="51" t="str">
        <f t="shared" si="3"/>
        <v/>
      </c>
      <c r="AU21" s="15" t="s">
        <v>95</v>
      </c>
      <c r="AV21" s="15" t="s">
        <v>95</v>
      </c>
      <c r="BG21" s="15"/>
      <c r="BM21" s="17"/>
      <c r="BN21" s="17"/>
      <c r="BO21" s="17"/>
      <c r="BP21" s="17"/>
      <c r="BQ21" s="17"/>
      <c r="BW21" s="17"/>
    </row>
    <row r="22" spans="1:75" hidden="1" x14ac:dyDescent="0.25">
      <c r="A22" s="15" t="s">
        <v>85</v>
      </c>
      <c r="B22" s="15" t="s">
        <v>30</v>
      </c>
      <c r="C22" s="15">
        <v>2013</v>
      </c>
      <c r="D22" s="15" t="s">
        <v>87</v>
      </c>
      <c r="E22" s="15">
        <v>4340</v>
      </c>
      <c r="F22" s="17">
        <v>25998340</v>
      </c>
      <c r="G22" s="15" t="s">
        <v>88</v>
      </c>
      <c r="H22" s="15" t="s">
        <v>89</v>
      </c>
      <c r="I22" s="15" t="s">
        <v>90</v>
      </c>
      <c r="J22" s="15" t="s">
        <v>91</v>
      </c>
      <c r="K22" s="15" t="s">
        <v>92</v>
      </c>
      <c r="L22" s="15" t="s">
        <v>80</v>
      </c>
      <c r="M22" s="15" t="s">
        <v>81</v>
      </c>
      <c r="N22" s="15"/>
      <c r="O22" s="15"/>
      <c r="P22" s="15"/>
      <c r="Q22" s="15"/>
      <c r="R22" s="15"/>
      <c r="S22" s="15" t="s">
        <v>93</v>
      </c>
      <c r="T22" s="15"/>
      <c r="U22" s="15"/>
      <c r="V22" s="15"/>
      <c r="W22" s="15"/>
      <c r="X22" s="15" t="s">
        <v>93</v>
      </c>
      <c r="Y22" s="17">
        <v>2420</v>
      </c>
      <c r="Z22" s="17">
        <v>24201</v>
      </c>
      <c r="AE22" s="51">
        <f t="shared" si="0"/>
        <v>9.3082866059909966E-2</v>
      </c>
      <c r="AF22" s="51" t="str">
        <f t="shared" si="1"/>
        <v/>
      </c>
      <c r="AG22" s="51" t="str">
        <f t="shared" si="2"/>
        <v/>
      </c>
      <c r="AH22" s="51" t="str">
        <f t="shared" si="3"/>
        <v/>
      </c>
      <c r="AU22" s="15" t="s">
        <v>95</v>
      </c>
      <c r="AV22" s="15" t="s">
        <v>95</v>
      </c>
      <c r="BG22" s="15"/>
      <c r="BM22" s="17"/>
      <c r="BN22" s="17"/>
      <c r="BO22" s="17"/>
      <c r="BP22" s="17"/>
      <c r="BQ22" s="17"/>
      <c r="BW22" s="17"/>
    </row>
    <row r="23" spans="1:75" hidden="1" x14ac:dyDescent="0.25">
      <c r="A23" s="15" t="s">
        <v>85</v>
      </c>
      <c r="B23" s="15" t="s">
        <v>52</v>
      </c>
      <c r="C23" s="15">
        <v>2011</v>
      </c>
      <c r="D23" s="15" t="s">
        <v>87</v>
      </c>
      <c r="E23" s="15">
        <v>3390</v>
      </c>
      <c r="F23" s="17">
        <v>24218565</v>
      </c>
      <c r="G23" s="15" t="s">
        <v>88</v>
      </c>
      <c r="H23" s="15" t="s">
        <v>89</v>
      </c>
      <c r="I23" s="15" t="s">
        <v>96</v>
      </c>
      <c r="J23" s="15" t="s">
        <v>97</v>
      </c>
      <c r="K23" s="15" t="s">
        <v>98</v>
      </c>
      <c r="L23" s="15" t="s">
        <v>99</v>
      </c>
      <c r="M23" s="15" t="s">
        <v>100</v>
      </c>
      <c r="N23" s="15" t="s">
        <v>101</v>
      </c>
      <c r="O23" s="15"/>
      <c r="P23" s="15"/>
      <c r="Q23" s="15"/>
      <c r="R23" s="15"/>
      <c r="S23" s="15" t="s">
        <v>102</v>
      </c>
      <c r="T23" s="15" t="s">
        <v>103</v>
      </c>
      <c r="U23" s="15" t="s">
        <v>104</v>
      </c>
      <c r="V23" s="15" t="s">
        <v>105</v>
      </c>
      <c r="W23" s="15" t="s">
        <v>106</v>
      </c>
      <c r="X23" s="15" t="s">
        <v>102</v>
      </c>
      <c r="AE23" s="51" t="str">
        <f t="shared" si="0"/>
        <v/>
      </c>
      <c r="AF23" s="51" t="str">
        <f t="shared" si="1"/>
        <v/>
      </c>
      <c r="AG23" s="51" t="str">
        <f t="shared" si="2"/>
        <v/>
      </c>
      <c r="AH23" s="51" t="str">
        <f t="shared" si="3"/>
        <v/>
      </c>
      <c r="BG23" s="15"/>
      <c r="BM23" s="17"/>
      <c r="BN23" s="17"/>
      <c r="BO23" s="17"/>
      <c r="BP23" s="17"/>
      <c r="BQ23" s="17"/>
      <c r="BW23" s="17"/>
    </row>
    <row r="24" spans="1:75" hidden="1" x14ac:dyDescent="0.25">
      <c r="A24" s="15" t="s">
        <v>107</v>
      </c>
      <c r="B24" s="15" t="s">
        <v>30</v>
      </c>
      <c r="C24" s="15">
        <v>2007</v>
      </c>
      <c r="D24" s="15" t="s">
        <v>108</v>
      </c>
      <c r="E24" s="15">
        <v>13860</v>
      </c>
      <c r="F24" s="17">
        <v>91381</v>
      </c>
      <c r="G24" s="15" t="s">
        <v>109</v>
      </c>
      <c r="H24" s="15" t="s">
        <v>110</v>
      </c>
      <c r="I24" s="15" t="s">
        <v>111</v>
      </c>
      <c r="J24" s="15" t="s">
        <v>1882</v>
      </c>
      <c r="K24" s="15"/>
      <c r="L24" s="15" t="s">
        <v>112</v>
      </c>
      <c r="M24" s="15"/>
      <c r="N24" s="15"/>
      <c r="O24" s="15"/>
      <c r="P24" s="15" t="s">
        <v>113</v>
      </c>
      <c r="Q24" s="15"/>
      <c r="R24" s="15"/>
      <c r="S24" s="15" t="s">
        <v>114</v>
      </c>
      <c r="T24" s="15"/>
      <c r="U24" s="15" t="s">
        <v>115</v>
      </c>
      <c r="V24" s="15"/>
      <c r="W24" s="15"/>
      <c r="X24" s="15" t="s">
        <v>114</v>
      </c>
      <c r="AE24" s="51" t="str">
        <f t="shared" si="0"/>
        <v/>
      </c>
      <c r="AF24" s="51" t="str">
        <f t="shared" si="1"/>
        <v/>
      </c>
      <c r="AG24" s="51" t="str">
        <f t="shared" si="2"/>
        <v/>
      </c>
      <c r="AH24" s="51" t="str">
        <f t="shared" si="3"/>
        <v/>
      </c>
      <c r="BG24" s="15"/>
      <c r="BM24" s="17"/>
      <c r="BN24" s="17"/>
      <c r="BO24" s="17"/>
      <c r="BP24" s="17"/>
      <c r="BQ24" s="17"/>
      <c r="BW24" s="17"/>
    </row>
    <row r="25" spans="1:75" hidden="1" x14ac:dyDescent="0.25">
      <c r="A25" s="15" t="s">
        <v>116</v>
      </c>
      <c r="B25" s="15" t="s">
        <v>30</v>
      </c>
      <c r="C25" s="15">
        <v>2017</v>
      </c>
      <c r="D25" s="15" t="s">
        <v>117</v>
      </c>
      <c r="E25" s="15">
        <v>13040</v>
      </c>
      <c r="F25" s="17">
        <v>44271041</v>
      </c>
      <c r="G25" s="15" t="s">
        <v>109</v>
      </c>
      <c r="H25" s="15" t="s">
        <v>110</v>
      </c>
      <c r="I25" s="15" t="s">
        <v>118</v>
      </c>
      <c r="J25" s="15" t="s">
        <v>119</v>
      </c>
      <c r="K25" s="15" t="s">
        <v>120</v>
      </c>
      <c r="L25" s="15" t="s">
        <v>121</v>
      </c>
      <c r="M25" s="15" t="s">
        <v>122</v>
      </c>
      <c r="N25" s="15" t="s">
        <v>123</v>
      </c>
      <c r="O25" s="15"/>
      <c r="P25" s="15"/>
      <c r="Q25" s="15"/>
      <c r="R25" s="15"/>
      <c r="S25" s="15" t="s">
        <v>117</v>
      </c>
      <c r="T25" s="15"/>
      <c r="U25" s="15"/>
      <c r="V25" s="15"/>
      <c r="W25" s="15"/>
      <c r="X25" s="15" t="s">
        <v>117</v>
      </c>
      <c r="AE25" s="51" t="str">
        <f t="shared" si="0"/>
        <v/>
      </c>
      <c r="AF25" s="51" t="str">
        <f t="shared" si="1"/>
        <v/>
      </c>
      <c r="AG25" s="51" t="str">
        <f t="shared" si="2"/>
        <v/>
      </c>
      <c r="AH25" s="51" t="str">
        <f t="shared" si="3"/>
        <v/>
      </c>
      <c r="AI25" s="17">
        <v>735250</v>
      </c>
      <c r="AJ25" s="17">
        <v>1226116</v>
      </c>
      <c r="AK25" s="17">
        <v>1308584</v>
      </c>
      <c r="AL25" s="17">
        <v>2534700</v>
      </c>
      <c r="AM25" s="17">
        <v>3269950</v>
      </c>
      <c r="AN25" s="17">
        <v>3311086</v>
      </c>
      <c r="AU25" s="15" t="s">
        <v>124</v>
      </c>
      <c r="AV25" s="15" t="s">
        <v>124</v>
      </c>
      <c r="BG25" s="15"/>
      <c r="BM25" s="17"/>
      <c r="BN25" s="17"/>
      <c r="BO25" s="17"/>
      <c r="BP25" s="17"/>
      <c r="BQ25" s="17"/>
      <c r="BT25" s="15" t="s">
        <v>125</v>
      </c>
      <c r="BW25" s="17"/>
    </row>
    <row r="26" spans="1:75" hidden="1" x14ac:dyDescent="0.25">
      <c r="A26" s="15" t="s">
        <v>116</v>
      </c>
      <c r="B26" s="15" t="s">
        <v>30</v>
      </c>
      <c r="C26" s="15">
        <v>2016</v>
      </c>
      <c r="D26" s="15" t="s">
        <v>117</v>
      </c>
      <c r="E26" s="15">
        <v>11940</v>
      </c>
      <c r="F26" s="17">
        <v>43847430</v>
      </c>
      <c r="G26" s="15" t="s">
        <v>109</v>
      </c>
      <c r="H26" s="15" t="s">
        <v>110</v>
      </c>
      <c r="I26" s="15" t="s">
        <v>118</v>
      </c>
      <c r="J26" s="15" t="s">
        <v>119</v>
      </c>
      <c r="K26" s="15" t="s">
        <v>120</v>
      </c>
      <c r="L26" s="15" t="s">
        <v>121</v>
      </c>
      <c r="M26" s="15" t="s">
        <v>122</v>
      </c>
      <c r="N26" s="15" t="s">
        <v>123</v>
      </c>
      <c r="O26" s="15"/>
      <c r="P26" s="15"/>
      <c r="Q26" s="15"/>
      <c r="R26" s="15"/>
      <c r="S26" s="15" t="s">
        <v>117</v>
      </c>
      <c r="T26" s="15"/>
      <c r="U26" s="15"/>
      <c r="V26" s="15"/>
      <c r="W26" s="15"/>
      <c r="X26" s="15" t="s">
        <v>117</v>
      </c>
      <c r="Y26" s="17">
        <v>419348</v>
      </c>
      <c r="Z26" s="17">
        <v>137773</v>
      </c>
      <c r="AA26" s="17">
        <v>33869</v>
      </c>
      <c r="AB26" s="17">
        <v>171642</v>
      </c>
      <c r="AC26" s="17">
        <v>590990</v>
      </c>
      <c r="AD26" s="17">
        <v>11977</v>
      </c>
      <c r="AE26" s="51">
        <f t="shared" si="0"/>
        <v>9.5637988361005437</v>
      </c>
      <c r="AF26" s="51">
        <f t="shared" si="1"/>
        <v>3.9145281718905762</v>
      </c>
      <c r="AG26" s="51">
        <f t="shared" si="2"/>
        <v>13.478327007991119</v>
      </c>
      <c r="AH26" s="51">
        <f t="shared" si="3"/>
        <v>0.2731516989707265</v>
      </c>
      <c r="AI26" s="17">
        <v>737859.75</v>
      </c>
      <c r="AJ26" s="17">
        <v>1213785.25000001</v>
      </c>
      <c r="AK26" s="17">
        <v>1300223.50000001</v>
      </c>
      <c r="AL26" s="17">
        <v>2514008.75000002</v>
      </c>
      <c r="AM26" s="17">
        <v>3251868.50000002</v>
      </c>
      <c r="AN26" s="17">
        <v>3278242</v>
      </c>
      <c r="AU26" s="15" t="s">
        <v>124</v>
      </c>
      <c r="AV26" s="15" t="s">
        <v>124</v>
      </c>
      <c r="BG26" s="15"/>
      <c r="BM26" s="17"/>
      <c r="BN26" s="17"/>
      <c r="BO26" s="17"/>
      <c r="BP26" s="17"/>
      <c r="BQ26" s="17"/>
      <c r="BT26" s="15" t="s">
        <v>125</v>
      </c>
      <c r="BW26" s="17"/>
    </row>
    <row r="27" spans="1:75" hidden="1" x14ac:dyDescent="0.25">
      <c r="A27" s="15" t="s">
        <v>116</v>
      </c>
      <c r="B27" s="15" t="s">
        <v>30</v>
      </c>
      <c r="C27" s="15">
        <v>2015</v>
      </c>
      <c r="D27" s="15" t="s">
        <v>117</v>
      </c>
      <c r="E27" s="15">
        <v>12300</v>
      </c>
      <c r="F27" s="17">
        <v>43417765</v>
      </c>
      <c r="G27" s="15" t="s">
        <v>109</v>
      </c>
      <c r="H27" s="15" t="s">
        <v>110</v>
      </c>
      <c r="I27" s="15" t="s">
        <v>118</v>
      </c>
      <c r="J27" s="15" t="s">
        <v>119</v>
      </c>
      <c r="K27" s="15" t="s">
        <v>120</v>
      </c>
      <c r="L27" s="15" t="s">
        <v>121</v>
      </c>
      <c r="M27" s="15" t="s">
        <v>122</v>
      </c>
      <c r="N27" s="15" t="s">
        <v>123</v>
      </c>
      <c r="O27" s="15"/>
      <c r="P27" s="15"/>
      <c r="Q27" s="15"/>
      <c r="R27" s="15"/>
      <c r="S27" s="15" t="s">
        <v>117</v>
      </c>
      <c r="T27" s="15"/>
      <c r="U27" s="15"/>
      <c r="V27" s="15"/>
      <c r="W27" s="15"/>
      <c r="X27" s="15" t="s">
        <v>117</v>
      </c>
      <c r="Y27" s="17">
        <v>420925</v>
      </c>
      <c r="Z27" s="17">
        <v>138128</v>
      </c>
      <c r="AA27" s="17">
        <v>34071</v>
      </c>
      <c r="AB27" s="17">
        <v>172199</v>
      </c>
      <c r="AC27" s="17">
        <v>593124</v>
      </c>
      <c r="AD27" s="17">
        <v>11982</v>
      </c>
      <c r="AE27" s="51">
        <f t="shared" si="0"/>
        <v>9.6947643435814808</v>
      </c>
      <c r="AF27" s="51">
        <f t="shared" si="1"/>
        <v>3.9660954450326957</v>
      </c>
      <c r="AG27" s="51">
        <f t="shared" si="2"/>
        <v>13.660859788614177</v>
      </c>
      <c r="AH27" s="51">
        <f t="shared" si="3"/>
        <v>0.27596998601839595</v>
      </c>
      <c r="AI27" s="17">
        <v>741560.5</v>
      </c>
      <c r="AJ27" s="17">
        <v>1220934.75000001</v>
      </c>
      <c r="AK27" s="17">
        <v>1316101.25000001</v>
      </c>
      <c r="AL27" s="17">
        <v>2537036.00000002</v>
      </c>
      <c r="AM27" s="17">
        <v>3278596.50000002</v>
      </c>
      <c r="AN27" s="17">
        <v>3290915.49999998</v>
      </c>
      <c r="AU27" s="15" t="s">
        <v>124</v>
      </c>
      <c r="AV27" s="15" t="s">
        <v>124</v>
      </c>
      <c r="BG27" s="15"/>
      <c r="BM27" s="17"/>
      <c r="BN27" s="17"/>
      <c r="BO27" s="17"/>
      <c r="BP27" s="17"/>
      <c r="BQ27" s="17"/>
      <c r="BT27" s="15" t="s">
        <v>125</v>
      </c>
      <c r="BW27" s="17"/>
    </row>
    <row r="28" spans="1:75" hidden="1" x14ac:dyDescent="0.25">
      <c r="A28" s="15" t="s">
        <v>116</v>
      </c>
      <c r="B28" s="15" t="s">
        <v>30</v>
      </c>
      <c r="C28" s="15">
        <v>2014</v>
      </c>
      <c r="D28" s="15" t="s">
        <v>117</v>
      </c>
      <c r="E28" s="15">
        <v>12260</v>
      </c>
      <c r="F28" s="17">
        <v>42981515</v>
      </c>
      <c r="G28" s="15" t="s">
        <v>109</v>
      </c>
      <c r="H28" s="15" t="s">
        <v>110</v>
      </c>
      <c r="I28" s="15" t="s">
        <v>118</v>
      </c>
      <c r="J28" s="15" t="s">
        <v>119</v>
      </c>
      <c r="K28" s="15" t="s">
        <v>120</v>
      </c>
      <c r="L28" s="15" t="s">
        <v>121</v>
      </c>
      <c r="M28" s="15" t="s">
        <v>122</v>
      </c>
      <c r="N28" s="15" t="s">
        <v>123</v>
      </c>
      <c r="O28" s="15"/>
      <c r="P28" s="15"/>
      <c r="Q28" s="15"/>
      <c r="R28" s="15"/>
      <c r="S28" s="15" t="s">
        <v>117</v>
      </c>
      <c r="T28" s="15"/>
      <c r="U28" s="15"/>
      <c r="V28" s="15"/>
      <c r="W28" s="15"/>
      <c r="X28" s="15" t="s">
        <v>117</v>
      </c>
      <c r="Y28" s="17">
        <v>420017</v>
      </c>
      <c r="Z28" s="17">
        <v>138216</v>
      </c>
      <c r="AA28" s="17">
        <v>33940</v>
      </c>
      <c r="AB28" s="17">
        <v>172156</v>
      </c>
      <c r="AC28" s="17">
        <v>592173</v>
      </c>
      <c r="AD28" s="17">
        <v>11533</v>
      </c>
      <c r="AE28" s="51">
        <f t="shared" si="0"/>
        <v>9.7720380493800647</v>
      </c>
      <c r="AF28" s="51">
        <f t="shared" si="1"/>
        <v>4.0053497416273025</v>
      </c>
      <c r="AG28" s="51">
        <f t="shared" si="2"/>
        <v>13.777387791007367</v>
      </c>
      <c r="AH28" s="51">
        <f t="shared" si="3"/>
        <v>0.26832465072485234</v>
      </c>
      <c r="AI28" s="17">
        <v>737391</v>
      </c>
      <c r="AJ28" s="17">
        <v>1213801</v>
      </c>
      <c r="AK28" s="17">
        <v>1307518</v>
      </c>
      <c r="AL28" s="17">
        <v>2521319</v>
      </c>
      <c r="AM28" s="17">
        <v>3258710</v>
      </c>
      <c r="AN28" s="17">
        <v>3166717</v>
      </c>
      <c r="AU28" s="15" t="s">
        <v>124</v>
      </c>
      <c r="AV28" s="15" t="s">
        <v>124</v>
      </c>
      <c r="BG28" s="15"/>
      <c r="BM28" s="17"/>
      <c r="BN28" s="17"/>
      <c r="BO28" s="17"/>
      <c r="BP28" s="17"/>
      <c r="BQ28" s="17"/>
      <c r="BT28" s="15" t="s">
        <v>125</v>
      </c>
      <c r="BW28" s="17"/>
    </row>
    <row r="29" spans="1:75" hidden="1" x14ac:dyDescent="0.25">
      <c r="A29" s="15" t="s">
        <v>116</v>
      </c>
      <c r="B29" s="15" t="s">
        <v>30</v>
      </c>
      <c r="C29" s="15">
        <v>2013</v>
      </c>
      <c r="D29" s="15" t="s">
        <v>117</v>
      </c>
      <c r="E29" s="15">
        <v>12770</v>
      </c>
      <c r="F29" s="17">
        <v>42539925</v>
      </c>
      <c r="G29" s="15" t="s">
        <v>109</v>
      </c>
      <c r="H29" s="15" t="s">
        <v>110</v>
      </c>
      <c r="I29" s="15" t="s">
        <v>118</v>
      </c>
      <c r="J29" s="15" t="s">
        <v>119</v>
      </c>
      <c r="K29" s="15" t="s">
        <v>120</v>
      </c>
      <c r="L29" s="15" t="s">
        <v>121</v>
      </c>
      <c r="M29" s="15" t="s">
        <v>122</v>
      </c>
      <c r="N29" s="15" t="s">
        <v>123</v>
      </c>
      <c r="O29" s="15"/>
      <c r="P29" s="15"/>
      <c r="Q29" s="15"/>
      <c r="R29" s="15"/>
      <c r="S29" s="15" t="s">
        <v>117</v>
      </c>
      <c r="T29" s="15"/>
      <c r="U29" s="15"/>
      <c r="V29" s="15"/>
      <c r="W29" s="15"/>
      <c r="X29" s="15" t="s">
        <v>117</v>
      </c>
      <c r="Y29" s="17">
        <v>422106</v>
      </c>
      <c r="Z29" s="17">
        <v>139795</v>
      </c>
      <c r="AA29" s="17">
        <v>34164</v>
      </c>
      <c r="AB29" s="17">
        <v>173959</v>
      </c>
      <c r="AC29" s="17">
        <v>596065</v>
      </c>
      <c r="AD29" s="17">
        <v>11393</v>
      </c>
      <c r="AE29" s="51">
        <f t="shared" si="0"/>
        <v>9.9225844897469848</v>
      </c>
      <c r="AF29" s="51">
        <f t="shared" si="1"/>
        <v>4.0893113939434542</v>
      </c>
      <c r="AG29" s="51">
        <f t="shared" si="2"/>
        <v>14.011895883690439</v>
      </c>
      <c r="AH29" s="51">
        <f t="shared" si="3"/>
        <v>0.26781899591971542</v>
      </c>
      <c r="AI29" s="17">
        <v>737636</v>
      </c>
      <c r="AJ29" s="17">
        <v>1228319</v>
      </c>
      <c r="AK29" s="17">
        <v>1301430</v>
      </c>
      <c r="AL29" s="17">
        <v>2529749</v>
      </c>
      <c r="AM29" s="17">
        <v>3267385</v>
      </c>
      <c r="AN29" s="17">
        <v>3148226</v>
      </c>
      <c r="AU29" s="15" t="s">
        <v>124</v>
      </c>
      <c r="AV29" s="15" t="s">
        <v>124</v>
      </c>
      <c r="BG29" s="15"/>
      <c r="BM29" s="17"/>
      <c r="BN29" s="17"/>
      <c r="BO29" s="17"/>
      <c r="BP29" s="17"/>
      <c r="BQ29" s="17"/>
      <c r="BT29" s="15" t="s">
        <v>125</v>
      </c>
      <c r="BW29" s="17"/>
    </row>
    <row r="30" spans="1:75" hidden="1" x14ac:dyDescent="0.25">
      <c r="A30" s="15" t="s">
        <v>116</v>
      </c>
      <c r="B30" s="15" t="s">
        <v>30</v>
      </c>
      <c r="C30" s="15">
        <v>2012</v>
      </c>
      <c r="D30" s="15" t="s">
        <v>117</v>
      </c>
      <c r="E30" s="15">
        <v>11790</v>
      </c>
      <c r="F30" s="17">
        <v>42096739</v>
      </c>
      <c r="G30" s="15" t="s">
        <v>109</v>
      </c>
      <c r="H30" s="15" t="s">
        <v>110</v>
      </c>
      <c r="I30" s="15" t="s">
        <v>118</v>
      </c>
      <c r="J30" s="15" t="s">
        <v>119</v>
      </c>
      <c r="K30" s="15" t="s">
        <v>120</v>
      </c>
      <c r="L30" s="15" t="s">
        <v>121</v>
      </c>
      <c r="M30" s="15" t="s">
        <v>122</v>
      </c>
      <c r="N30" s="15" t="s">
        <v>123</v>
      </c>
      <c r="O30" s="15"/>
      <c r="P30" s="15"/>
      <c r="Q30" s="15"/>
      <c r="R30" s="15"/>
      <c r="S30" s="15" t="s">
        <v>117</v>
      </c>
      <c r="T30" s="15"/>
      <c r="U30" s="15"/>
      <c r="V30" s="15"/>
      <c r="W30" s="15"/>
      <c r="X30" s="15" t="s">
        <v>117</v>
      </c>
      <c r="Y30" s="17">
        <v>421064</v>
      </c>
      <c r="Z30" s="17">
        <v>140449</v>
      </c>
      <c r="AA30" s="17">
        <v>34249</v>
      </c>
      <c r="AB30" s="17">
        <v>174698</v>
      </c>
      <c r="AC30" s="17">
        <v>595762</v>
      </c>
      <c r="AD30" s="17">
        <v>11252</v>
      </c>
      <c r="AE30" s="51">
        <f t="shared" si="0"/>
        <v>10.002294952110185</v>
      </c>
      <c r="AF30" s="51">
        <f t="shared" si="1"/>
        <v>4.1499176456399631</v>
      </c>
      <c r="AG30" s="51">
        <f t="shared" si="2"/>
        <v>14.152212597750149</v>
      </c>
      <c r="AH30" s="51">
        <f t="shared" si="3"/>
        <v>0.26728911234668323</v>
      </c>
      <c r="AI30" s="17">
        <v>737674</v>
      </c>
      <c r="AJ30" s="17">
        <v>1232048</v>
      </c>
      <c r="AK30" s="17">
        <v>1297910</v>
      </c>
      <c r="AL30" s="17">
        <v>2529957</v>
      </c>
      <c r="AM30" s="17">
        <v>3267631</v>
      </c>
      <c r="AN30" s="17">
        <v>3091210</v>
      </c>
      <c r="AU30" s="15" t="s">
        <v>124</v>
      </c>
      <c r="AV30" s="15" t="s">
        <v>124</v>
      </c>
      <c r="BG30" s="15"/>
      <c r="BM30" s="17"/>
      <c r="BN30" s="17"/>
      <c r="BO30" s="17"/>
      <c r="BP30" s="17"/>
      <c r="BQ30" s="17"/>
      <c r="BT30" s="15" t="s">
        <v>125</v>
      </c>
      <c r="BW30" s="17"/>
    </row>
    <row r="31" spans="1:75" hidden="1" x14ac:dyDescent="0.25">
      <c r="A31" s="15" t="s">
        <v>116</v>
      </c>
      <c r="B31" s="15" t="s">
        <v>30</v>
      </c>
      <c r="C31" s="15">
        <v>2011</v>
      </c>
      <c r="D31" s="15" t="s">
        <v>117</v>
      </c>
      <c r="E31" s="15">
        <v>10610</v>
      </c>
      <c r="F31" s="17">
        <v>41656879</v>
      </c>
      <c r="G31" s="15" t="s">
        <v>109</v>
      </c>
      <c r="H31" s="15" t="s">
        <v>110</v>
      </c>
      <c r="I31" s="15" t="s">
        <v>118</v>
      </c>
      <c r="J31" s="15" t="s">
        <v>119</v>
      </c>
      <c r="K31" s="15" t="s">
        <v>120</v>
      </c>
      <c r="L31" s="15" t="s">
        <v>121</v>
      </c>
      <c r="M31" s="15" t="s">
        <v>122</v>
      </c>
      <c r="N31" s="15" t="s">
        <v>123</v>
      </c>
      <c r="O31" s="15"/>
      <c r="P31" s="15"/>
      <c r="Q31" s="15"/>
      <c r="R31" s="15"/>
      <c r="S31" s="15" t="s">
        <v>117</v>
      </c>
      <c r="T31" s="15"/>
      <c r="U31" s="15"/>
      <c r="V31" s="15"/>
      <c r="W31" s="15"/>
      <c r="X31" s="15" t="s">
        <v>117</v>
      </c>
      <c r="Y31" s="17">
        <v>419902</v>
      </c>
      <c r="Z31" s="17">
        <v>140897</v>
      </c>
      <c r="AA31" s="17">
        <v>33944</v>
      </c>
      <c r="AB31" s="17">
        <v>174841</v>
      </c>
      <c r="AC31" s="17">
        <v>594743</v>
      </c>
      <c r="AD31" s="17">
        <v>11095</v>
      </c>
      <c r="AE31" s="51">
        <f t="shared" si="0"/>
        <v>10.080015836039948</v>
      </c>
      <c r="AF31" s="51">
        <f t="shared" si="1"/>
        <v>4.1971699320057079</v>
      </c>
      <c r="AG31" s="51">
        <f t="shared" si="2"/>
        <v>14.277185768045658</v>
      </c>
      <c r="AH31" s="51">
        <f t="shared" si="3"/>
        <v>0.2663425649338732</v>
      </c>
      <c r="AI31" s="17">
        <v>738002</v>
      </c>
      <c r="AJ31" s="17">
        <v>1235315</v>
      </c>
      <c r="AK31" s="17">
        <v>1288833</v>
      </c>
      <c r="AL31" s="17">
        <v>2524148</v>
      </c>
      <c r="AM31" s="17">
        <v>3262150</v>
      </c>
      <c r="AN31" s="17">
        <v>3013044</v>
      </c>
      <c r="AU31" s="15" t="s">
        <v>124</v>
      </c>
      <c r="AV31" s="15" t="s">
        <v>124</v>
      </c>
      <c r="BG31" s="15"/>
      <c r="BM31" s="17"/>
      <c r="BN31" s="17"/>
      <c r="BO31" s="17"/>
      <c r="BP31" s="17"/>
      <c r="BQ31" s="17"/>
      <c r="BT31" s="15" t="s">
        <v>125</v>
      </c>
      <c r="BW31" s="17"/>
    </row>
    <row r="32" spans="1:75" hidden="1" x14ac:dyDescent="0.25">
      <c r="A32" s="15" t="s">
        <v>116</v>
      </c>
      <c r="B32" s="15" t="s">
        <v>52</v>
      </c>
      <c r="C32" s="15">
        <v>2018</v>
      </c>
      <c r="D32" s="15" t="s">
        <v>117</v>
      </c>
      <c r="E32" s="15">
        <v>13040</v>
      </c>
      <c r="F32" s="17">
        <v>44271041</v>
      </c>
      <c r="G32" s="15" t="s">
        <v>109</v>
      </c>
      <c r="H32" s="15" t="s">
        <v>110</v>
      </c>
      <c r="I32" s="15" t="s">
        <v>126</v>
      </c>
      <c r="J32" s="15" t="s">
        <v>127</v>
      </c>
      <c r="K32" s="15" t="s">
        <v>92</v>
      </c>
      <c r="L32" s="15" t="s">
        <v>48</v>
      </c>
      <c r="M32" s="15" t="s">
        <v>128</v>
      </c>
      <c r="N32" s="15" t="s">
        <v>101</v>
      </c>
      <c r="O32" s="15"/>
      <c r="P32" s="15"/>
      <c r="Q32" s="15"/>
      <c r="R32" s="15"/>
      <c r="S32" s="15" t="s">
        <v>117</v>
      </c>
      <c r="T32" s="15"/>
      <c r="U32" s="15"/>
      <c r="V32" s="15"/>
      <c r="W32" s="15"/>
      <c r="X32" s="15" t="s">
        <v>117</v>
      </c>
      <c r="Y32" s="17">
        <v>450401</v>
      </c>
      <c r="Z32" s="17">
        <v>70594</v>
      </c>
      <c r="AA32" s="17">
        <v>14934</v>
      </c>
      <c r="AB32" s="17">
        <v>85528</v>
      </c>
      <c r="AC32" s="17">
        <v>535929</v>
      </c>
      <c r="AD32" s="17">
        <v>3541</v>
      </c>
      <c r="AE32" s="51">
        <f t="shared" si="0"/>
        <v>10.173716041599294</v>
      </c>
      <c r="AF32" s="51">
        <f t="shared" si="1"/>
        <v>1.9319175259511066</v>
      </c>
      <c r="AG32" s="51">
        <f t="shared" si="2"/>
        <v>12.105633567550401</v>
      </c>
      <c r="AH32" s="51">
        <f t="shared" si="3"/>
        <v>7.9984565982986477E-2</v>
      </c>
      <c r="BG32" s="15"/>
      <c r="BM32" s="17"/>
      <c r="BN32" s="17"/>
      <c r="BO32" s="17"/>
      <c r="BP32" s="17"/>
      <c r="BQ32" s="17"/>
      <c r="BT32" s="15" t="s">
        <v>129</v>
      </c>
      <c r="BU32" s="15" t="s">
        <v>130</v>
      </c>
      <c r="BW32" s="17"/>
    </row>
    <row r="33" spans="1:75" hidden="1" x14ac:dyDescent="0.25">
      <c r="A33" s="15" t="s">
        <v>116</v>
      </c>
      <c r="B33" s="15" t="s">
        <v>52</v>
      </c>
      <c r="C33" s="15">
        <v>2017</v>
      </c>
      <c r="D33" s="15" t="s">
        <v>117</v>
      </c>
      <c r="E33" s="15">
        <v>13040</v>
      </c>
      <c r="F33" s="17">
        <v>44271041</v>
      </c>
      <c r="G33" s="15" t="s">
        <v>109</v>
      </c>
      <c r="H33" s="15" t="s">
        <v>110</v>
      </c>
      <c r="I33" s="15" t="s">
        <v>126</v>
      </c>
      <c r="J33" s="15" t="s">
        <v>127</v>
      </c>
      <c r="K33" s="15" t="s">
        <v>92</v>
      </c>
      <c r="L33" s="15" t="s">
        <v>48</v>
      </c>
      <c r="M33" s="15" t="s">
        <v>128</v>
      </c>
      <c r="N33" s="15" t="s">
        <v>101</v>
      </c>
      <c r="O33" s="15"/>
      <c r="P33" s="15"/>
      <c r="Q33" s="15"/>
      <c r="R33" s="15"/>
      <c r="S33" s="15" t="s">
        <v>117</v>
      </c>
      <c r="T33" s="15"/>
      <c r="U33" s="15"/>
      <c r="V33" s="15"/>
      <c r="W33" s="15"/>
      <c r="X33" s="15" t="s">
        <v>117</v>
      </c>
      <c r="Y33" s="17">
        <v>453679</v>
      </c>
      <c r="Z33" s="17">
        <v>70435</v>
      </c>
      <c r="AA33" s="17">
        <v>14967</v>
      </c>
      <c r="AB33" s="17">
        <v>85402</v>
      </c>
      <c r="AC33" s="17">
        <v>539081</v>
      </c>
      <c r="AD33" s="17">
        <v>3613</v>
      </c>
      <c r="AE33" s="51">
        <f t="shared" si="0"/>
        <v>10.2477599295666</v>
      </c>
      <c r="AF33" s="51">
        <f t="shared" si="1"/>
        <v>1.9290714216546205</v>
      </c>
      <c r="AG33" s="51">
        <f t="shared" si="2"/>
        <v>12.176831351221219</v>
      </c>
      <c r="AH33" s="51">
        <f t="shared" si="3"/>
        <v>8.1610911295264099E-2</v>
      </c>
      <c r="BG33" s="15"/>
      <c r="BM33" s="17"/>
      <c r="BN33" s="17"/>
      <c r="BO33" s="17"/>
      <c r="BP33" s="17"/>
      <c r="BQ33" s="17"/>
      <c r="BT33" s="15" t="s">
        <v>131</v>
      </c>
      <c r="BW33" s="17"/>
    </row>
    <row r="34" spans="1:75" hidden="1" x14ac:dyDescent="0.25">
      <c r="A34" s="15" t="s">
        <v>116</v>
      </c>
      <c r="B34" s="15" t="s">
        <v>52</v>
      </c>
      <c r="C34" s="15">
        <v>2016</v>
      </c>
      <c r="D34" s="15" t="s">
        <v>117</v>
      </c>
      <c r="E34" s="15">
        <v>11940</v>
      </c>
      <c r="F34" s="17">
        <v>43847430</v>
      </c>
      <c r="G34" s="15" t="s">
        <v>109</v>
      </c>
      <c r="H34" s="15" t="s">
        <v>110</v>
      </c>
      <c r="I34" s="15" t="s">
        <v>126</v>
      </c>
      <c r="J34" s="15" t="s">
        <v>127</v>
      </c>
      <c r="K34" s="15" t="s">
        <v>92</v>
      </c>
      <c r="L34" s="15" t="s">
        <v>48</v>
      </c>
      <c r="M34" s="15" t="s">
        <v>128</v>
      </c>
      <c r="N34" s="15" t="s">
        <v>101</v>
      </c>
      <c r="O34" s="15"/>
      <c r="P34" s="15"/>
      <c r="Q34" s="15"/>
      <c r="R34" s="15"/>
      <c r="S34" s="15" t="s">
        <v>117</v>
      </c>
      <c r="T34" s="15"/>
      <c r="U34" s="15"/>
      <c r="V34" s="15"/>
      <c r="W34" s="15"/>
      <c r="X34" s="15" t="s">
        <v>117</v>
      </c>
      <c r="Y34" s="17">
        <v>454698</v>
      </c>
      <c r="Z34" s="17">
        <v>69517</v>
      </c>
      <c r="AA34" s="17">
        <v>14626</v>
      </c>
      <c r="AB34" s="17">
        <v>84143</v>
      </c>
      <c r="AC34" s="17">
        <v>538841</v>
      </c>
      <c r="AD34" s="17">
        <v>3522</v>
      </c>
      <c r="AE34" s="51">
        <f t="shared" si="0"/>
        <v>10.370003441478781</v>
      </c>
      <c r="AF34" s="51">
        <f t="shared" si="1"/>
        <v>1.9189950243378004</v>
      </c>
      <c r="AG34" s="51">
        <f t="shared" si="2"/>
        <v>12.288998465816583</v>
      </c>
      <c r="AH34" s="51">
        <f t="shared" si="3"/>
        <v>8.0323977938957875E-2</v>
      </c>
      <c r="BG34" s="15"/>
      <c r="BM34" s="17"/>
      <c r="BN34" s="17"/>
      <c r="BO34" s="17"/>
      <c r="BP34" s="17"/>
      <c r="BQ34" s="17"/>
      <c r="BT34" s="15" t="s">
        <v>132</v>
      </c>
      <c r="BW34" s="17"/>
    </row>
    <row r="35" spans="1:75" hidden="1" x14ac:dyDescent="0.25">
      <c r="A35" s="15" t="s">
        <v>116</v>
      </c>
      <c r="B35" s="15" t="s">
        <v>52</v>
      </c>
      <c r="C35" s="15">
        <v>2015</v>
      </c>
      <c r="D35" s="15" t="s">
        <v>117</v>
      </c>
      <c r="E35" s="15">
        <v>12300</v>
      </c>
      <c r="F35" s="17">
        <v>43417765</v>
      </c>
      <c r="G35" s="15" t="s">
        <v>109</v>
      </c>
      <c r="H35" s="15" t="s">
        <v>110</v>
      </c>
      <c r="I35" s="15" t="s">
        <v>126</v>
      </c>
      <c r="J35" s="15" t="s">
        <v>127</v>
      </c>
      <c r="K35" s="15" t="s">
        <v>92</v>
      </c>
      <c r="L35" s="15" t="s">
        <v>48</v>
      </c>
      <c r="M35" s="15" t="s">
        <v>128</v>
      </c>
      <c r="N35" s="15" t="s">
        <v>101</v>
      </c>
      <c r="O35" s="15"/>
      <c r="P35" s="15"/>
      <c r="Q35" s="15"/>
      <c r="R35" s="15"/>
      <c r="S35" s="15" t="s">
        <v>117</v>
      </c>
      <c r="T35" s="15"/>
      <c r="U35" s="15"/>
      <c r="V35" s="15"/>
      <c r="W35" s="15"/>
      <c r="X35" s="15" t="s">
        <v>117</v>
      </c>
      <c r="Y35" s="17">
        <v>454477</v>
      </c>
      <c r="Z35" s="17">
        <v>69672</v>
      </c>
      <c r="AA35" s="17">
        <v>14710</v>
      </c>
      <c r="AB35" s="17">
        <v>84382</v>
      </c>
      <c r="AC35" s="17">
        <v>538859</v>
      </c>
      <c r="AD35" s="17">
        <v>3523</v>
      </c>
      <c r="AE35" s="51">
        <f t="shared" si="0"/>
        <v>10.467535581345562</v>
      </c>
      <c r="AF35" s="51">
        <f t="shared" si="1"/>
        <v>1.9434901819566253</v>
      </c>
      <c r="AG35" s="51">
        <f t="shared" si="2"/>
        <v>12.411025763302188</v>
      </c>
      <c r="AH35" s="51">
        <f t="shared" si="3"/>
        <v>8.1141901247104728E-2</v>
      </c>
      <c r="BG35" s="15"/>
      <c r="BM35" s="17"/>
      <c r="BN35" s="17"/>
      <c r="BO35" s="17"/>
      <c r="BP35" s="17"/>
      <c r="BQ35" s="17"/>
      <c r="BT35" s="15" t="s">
        <v>133</v>
      </c>
      <c r="BW35" s="17"/>
    </row>
    <row r="36" spans="1:75" hidden="1" x14ac:dyDescent="0.25">
      <c r="A36" s="15" t="s">
        <v>116</v>
      </c>
      <c r="B36" s="15" t="s">
        <v>52</v>
      </c>
      <c r="C36" s="15">
        <v>2014</v>
      </c>
      <c r="D36" s="15" t="s">
        <v>117</v>
      </c>
      <c r="E36" s="15">
        <v>12260</v>
      </c>
      <c r="F36" s="17">
        <v>42981515</v>
      </c>
      <c r="G36" s="15" t="s">
        <v>109</v>
      </c>
      <c r="H36" s="15" t="s">
        <v>110</v>
      </c>
      <c r="I36" s="15" t="s">
        <v>126</v>
      </c>
      <c r="J36" s="15" t="s">
        <v>127</v>
      </c>
      <c r="K36" s="15" t="s">
        <v>92</v>
      </c>
      <c r="L36" s="15" t="s">
        <v>48</v>
      </c>
      <c r="M36" s="15" t="s">
        <v>128</v>
      </c>
      <c r="N36" s="15" t="s">
        <v>101</v>
      </c>
      <c r="O36" s="15"/>
      <c r="P36" s="15"/>
      <c r="Q36" s="15"/>
      <c r="R36" s="15"/>
      <c r="S36" s="15" t="s">
        <v>117</v>
      </c>
      <c r="T36" s="15"/>
      <c r="U36" s="15"/>
      <c r="V36" s="15"/>
      <c r="W36" s="15"/>
      <c r="X36" s="15" t="s">
        <v>117</v>
      </c>
      <c r="Y36" s="17">
        <v>454657</v>
      </c>
      <c r="Z36" s="17">
        <v>68700</v>
      </c>
      <c r="AA36" s="17">
        <v>14538</v>
      </c>
      <c r="AB36" s="17">
        <v>83238</v>
      </c>
      <c r="AC36" s="17">
        <v>537895</v>
      </c>
      <c r="AD36" s="17">
        <v>3344</v>
      </c>
      <c r="AE36" s="51">
        <f t="shared" si="0"/>
        <v>10.577965899992124</v>
      </c>
      <c r="AF36" s="51">
        <f t="shared" si="1"/>
        <v>1.9365999546549255</v>
      </c>
      <c r="AG36" s="51">
        <f t="shared" si="2"/>
        <v>12.514565854647049</v>
      </c>
      <c r="AH36" s="51">
        <f t="shared" si="3"/>
        <v>7.7800887195344323E-2</v>
      </c>
      <c r="BG36" s="15"/>
      <c r="BM36" s="17"/>
      <c r="BN36" s="17"/>
      <c r="BO36" s="17"/>
      <c r="BP36" s="17"/>
      <c r="BQ36" s="17"/>
      <c r="BT36" s="15" t="s">
        <v>134</v>
      </c>
      <c r="BW36" s="17"/>
    </row>
    <row r="37" spans="1:75" hidden="1" x14ac:dyDescent="0.25">
      <c r="A37" s="15" t="s">
        <v>116</v>
      </c>
      <c r="B37" s="15" t="s">
        <v>52</v>
      </c>
      <c r="C37" s="15">
        <v>2013</v>
      </c>
      <c r="D37" s="15" t="s">
        <v>117</v>
      </c>
      <c r="E37" s="15">
        <v>12770</v>
      </c>
      <c r="F37" s="17">
        <v>42539925</v>
      </c>
      <c r="G37" s="15" t="s">
        <v>109</v>
      </c>
      <c r="H37" s="15" t="s">
        <v>110</v>
      </c>
      <c r="I37" s="15" t="s">
        <v>126</v>
      </c>
      <c r="J37" s="15" t="s">
        <v>127</v>
      </c>
      <c r="K37" s="15" t="s">
        <v>92</v>
      </c>
      <c r="L37" s="15" t="s">
        <v>48</v>
      </c>
      <c r="M37" s="15" t="s">
        <v>128</v>
      </c>
      <c r="N37" s="15" t="s">
        <v>101</v>
      </c>
      <c r="O37" s="15"/>
      <c r="P37" s="15"/>
      <c r="Q37" s="15"/>
      <c r="R37" s="15"/>
      <c r="S37" s="15" t="s">
        <v>117</v>
      </c>
      <c r="T37" s="15"/>
      <c r="U37" s="15"/>
      <c r="V37" s="15"/>
      <c r="W37" s="15"/>
      <c r="X37" s="15" t="s">
        <v>117</v>
      </c>
      <c r="Y37" s="17">
        <v>458678</v>
      </c>
      <c r="Z37" s="17">
        <v>69849</v>
      </c>
      <c r="AA37" s="17">
        <v>14234</v>
      </c>
      <c r="AB37" s="17">
        <v>84083</v>
      </c>
      <c r="AC37" s="17">
        <v>542761</v>
      </c>
      <c r="AD37" s="17">
        <v>3329</v>
      </c>
      <c r="AE37" s="51">
        <f t="shared" si="0"/>
        <v>10.782294515093762</v>
      </c>
      <c r="AF37" s="51">
        <f t="shared" si="1"/>
        <v>1.9765667193818512</v>
      </c>
      <c r="AG37" s="51">
        <f t="shared" si="2"/>
        <v>12.758861234475612</v>
      </c>
      <c r="AH37" s="51">
        <f t="shared" si="3"/>
        <v>7.8255897254167706E-2</v>
      </c>
      <c r="BG37" s="15"/>
      <c r="BM37" s="17"/>
      <c r="BN37" s="17"/>
      <c r="BO37" s="17"/>
      <c r="BP37" s="17"/>
      <c r="BQ37" s="17"/>
      <c r="BT37" s="15" t="s">
        <v>135</v>
      </c>
      <c r="BW37" s="17"/>
    </row>
    <row r="38" spans="1:75" hidden="1" x14ac:dyDescent="0.25">
      <c r="A38" s="15" t="s">
        <v>116</v>
      </c>
      <c r="B38" s="15" t="s">
        <v>52</v>
      </c>
      <c r="C38" s="15">
        <v>2012</v>
      </c>
      <c r="D38" s="15" t="s">
        <v>117</v>
      </c>
      <c r="E38" s="15">
        <v>11790</v>
      </c>
      <c r="F38" s="17">
        <v>42096739</v>
      </c>
      <c r="G38" s="15" t="s">
        <v>109</v>
      </c>
      <c r="H38" s="15" t="s">
        <v>110</v>
      </c>
      <c r="I38" s="15" t="s">
        <v>126</v>
      </c>
      <c r="J38" s="15" t="s">
        <v>127</v>
      </c>
      <c r="K38" s="15" t="s">
        <v>92</v>
      </c>
      <c r="L38" s="15" t="s">
        <v>48</v>
      </c>
      <c r="M38" s="15" t="s">
        <v>128</v>
      </c>
      <c r="N38" s="15" t="s">
        <v>101</v>
      </c>
      <c r="O38" s="15"/>
      <c r="P38" s="15"/>
      <c r="Q38" s="15"/>
      <c r="R38" s="15"/>
      <c r="S38" s="15" t="s">
        <v>117</v>
      </c>
      <c r="T38" s="15"/>
      <c r="U38" s="15"/>
      <c r="V38" s="15"/>
      <c r="W38" s="15"/>
      <c r="X38" s="15" t="s">
        <v>117</v>
      </c>
      <c r="Y38" s="17">
        <v>456977</v>
      </c>
      <c r="Z38" s="17">
        <v>70479</v>
      </c>
      <c r="AA38" s="17">
        <v>14258</v>
      </c>
      <c r="AB38" s="17">
        <v>84737</v>
      </c>
      <c r="AC38" s="17">
        <v>541714</v>
      </c>
      <c r="AD38" s="17">
        <v>3275</v>
      </c>
      <c r="AE38" s="51">
        <f t="shared" si="0"/>
        <v>10.855401412446698</v>
      </c>
      <c r="AF38" s="51">
        <f t="shared" si="1"/>
        <v>2.0129112613687248</v>
      </c>
      <c r="AG38" s="51">
        <f t="shared" si="2"/>
        <v>12.868312673815423</v>
      </c>
      <c r="AH38" s="51">
        <f t="shared" si="3"/>
        <v>7.7796999905384592E-2</v>
      </c>
      <c r="BG38" s="15"/>
      <c r="BM38" s="17"/>
      <c r="BN38" s="17"/>
      <c r="BO38" s="17"/>
      <c r="BP38" s="17"/>
      <c r="BQ38" s="17"/>
      <c r="BT38" s="15" t="s">
        <v>136</v>
      </c>
      <c r="BW38" s="17"/>
    </row>
    <row r="39" spans="1:75" hidden="1" x14ac:dyDescent="0.25">
      <c r="A39" s="15" t="s">
        <v>116</v>
      </c>
      <c r="B39" s="15" t="s">
        <v>52</v>
      </c>
      <c r="C39" s="15">
        <v>2011</v>
      </c>
      <c r="D39" s="15" t="s">
        <v>117</v>
      </c>
      <c r="E39" s="15">
        <v>10610</v>
      </c>
      <c r="F39" s="17">
        <v>41656879</v>
      </c>
      <c r="G39" s="15" t="s">
        <v>109</v>
      </c>
      <c r="H39" s="15" t="s">
        <v>110</v>
      </c>
      <c r="I39" s="15" t="s">
        <v>126</v>
      </c>
      <c r="J39" s="15" t="s">
        <v>127</v>
      </c>
      <c r="K39" s="15" t="s">
        <v>92</v>
      </c>
      <c r="L39" s="15" t="s">
        <v>48</v>
      </c>
      <c r="M39" s="15" t="s">
        <v>128</v>
      </c>
      <c r="N39" s="15" t="s">
        <v>101</v>
      </c>
      <c r="O39" s="15"/>
      <c r="P39" s="15"/>
      <c r="Q39" s="15"/>
      <c r="R39" s="15"/>
      <c r="S39" s="15" t="s">
        <v>117</v>
      </c>
      <c r="T39" s="15"/>
      <c r="U39" s="15"/>
      <c r="V39" s="15"/>
      <c r="W39" s="15"/>
      <c r="X39" s="15" t="s">
        <v>117</v>
      </c>
      <c r="Y39" s="17">
        <v>458399</v>
      </c>
      <c r="Z39" s="17">
        <v>70790</v>
      </c>
      <c r="AA39" s="17">
        <v>14354</v>
      </c>
      <c r="AB39" s="17">
        <v>85144</v>
      </c>
      <c r="AC39" s="17">
        <v>543543</v>
      </c>
      <c r="AD39" s="17">
        <v>3245</v>
      </c>
      <c r="AE39" s="51">
        <f t="shared" si="0"/>
        <v>11.004160921417084</v>
      </c>
      <c r="AF39" s="51">
        <f t="shared" si="1"/>
        <v>2.0439361287723932</v>
      </c>
      <c r="AG39" s="51">
        <f t="shared" si="2"/>
        <v>13.048097050189478</v>
      </c>
      <c r="AH39" s="51">
        <f t="shared" si="3"/>
        <v>7.7898298621939491E-2</v>
      </c>
      <c r="BG39" s="15"/>
      <c r="BM39" s="17"/>
      <c r="BN39" s="17"/>
      <c r="BO39" s="17"/>
      <c r="BP39" s="17"/>
      <c r="BQ39" s="17"/>
      <c r="BT39" s="15" t="s">
        <v>137</v>
      </c>
      <c r="BW39" s="17"/>
    </row>
    <row r="40" spans="1:75" hidden="1" x14ac:dyDescent="0.25">
      <c r="A40" s="15" t="s">
        <v>116</v>
      </c>
      <c r="B40" s="15" t="s">
        <v>52</v>
      </c>
      <c r="C40" s="15">
        <v>2010</v>
      </c>
      <c r="D40" s="15" t="s">
        <v>117</v>
      </c>
      <c r="E40" s="15">
        <v>9170</v>
      </c>
      <c r="F40" s="17">
        <v>41223889</v>
      </c>
      <c r="G40" s="15" t="s">
        <v>109</v>
      </c>
      <c r="H40" s="15" t="s">
        <v>110</v>
      </c>
      <c r="I40" s="15" t="s">
        <v>126</v>
      </c>
      <c r="J40" s="15" t="s">
        <v>127</v>
      </c>
      <c r="K40" s="15" t="s">
        <v>92</v>
      </c>
      <c r="L40" s="15" t="s">
        <v>48</v>
      </c>
      <c r="M40" s="15" t="s">
        <v>128</v>
      </c>
      <c r="N40" s="15" t="s">
        <v>101</v>
      </c>
      <c r="O40" s="15"/>
      <c r="P40" s="15"/>
      <c r="Q40" s="15"/>
      <c r="R40" s="15"/>
      <c r="S40" s="15" t="s">
        <v>117</v>
      </c>
      <c r="T40" s="15"/>
      <c r="U40" s="15"/>
      <c r="V40" s="15"/>
      <c r="W40" s="15"/>
      <c r="X40" s="15" t="s">
        <v>117</v>
      </c>
      <c r="Y40" s="17">
        <v>451065</v>
      </c>
      <c r="Z40" s="17">
        <v>68657</v>
      </c>
      <c r="AA40" s="17">
        <v>13812</v>
      </c>
      <c r="AB40" s="17">
        <v>82469</v>
      </c>
      <c r="AC40" s="17">
        <v>533534</v>
      </c>
      <c r="AD40" s="17">
        <v>3064</v>
      </c>
      <c r="AE40" s="51">
        <f t="shared" si="0"/>
        <v>10.941835206280514</v>
      </c>
      <c r="AF40" s="51">
        <f t="shared" si="1"/>
        <v>2.0005147985916611</v>
      </c>
      <c r="AG40" s="51">
        <f t="shared" si="2"/>
        <v>12.942350004872175</v>
      </c>
      <c r="AH40" s="51">
        <f t="shared" si="3"/>
        <v>7.4325835682315169E-2</v>
      </c>
      <c r="BG40" s="15"/>
      <c r="BM40" s="17"/>
      <c r="BN40" s="17"/>
      <c r="BO40" s="17"/>
      <c r="BP40" s="17"/>
      <c r="BQ40" s="17"/>
      <c r="BT40" s="15" t="s">
        <v>138</v>
      </c>
      <c r="BW40" s="17"/>
    </row>
    <row r="41" spans="1:75" hidden="1" x14ac:dyDescent="0.25">
      <c r="A41" s="15" t="s">
        <v>116</v>
      </c>
      <c r="B41" s="15" t="s">
        <v>52</v>
      </c>
      <c r="C41" s="15">
        <v>2009</v>
      </c>
      <c r="D41" s="15" t="s">
        <v>117</v>
      </c>
      <c r="E41" s="15">
        <v>7730</v>
      </c>
      <c r="F41" s="17">
        <v>40799407</v>
      </c>
      <c r="G41" s="15" t="s">
        <v>109</v>
      </c>
      <c r="H41" s="15" t="s">
        <v>110</v>
      </c>
      <c r="I41" s="15" t="s">
        <v>126</v>
      </c>
      <c r="J41" s="15" t="s">
        <v>127</v>
      </c>
      <c r="K41" s="15" t="s">
        <v>92</v>
      </c>
      <c r="L41" s="15" t="s">
        <v>48</v>
      </c>
      <c r="M41" s="15" t="s">
        <v>128</v>
      </c>
      <c r="N41" s="15" t="s">
        <v>101</v>
      </c>
      <c r="O41" s="15"/>
      <c r="P41" s="15"/>
      <c r="Q41" s="15"/>
      <c r="R41" s="15"/>
      <c r="S41" s="15" t="s">
        <v>117</v>
      </c>
      <c r="T41" s="15"/>
      <c r="U41" s="15"/>
      <c r="V41" s="15"/>
      <c r="W41" s="15"/>
      <c r="X41" s="15" t="s">
        <v>117</v>
      </c>
      <c r="Y41" s="17">
        <v>445880</v>
      </c>
      <c r="Z41" s="17">
        <v>67015</v>
      </c>
      <c r="AA41" s="17">
        <v>13313</v>
      </c>
      <c r="AB41" s="17">
        <v>80328</v>
      </c>
      <c r="AC41" s="17">
        <v>526208</v>
      </c>
      <c r="AD41" s="17">
        <v>2925</v>
      </c>
      <c r="AE41" s="51">
        <f t="shared" si="0"/>
        <v>10.928590212107739</v>
      </c>
      <c r="AF41" s="51">
        <f t="shared" si="1"/>
        <v>1.968852145326524</v>
      </c>
      <c r="AG41" s="51">
        <f t="shared" si="2"/>
        <v>12.897442357434263</v>
      </c>
      <c r="AH41" s="51">
        <f t="shared" si="3"/>
        <v>7.169221846778312E-2</v>
      </c>
      <c r="BG41" s="15"/>
      <c r="BM41" s="17"/>
      <c r="BN41" s="17"/>
      <c r="BO41" s="17"/>
      <c r="BP41" s="17"/>
      <c r="BQ41" s="17"/>
      <c r="BT41" s="15" t="s">
        <v>139</v>
      </c>
      <c r="BW41" s="17"/>
    </row>
    <row r="42" spans="1:75" hidden="1" x14ac:dyDescent="0.25">
      <c r="A42" s="15" t="s">
        <v>116</v>
      </c>
      <c r="B42" s="15" t="s">
        <v>52</v>
      </c>
      <c r="C42" s="15">
        <v>2008</v>
      </c>
      <c r="D42" s="15" t="s">
        <v>117</v>
      </c>
      <c r="E42" s="15">
        <v>7610</v>
      </c>
      <c r="F42" s="17">
        <v>40382389</v>
      </c>
      <c r="G42" s="15" t="s">
        <v>109</v>
      </c>
      <c r="H42" s="15" t="s">
        <v>110</v>
      </c>
      <c r="I42" s="15" t="s">
        <v>126</v>
      </c>
      <c r="J42" s="15" t="s">
        <v>127</v>
      </c>
      <c r="K42" s="15" t="s">
        <v>92</v>
      </c>
      <c r="L42" s="15" t="s">
        <v>48</v>
      </c>
      <c r="M42" s="15" t="s">
        <v>128</v>
      </c>
      <c r="N42" s="15" t="s">
        <v>101</v>
      </c>
      <c r="O42" s="15"/>
      <c r="P42" s="15"/>
      <c r="Q42" s="15"/>
      <c r="R42" s="15"/>
      <c r="S42" s="15" t="s">
        <v>117</v>
      </c>
      <c r="T42" s="15"/>
      <c r="U42" s="15"/>
      <c r="V42" s="15"/>
      <c r="W42" s="15"/>
      <c r="X42" s="15" t="s">
        <v>117</v>
      </c>
      <c r="Y42" s="17">
        <v>444238</v>
      </c>
      <c r="Z42" s="17">
        <v>67382</v>
      </c>
      <c r="AA42" s="17">
        <v>13608</v>
      </c>
      <c r="AB42" s="17">
        <v>80990</v>
      </c>
      <c r="AC42" s="17">
        <v>525228</v>
      </c>
      <c r="AD42" s="17">
        <v>2971</v>
      </c>
      <c r="AE42" s="51">
        <f t="shared" si="0"/>
        <v>11.00078551568606</v>
      </c>
      <c r="AF42" s="51">
        <f t="shared" si="1"/>
        <v>2.0055772331844954</v>
      </c>
      <c r="AG42" s="51">
        <f t="shared" si="2"/>
        <v>13.006362748870552</v>
      </c>
      <c r="AH42" s="51">
        <f t="shared" si="3"/>
        <v>7.3571675019028712E-2</v>
      </c>
      <c r="BG42" s="15"/>
      <c r="BM42" s="17"/>
      <c r="BN42" s="17"/>
      <c r="BO42" s="17"/>
      <c r="BP42" s="17"/>
      <c r="BQ42" s="17"/>
      <c r="BT42" s="15" t="s">
        <v>140</v>
      </c>
      <c r="BW42" s="17"/>
    </row>
    <row r="43" spans="1:75" hidden="1" x14ac:dyDescent="0.25">
      <c r="A43" s="15" t="s">
        <v>116</v>
      </c>
      <c r="B43" s="15" t="s">
        <v>52</v>
      </c>
      <c r="C43" s="15">
        <v>2007</v>
      </c>
      <c r="D43" s="15" t="s">
        <v>117</v>
      </c>
      <c r="E43" s="15">
        <v>6470</v>
      </c>
      <c r="F43" s="17">
        <v>39970224</v>
      </c>
      <c r="G43" s="15" t="s">
        <v>109</v>
      </c>
      <c r="H43" s="15" t="s">
        <v>110</v>
      </c>
      <c r="I43" s="15" t="s">
        <v>126</v>
      </c>
      <c r="J43" s="15" t="s">
        <v>127</v>
      </c>
      <c r="K43" s="15" t="s">
        <v>92</v>
      </c>
      <c r="L43" s="15" t="s">
        <v>48</v>
      </c>
      <c r="M43" s="15" t="s">
        <v>128</v>
      </c>
      <c r="N43" s="15" t="s">
        <v>101</v>
      </c>
      <c r="O43" s="15"/>
      <c r="P43" s="15"/>
      <c r="Q43" s="15"/>
      <c r="R43" s="15"/>
      <c r="S43" s="15" t="s">
        <v>117</v>
      </c>
      <c r="T43" s="15"/>
      <c r="U43" s="15"/>
      <c r="V43" s="15"/>
      <c r="W43" s="15"/>
      <c r="X43" s="15" t="s">
        <v>117</v>
      </c>
      <c r="Y43" s="17">
        <v>426860</v>
      </c>
      <c r="Z43" s="17">
        <v>65144</v>
      </c>
      <c r="AA43" s="17">
        <v>13386</v>
      </c>
      <c r="AB43" s="17">
        <v>78530</v>
      </c>
      <c r="AC43" s="17">
        <v>505390</v>
      </c>
      <c r="AD43" s="17">
        <v>2924</v>
      </c>
      <c r="AE43" s="51">
        <f t="shared" si="0"/>
        <v>10.679449782418033</v>
      </c>
      <c r="AF43" s="51">
        <f t="shared" si="1"/>
        <v>1.9647125320088277</v>
      </c>
      <c r="AG43" s="51">
        <f t="shared" si="2"/>
        <v>12.644162314426859</v>
      </c>
      <c r="AH43" s="51">
        <f t="shared" si="3"/>
        <v>7.3154456177178293E-2</v>
      </c>
      <c r="BG43" s="15"/>
      <c r="BM43" s="17"/>
      <c r="BN43" s="17"/>
      <c r="BO43" s="17"/>
      <c r="BP43" s="17"/>
      <c r="BQ43" s="17"/>
      <c r="BT43" s="15" t="s">
        <v>141</v>
      </c>
      <c r="BW43" s="17"/>
    </row>
    <row r="44" spans="1:75" hidden="1" x14ac:dyDescent="0.25">
      <c r="A44" s="15" t="s">
        <v>116</v>
      </c>
      <c r="B44" s="15" t="s">
        <v>142</v>
      </c>
      <c r="C44" s="15">
        <v>2018</v>
      </c>
      <c r="D44" s="15" t="s">
        <v>117</v>
      </c>
      <c r="E44" s="15">
        <v>13040</v>
      </c>
      <c r="F44" s="17">
        <v>44271041</v>
      </c>
      <c r="G44" s="15" t="s">
        <v>109</v>
      </c>
      <c r="H44" s="15" t="s">
        <v>110</v>
      </c>
      <c r="I44" s="15" t="s">
        <v>143</v>
      </c>
      <c r="J44" s="15" t="s">
        <v>144</v>
      </c>
      <c r="K44" s="15"/>
      <c r="L44" s="15"/>
      <c r="M44" s="15"/>
      <c r="N44" s="15"/>
      <c r="O44" s="15"/>
      <c r="P44" s="15"/>
      <c r="Q44" s="15"/>
      <c r="R44" s="15"/>
      <c r="S44" s="15" t="s">
        <v>117</v>
      </c>
      <c r="T44" s="15" t="s">
        <v>145</v>
      </c>
      <c r="U44" s="15" t="s">
        <v>146</v>
      </c>
      <c r="V44" s="15" t="s">
        <v>147</v>
      </c>
      <c r="W44" s="15" t="s">
        <v>148</v>
      </c>
      <c r="X44" s="15" t="s">
        <v>117</v>
      </c>
      <c r="AE44" s="51" t="str">
        <f t="shared" si="0"/>
        <v/>
      </c>
      <c r="AF44" s="51" t="str">
        <f t="shared" si="1"/>
        <v/>
      </c>
      <c r="AG44" s="51" t="str">
        <f t="shared" si="2"/>
        <v/>
      </c>
      <c r="AH44" s="51" t="str">
        <f t="shared" si="3"/>
        <v/>
      </c>
      <c r="BE44" s="16">
        <v>371621232</v>
      </c>
      <c r="BF44" s="42">
        <v>0.35799999999999998</v>
      </c>
      <c r="BM44" s="17"/>
      <c r="BN44" s="17"/>
      <c r="BO44" s="17"/>
      <c r="BP44" s="17"/>
      <c r="BQ44" s="17"/>
      <c r="BT44" s="15" t="s">
        <v>149</v>
      </c>
      <c r="BW44" s="17"/>
    </row>
    <row r="45" spans="1:75" hidden="1" x14ac:dyDescent="0.25">
      <c r="A45" s="15" t="s">
        <v>116</v>
      </c>
      <c r="B45" s="15" t="s">
        <v>142</v>
      </c>
      <c r="C45" s="15">
        <v>2017</v>
      </c>
      <c r="D45" s="15" t="s">
        <v>117</v>
      </c>
      <c r="E45" s="15">
        <v>13040</v>
      </c>
      <c r="F45" s="17">
        <v>44271041</v>
      </c>
      <c r="G45" s="15" t="s">
        <v>109</v>
      </c>
      <c r="H45" s="15" t="s">
        <v>110</v>
      </c>
      <c r="I45" s="15" t="s">
        <v>143</v>
      </c>
      <c r="J45" s="15" t="s">
        <v>144</v>
      </c>
      <c r="K45" s="15"/>
      <c r="L45" s="15"/>
      <c r="M45" s="15"/>
      <c r="N45" s="15"/>
      <c r="O45" s="15"/>
      <c r="P45" s="15"/>
      <c r="Q45" s="15"/>
      <c r="R45" s="15"/>
      <c r="S45" s="15" t="s">
        <v>117</v>
      </c>
      <c r="T45" s="15" t="s">
        <v>145</v>
      </c>
      <c r="U45" s="15" t="s">
        <v>146</v>
      </c>
      <c r="V45" s="15" t="s">
        <v>147</v>
      </c>
      <c r="W45" s="15" t="s">
        <v>148</v>
      </c>
      <c r="X45" s="15" t="s">
        <v>117</v>
      </c>
      <c r="AE45" s="51" t="str">
        <f t="shared" si="0"/>
        <v/>
      </c>
      <c r="AF45" s="51" t="str">
        <f t="shared" si="1"/>
        <v/>
      </c>
      <c r="AG45" s="51" t="str">
        <f t="shared" si="2"/>
        <v/>
      </c>
      <c r="AH45" s="51" t="str">
        <f t="shared" si="3"/>
        <v/>
      </c>
      <c r="BE45" s="16">
        <v>311833485</v>
      </c>
      <c r="BF45" s="42">
        <v>0.40500000000000003</v>
      </c>
      <c r="BM45" s="17"/>
      <c r="BN45" s="17"/>
      <c r="BO45" s="17"/>
      <c r="BP45" s="17"/>
      <c r="BQ45" s="17"/>
      <c r="BT45" s="15" t="s">
        <v>149</v>
      </c>
      <c r="BW45" s="17"/>
    </row>
    <row r="46" spans="1:75" hidden="1" x14ac:dyDescent="0.25">
      <c r="A46" s="15" t="s">
        <v>116</v>
      </c>
      <c r="B46" s="15" t="s">
        <v>142</v>
      </c>
      <c r="C46" s="15">
        <v>2016</v>
      </c>
      <c r="D46" s="15" t="s">
        <v>117</v>
      </c>
      <c r="E46" s="15">
        <v>11940</v>
      </c>
      <c r="F46" s="17">
        <v>44271041</v>
      </c>
      <c r="G46" s="15" t="s">
        <v>109</v>
      </c>
      <c r="H46" s="15" t="s">
        <v>110</v>
      </c>
      <c r="I46" s="15" t="s">
        <v>143</v>
      </c>
      <c r="J46" s="15" t="s">
        <v>144</v>
      </c>
      <c r="K46" s="15"/>
      <c r="L46" s="15"/>
      <c r="M46" s="15"/>
      <c r="N46" s="15"/>
      <c r="O46" s="15"/>
      <c r="P46" s="15"/>
      <c r="Q46" s="15"/>
      <c r="R46" s="15"/>
      <c r="S46" s="15" t="s">
        <v>117</v>
      </c>
      <c r="T46" s="15" t="s">
        <v>145</v>
      </c>
      <c r="U46" s="15" t="s">
        <v>146</v>
      </c>
      <c r="V46" s="15" t="s">
        <v>147</v>
      </c>
      <c r="W46" s="15" t="s">
        <v>148</v>
      </c>
      <c r="X46" s="15" t="s">
        <v>117</v>
      </c>
      <c r="AE46" s="51" t="str">
        <f t="shared" si="0"/>
        <v/>
      </c>
      <c r="AF46" s="51" t="str">
        <f t="shared" si="1"/>
        <v/>
      </c>
      <c r="AG46" s="51" t="str">
        <f t="shared" si="2"/>
        <v/>
      </c>
      <c r="AH46" s="51" t="str">
        <f t="shared" si="3"/>
        <v/>
      </c>
      <c r="BE46" s="16">
        <v>202287063</v>
      </c>
      <c r="BF46" s="42">
        <v>0.4</v>
      </c>
      <c r="BM46" s="17"/>
      <c r="BN46" s="17"/>
      <c r="BO46" s="17"/>
      <c r="BP46" s="17"/>
      <c r="BQ46" s="17"/>
      <c r="BT46" s="15" t="s">
        <v>149</v>
      </c>
      <c r="BW46" s="17"/>
    </row>
    <row r="47" spans="1:75" hidden="1" x14ac:dyDescent="0.25">
      <c r="A47" s="15" t="s">
        <v>116</v>
      </c>
      <c r="B47" s="15" t="s">
        <v>142</v>
      </c>
      <c r="C47" s="15">
        <v>2015</v>
      </c>
      <c r="D47" s="15" t="s">
        <v>117</v>
      </c>
      <c r="E47" s="15">
        <v>12300</v>
      </c>
      <c r="F47" s="17">
        <v>43417765</v>
      </c>
      <c r="G47" s="15" t="s">
        <v>109</v>
      </c>
      <c r="H47" s="15" t="s">
        <v>110</v>
      </c>
      <c r="I47" s="15" t="s">
        <v>143</v>
      </c>
      <c r="J47" s="15" t="s">
        <v>144</v>
      </c>
      <c r="K47" s="15"/>
      <c r="L47" s="15"/>
      <c r="M47" s="15"/>
      <c r="N47" s="15"/>
      <c r="O47" s="15"/>
      <c r="P47" s="15"/>
      <c r="Q47" s="15"/>
      <c r="R47" s="15"/>
      <c r="S47" s="15" t="s">
        <v>117</v>
      </c>
      <c r="T47" s="15" t="s">
        <v>145</v>
      </c>
      <c r="U47" s="15" t="s">
        <v>146</v>
      </c>
      <c r="V47" s="15" t="s">
        <v>147</v>
      </c>
      <c r="W47" s="15" t="s">
        <v>148</v>
      </c>
      <c r="X47" s="15" t="s">
        <v>117</v>
      </c>
      <c r="AE47" s="51" t="str">
        <f t="shared" si="0"/>
        <v/>
      </c>
      <c r="AF47" s="51" t="str">
        <f t="shared" si="1"/>
        <v/>
      </c>
      <c r="AG47" s="51" t="str">
        <f t="shared" si="2"/>
        <v/>
      </c>
      <c r="AH47" s="51" t="str">
        <f t="shared" si="3"/>
        <v/>
      </c>
      <c r="BE47" s="16">
        <v>150791067</v>
      </c>
      <c r="BF47" s="42">
        <v>0.39800000000000002</v>
      </c>
      <c r="BM47" s="17"/>
      <c r="BN47" s="17"/>
      <c r="BO47" s="17"/>
      <c r="BP47" s="17"/>
      <c r="BQ47" s="17"/>
      <c r="BT47" s="15" t="s">
        <v>149</v>
      </c>
      <c r="BW47" s="17"/>
    </row>
    <row r="48" spans="1:75" hidden="1" x14ac:dyDescent="0.25">
      <c r="A48" s="15" t="s">
        <v>116</v>
      </c>
      <c r="B48" s="15" t="s">
        <v>142</v>
      </c>
      <c r="C48" s="15">
        <v>2014</v>
      </c>
      <c r="D48" s="15" t="s">
        <v>117</v>
      </c>
      <c r="E48" s="15">
        <v>12260</v>
      </c>
      <c r="F48" s="17">
        <v>42981515</v>
      </c>
      <c r="G48" s="15" t="s">
        <v>109</v>
      </c>
      <c r="H48" s="15" t="s">
        <v>110</v>
      </c>
      <c r="I48" s="15" t="s">
        <v>143</v>
      </c>
      <c r="J48" s="15" t="s">
        <v>144</v>
      </c>
      <c r="K48" s="15"/>
      <c r="L48" s="15"/>
      <c r="M48" s="15"/>
      <c r="N48" s="15"/>
      <c r="O48" s="15"/>
      <c r="P48" s="15"/>
      <c r="Q48" s="15"/>
      <c r="R48" s="15"/>
      <c r="S48" s="15" t="s">
        <v>117</v>
      </c>
      <c r="T48" s="15" t="s">
        <v>145</v>
      </c>
      <c r="U48" s="15" t="s">
        <v>146</v>
      </c>
      <c r="V48" s="15" t="s">
        <v>147</v>
      </c>
      <c r="W48" s="15" t="s">
        <v>148</v>
      </c>
      <c r="X48" s="15" t="s">
        <v>117</v>
      </c>
      <c r="AE48" s="51" t="str">
        <f t="shared" si="0"/>
        <v/>
      </c>
      <c r="AF48" s="51" t="str">
        <f t="shared" si="1"/>
        <v/>
      </c>
      <c r="AG48" s="51" t="str">
        <f t="shared" si="2"/>
        <v/>
      </c>
      <c r="AH48" s="51" t="str">
        <f t="shared" si="3"/>
        <v/>
      </c>
      <c r="BE48" s="16">
        <v>107091548</v>
      </c>
      <c r="BF48" s="42">
        <v>0.36599999999999999</v>
      </c>
      <c r="BM48" s="17"/>
      <c r="BN48" s="17"/>
      <c r="BO48" s="17"/>
      <c r="BP48" s="17"/>
      <c r="BQ48" s="17"/>
      <c r="BT48" s="15" t="s">
        <v>149</v>
      </c>
      <c r="BW48" s="17"/>
    </row>
    <row r="49" spans="1:75" hidden="1" x14ac:dyDescent="0.25">
      <c r="A49" s="15" t="s">
        <v>116</v>
      </c>
      <c r="B49" s="15" t="s">
        <v>142</v>
      </c>
      <c r="C49" s="15">
        <v>2013</v>
      </c>
      <c r="D49" s="15" t="s">
        <v>117</v>
      </c>
      <c r="E49" s="15">
        <v>12770</v>
      </c>
      <c r="F49" s="17">
        <v>42539925</v>
      </c>
      <c r="G49" s="15" t="s">
        <v>109</v>
      </c>
      <c r="H49" s="15" t="s">
        <v>110</v>
      </c>
      <c r="I49" s="15" t="s">
        <v>143</v>
      </c>
      <c r="J49" s="15" t="s">
        <v>144</v>
      </c>
      <c r="K49" s="15"/>
      <c r="L49" s="15"/>
      <c r="M49" s="15"/>
      <c r="N49" s="15"/>
      <c r="O49" s="15"/>
      <c r="P49" s="15"/>
      <c r="Q49" s="15"/>
      <c r="R49" s="15"/>
      <c r="S49" s="15" t="s">
        <v>117</v>
      </c>
      <c r="T49" s="15" t="s">
        <v>145</v>
      </c>
      <c r="U49" s="15" t="s">
        <v>146</v>
      </c>
      <c r="V49" s="15" t="s">
        <v>147</v>
      </c>
      <c r="W49" s="15" t="s">
        <v>148</v>
      </c>
      <c r="X49" s="15" t="s">
        <v>117</v>
      </c>
      <c r="AE49" s="51" t="str">
        <f t="shared" si="0"/>
        <v/>
      </c>
      <c r="AF49" s="51" t="str">
        <f t="shared" si="1"/>
        <v/>
      </c>
      <c r="AG49" s="51" t="str">
        <f t="shared" si="2"/>
        <v/>
      </c>
      <c r="AH49" s="51" t="str">
        <f t="shared" si="3"/>
        <v/>
      </c>
      <c r="BE49" s="16">
        <v>92646790</v>
      </c>
      <c r="BF49" s="42">
        <v>0.377</v>
      </c>
      <c r="BM49" s="17"/>
      <c r="BN49" s="17"/>
      <c r="BO49" s="17"/>
      <c r="BP49" s="17"/>
      <c r="BQ49" s="17"/>
      <c r="BT49" s="15" t="s">
        <v>149</v>
      </c>
      <c r="BW49" s="17"/>
    </row>
    <row r="50" spans="1:75" hidden="1" x14ac:dyDescent="0.25">
      <c r="A50" s="15" t="s">
        <v>116</v>
      </c>
      <c r="B50" s="15" t="s">
        <v>142</v>
      </c>
      <c r="C50" s="15">
        <v>2012</v>
      </c>
      <c r="D50" s="15" t="s">
        <v>117</v>
      </c>
      <c r="E50" s="15">
        <v>11790</v>
      </c>
      <c r="F50" s="17">
        <v>42096739</v>
      </c>
      <c r="G50" s="15" t="s">
        <v>109</v>
      </c>
      <c r="H50" s="15" t="s">
        <v>110</v>
      </c>
      <c r="I50" s="15" t="s">
        <v>143</v>
      </c>
      <c r="J50" s="15" t="s">
        <v>144</v>
      </c>
      <c r="K50" s="15"/>
      <c r="L50" s="15"/>
      <c r="M50" s="15"/>
      <c r="N50" s="15"/>
      <c r="O50" s="15"/>
      <c r="P50" s="15"/>
      <c r="Q50" s="15"/>
      <c r="R50" s="15"/>
      <c r="S50" s="15" t="s">
        <v>117</v>
      </c>
      <c r="T50" s="15" t="s">
        <v>145</v>
      </c>
      <c r="U50" s="15" t="s">
        <v>146</v>
      </c>
      <c r="V50" s="15" t="s">
        <v>147</v>
      </c>
      <c r="W50" s="15" t="s">
        <v>148</v>
      </c>
      <c r="X50" s="15" t="s">
        <v>117</v>
      </c>
      <c r="AE50" s="51" t="str">
        <f t="shared" si="0"/>
        <v/>
      </c>
      <c r="AF50" s="51" t="str">
        <f t="shared" si="1"/>
        <v/>
      </c>
      <c r="AG50" s="51" t="str">
        <f t="shared" si="2"/>
        <v/>
      </c>
      <c r="AH50" s="51" t="str">
        <f t="shared" si="3"/>
        <v/>
      </c>
      <c r="BE50" s="16">
        <v>59834735</v>
      </c>
      <c r="BF50" s="42">
        <v>0.31900000000000001</v>
      </c>
      <c r="BM50" s="17"/>
      <c r="BN50" s="17"/>
      <c r="BO50" s="17"/>
      <c r="BP50" s="17"/>
      <c r="BQ50" s="17"/>
      <c r="BT50" s="15" t="s">
        <v>149</v>
      </c>
      <c r="BW50" s="17"/>
    </row>
    <row r="51" spans="1:75" hidden="1" x14ac:dyDescent="0.25">
      <c r="A51" s="15" t="s">
        <v>116</v>
      </c>
      <c r="B51" s="15" t="s">
        <v>142</v>
      </c>
      <c r="C51" s="15">
        <v>2011</v>
      </c>
      <c r="D51" s="15" t="s">
        <v>117</v>
      </c>
      <c r="E51" s="15">
        <v>10610</v>
      </c>
      <c r="F51" s="17">
        <v>41656879</v>
      </c>
      <c r="G51" s="15" t="s">
        <v>109</v>
      </c>
      <c r="H51" s="15" t="s">
        <v>110</v>
      </c>
      <c r="I51" s="15" t="s">
        <v>143</v>
      </c>
      <c r="J51" s="15" t="s">
        <v>144</v>
      </c>
      <c r="K51" s="15"/>
      <c r="L51" s="15"/>
      <c r="M51" s="15"/>
      <c r="N51" s="15"/>
      <c r="O51" s="15"/>
      <c r="P51" s="15"/>
      <c r="Q51" s="15"/>
      <c r="R51" s="15"/>
      <c r="S51" s="15" t="s">
        <v>117</v>
      </c>
      <c r="T51" s="15" t="s">
        <v>145</v>
      </c>
      <c r="U51" s="15" t="s">
        <v>146</v>
      </c>
      <c r="V51" s="15" t="s">
        <v>147</v>
      </c>
      <c r="W51" s="15" t="s">
        <v>148</v>
      </c>
      <c r="X51" s="15" t="s">
        <v>117</v>
      </c>
      <c r="AE51" s="51" t="str">
        <f t="shared" si="0"/>
        <v/>
      </c>
      <c r="AF51" s="51" t="str">
        <f t="shared" si="1"/>
        <v/>
      </c>
      <c r="AG51" s="51" t="str">
        <f t="shared" si="2"/>
        <v/>
      </c>
      <c r="AH51" s="51" t="str">
        <f t="shared" si="3"/>
        <v/>
      </c>
      <c r="BE51" s="16">
        <v>37929817</v>
      </c>
      <c r="BF51" s="42">
        <v>0.26</v>
      </c>
      <c r="BM51" s="17"/>
      <c r="BN51" s="17"/>
      <c r="BO51" s="17"/>
      <c r="BP51" s="17"/>
      <c r="BQ51" s="17"/>
      <c r="BT51" s="15" t="s">
        <v>149</v>
      </c>
      <c r="BW51" s="17"/>
    </row>
    <row r="52" spans="1:75" hidden="1" x14ac:dyDescent="0.25">
      <c r="A52" s="15" t="s">
        <v>116</v>
      </c>
      <c r="B52" s="15" t="s">
        <v>142</v>
      </c>
      <c r="C52" s="15">
        <v>2010</v>
      </c>
      <c r="D52" s="15" t="s">
        <v>117</v>
      </c>
      <c r="E52" s="15">
        <v>9170</v>
      </c>
      <c r="F52" s="17">
        <v>41223889</v>
      </c>
      <c r="G52" s="15" t="s">
        <v>109</v>
      </c>
      <c r="H52" s="15" t="s">
        <v>110</v>
      </c>
      <c r="I52" s="15" t="s">
        <v>143</v>
      </c>
      <c r="J52" s="15" t="s">
        <v>144</v>
      </c>
      <c r="K52" s="15"/>
      <c r="L52" s="15"/>
      <c r="M52" s="15"/>
      <c r="N52" s="15"/>
      <c r="O52" s="15"/>
      <c r="P52" s="15"/>
      <c r="Q52" s="15"/>
      <c r="R52" s="15"/>
      <c r="S52" s="15" t="s">
        <v>117</v>
      </c>
      <c r="T52" s="15" t="s">
        <v>145</v>
      </c>
      <c r="U52" s="15" t="s">
        <v>146</v>
      </c>
      <c r="V52" s="15" t="s">
        <v>147</v>
      </c>
      <c r="W52" s="15" t="s">
        <v>148</v>
      </c>
      <c r="X52" s="15" t="s">
        <v>117</v>
      </c>
      <c r="AE52" s="51" t="str">
        <f t="shared" si="0"/>
        <v/>
      </c>
      <c r="AF52" s="51" t="str">
        <f t="shared" si="1"/>
        <v/>
      </c>
      <c r="AG52" s="51" t="str">
        <f t="shared" si="2"/>
        <v/>
      </c>
      <c r="AH52" s="51" t="str">
        <f t="shared" si="3"/>
        <v/>
      </c>
      <c r="BE52" s="16">
        <v>22514459</v>
      </c>
      <c r="BF52" s="42">
        <v>0.22500000000000001</v>
      </c>
      <c r="BM52" s="17"/>
      <c r="BN52" s="17"/>
      <c r="BO52" s="17"/>
      <c r="BP52" s="17"/>
      <c r="BQ52" s="17"/>
      <c r="BT52" s="15" t="s">
        <v>149</v>
      </c>
      <c r="BW52" s="17"/>
    </row>
    <row r="53" spans="1:75" hidden="1" x14ac:dyDescent="0.25">
      <c r="A53" s="15" t="s">
        <v>116</v>
      </c>
      <c r="B53" s="15" t="s">
        <v>150</v>
      </c>
      <c r="C53" s="15">
        <v>2018</v>
      </c>
      <c r="D53" s="15" t="s">
        <v>117</v>
      </c>
      <c r="E53" s="15">
        <v>13040</v>
      </c>
      <c r="F53" s="17">
        <v>44271041</v>
      </c>
      <c r="G53" s="15" t="s">
        <v>109</v>
      </c>
      <c r="H53" s="15" t="s">
        <v>110</v>
      </c>
      <c r="I53" s="15" t="s">
        <v>151</v>
      </c>
      <c r="J53" s="15" t="s">
        <v>152</v>
      </c>
      <c r="K53" s="15" t="s">
        <v>153</v>
      </c>
      <c r="L53" s="15" t="s">
        <v>154</v>
      </c>
      <c r="M53" s="15" t="s">
        <v>155</v>
      </c>
      <c r="N53" s="15" t="s">
        <v>156</v>
      </c>
      <c r="O53" s="15"/>
      <c r="P53" s="15"/>
      <c r="Q53" s="15"/>
      <c r="R53" s="15"/>
      <c r="S53" s="15" t="s">
        <v>117</v>
      </c>
      <c r="T53" s="15" t="s">
        <v>157</v>
      </c>
      <c r="U53" s="15" t="s">
        <v>158</v>
      </c>
      <c r="V53" s="15" t="s">
        <v>159</v>
      </c>
      <c r="W53" s="15" t="s">
        <v>160</v>
      </c>
      <c r="X53" s="15" t="s">
        <v>117</v>
      </c>
      <c r="AC53" s="17">
        <v>853886</v>
      </c>
      <c r="AE53" s="51" t="str">
        <f t="shared" si="0"/>
        <v/>
      </c>
      <c r="AF53" s="51" t="str">
        <f t="shared" si="1"/>
        <v/>
      </c>
      <c r="AG53" s="51">
        <f t="shared" si="2"/>
        <v>19.287687407215024</v>
      </c>
      <c r="AH53" s="51" t="str">
        <f t="shared" si="3"/>
        <v/>
      </c>
      <c r="AU53" s="15" t="s">
        <v>152</v>
      </c>
      <c r="BG53" s="15"/>
      <c r="BM53" s="17"/>
      <c r="BN53" s="17"/>
      <c r="BO53" s="17"/>
      <c r="BP53" s="17"/>
      <c r="BQ53" s="17"/>
      <c r="BW53" s="17"/>
    </row>
    <row r="54" spans="1:75" hidden="1" x14ac:dyDescent="0.25">
      <c r="A54" s="15" t="s">
        <v>161</v>
      </c>
      <c r="B54" s="15" t="s">
        <v>30</v>
      </c>
      <c r="C54" s="15">
        <v>2016</v>
      </c>
      <c r="D54" s="15" t="s">
        <v>162</v>
      </c>
      <c r="E54" s="15">
        <v>3770</v>
      </c>
      <c r="F54" s="17">
        <v>2930450</v>
      </c>
      <c r="G54" s="15" t="s">
        <v>42</v>
      </c>
      <c r="H54" s="15" t="s">
        <v>43</v>
      </c>
      <c r="I54" s="15" t="s">
        <v>163</v>
      </c>
      <c r="J54" s="15" t="s">
        <v>164</v>
      </c>
      <c r="K54" s="15" t="s">
        <v>61</v>
      </c>
      <c r="L54" s="15" t="s">
        <v>165</v>
      </c>
      <c r="M54" s="15" t="s">
        <v>166</v>
      </c>
      <c r="N54" s="15" t="s">
        <v>167</v>
      </c>
      <c r="O54" s="15" t="s">
        <v>168</v>
      </c>
      <c r="P54" s="15" t="s">
        <v>169</v>
      </c>
      <c r="Q54" s="15" t="s">
        <v>170</v>
      </c>
      <c r="R54" s="15" t="s">
        <v>171</v>
      </c>
      <c r="S54" s="15" t="s">
        <v>172</v>
      </c>
      <c r="T54" s="15"/>
      <c r="U54" s="15"/>
      <c r="V54" s="15"/>
      <c r="W54" s="15"/>
      <c r="X54" s="15" t="s">
        <v>172</v>
      </c>
      <c r="Y54" s="17">
        <v>71606</v>
      </c>
      <c r="Z54" s="17">
        <v>5272</v>
      </c>
      <c r="AA54" s="17">
        <v>1368</v>
      </c>
      <c r="AB54" s="17">
        <v>6640</v>
      </c>
      <c r="AC54" s="17">
        <v>78246</v>
      </c>
      <c r="AE54" s="51">
        <f t="shared" si="0"/>
        <v>24.435155010322646</v>
      </c>
      <c r="AF54" s="51">
        <f t="shared" si="1"/>
        <v>2.2658636045658516</v>
      </c>
      <c r="AG54" s="51">
        <f t="shared" si="2"/>
        <v>26.701018614888497</v>
      </c>
      <c r="AH54" s="51" t="str">
        <f t="shared" si="3"/>
        <v/>
      </c>
      <c r="AI54" s="17">
        <v>101584</v>
      </c>
      <c r="AJ54" s="17">
        <v>91947</v>
      </c>
      <c r="AK54" s="17">
        <v>108470</v>
      </c>
      <c r="AL54" s="17">
        <v>200417</v>
      </c>
      <c r="AM54" s="17">
        <v>302001</v>
      </c>
      <c r="AU54" s="15" t="s">
        <v>174</v>
      </c>
      <c r="AV54" s="15" t="s">
        <v>174</v>
      </c>
      <c r="BG54" s="15"/>
      <c r="BM54" s="17"/>
      <c r="BN54" s="17"/>
      <c r="BO54" s="17"/>
      <c r="BP54" s="17"/>
      <c r="BQ54" s="17"/>
      <c r="BW54" s="17" t="s">
        <v>173</v>
      </c>
    </row>
    <row r="55" spans="1:75" hidden="1" x14ac:dyDescent="0.25">
      <c r="A55" s="15" t="s">
        <v>161</v>
      </c>
      <c r="B55" s="15" t="s">
        <v>30</v>
      </c>
      <c r="C55" s="15">
        <v>2015</v>
      </c>
      <c r="D55" s="15" t="s">
        <v>162</v>
      </c>
      <c r="E55" s="15">
        <v>4030</v>
      </c>
      <c r="F55" s="17">
        <v>2916950</v>
      </c>
      <c r="G55" s="15" t="s">
        <v>42</v>
      </c>
      <c r="H55" s="15" t="s">
        <v>43</v>
      </c>
      <c r="I55" s="15" t="s">
        <v>163</v>
      </c>
      <c r="J55" s="15" t="s">
        <v>175</v>
      </c>
      <c r="K55" s="15" t="s">
        <v>61</v>
      </c>
      <c r="L55" s="15" t="s">
        <v>165</v>
      </c>
      <c r="M55" s="15" t="s">
        <v>166</v>
      </c>
      <c r="N55" s="15" t="s">
        <v>167</v>
      </c>
      <c r="O55" s="15" t="s">
        <v>168</v>
      </c>
      <c r="P55" s="15" t="s">
        <v>169</v>
      </c>
      <c r="Q55" s="15" t="s">
        <v>170</v>
      </c>
      <c r="R55" s="15" t="s">
        <v>171</v>
      </c>
      <c r="S55" s="15" t="s">
        <v>172</v>
      </c>
      <c r="T55" s="15"/>
      <c r="U55" s="15"/>
      <c r="V55" s="15"/>
      <c r="W55" s="15"/>
      <c r="X55" s="15" t="s">
        <v>172</v>
      </c>
      <c r="Y55" s="17">
        <v>69939</v>
      </c>
      <c r="Z55" s="17">
        <v>4905</v>
      </c>
      <c r="AA55" s="17">
        <v>1112</v>
      </c>
      <c r="AB55" s="17">
        <v>6017</v>
      </c>
      <c r="AC55" s="17">
        <v>75956</v>
      </c>
      <c r="AE55" s="51">
        <f t="shared" si="0"/>
        <v>23.976756543650048</v>
      </c>
      <c r="AF55" s="51">
        <f t="shared" si="1"/>
        <v>2.0627710450984762</v>
      </c>
      <c r="AG55" s="51">
        <f t="shared" si="2"/>
        <v>26.039527588748523</v>
      </c>
      <c r="AH55" s="51" t="str">
        <f t="shared" si="3"/>
        <v/>
      </c>
      <c r="AI55" s="17">
        <v>137354</v>
      </c>
      <c r="AJ55" s="17">
        <v>109611</v>
      </c>
      <c r="AK55" s="17">
        <v>118297</v>
      </c>
      <c r="AL55" s="17">
        <v>227908</v>
      </c>
      <c r="AM55" s="17">
        <v>365262</v>
      </c>
      <c r="AU55" s="15" t="s">
        <v>174</v>
      </c>
      <c r="AV55" s="15" t="s">
        <v>174</v>
      </c>
      <c r="BG55" s="15"/>
      <c r="BM55" s="17"/>
      <c r="BN55" s="17"/>
      <c r="BO55" s="17"/>
      <c r="BP55" s="17"/>
      <c r="BQ55" s="17"/>
      <c r="BW55" s="17" t="s">
        <v>173</v>
      </c>
    </row>
    <row r="56" spans="1:75" hidden="1" x14ac:dyDescent="0.25">
      <c r="A56" s="15" t="s">
        <v>161</v>
      </c>
      <c r="B56" s="15" t="s">
        <v>30</v>
      </c>
      <c r="C56" s="15">
        <v>2014</v>
      </c>
      <c r="D56" s="15" t="s">
        <v>162</v>
      </c>
      <c r="E56" s="15">
        <v>4150</v>
      </c>
      <c r="F56" s="17">
        <v>2906220</v>
      </c>
      <c r="G56" s="15" t="s">
        <v>42</v>
      </c>
      <c r="H56" s="15" t="s">
        <v>43</v>
      </c>
      <c r="I56" s="15" t="s">
        <v>163</v>
      </c>
      <c r="J56" s="15" t="s">
        <v>176</v>
      </c>
      <c r="K56" s="15" t="s">
        <v>61</v>
      </c>
      <c r="L56" s="15" t="s">
        <v>165</v>
      </c>
      <c r="M56" s="15" t="s">
        <v>166</v>
      </c>
      <c r="N56" s="15" t="s">
        <v>167</v>
      </c>
      <c r="O56" s="15" t="s">
        <v>168</v>
      </c>
      <c r="P56" s="15" t="s">
        <v>169</v>
      </c>
      <c r="Q56" s="15" t="s">
        <v>170</v>
      </c>
      <c r="R56" s="15" t="s">
        <v>171</v>
      </c>
      <c r="S56" s="15" t="s">
        <v>172</v>
      </c>
      <c r="T56" s="15"/>
      <c r="U56" s="15"/>
      <c r="V56" s="15"/>
      <c r="W56" s="15"/>
      <c r="X56" s="15" t="s">
        <v>172</v>
      </c>
      <c r="Y56" s="17">
        <v>68117</v>
      </c>
      <c r="Z56" s="17">
        <v>5109</v>
      </c>
      <c r="AA56" s="17">
        <v>1139</v>
      </c>
      <c r="AB56" s="17">
        <v>6248</v>
      </c>
      <c r="AC56" s="17">
        <v>74365</v>
      </c>
      <c r="AE56" s="51">
        <f t="shared" si="0"/>
        <v>23.438349471134327</v>
      </c>
      <c r="AF56" s="51">
        <f t="shared" si="1"/>
        <v>2.1498716545891225</v>
      </c>
      <c r="AG56" s="51">
        <f t="shared" si="2"/>
        <v>25.588221125723447</v>
      </c>
      <c r="AH56" s="51" t="str">
        <f t="shared" si="3"/>
        <v/>
      </c>
      <c r="AI56" s="17">
        <v>137268</v>
      </c>
      <c r="AJ56" s="17">
        <v>113100</v>
      </c>
      <c r="AK56" s="17">
        <v>119901</v>
      </c>
      <c r="AL56" s="17">
        <v>233001</v>
      </c>
      <c r="AM56" s="17">
        <v>370269</v>
      </c>
      <c r="AU56" s="15" t="s">
        <v>174</v>
      </c>
      <c r="AV56" s="15" t="s">
        <v>174</v>
      </c>
      <c r="BG56" s="15"/>
      <c r="BM56" s="17"/>
      <c r="BN56" s="17"/>
      <c r="BO56" s="17"/>
      <c r="BP56" s="17"/>
      <c r="BQ56" s="17"/>
      <c r="BW56" s="17" t="s">
        <v>173</v>
      </c>
    </row>
    <row r="57" spans="1:75" hidden="1" x14ac:dyDescent="0.25">
      <c r="A57" s="15" t="s">
        <v>177</v>
      </c>
      <c r="B57" s="15" t="s">
        <v>30</v>
      </c>
      <c r="C57" s="15">
        <v>2017</v>
      </c>
      <c r="D57" s="15" t="s">
        <v>178</v>
      </c>
      <c r="E57" s="15">
        <v>51360</v>
      </c>
      <c r="F57" s="17">
        <v>24598933</v>
      </c>
      <c r="G57" s="15" t="s">
        <v>109</v>
      </c>
      <c r="H57" s="15" t="s">
        <v>77</v>
      </c>
      <c r="I57" s="15" t="s">
        <v>179</v>
      </c>
      <c r="J57" s="15" t="s">
        <v>180</v>
      </c>
      <c r="K57" s="15" t="s">
        <v>181</v>
      </c>
      <c r="L57" s="15" t="s">
        <v>182</v>
      </c>
      <c r="M57" s="15" t="s">
        <v>183</v>
      </c>
      <c r="N57" s="15" t="s">
        <v>184</v>
      </c>
      <c r="O57" s="15"/>
      <c r="P57" s="15"/>
      <c r="Q57" s="15"/>
      <c r="R57" s="15"/>
      <c r="S57" s="15" t="s">
        <v>185</v>
      </c>
      <c r="T57" s="15"/>
      <c r="U57" s="15"/>
      <c r="V57" s="15"/>
      <c r="W57" s="15"/>
      <c r="X57" s="15" t="s">
        <v>185</v>
      </c>
      <c r="Y57" s="17">
        <v>2063479</v>
      </c>
      <c r="Z57" s="17">
        <v>195619</v>
      </c>
      <c r="AA57" s="17">
        <v>50338</v>
      </c>
      <c r="AB57" s="17">
        <v>245957</v>
      </c>
      <c r="AC57" s="17">
        <v>2309436</v>
      </c>
      <c r="AD57" s="17">
        <v>3855</v>
      </c>
      <c r="AE57" s="51">
        <f t="shared" si="0"/>
        <v>83.884898584828861</v>
      </c>
      <c r="AF57" s="51">
        <f t="shared" si="1"/>
        <v>9.9986857153519626</v>
      </c>
      <c r="AG57" s="51">
        <f t="shared" si="2"/>
        <v>93.883584300180829</v>
      </c>
      <c r="AH57" s="51">
        <f t="shared" si="3"/>
        <v>0.15671411438862001</v>
      </c>
      <c r="AK57" s="17">
        <v>2616000</v>
      </c>
      <c r="AM57" s="17">
        <v>7384000</v>
      </c>
      <c r="AN57" s="17">
        <v>3498000</v>
      </c>
      <c r="AQ57" s="17">
        <v>250519000000</v>
      </c>
      <c r="AS57" s="17">
        <v>643738000000</v>
      </c>
      <c r="AT57" s="17">
        <v>490991000000</v>
      </c>
      <c r="BG57" s="15"/>
      <c r="BM57" s="17"/>
      <c r="BN57" s="17"/>
      <c r="BO57" s="17"/>
      <c r="BP57" s="17"/>
      <c r="BQ57" s="17"/>
      <c r="BW57" s="17"/>
    </row>
    <row r="58" spans="1:75" hidden="1" x14ac:dyDescent="0.25">
      <c r="A58" s="15" t="s">
        <v>177</v>
      </c>
      <c r="B58" s="15" t="s">
        <v>30</v>
      </c>
      <c r="C58" s="15">
        <v>2016</v>
      </c>
      <c r="D58" s="15" t="s">
        <v>178</v>
      </c>
      <c r="E58" s="15">
        <v>54130</v>
      </c>
      <c r="F58" s="17">
        <v>24598933</v>
      </c>
      <c r="G58" s="15" t="s">
        <v>109</v>
      </c>
      <c r="H58" s="15" t="s">
        <v>77</v>
      </c>
      <c r="I58" s="15" t="s">
        <v>179</v>
      </c>
      <c r="J58" s="15" t="s">
        <v>180</v>
      </c>
      <c r="K58" s="15" t="s">
        <v>181</v>
      </c>
      <c r="L58" s="15" t="s">
        <v>182</v>
      </c>
      <c r="M58" s="15" t="s">
        <v>183</v>
      </c>
      <c r="N58" s="15" t="s">
        <v>184</v>
      </c>
      <c r="O58" s="15"/>
      <c r="P58" s="15"/>
      <c r="Q58" s="15"/>
      <c r="R58" s="15"/>
      <c r="S58" s="15" t="s">
        <v>185</v>
      </c>
      <c r="T58" s="15"/>
      <c r="U58" s="15"/>
      <c r="V58" s="15"/>
      <c r="W58" s="15"/>
      <c r="X58" s="15" t="s">
        <v>185</v>
      </c>
      <c r="Y58" s="17">
        <v>1978784</v>
      </c>
      <c r="Z58" s="17">
        <v>203351</v>
      </c>
      <c r="AA58" s="17">
        <v>52249</v>
      </c>
      <c r="AB58" s="17">
        <v>255600</v>
      </c>
      <c r="AC58" s="17">
        <v>2234384</v>
      </c>
      <c r="AD58" s="17">
        <v>3915</v>
      </c>
      <c r="AE58" s="51">
        <f t="shared" si="0"/>
        <v>80.44186306780054</v>
      </c>
      <c r="AF58" s="51">
        <f t="shared" si="1"/>
        <v>10.390694588257142</v>
      </c>
      <c r="AG58" s="51">
        <f t="shared" si="2"/>
        <v>90.832557656057688</v>
      </c>
      <c r="AH58" s="51">
        <f t="shared" si="3"/>
        <v>0.1591532445736569</v>
      </c>
      <c r="AK58" s="17">
        <v>2493000</v>
      </c>
      <c r="AM58" s="17">
        <v>7195000</v>
      </c>
      <c r="AN58" s="17">
        <v>3509000</v>
      </c>
      <c r="AQ58" s="17">
        <v>235405000000</v>
      </c>
      <c r="AS58" s="17">
        <v>609174000000</v>
      </c>
      <c r="AT58" s="17">
        <v>472268000000</v>
      </c>
      <c r="BG58" s="15"/>
      <c r="BM58" s="17"/>
      <c r="BN58" s="17"/>
      <c r="BO58" s="17"/>
      <c r="BP58" s="17"/>
      <c r="BQ58" s="17"/>
      <c r="BW58" s="17"/>
    </row>
    <row r="59" spans="1:75" hidden="1" x14ac:dyDescent="0.25">
      <c r="A59" s="15" t="s">
        <v>177</v>
      </c>
      <c r="B59" s="15" t="s">
        <v>30</v>
      </c>
      <c r="C59" s="15">
        <v>2015</v>
      </c>
      <c r="D59" s="15" t="s">
        <v>178</v>
      </c>
      <c r="E59" s="15">
        <v>60360</v>
      </c>
      <c r="F59" s="17">
        <v>23850784</v>
      </c>
      <c r="G59" s="15" t="s">
        <v>109</v>
      </c>
      <c r="H59" s="15" t="s">
        <v>77</v>
      </c>
      <c r="I59" s="15" t="s">
        <v>179</v>
      </c>
      <c r="J59" s="15" t="s">
        <v>180</v>
      </c>
      <c r="K59" s="15" t="s">
        <v>181</v>
      </c>
      <c r="L59" s="15" t="s">
        <v>182</v>
      </c>
      <c r="M59" s="15" t="s">
        <v>183</v>
      </c>
      <c r="N59" s="15" t="s">
        <v>184</v>
      </c>
      <c r="O59" s="15"/>
      <c r="P59" s="15"/>
      <c r="Q59" s="15"/>
      <c r="R59" s="15"/>
      <c r="S59" s="15" t="s">
        <v>185</v>
      </c>
      <c r="T59" s="15"/>
      <c r="U59" s="15"/>
      <c r="V59" s="15"/>
      <c r="W59" s="15"/>
      <c r="X59" s="15" t="s">
        <v>185</v>
      </c>
      <c r="Y59" s="17">
        <v>1917987</v>
      </c>
      <c r="Z59" s="17">
        <v>198721</v>
      </c>
      <c r="AA59" s="17">
        <v>51024</v>
      </c>
      <c r="AB59" s="17">
        <v>249745</v>
      </c>
      <c r="AC59" s="17">
        <v>2167732</v>
      </c>
      <c r="AD59" s="17">
        <v>3812</v>
      </c>
      <c r="AE59" s="51">
        <f t="shared" si="0"/>
        <v>80.416098690927726</v>
      </c>
      <c r="AF59" s="51">
        <f t="shared" si="1"/>
        <v>10.471144260918216</v>
      </c>
      <c r="AG59" s="51">
        <f t="shared" si="2"/>
        <v>90.887242951845948</v>
      </c>
      <c r="AH59" s="51">
        <f t="shared" si="3"/>
        <v>0.15982703126236855</v>
      </c>
      <c r="AK59" s="17">
        <v>2495000</v>
      </c>
      <c r="AM59" s="17">
        <v>7220000</v>
      </c>
      <c r="AN59" s="17">
        <v>3422000</v>
      </c>
      <c r="AQ59" s="17">
        <v>231851000000</v>
      </c>
      <c r="AS59" s="17">
        <v>604355000000</v>
      </c>
      <c r="AT59" s="17">
        <v>463700000000</v>
      </c>
      <c r="AY59" s="17">
        <v>261000000000</v>
      </c>
      <c r="BG59" s="15"/>
      <c r="BM59" s="17"/>
      <c r="BN59" s="17"/>
      <c r="BO59" s="17"/>
      <c r="BP59" s="17"/>
      <c r="BQ59" s="17"/>
      <c r="BW59" s="17"/>
    </row>
    <row r="60" spans="1:75" hidden="1" x14ac:dyDescent="0.25">
      <c r="A60" s="15" t="s">
        <v>177</v>
      </c>
      <c r="B60" s="15" t="s">
        <v>30</v>
      </c>
      <c r="C60" s="15">
        <v>2014</v>
      </c>
      <c r="D60" s="15" t="s">
        <v>178</v>
      </c>
      <c r="E60" s="15">
        <v>64980</v>
      </c>
      <c r="F60" s="17">
        <v>23504138</v>
      </c>
      <c r="G60" s="15" t="s">
        <v>109</v>
      </c>
      <c r="H60" s="15" t="s">
        <v>77</v>
      </c>
      <c r="I60" s="15" t="s">
        <v>179</v>
      </c>
      <c r="J60" s="15" t="s">
        <v>180</v>
      </c>
      <c r="K60" s="15" t="s">
        <v>181</v>
      </c>
      <c r="L60" s="15" t="s">
        <v>182</v>
      </c>
      <c r="M60" s="15" t="s">
        <v>183</v>
      </c>
      <c r="N60" s="15" t="s">
        <v>184</v>
      </c>
      <c r="O60" s="15"/>
      <c r="P60" s="15"/>
      <c r="Q60" s="15"/>
      <c r="R60" s="15"/>
      <c r="S60" s="15" t="s">
        <v>185</v>
      </c>
      <c r="T60" s="15"/>
      <c r="U60" s="15"/>
      <c r="V60" s="15"/>
      <c r="W60" s="15"/>
      <c r="X60" s="15" t="s">
        <v>185</v>
      </c>
      <c r="Y60" s="17">
        <v>1869359</v>
      </c>
      <c r="Z60" s="17">
        <v>197164</v>
      </c>
      <c r="AA60" s="17">
        <v>50995</v>
      </c>
      <c r="AB60" s="17">
        <v>248159</v>
      </c>
      <c r="AC60" s="17">
        <v>2117518</v>
      </c>
      <c r="AD60" s="17">
        <v>3717</v>
      </c>
      <c r="AE60" s="51">
        <f t="shared" si="0"/>
        <v>79.533186879689012</v>
      </c>
      <c r="AF60" s="51">
        <f t="shared" si="1"/>
        <v>10.558098322942115</v>
      </c>
      <c r="AG60" s="51">
        <f t="shared" si="2"/>
        <v>90.091285202631127</v>
      </c>
      <c r="AH60" s="51">
        <f t="shared" si="3"/>
        <v>0.15814236625057257</v>
      </c>
      <c r="BG60" s="15"/>
      <c r="BM60" s="17"/>
      <c r="BN60" s="17"/>
      <c r="BO60" s="17"/>
      <c r="BP60" s="17"/>
      <c r="BQ60" s="17"/>
      <c r="BW60" s="17"/>
    </row>
    <row r="61" spans="1:75" hidden="1" x14ac:dyDescent="0.25">
      <c r="A61" s="15" t="s">
        <v>186</v>
      </c>
      <c r="B61" s="15" t="s">
        <v>30</v>
      </c>
      <c r="C61" s="15">
        <v>2016</v>
      </c>
      <c r="D61" s="15" t="s">
        <v>187</v>
      </c>
      <c r="E61" s="15">
        <v>45850</v>
      </c>
      <c r="F61" s="17">
        <v>8809212</v>
      </c>
      <c r="G61" s="15" t="s">
        <v>109</v>
      </c>
      <c r="H61" s="15" t="s">
        <v>43</v>
      </c>
      <c r="I61" s="15" t="s">
        <v>188</v>
      </c>
      <c r="J61" s="15" t="s">
        <v>189</v>
      </c>
      <c r="K61" s="15" t="s">
        <v>190</v>
      </c>
      <c r="L61" s="15" t="s">
        <v>48</v>
      </c>
      <c r="M61" s="15" t="s">
        <v>62</v>
      </c>
      <c r="N61" s="15" t="s">
        <v>63</v>
      </c>
      <c r="O61" s="15"/>
      <c r="P61" s="15"/>
      <c r="Q61" s="15"/>
      <c r="R61" s="15"/>
      <c r="S61" s="15" t="s">
        <v>55</v>
      </c>
      <c r="T61" s="15"/>
      <c r="U61" s="15"/>
      <c r="V61" s="15"/>
      <c r="W61" s="15"/>
      <c r="X61" s="15" t="s">
        <v>55</v>
      </c>
      <c r="Y61" s="17">
        <v>281806</v>
      </c>
      <c r="AA61" s="17">
        <v>535523</v>
      </c>
      <c r="AD61" s="17">
        <v>1090</v>
      </c>
      <c r="AE61" s="51">
        <f t="shared" si="0"/>
        <v>31.989921459490361</v>
      </c>
      <c r="AF61" s="51" t="str">
        <f t="shared" si="1"/>
        <v/>
      </c>
      <c r="AG61" s="51" t="str">
        <f t="shared" si="2"/>
        <v/>
      </c>
      <c r="AH61" s="51">
        <f t="shared" si="3"/>
        <v>0.12373410924836409</v>
      </c>
      <c r="AI61" s="17">
        <v>700318</v>
      </c>
      <c r="AK61" s="17">
        <v>535523</v>
      </c>
      <c r="AN61" s="17">
        <v>865209</v>
      </c>
      <c r="AO61" s="17">
        <v>35558900000</v>
      </c>
      <c r="AQ61" s="17">
        <v>42133400000</v>
      </c>
      <c r="AT61" s="17">
        <v>69173800000</v>
      </c>
      <c r="AU61" s="15" t="s">
        <v>191</v>
      </c>
      <c r="AV61" s="15" t="s">
        <v>189</v>
      </c>
      <c r="BG61" s="15"/>
      <c r="BM61" s="17"/>
      <c r="BN61" s="17"/>
      <c r="BO61" s="17"/>
      <c r="BP61" s="17"/>
      <c r="BQ61" s="17"/>
      <c r="BW61" s="17"/>
    </row>
    <row r="62" spans="1:75" hidden="1" x14ac:dyDescent="0.25">
      <c r="A62" s="15" t="s">
        <v>186</v>
      </c>
      <c r="B62" s="15" t="s">
        <v>30</v>
      </c>
      <c r="C62" s="15">
        <v>2015</v>
      </c>
      <c r="D62" s="15" t="s">
        <v>187</v>
      </c>
      <c r="E62" s="15">
        <v>47630</v>
      </c>
      <c r="F62" s="17">
        <v>8642699</v>
      </c>
      <c r="G62" s="15" t="s">
        <v>109</v>
      </c>
      <c r="H62" s="15" t="s">
        <v>43</v>
      </c>
      <c r="I62" s="15" t="s">
        <v>188</v>
      </c>
      <c r="J62" s="15" t="s">
        <v>189</v>
      </c>
      <c r="K62" s="15" t="s">
        <v>190</v>
      </c>
      <c r="L62" s="15" t="s">
        <v>48</v>
      </c>
      <c r="M62" s="15" t="s">
        <v>62</v>
      </c>
      <c r="N62" s="15" t="s">
        <v>63</v>
      </c>
      <c r="O62" s="15"/>
      <c r="P62" s="15"/>
      <c r="Q62" s="15"/>
      <c r="R62" s="15"/>
      <c r="S62" s="15" t="s">
        <v>55</v>
      </c>
      <c r="T62" s="15"/>
      <c r="U62" s="15"/>
      <c r="V62" s="15"/>
      <c r="W62" s="15"/>
      <c r="X62" s="15" t="s">
        <v>55</v>
      </c>
      <c r="Y62" s="17">
        <v>280850</v>
      </c>
      <c r="Z62" s="17">
        <v>35165</v>
      </c>
      <c r="AD62" s="17">
        <v>1082</v>
      </c>
      <c r="AE62" s="51">
        <f t="shared" si="0"/>
        <v>32.495635911883539</v>
      </c>
      <c r="AF62" s="51" t="str">
        <f t="shared" si="1"/>
        <v/>
      </c>
      <c r="AG62" s="51" t="str">
        <f t="shared" si="2"/>
        <v/>
      </c>
      <c r="AH62" s="51">
        <f t="shared" si="3"/>
        <v>0.12519237335466618</v>
      </c>
      <c r="AI62" s="17">
        <v>695741</v>
      </c>
      <c r="AK62" s="17" t="s">
        <v>192</v>
      </c>
      <c r="AN62" s="17" t="s">
        <v>192</v>
      </c>
      <c r="AO62" s="17">
        <v>33553199999.999996</v>
      </c>
      <c r="BG62" s="15"/>
      <c r="BM62" s="17"/>
      <c r="BN62" s="17"/>
      <c r="BO62" s="17"/>
      <c r="BP62" s="17"/>
      <c r="BQ62" s="17"/>
      <c r="BW62" s="17"/>
    </row>
    <row r="63" spans="1:75" hidden="1" x14ac:dyDescent="0.25">
      <c r="A63" s="15" t="s">
        <v>186</v>
      </c>
      <c r="B63" s="15" t="s">
        <v>30</v>
      </c>
      <c r="C63" s="15">
        <v>2014</v>
      </c>
      <c r="D63" s="15" t="s">
        <v>187</v>
      </c>
      <c r="E63" s="15">
        <v>50420</v>
      </c>
      <c r="F63" s="17">
        <v>8546356</v>
      </c>
      <c r="G63" s="15" t="s">
        <v>109</v>
      </c>
      <c r="H63" s="15" t="s">
        <v>43</v>
      </c>
      <c r="I63" s="15" t="s">
        <v>188</v>
      </c>
      <c r="J63" s="15" t="s">
        <v>189</v>
      </c>
      <c r="K63" s="15" t="s">
        <v>190</v>
      </c>
      <c r="L63" s="15" t="s">
        <v>48</v>
      </c>
      <c r="M63" s="15" t="s">
        <v>62</v>
      </c>
      <c r="N63" s="15" t="s">
        <v>63</v>
      </c>
      <c r="O63" s="15"/>
      <c r="P63" s="15"/>
      <c r="Q63" s="15"/>
      <c r="R63" s="15"/>
      <c r="S63" s="15" t="s">
        <v>55</v>
      </c>
      <c r="T63" s="15"/>
      <c r="U63" s="15"/>
      <c r="V63" s="15"/>
      <c r="W63" s="15"/>
      <c r="X63" s="15" t="s">
        <v>55</v>
      </c>
      <c r="Y63" s="17">
        <v>280716</v>
      </c>
      <c r="Z63" s="17">
        <v>34661</v>
      </c>
      <c r="AA63" s="17">
        <v>521510</v>
      </c>
      <c r="AB63" s="17">
        <f>+Z63+AA63</f>
        <v>556171</v>
      </c>
      <c r="AC63" s="17">
        <f>+AB63+Y63</f>
        <v>836887</v>
      </c>
      <c r="AD63" s="17">
        <v>1060</v>
      </c>
      <c r="AE63" s="51">
        <f t="shared" si="0"/>
        <v>32.846279747766182</v>
      </c>
      <c r="AF63" s="51">
        <f t="shared" si="1"/>
        <v>65.076975496925229</v>
      </c>
      <c r="AG63" s="51">
        <f t="shared" si="2"/>
        <v>97.923255244691418</v>
      </c>
      <c r="AH63" s="51">
        <f t="shared" si="3"/>
        <v>0.1240294694019299</v>
      </c>
      <c r="AI63" s="17">
        <v>695252</v>
      </c>
      <c r="AJ63" s="17">
        <v>657830</v>
      </c>
      <c r="AK63" s="17">
        <v>521510</v>
      </c>
      <c r="AL63" s="17">
        <f>+AJ63+AK63</f>
        <v>1179340</v>
      </c>
      <c r="AM63" s="17">
        <f>+AI63+AL63</f>
        <v>1874592</v>
      </c>
      <c r="AN63" s="17">
        <v>845892</v>
      </c>
      <c r="AO63" s="17">
        <v>32097600000</v>
      </c>
      <c r="AP63" s="17">
        <v>35360100000.000008</v>
      </c>
      <c r="AQ63" s="17">
        <v>38614500000</v>
      </c>
      <c r="AR63" s="17">
        <f>+AP63+AQ63</f>
        <v>73974600000</v>
      </c>
      <c r="AS63" s="17">
        <f>+AR63+AO63</f>
        <v>106072200000</v>
      </c>
      <c r="AT63" s="17">
        <v>63553400000</v>
      </c>
      <c r="BG63" s="15"/>
      <c r="BM63" s="17"/>
      <c r="BN63" s="17"/>
      <c r="BO63" s="17"/>
      <c r="BP63" s="17"/>
      <c r="BQ63" s="17"/>
      <c r="BW63" s="17"/>
    </row>
    <row r="64" spans="1:75" hidden="1" x14ac:dyDescent="0.25">
      <c r="A64" s="15" t="s">
        <v>186</v>
      </c>
      <c r="B64" s="15" t="s">
        <v>30</v>
      </c>
      <c r="C64" s="15">
        <v>2013</v>
      </c>
      <c r="D64" s="15" t="s">
        <v>187</v>
      </c>
      <c r="E64" s="15">
        <v>50700</v>
      </c>
      <c r="F64" s="17">
        <v>8479823</v>
      </c>
      <c r="G64" s="15" t="s">
        <v>109</v>
      </c>
      <c r="H64" s="15" t="s">
        <v>43</v>
      </c>
      <c r="I64" s="15" t="s">
        <v>188</v>
      </c>
      <c r="J64" s="15" t="s">
        <v>189</v>
      </c>
      <c r="K64" s="15" t="s">
        <v>190</v>
      </c>
      <c r="L64" s="15" t="s">
        <v>48</v>
      </c>
      <c r="M64" s="15" t="s">
        <v>62</v>
      </c>
      <c r="N64" s="15" t="s">
        <v>63</v>
      </c>
      <c r="O64" s="15"/>
      <c r="P64" s="15"/>
      <c r="Q64" s="15"/>
      <c r="R64" s="15"/>
      <c r="S64" s="15" t="s">
        <v>55</v>
      </c>
      <c r="T64" s="15"/>
      <c r="U64" s="15"/>
      <c r="V64" s="15"/>
      <c r="W64" s="15"/>
      <c r="X64" s="15" t="s">
        <v>55</v>
      </c>
      <c r="Y64" s="17">
        <v>277970</v>
      </c>
      <c r="Z64" s="17">
        <v>34098</v>
      </c>
      <c r="AA64" s="17">
        <v>514154</v>
      </c>
      <c r="AB64" s="17">
        <f>+Z64+AA64</f>
        <v>548252</v>
      </c>
      <c r="AC64" s="17">
        <f>+AB64+Y64</f>
        <v>826222</v>
      </c>
      <c r="AD64" s="17">
        <v>1065</v>
      </c>
      <c r="AE64" s="51">
        <f t="shared" si="0"/>
        <v>32.78016534071525</v>
      </c>
      <c r="AF64" s="51">
        <f t="shared" si="1"/>
        <v>64.653707984235041</v>
      </c>
      <c r="AG64" s="51">
        <f t="shared" si="2"/>
        <v>97.433873324950298</v>
      </c>
      <c r="AH64" s="51">
        <f t="shared" si="3"/>
        <v>0.12559224408339656</v>
      </c>
      <c r="AI64" s="17">
        <v>685443</v>
      </c>
      <c r="AJ64" s="17">
        <v>648570</v>
      </c>
      <c r="AK64" s="17">
        <v>514154</v>
      </c>
      <c r="AL64" s="17">
        <f>+AJ64+AK64</f>
        <v>1162724</v>
      </c>
      <c r="AM64" s="17">
        <f>+AI64+AL64</f>
        <v>1848167</v>
      </c>
      <c r="AN64" s="17">
        <v>859044</v>
      </c>
      <c r="AO64" s="17">
        <v>31436900000</v>
      </c>
      <c r="AP64" s="17">
        <v>35537900000</v>
      </c>
      <c r="AQ64" s="17">
        <v>36859300000</v>
      </c>
      <c r="AR64" s="17">
        <f>+AP64+AQ64</f>
        <v>72397200000</v>
      </c>
      <c r="AS64" s="17">
        <f>+AR64+AO64</f>
        <v>103834100000</v>
      </c>
      <c r="AT64" s="17">
        <v>64398400000</v>
      </c>
      <c r="BG64" s="15"/>
      <c r="BM64" s="17"/>
      <c r="BN64" s="17"/>
      <c r="BO64" s="17"/>
      <c r="BP64" s="17"/>
      <c r="BQ64" s="17"/>
      <c r="BW64" s="17"/>
    </row>
    <row r="65" spans="1:75" hidden="1" x14ac:dyDescent="0.25">
      <c r="A65" s="15" t="s">
        <v>186</v>
      </c>
      <c r="B65" s="15" t="s">
        <v>30</v>
      </c>
      <c r="C65" s="15">
        <v>2012</v>
      </c>
      <c r="D65" s="15" t="s">
        <v>187</v>
      </c>
      <c r="E65" s="15">
        <v>50060</v>
      </c>
      <c r="F65" s="17">
        <v>8429991</v>
      </c>
      <c r="G65" s="15" t="s">
        <v>109</v>
      </c>
      <c r="H65" s="15" t="s">
        <v>43</v>
      </c>
      <c r="I65" s="15" t="s">
        <v>188</v>
      </c>
      <c r="J65" s="15" t="s">
        <v>189</v>
      </c>
      <c r="K65" s="15" t="s">
        <v>190</v>
      </c>
      <c r="L65" s="15" t="s">
        <v>48</v>
      </c>
      <c r="M65" s="15" t="s">
        <v>62</v>
      </c>
      <c r="N65" s="15" t="s">
        <v>63</v>
      </c>
      <c r="O65" s="15"/>
      <c r="P65" s="15"/>
      <c r="Q65" s="15"/>
      <c r="R65" s="15"/>
      <c r="S65" s="15" t="s">
        <v>55</v>
      </c>
      <c r="T65" s="15"/>
      <c r="U65" s="15"/>
      <c r="V65" s="15"/>
      <c r="W65" s="15"/>
      <c r="X65" s="15" t="s">
        <v>55</v>
      </c>
      <c r="Y65" s="17">
        <v>268640</v>
      </c>
      <c r="Z65" s="17">
        <v>33568</v>
      </c>
      <c r="AA65" s="17">
        <v>512266</v>
      </c>
      <c r="AB65" s="17">
        <f>+Z65+AA65</f>
        <v>545834</v>
      </c>
      <c r="AC65" s="17">
        <f>+AB65+Y65</f>
        <v>814474</v>
      </c>
      <c r="AD65" s="17">
        <v>1057</v>
      </c>
      <c r="AE65" s="51">
        <f t="shared" si="0"/>
        <v>31.867175184410041</v>
      </c>
      <c r="AF65" s="51">
        <f t="shared" si="1"/>
        <v>64.749060823433865</v>
      </c>
      <c r="AG65" s="51">
        <f t="shared" si="2"/>
        <v>96.616236007843895</v>
      </c>
      <c r="AH65" s="51">
        <f t="shared" si="3"/>
        <v>0.12538566174032689</v>
      </c>
      <c r="AI65" s="17">
        <v>666610</v>
      </c>
      <c r="AJ65" s="17">
        <v>638912</v>
      </c>
      <c r="AK65" s="17">
        <v>512266</v>
      </c>
      <c r="AL65" s="17">
        <f>+AJ65+AK65</f>
        <v>1151178</v>
      </c>
      <c r="AM65" s="17">
        <f>+AI65+AL65</f>
        <v>1817788</v>
      </c>
      <c r="AN65" s="17">
        <v>853689</v>
      </c>
      <c r="AO65" s="17">
        <v>30590200000</v>
      </c>
      <c r="AP65" s="17">
        <v>33078199999.999996</v>
      </c>
      <c r="AQ65" s="17">
        <v>36093300000</v>
      </c>
      <c r="AR65" s="17">
        <f>+AP65+AQ65</f>
        <v>69171500000</v>
      </c>
      <c r="AS65" s="17">
        <f>+AR65+AO65</f>
        <v>99761700000</v>
      </c>
      <c r="AT65" s="17">
        <v>65214500000</v>
      </c>
      <c r="BG65" s="15"/>
      <c r="BM65" s="17"/>
      <c r="BN65" s="17"/>
      <c r="BO65" s="17"/>
      <c r="BP65" s="17"/>
      <c r="BQ65" s="17"/>
      <c r="BW65" s="17"/>
    </row>
    <row r="66" spans="1:75" hidden="1" x14ac:dyDescent="0.25">
      <c r="A66" s="15" t="s">
        <v>186</v>
      </c>
      <c r="B66" s="15" t="s">
        <v>30</v>
      </c>
      <c r="C66" s="15">
        <v>2011</v>
      </c>
      <c r="D66" s="15" t="s">
        <v>187</v>
      </c>
      <c r="E66" s="15">
        <v>45850</v>
      </c>
      <c r="F66" s="17">
        <v>8809212</v>
      </c>
      <c r="G66" s="15" t="s">
        <v>109</v>
      </c>
      <c r="H66" s="15" t="s">
        <v>43</v>
      </c>
      <c r="I66" s="15" t="s">
        <v>188</v>
      </c>
      <c r="J66" s="15" t="s">
        <v>193</v>
      </c>
      <c r="K66" s="15" t="s">
        <v>190</v>
      </c>
      <c r="L66" s="15" t="s">
        <v>48</v>
      </c>
      <c r="M66" s="15" t="s">
        <v>62</v>
      </c>
      <c r="N66" s="15" t="s">
        <v>63</v>
      </c>
      <c r="O66" s="15"/>
      <c r="P66" s="15"/>
      <c r="Q66" s="15"/>
      <c r="R66" s="15"/>
      <c r="S66" s="15" t="s">
        <v>55</v>
      </c>
      <c r="T66" s="15"/>
      <c r="U66" s="15"/>
      <c r="V66" s="15"/>
      <c r="W66" s="15"/>
      <c r="X66" s="15" t="s">
        <v>55</v>
      </c>
      <c r="Y66" s="17">
        <v>265584</v>
      </c>
      <c r="Z66" s="17">
        <v>32621</v>
      </c>
      <c r="AA66" s="17">
        <v>500847</v>
      </c>
      <c r="AB66" s="17">
        <f>+Z66+AA66</f>
        <v>533468</v>
      </c>
      <c r="AC66" s="17">
        <f>+AB66+Y66</f>
        <v>799052</v>
      </c>
      <c r="AD66" s="17">
        <v>1025</v>
      </c>
      <c r="AE66" s="51">
        <f t="shared" si="0"/>
        <v>30.148440064786726</v>
      </c>
      <c r="AF66" s="51">
        <f t="shared" si="1"/>
        <v>60.557970451840646</v>
      </c>
      <c r="AG66" s="51">
        <f t="shared" si="2"/>
        <v>90.706410516627372</v>
      </c>
      <c r="AH66" s="51">
        <f t="shared" si="3"/>
        <v>0.11635546970603046</v>
      </c>
      <c r="AI66" s="17">
        <v>656493</v>
      </c>
      <c r="AJ66" s="17">
        <v>620303</v>
      </c>
      <c r="AK66" s="17">
        <v>500847</v>
      </c>
      <c r="AL66" s="17">
        <f>+AJ66+AK66</f>
        <v>1121150</v>
      </c>
      <c r="AM66" s="17">
        <f>+AI66+AL66</f>
        <v>1777643</v>
      </c>
      <c r="AN66" s="17">
        <v>837346</v>
      </c>
      <c r="AO66" s="17">
        <v>30002000000</v>
      </c>
      <c r="AP66" s="17">
        <v>32533400000</v>
      </c>
      <c r="AQ66" s="17">
        <v>36107000000</v>
      </c>
      <c r="AR66" s="17">
        <f>+AP66+AQ66</f>
        <v>68640400000</v>
      </c>
      <c r="AS66" s="17">
        <f>+AR66+AO66</f>
        <v>98642400000</v>
      </c>
      <c r="AT66" s="17">
        <v>62707400000</v>
      </c>
      <c r="BG66" s="15"/>
      <c r="BM66" s="17"/>
      <c r="BN66" s="17"/>
      <c r="BO66" s="17"/>
      <c r="BP66" s="17"/>
      <c r="BQ66" s="17"/>
      <c r="BW66" s="17"/>
    </row>
    <row r="67" spans="1:75" hidden="1" x14ac:dyDescent="0.25">
      <c r="A67" s="15" t="s">
        <v>186</v>
      </c>
      <c r="B67" s="15" t="s">
        <v>52</v>
      </c>
      <c r="C67" s="15">
        <v>2016</v>
      </c>
      <c r="D67" s="15" t="s">
        <v>187</v>
      </c>
      <c r="E67" s="15">
        <v>45850</v>
      </c>
      <c r="F67" s="17">
        <v>8809212</v>
      </c>
      <c r="G67" s="15" t="s">
        <v>109</v>
      </c>
      <c r="H67" s="15" t="s">
        <v>43</v>
      </c>
      <c r="I67" s="15" t="s">
        <v>194</v>
      </c>
      <c r="J67" s="15" t="s">
        <v>195</v>
      </c>
      <c r="K67" s="15" t="s">
        <v>190</v>
      </c>
      <c r="L67" s="15" t="s">
        <v>48</v>
      </c>
      <c r="M67" s="15" t="s">
        <v>62</v>
      </c>
      <c r="N67" s="15" t="s">
        <v>63</v>
      </c>
      <c r="O67" s="15"/>
      <c r="P67" s="15"/>
      <c r="Q67" s="15"/>
      <c r="R67" s="15"/>
      <c r="S67" s="15" t="s">
        <v>55</v>
      </c>
      <c r="T67" s="15"/>
      <c r="U67" s="15"/>
      <c r="V67" s="15"/>
      <c r="W67" s="15"/>
      <c r="X67" s="15" t="s">
        <v>55</v>
      </c>
      <c r="AE67" s="51" t="str">
        <f t="shared" ref="AE67:AE130" si="4">IF(ISERROR((Y67/$F67)*1000),"",IF((Y67/$F67)*1000=0,"",(Y67/$F67)*1000))</f>
        <v/>
      </c>
      <c r="AF67" s="51" t="str">
        <f t="shared" ref="AF67:AF130" si="5">IF(ISERROR((AB67/$F67)*1000),"",IF((AB67/$F67)*1000=0,"",(AB67/$F67)*1000))</f>
        <v/>
      </c>
      <c r="AG67" s="51" t="str">
        <f t="shared" ref="AG67:AG130" si="6">IF(ISERROR((AC67/$F67)*1000),"",IF((AC67/$F67)*1000=0,"",(AC67/$F67)*1000))</f>
        <v/>
      </c>
      <c r="AH67" s="51" t="str">
        <f t="shared" ref="AH67:AH130" si="7">IF(ISERROR((AD67/$F67)*1000),"",IF((AD67/$F67)*1000=0,"",(AD67/$F67)*1000))</f>
        <v/>
      </c>
      <c r="BE67" s="16">
        <v>7499000000</v>
      </c>
      <c r="BF67" s="42">
        <v>0.13500000000000001</v>
      </c>
      <c r="BK67" s="21">
        <v>3.1E-2</v>
      </c>
      <c r="BM67" s="17"/>
      <c r="BN67" s="17"/>
      <c r="BO67" s="17"/>
      <c r="BP67" s="17"/>
      <c r="BQ67" s="17"/>
      <c r="BW67" s="17"/>
    </row>
    <row r="68" spans="1:75" hidden="1" x14ac:dyDescent="0.25">
      <c r="A68" s="15" t="s">
        <v>186</v>
      </c>
      <c r="B68" s="15" t="s">
        <v>52</v>
      </c>
      <c r="C68" s="15">
        <v>2015</v>
      </c>
      <c r="D68" s="15" t="s">
        <v>187</v>
      </c>
      <c r="E68" s="15">
        <v>47630</v>
      </c>
      <c r="F68" s="17">
        <v>8642699</v>
      </c>
      <c r="G68" s="15" t="s">
        <v>109</v>
      </c>
      <c r="H68" s="15" t="s">
        <v>43</v>
      </c>
      <c r="I68" s="15" t="s">
        <v>194</v>
      </c>
      <c r="J68" s="15" t="s">
        <v>195</v>
      </c>
      <c r="K68" s="15" t="s">
        <v>190</v>
      </c>
      <c r="L68" s="15" t="s">
        <v>48</v>
      </c>
      <c r="M68" s="15" t="s">
        <v>62</v>
      </c>
      <c r="N68" s="15" t="s">
        <v>63</v>
      </c>
      <c r="O68" s="15"/>
      <c r="P68" s="15"/>
      <c r="Q68" s="15"/>
      <c r="R68" s="15"/>
      <c r="S68" s="15" t="s">
        <v>55</v>
      </c>
      <c r="T68" s="15"/>
      <c r="U68" s="15"/>
      <c r="V68" s="15"/>
      <c r="W68" s="15"/>
      <c r="X68" s="15" t="s">
        <v>55</v>
      </c>
      <c r="Y68" s="17">
        <v>286302</v>
      </c>
      <c r="Z68" s="17">
        <v>35734</v>
      </c>
      <c r="AA68" s="17">
        <v>5454</v>
      </c>
      <c r="AB68" s="17">
        <v>41188</v>
      </c>
      <c r="AC68" s="17">
        <v>327490</v>
      </c>
      <c r="AD68" s="17">
        <v>1148</v>
      </c>
      <c r="AE68" s="51">
        <f t="shared" si="4"/>
        <v>33.126457371707616</v>
      </c>
      <c r="AF68" s="51">
        <f t="shared" si="5"/>
        <v>4.7656409184214334</v>
      </c>
      <c r="AG68" s="51">
        <f t="shared" si="6"/>
        <v>37.892098290129042</v>
      </c>
      <c r="AH68" s="51">
        <f t="shared" si="7"/>
        <v>0.13282887672010793</v>
      </c>
      <c r="AI68" s="17">
        <v>708774</v>
      </c>
      <c r="AJ68" s="17">
        <v>678954</v>
      </c>
      <c r="AK68" s="17">
        <v>545414</v>
      </c>
      <c r="AL68" s="17">
        <v>1224368</v>
      </c>
      <c r="AM68" s="17">
        <v>1933142</v>
      </c>
      <c r="AN68" s="17">
        <v>928829</v>
      </c>
      <c r="BE68" s="16">
        <v>8116000000</v>
      </c>
      <c r="BF68" s="42">
        <v>0.13150000000000001</v>
      </c>
      <c r="BK68" s="21">
        <v>4.2000000000000003E-2</v>
      </c>
      <c r="BM68" s="17"/>
      <c r="BN68" s="17"/>
      <c r="BO68" s="17"/>
      <c r="BP68" s="17"/>
      <c r="BQ68" s="17"/>
      <c r="BW68" s="17" t="s">
        <v>196</v>
      </c>
    </row>
    <row r="69" spans="1:75" ht="13.5" hidden="1" customHeight="1" x14ac:dyDescent="0.25">
      <c r="A69" s="15" t="s">
        <v>186</v>
      </c>
      <c r="B69" s="15" t="s">
        <v>52</v>
      </c>
      <c r="C69" s="15">
        <v>2014</v>
      </c>
      <c r="D69" s="15" t="s">
        <v>187</v>
      </c>
      <c r="E69" s="15">
        <v>50420</v>
      </c>
      <c r="F69" s="17">
        <v>8546356</v>
      </c>
      <c r="G69" s="15" t="s">
        <v>109</v>
      </c>
      <c r="H69" s="15" t="s">
        <v>43</v>
      </c>
      <c r="I69" s="15" t="s">
        <v>194</v>
      </c>
      <c r="J69" s="15" t="s">
        <v>195</v>
      </c>
      <c r="K69" s="15" t="s">
        <v>190</v>
      </c>
      <c r="L69" s="15" t="s">
        <v>48</v>
      </c>
      <c r="M69" s="15" t="s">
        <v>62</v>
      </c>
      <c r="N69" s="15" t="s">
        <v>63</v>
      </c>
      <c r="O69" s="15"/>
      <c r="P69" s="15"/>
      <c r="Q69" s="15"/>
      <c r="R69" s="15"/>
      <c r="S69" s="15" t="s">
        <v>55</v>
      </c>
      <c r="T69" s="15"/>
      <c r="U69" s="15"/>
      <c r="V69" s="15"/>
      <c r="W69" s="15"/>
      <c r="X69" s="15" t="s">
        <v>55</v>
      </c>
      <c r="AE69" s="51" t="str">
        <f t="shared" si="4"/>
        <v/>
      </c>
      <c r="AF69" s="51" t="str">
        <f t="shared" si="5"/>
        <v/>
      </c>
      <c r="AG69" s="51" t="str">
        <f t="shared" si="6"/>
        <v/>
      </c>
      <c r="AH69" s="51" t="str">
        <f t="shared" si="7"/>
        <v/>
      </c>
      <c r="BE69" s="16">
        <v>8237000000</v>
      </c>
      <c r="BF69" s="42">
        <v>0.11260000000000001</v>
      </c>
      <c r="BK69" s="21">
        <v>4.1000000000000002E-2</v>
      </c>
      <c r="BM69" s="17"/>
      <c r="BN69" s="17"/>
      <c r="BO69" s="17"/>
      <c r="BP69" s="17"/>
      <c r="BQ69" s="17"/>
      <c r="BW69" s="17"/>
    </row>
    <row r="70" spans="1:75" hidden="1" x14ac:dyDescent="0.25">
      <c r="A70" s="15" t="s">
        <v>186</v>
      </c>
      <c r="B70" s="15" t="s">
        <v>52</v>
      </c>
      <c r="C70" s="15">
        <v>2013</v>
      </c>
      <c r="D70" s="15" t="s">
        <v>187</v>
      </c>
      <c r="E70" s="15">
        <v>50700</v>
      </c>
      <c r="F70" s="17">
        <v>8479823</v>
      </c>
      <c r="G70" s="15" t="s">
        <v>109</v>
      </c>
      <c r="H70" s="15" t="s">
        <v>43</v>
      </c>
      <c r="I70" s="15" t="s">
        <v>194</v>
      </c>
      <c r="J70" s="15" t="s">
        <v>195</v>
      </c>
      <c r="K70" s="15" t="s">
        <v>190</v>
      </c>
      <c r="L70" s="15" t="s">
        <v>48</v>
      </c>
      <c r="M70" s="15" t="s">
        <v>62</v>
      </c>
      <c r="N70" s="15" t="s">
        <v>63</v>
      </c>
      <c r="O70" s="15"/>
      <c r="P70" s="15"/>
      <c r="Q70" s="15"/>
      <c r="R70" s="15"/>
      <c r="S70" s="15" t="s">
        <v>55</v>
      </c>
      <c r="T70" s="15"/>
      <c r="U70" s="15"/>
      <c r="V70" s="15"/>
      <c r="W70" s="15"/>
      <c r="X70" s="15" t="s">
        <v>55</v>
      </c>
      <c r="AE70" s="51" t="str">
        <f t="shared" si="4"/>
        <v/>
      </c>
      <c r="AF70" s="51" t="str">
        <f t="shared" si="5"/>
        <v/>
      </c>
      <c r="AG70" s="51" t="str">
        <f t="shared" si="6"/>
        <v/>
      </c>
      <c r="AH70" s="51" t="str">
        <f t="shared" si="7"/>
        <v/>
      </c>
      <c r="BE70" s="16">
        <v>8884000000</v>
      </c>
      <c r="BF70" s="42">
        <v>0.12089999999999999</v>
      </c>
      <c r="BM70" s="17"/>
      <c r="BN70" s="17"/>
      <c r="BO70" s="17"/>
      <c r="BP70" s="17"/>
      <c r="BQ70" s="17"/>
      <c r="BW70" s="17"/>
    </row>
    <row r="71" spans="1:75" hidden="1" x14ac:dyDescent="0.25">
      <c r="A71" s="15" t="s">
        <v>186</v>
      </c>
      <c r="B71" s="15" t="s">
        <v>52</v>
      </c>
      <c r="C71" s="15">
        <v>2012</v>
      </c>
      <c r="D71" s="15" t="s">
        <v>187</v>
      </c>
      <c r="E71" s="15">
        <v>50060</v>
      </c>
      <c r="F71" s="17">
        <v>8429991</v>
      </c>
      <c r="G71" s="15" t="s">
        <v>109</v>
      </c>
      <c r="H71" s="15" t="s">
        <v>43</v>
      </c>
      <c r="I71" s="15" t="s">
        <v>194</v>
      </c>
      <c r="J71" s="15" t="s">
        <v>195</v>
      </c>
      <c r="K71" s="15" t="s">
        <v>190</v>
      </c>
      <c r="L71" s="15" t="s">
        <v>48</v>
      </c>
      <c r="M71" s="15" t="s">
        <v>62</v>
      </c>
      <c r="N71" s="15" t="s">
        <v>63</v>
      </c>
      <c r="O71" s="15"/>
      <c r="P71" s="15"/>
      <c r="Q71" s="15"/>
      <c r="R71" s="15"/>
      <c r="S71" s="15" t="s">
        <v>55</v>
      </c>
      <c r="T71" s="15"/>
      <c r="U71" s="15"/>
      <c r="V71" s="15"/>
      <c r="W71" s="15"/>
      <c r="X71" s="15" t="s">
        <v>55</v>
      </c>
      <c r="AE71" s="51" t="str">
        <f t="shared" si="4"/>
        <v/>
      </c>
      <c r="AF71" s="51" t="str">
        <f t="shared" si="5"/>
        <v/>
      </c>
      <c r="AG71" s="51" t="str">
        <f t="shared" si="6"/>
        <v/>
      </c>
      <c r="AH71" s="51" t="str">
        <f t="shared" si="7"/>
        <v/>
      </c>
      <c r="BE71" s="16">
        <v>9347000000</v>
      </c>
      <c r="BF71" s="42">
        <v>0.11559999999999999</v>
      </c>
      <c r="BM71" s="17"/>
      <c r="BN71" s="17"/>
      <c r="BO71" s="17"/>
      <c r="BP71" s="17"/>
      <c r="BQ71" s="17"/>
      <c r="BW71" s="17"/>
    </row>
    <row r="72" spans="1:75" hidden="1" x14ac:dyDescent="0.25">
      <c r="A72" s="15" t="s">
        <v>197</v>
      </c>
      <c r="B72" s="15" t="s">
        <v>30</v>
      </c>
      <c r="C72" s="15">
        <v>2016</v>
      </c>
      <c r="D72" s="15" t="s">
        <v>198</v>
      </c>
      <c r="E72" s="15">
        <v>4760</v>
      </c>
      <c r="F72" s="17">
        <v>9862429</v>
      </c>
      <c r="G72" s="15" t="s">
        <v>42</v>
      </c>
      <c r="H72" s="15" t="s">
        <v>43</v>
      </c>
      <c r="I72" s="15" t="s">
        <v>199</v>
      </c>
      <c r="J72" s="15" t="s">
        <v>200</v>
      </c>
      <c r="K72" s="15"/>
      <c r="L72" s="15" t="s">
        <v>112</v>
      </c>
      <c r="M72" s="15" t="s">
        <v>201</v>
      </c>
      <c r="N72" s="15" t="s">
        <v>202</v>
      </c>
      <c r="O72" s="15"/>
      <c r="P72" s="15" t="s">
        <v>203</v>
      </c>
      <c r="Q72" s="15" t="s">
        <v>204</v>
      </c>
      <c r="R72" s="15" t="s">
        <v>205</v>
      </c>
      <c r="S72" s="15" t="s">
        <v>206</v>
      </c>
      <c r="T72" s="15"/>
      <c r="U72" s="15"/>
      <c r="V72" s="15"/>
      <c r="W72" s="15"/>
      <c r="X72" s="15" t="s">
        <v>206</v>
      </c>
      <c r="Z72" s="17">
        <v>187598</v>
      </c>
      <c r="AA72" s="17">
        <v>4097</v>
      </c>
      <c r="AC72" s="17">
        <v>191695</v>
      </c>
      <c r="AE72" s="51" t="str">
        <f t="shared" si="4"/>
        <v/>
      </c>
      <c r="AF72" s="51" t="str">
        <f t="shared" si="5"/>
        <v/>
      </c>
      <c r="AG72" s="51">
        <f t="shared" si="6"/>
        <v>19.436895312503644</v>
      </c>
      <c r="AH72" s="51" t="str">
        <f t="shared" si="7"/>
        <v/>
      </c>
      <c r="AJ72" s="17">
        <v>100900</v>
      </c>
      <c r="AK72" s="17">
        <v>180100</v>
      </c>
      <c r="AM72" s="17">
        <v>281000</v>
      </c>
      <c r="AP72" s="17">
        <v>2928000000</v>
      </c>
      <c r="AQ72" s="17">
        <v>659200000</v>
      </c>
      <c r="AS72" s="17">
        <v>3587200000</v>
      </c>
      <c r="AU72" s="15" t="s">
        <v>208</v>
      </c>
      <c r="AV72" s="15" t="s">
        <v>200</v>
      </c>
      <c r="BG72" s="15"/>
      <c r="BM72" s="17"/>
      <c r="BN72" s="17"/>
      <c r="BO72" s="17"/>
      <c r="BP72" s="17"/>
      <c r="BQ72" s="17"/>
      <c r="BW72" s="17" t="s">
        <v>207</v>
      </c>
    </row>
    <row r="73" spans="1:75" hidden="1" x14ac:dyDescent="0.25">
      <c r="A73" s="15" t="s">
        <v>197</v>
      </c>
      <c r="B73" s="15" t="s">
        <v>30</v>
      </c>
      <c r="C73" s="15">
        <v>2015</v>
      </c>
      <c r="D73" s="15" t="s">
        <v>198</v>
      </c>
      <c r="E73" s="15">
        <v>6550</v>
      </c>
      <c r="F73" s="17">
        <v>9649341</v>
      </c>
      <c r="G73" s="15" t="s">
        <v>42</v>
      </c>
      <c r="H73" s="15" t="s">
        <v>43</v>
      </c>
      <c r="I73" s="15" t="s">
        <v>199</v>
      </c>
      <c r="J73" s="15" t="s">
        <v>200</v>
      </c>
      <c r="K73" s="15"/>
      <c r="L73" s="15" t="s">
        <v>112</v>
      </c>
      <c r="M73" s="15" t="s">
        <v>201</v>
      </c>
      <c r="N73" s="15" t="s">
        <v>202</v>
      </c>
      <c r="O73" s="15"/>
      <c r="P73" s="15" t="s">
        <v>203</v>
      </c>
      <c r="Q73" s="15" t="s">
        <v>204</v>
      </c>
      <c r="R73" s="15" t="s">
        <v>205</v>
      </c>
      <c r="S73" s="15" t="s">
        <v>206</v>
      </c>
      <c r="T73" s="15"/>
      <c r="U73" s="15"/>
      <c r="V73" s="15"/>
      <c r="W73" s="15"/>
      <c r="X73" s="15" t="s">
        <v>206</v>
      </c>
      <c r="Z73" s="17">
        <v>183271</v>
      </c>
      <c r="AA73" s="17">
        <v>4104</v>
      </c>
      <c r="AC73" s="17">
        <v>187375</v>
      </c>
      <c r="AE73" s="51" t="str">
        <f t="shared" si="4"/>
        <v/>
      </c>
      <c r="AF73" s="51" t="str">
        <f t="shared" si="5"/>
        <v/>
      </c>
      <c r="AG73" s="51">
        <f t="shared" si="6"/>
        <v>19.418424532825611</v>
      </c>
      <c r="AH73" s="51" t="str">
        <f t="shared" si="7"/>
        <v/>
      </c>
      <c r="AJ73" s="17">
        <v>87600</v>
      </c>
      <c r="AK73" s="17">
        <v>196400</v>
      </c>
      <c r="AM73" s="17">
        <v>284000</v>
      </c>
      <c r="AP73" s="17">
        <v>2932500000</v>
      </c>
      <c r="AQ73" s="17">
        <v>802300000</v>
      </c>
      <c r="AS73" s="17">
        <v>3734800000</v>
      </c>
      <c r="AU73" s="15" t="s">
        <v>208</v>
      </c>
      <c r="AV73" s="15" t="s">
        <v>208</v>
      </c>
      <c r="BG73" s="15"/>
      <c r="BM73" s="17"/>
      <c r="BN73" s="17"/>
      <c r="BO73" s="17"/>
      <c r="BP73" s="17"/>
      <c r="BQ73" s="17"/>
      <c r="BW73" s="17" t="s">
        <v>207</v>
      </c>
    </row>
    <row r="74" spans="1:75" hidden="1" x14ac:dyDescent="0.25">
      <c r="A74" s="15" t="s">
        <v>197</v>
      </c>
      <c r="B74" s="15" t="s">
        <v>30</v>
      </c>
      <c r="C74" s="15">
        <v>2014</v>
      </c>
      <c r="D74" s="15" t="s">
        <v>198</v>
      </c>
      <c r="E74" s="15">
        <v>7700</v>
      </c>
      <c r="F74" s="17">
        <v>9535079</v>
      </c>
      <c r="G74" s="15" t="s">
        <v>42</v>
      </c>
      <c r="H74" s="15" t="s">
        <v>43</v>
      </c>
      <c r="I74" s="15" t="s">
        <v>199</v>
      </c>
      <c r="J74" s="15" t="s">
        <v>200</v>
      </c>
      <c r="K74" s="15"/>
      <c r="L74" s="15" t="s">
        <v>112</v>
      </c>
      <c r="M74" s="15" t="s">
        <v>201</v>
      </c>
      <c r="N74" s="15" t="s">
        <v>202</v>
      </c>
      <c r="O74" s="15"/>
      <c r="P74" s="15" t="s">
        <v>203</v>
      </c>
      <c r="Q74" s="15" t="s">
        <v>204</v>
      </c>
      <c r="R74" s="15" t="s">
        <v>205</v>
      </c>
      <c r="S74" s="15" t="s">
        <v>206</v>
      </c>
      <c r="T74" s="15"/>
      <c r="U74" s="15"/>
      <c r="V74" s="15"/>
      <c r="W74" s="15"/>
      <c r="X74" s="15" t="s">
        <v>206</v>
      </c>
      <c r="Z74" s="17">
        <v>186898</v>
      </c>
      <c r="AE74" s="51" t="str">
        <f t="shared" si="4"/>
        <v/>
      </c>
      <c r="AF74" s="51" t="str">
        <f t="shared" si="5"/>
        <v/>
      </c>
      <c r="AG74" s="51" t="str">
        <f t="shared" si="6"/>
        <v/>
      </c>
      <c r="AH74" s="51" t="str">
        <f t="shared" si="7"/>
        <v/>
      </c>
      <c r="AJ74" s="17">
        <v>115035</v>
      </c>
      <c r="AP74" s="17">
        <v>1437000000</v>
      </c>
      <c r="BG74" s="15"/>
      <c r="BM74" s="17"/>
      <c r="BN74" s="17"/>
      <c r="BO74" s="17"/>
      <c r="BP74" s="17"/>
      <c r="BQ74" s="17"/>
      <c r="BW74" s="17" t="s">
        <v>209</v>
      </c>
    </row>
    <row r="75" spans="1:75" hidden="1" x14ac:dyDescent="0.25">
      <c r="A75" s="15" t="s">
        <v>197</v>
      </c>
      <c r="B75" s="15" t="s">
        <v>30</v>
      </c>
      <c r="C75" s="15">
        <v>2013</v>
      </c>
      <c r="D75" s="15" t="s">
        <v>198</v>
      </c>
      <c r="E75" s="15">
        <v>7450</v>
      </c>
      <c r="F75" s="17">
        <v>9416801</v>
      </c>
      <c r="G75" s="15" t="s">
        <v>42</v>
      </c>
      <c r="H75" s="15" t="s">
        <v>43</v>
      </c>
      <c r="I75" s="15" t="s">
        <v>199</v>
      </c>
      <c r="J75" s="15" t="s">
        <v>200</v>
      </c>
      <c r="K75" s="15"/>
      <c r="L75" s="15" t="s">
        <v>112</v>
      </c>
      <c r="M75" s="15" t="s">
        <v>201</v>
      </c>
      <c r="N75" s="15" t="s">
        <v>202</v>
      </c>
      <c r="O75" s="15"/>
      <c r="P75" s="15" t="s">
        <v>203</v>
      </c>
      <c r="Q75" s="15" t="s">
        <v>204</v>
      </c>
      <c r="R75" s="15" t="s">
        <v>205</v>
      </c>
      <c r="S75" s="15" t="s">
        <v>206</v>
      </c>
      <c r="T75" s="15"/>
      <c r="U75" s="15"/>
      <c r="V75" s="15"/>
      <c r="W75" s="15"/>
      <c r="X75" s="15" t="s">
        <v>206</v>
      </c>
      <c r="Z75" s="17">
        <v>165277</v>
      </c>
      <c r="AE75" s="51" t="str">
        <f t="shared" si="4"/>
        <v/>
      </c>
      <c r="AF75" s="51" t="str">
        <f t="shared" si="5"/>
        <v/>
      </c>
      <c r="AG75" s="51" t="str">
        <f t="shared" si="6"/>
        <v/>
      </c>
      <c r="AH75" s="51" t="str">
        <f t="shared" si="7"/>
        <v/>
      </c>
      <c r="AJ75" s="17">
        <v>108976</v>
      </c>
      <c r="AP75" s="17">
        <v>1466200000</v>
      </c>
      <c r="BG75" s="15"/>
      <c r="BM75" s="17"/>
      <c r="BN75" s="17"/>
      <c r="BO75" s="17"/>
      <c r="BP75" s="17"/>
      <c r="BQ75" s="17"/>
      <c r="BW75" s="17"/>
    </row>
    <row r="76" spans="1:75" hidden="1" x14ac:dyDescent="0.25">
      <c r="A76" s="15" t="s">
        <v>212</v>
      </c>
      <c r="B76" s="15" t="s">
        <v>30</v>
      </c>
      <c r="C76" s="15">
        <v>2016</v>
      </c>
      <c r="D76" s="15" t="s">
        <v>213</v>
      </c>
      <c r="E76" s="15">
        <v>21350</v>
      </c>
      <c r="F76" s="15">
        <v>1492584</v>
      </c>
      <c r="G76" s="15" t="s">
        <v>109</v>
      </c>
      <c r="H76" s="15" t="s">
        <v>58</v>
      </c>
      <c r="I76" s="15" t="s">
        <v>214</v>
      </c>
      <c r="J76" s="15" t="s">
        <v>215</v>
      </c>
      <c r="K76" s="15" t="s">
        <v>98</v>
      </c>
      <c r="L76" s="15" t="s">
        <v>216</v>
      </c>
      <c r="M76" s="15" t="s">
        <v>217</v>
      </c>
      <c r="N76" s="15" t="s">
        <v>218</v>
      </c>
      <c r="O76" s="15"/>
      <c r="P76" s="15"/>
      <c r="Q76" s="15"/>
      <c r="R76" s="15"/>
      <c r="S76" s="15" t="s">
        <v>219</v>
      </c>
      <c r="T76" s="15" t="s">
        <v>220</v>
      </c>
      <c r="U76" s="15" t="s">
        <v>221</v>
      </c>
      <c r="V76" s="15" t="s">
        <v>222</v>
      </c>
      <c r="W76" s="15" t="s">
        <v>223</v>
      </c>
      <c r="X76" s="15" t="s">
        <v>219</v>
      </c>
      <c r="Y76" s="17">
        <v>84319</v>
      </c>
      <c r="Z76" s="17">
        <v>5485</v>
      </c>
      <c r="AA76" s="17">
        <v>907</v>
      </c>
      <c r="AB76" s="17">
        <v>6392</v>
      </c>
      <c r="AC76" s="17">
        <v>90711</v>
      </c>
      <c r="AD76" s="17">
        <v>176</v>
      </c>
      <c r="AE76" s="51">
        <f t="shared" si="4"/>
        <v>56.491962931399506</v>
      </c>
      <c r="AF76" s="51">
        <f t="shared" si="5"/>
        <v>4.2825060432109678</v>
      </c>
      <c r="AG76" s="51">
        <f t="shared" si="6"/>
        <v>60.774468974610471</v>
      </c>
      <c r="AH76" s="51">
        <f t="shared" si="7"/>
        <v>0.11791631157777385</v>
      </c>
      <c r="AV76" s="15" t="s">
        <v>224</v>
      </c>
      <c r="BG76" s="15"/>
      <c r="BM76" s="17"/>
      <c r="BN76" s="17"/>
      <c r="BO76" s="17"/>
      <c r="BP76" s="17"/>
      <c r="BQ76" s="17"/>
      <c r="BW76" s="17"/>
    </row>
    <row r="77" spans="1:75" hidden="1" x14ac:dyDescent="0.25">
      <c r="A77" s="15" t="s">
        <v>225</v>
      </c>
      <c r="B77" s="15" t="s">
        <v>30</v>
      </c>
      <c r="C77" s="15">
        <v>2013</v>
      </c>
      <c r="D77" s="15" t="s">
        <v>226</v>
      </c>
      <c r="E77" s="15">
        <v>1010</v>
      </c>
      <c r="F77" s="15">
        <v>157571292</v>
      </c>
      <c r="G77" s="15" t="s">
        <v>88</v>
      </c>
      <c r="H77" s="15" t="s">
        <v>33</v>
      </c>
      <c r="I77" s="15" t="s">
        <v>227</v>
      </c>
      <c r="J77" s="15" t="s">
        <v>228</v>
      </c>
      <c r="K77" s="15" t="s">
        <v>229</v>
      </c>
      <c r="L77" s="15" t="s">
        <v>1636</v>
      </c>
      <c r="M77" s="15" t="s">
        <v>230</v>
      </c>
      <c r="N77" s="15" t="s">
        <v>231</v>
      </c>
      <c r="O77" s="15" t="s">
        <v>1635</v>
      </c>
      <c r="P77" s="15" t="s">
        <v>232</v>
      </c>
      <c r="Q77" s="15" t="s">
        <v>233</v>
      </c>
      <c r="R77" s="15" t="s">
        <v>234</v>
      </c>
      <c r="S77" s="15" t="s">
        <v>235</v>
      </c>
      <c r="T77" s="15"/>
      <c r="U77" s="15"/>
      <c r="V77" s="15"/>
      <c r="W77" s="15"/>
      <c r="X77" s="15" t="s">
        <v>235</v>
      </c>
      <c r="Y77" s="17">
        <v>6946891</v>
      </c>
      <c r="Z77" s="17">
        <v>859318</v>
      </c>
      <c r="AA77" s="17">
        <v>7106</v>
      </c>
      <c r="AB77" s="17">
        <v>866424</v>
      </c>
      <c r="AC77" s="17">
        <v>7813315</v>
      </c>
      <c r="AD77" s="17">
        <v>5250</v>
      </c>
      <c r="AE77" s="51">
        <f t="shared" si="4"/>
        <v>44.087288438302586</v>
      </c>
      <c r="AF77" s="51">
        <f t="shared" si="5"/>
        <v>5.4986158265428191</v>
      </c>
      <c r="AG77" s="51">
        <f t="shared" si="6"/>
        <v>49.585904264845404</v>
      </c>
      <c r="AH77" s="51">
        <f t="shared" si="7"/>
        <v>3.3318251905937284E-2</v>
      </c>
      <c r="AI77" s="17">
        <f>13168327+558870</f>
        <v>13727197</v>
      </c>
      <c r="AJ77" s="17">
        <v>6600685</v>
      </c>
      <c r="AK77" s="17">
        <v>706112</v>
      </c>
      <c r="AL77" s="17">
        <f>+AJ77+AK77</f>
        <v>7306797</v>
      </c>
      <c r="AM77" s="17">
        <f>+AI77+AL77</f>
        <v>21033994</v>
      </c>
      <c r="AN77" s="17">
        <v>3466856</v>
      </c>
      <c r="AU77" s="15" t="s">
        <v>236</v>
      </c>
      <c r="AV77" s="15" t="s">
        <v>236</v>
      </c>
      <c r="BG77" s="15"/>
      <c r="BM77" s="17"/>
      <c r="BN77" s="17"/>
      <c r="BO77" s="17"/>
      <c r="BP77" s="17"/>
      <c r="BQ77" s="17"/>
      <c r="BW77" s="17" t="s">
        <v>1643</v>
      </c>
    </row>
    <row r="78" spans="1:75" hidden="1" x14ac:dyDescent="0.25">
      <c r="A78" s="15" t="s">
        <v>237</v>
      </c>
      <c r="B78" s="15" t="s">
        <v>30</v>
      </c>
      <c r="C78" s="15">
        <v>2015</v>
      </c>
      <c r="D78" s="15" t="s">
        <v>238</v>
      </c>
      <c r="E78" s="15">
        <v>15310</v>
      </c>
      <c r="F78" s="15">
        <v>284217</v>
      </c>
      <c r="G78" s="15" t="s">
        <v>109</v>
      </c>
      <c r="H78" s="15" t="s">
        <v>110</v>
      </c>
      <c r="I78" s="15" t="s">
        <v>239</v>
      </c>
      <c r="J78" s="15" t="s">
        <v>240</v>
      </c>
      <c r="K78" s="15" t="s">
        <v>241</v>
      </c>
      <c r="L78" s="15" t="s">
        <v>242</v>
      </c>
      <c r="M78" s="15" t="s">
        <v>243</v>
      </c>
      <c r="N78" s="15" t="s">
        <v>244</v>
      </c>
      <c r="O78" s="15"/>
      <c r="P78" s="15"/>
      <c r="Q78" s="15"/>
      <c r="R78" s="15"/>
      <c r="S78" s="15" t="s">
        <v>256</v>
      </c>
      <c r="T78" s="15"/>
      <c r="U78" s="15"/>
      <c r="V78" s="15"/>
      <c r="W78" s="15"/>
      <c r="X78" s="15" t="s">
        <v>256</v>
      </c>
      <c r="Y78" s="17">
        <v>4376</v>
      </c>
      <c r="Z78" s="17">
        <v>4527</v>
      </c>
      <c r="AA78" s="17">
        <v>399</v>
      </c>
      <c r="AB78" s="17">
        <v>4926</v>
      </c>
      <c r="AC78" s="17">
        <v>9302</v>
      </c>
      <c r="AD78" s="17">
        <v>352</v>
      </c>
      <c r="AE78" s="51">
        <f t="shared" si="4"/>
        <v>15.396686334737192</v>
      </c>
      <c r="AF78" s="51">
        <f t="shared" si="5"/>
        <v>17.33182744170827</v>
      </c>
      <c r="AG78" s="51">
        <f t="shared" si="6"/>
        <v>32.728513776445467</v>
      </c>
      <c r="AH78" s="51">
        <f t="shared" si="7"/>
        <v>1.2384903084614924</v>
      </c>
      <c r="AI78" s="17">
        <v>4375</v>
      </c>
      <c r="AJ78" s="17">
        <v>41932</v>
      </c>
      <c r="AK78" s="17">
        <v>14651</v>
      </c>
      <c r="AL78" s="17">
        <v>56583</v>
      </c>
      <c r="AM78" s="17">
        <v>60958</v>
      </c>
      <c r="AN78" s="17">
        <v>39491</v>
      </c>
      <c r="AO78" s="17">
        <v>283149366</v>
      </c>
      <c r="AP78" s="17">
        <v>3824490059</v>
      </c>
      <c r="AQ78" s="17">
        <v>1014821136</v>
      </c>
      <c r="AR78" s="17">
        <v>4839311195</v>
      </c>
      <c r="AS78" s="17">
        <v>5122460561</v>
      </c>
      <c r="AT78" s="17">
        <v>2745538424</v>
      </c>
      <c r="AU78" s="15" t="s">
        <v>245</v>
      </c>
      <c r="AV78" s="15" t="s">
        <v>245</v>
      </c>
      <c r="BG78" s="15"/>
      <c r="BM78" s="17"/>
      <c r="BN78" s="17">
        <v>1695</v>
      </c>
      <c r="BO78" s="17"/>
      <c r="BP78" s="17"/>
      <c r="BQ78" s="17"/>
      <c r="BT78" s="15" t="s">
        <v>246</v>
      </c>
      <c r="BU78" s="15" t="s">
        <v>247</v>
      </c>
      <c r="BW78" s="17"/>
    </row>
    <row r="79" spans="1:75" hidden="1" x14ac:dyDescent="0.25">
      <c r="A79" s="15" t="s">
        <v>237</v>
      </c>
      <c r="B79" s="15" t="s">
        <v>52</v>
      </c>
      <c r="C79" s="15">
        <v>2016</v>
      </c>
      <c r="D79" s="15" t="s">
        <v>238</v>
      </c>
      <c r="E79" s="15">
        <v>15210</v>
      </c>
      <c r="F79" s="15">
        <v>284996</v>
      </c>
      <c r="G79" s="15" t="s">
        <v>109</v>
      </c>
      <c r="H79" s="15" t="s">
        <v>110</v>
      </c>
      <c r="I79" s="15" t="s">
        <v>248</v>
      </c>
      <c r="J79" s="15" t="s">
        <v>249</v>
      </c>
      <c r="K79" s="15" t="s">
        <v>241</v>
      </c>
      <c r="L79" s="15" t="s">
        <v>250</v>
      </c>
      <c r="M79" s="15" t="s">
        <v>251</v>
      </c>
      <c r="N79" s="15" t="s">
        <v>37</v>
      </c>
      <c r="O79" s="15"/>
      <c r="P79" s="15"/>
      <c r="Q79" s="15"/>
      <c r="R79" s="15"/>
      <c r="S79" s="15" t="s">
        <v>256</v>
      </c>
      <c r="T79" s="15" t="s">
        <v>252</v>
      </c>
      <c r="U79" s="15" t="s">
        <v>253</v>
      </c>
      <c r="V79" s="15" t="s">
        <v>254</v>
      </c>
      <c r="W79" s="15" t="s">
        <v>255</v>
      </c>
      <c r="X79" s="15" t="s">
        <v>256</v>
      </c>
      <c r="AE79" s="51" t="str">
        <f t="shared" si="4"/>
        <v/>
      </c>
      <c r="AF79" s="51" t="str">
        <f t="shared" si="5"/>
        <v/>
      </c>
      <c r="AG79" s="51" t="str">
        <f t="shared" si="6"/>
        <v/>
      </c>
      <c r="AH79" s="51" t="str">
        <f t="shared" si="7"/>
        <v/>
      </c>
      <c r="BG79" s="15"/>
      <c r="BM79" s="17"/>
      <c r="BN79" s="17"/>
      <c r="BO79" s="17"/>
      <c r="BP79" s="17"/>
      <c r="BQ79" s="17"/>
      <c r="BW79" s="17"/>
    </row>
    <row r="80" spans="1:75" hidden="1" x14ac:dyDescent="0.25">
      <c r="A80" s="15" t="s">
        <v>257</v>
      </c>
      <c r="B80" s="15" t="s">
        <v>30</v>
      </c>
      <c r="C80" s="15">
        <v>2017</v>
      </c>
      <c r="D80" s="15" t="s">
        <v>258</v>
      </c>
      <c r="E80" s="15">
        <v>5280</v>
      </c>
      <c r="F80" s="15">
        <v>9507875</v>
      </c>
      <c r="G80" s="15" t="s">
        <v>42</v>
      </c>
      <c r="H80" s="15" t="s">
        <v>43</v>
      </c>
      <c r="I80" s="15" t="s">
        <v>259</v>
      </c>
      <c r="J80" s="15" t="s">
        <v>260</v>
      </c>
      <c r="K80" s="15" t="s">
        <v>261</v>
      </c>
      <c r="L80" s="15" t="s">
        <v>262</v>
      </c>
      <c r="M80" s="15" t="s">
        <v>263</v>
      </c>
      <c r="N80" s="15" t="s">
        <v>167</v>
      </c>
      <c r="O80" s="15"/>
      <c r="P80" s="15"/>
      <c r="Q80" s="15"/>
      <c r="R80" s="15"/>
      <c r="S80" s="15" t="s">
        <v>264</v>
      </c>
      <c r="T80" s="15"/>
      <c r="U80" s="15"/>
      <c r="V80" s="15"/>
      <c r="W80" s="15"/>
      <c r="X80" s="15" t="s">
        <v>264</v>
      </c>
      <c r="Y80" s="17">
        <v>95854</v>
      </c>
      <c r="Z80" s="17">
        <v>11872</v>
      </c>
      <c r="AA80" s="17">
        <v>2542</v>
      </c>
      <c r="AB80" s="17">
        <f t="shared" ref="AB80:AB85" si="8">+Z80+AA80</f>
        <v>14414</v>
      </c>
      <c r="AC80" s="17">
        <f t="shared" ref="AC80:AC85" si="9">+Y80+AB80</f>
        <v>110268</v>
      </c>
      <c r="AE80" s="51">
        <f t="shared" si="4"/>
        <v>10.081537672718667</v>
      </c>
      <c r="AF80" s="51">
        <f t="shared" si="5"/>
        <v>1.5160064683223118</v>
      </c>
      <c r="AG80" s="51">
        <f t="shared" si="6"/>
        <v>11.597544141040979</v>
      </c>
      <c r="AH80" s="51" t="str">
        <f t="shared" si="7"/>
        <v/>
      </c>
      <c r="AI80" s="17">
        <v>353926</v>
      </c>
      <c r="AJ80" s="17">
        <v>434070</v>
      </c>
      <c r="AK80" s="17">
        <v>363620</v>
      </c>
      <c r="AL80" s="17">
        <v>797690</v>
      </c>
      <c r="AM80" s="17">
        <v>1151616</v>
      </c>
      <c r="AO80" s="17">
        <v>7469129000</v>
      </c>
      <c r="AP80" s="17">
        <v>10625099000</v>
      </c>
      <c r="AQ80" s="17">
        <v>8205522000</v>
      </c>
      <c r="AR80" s="17">
        <v>18830621000</v>
      </c>
      <c r="AS80" s="17">
        <v>26299750000</v>
      </c>
      <c r="AU80" s="15" t="s">
        <v>266</v>
      </c>
      <c r="AV80" s="15" t="s">
        <v>267</v>
      </c>
      <c r="BG80" s="15"/>
      <c r="BM80" s="17"/>
      <c r="BN80" s="17"/>
      <c r="BO80" s="17"/>
      <c r="BP80" s="17"/>
      <c r="BQ80" s="17"/>
      <c r="BW80" s="17" t="s">
        <v>265</v>
      </c>
    </row>
    <row r="81" spans="1:75" hidden="1" x14ac:dyDescent="0.25">
      <c r="A81" s="15" t="s">
        <v>257</v>
      </c>
      <c r="B81" s="15" t="s">
        <v>30</v>
      </c>
      <c r="C81" s="15">
        <v>2016</v>
      </c>
      <c r="D81" s="15" t="s">
        <v>258</v>
      </c>
      <c r="E81" s="15">
        <v>5620</v>
      </c>
      <c r="F81" s="15">
        <v>9507875</v>
      </c>
      <c r="G81" s="15" t="s">
        <v>42</v>
      </c>
      <c r="H81" s="15" t="s">
        <v>43</v>
      </c>
      <c r="I81" s="15" t="s">
        <v>259</v>
      </c>
      <c r="J81" s="15" t="s">
        <v>260</v>
      </c>
      <c r="K81" s="15" t="s">
        <v>261</v>
      </c>
      <c r="L81" s="15" t="s">
        <v>262</v>
      </c>
      <c r="M81" s="15" t="s">
        <v>263</v>
      </c>
      <c r="N81" s="15" t="s">
        <v>167</v>
      </c>
      <c r="O81" s="15"/>
      <c r="P81" s="15"/>
      <c r="Q81" s="15"/>
      <c r="R81" s="15"/>
      <c r="S81" s="15" t="s">
        <v>264</v>
      </c>
      <c r="T81" s="15"/>
      <c r="U81" s="15"/>
      <c r="V81" s="15"/>
      <c r="W81" s="15"/>
      <c r="X81" s="15" t="s">
        <v>264</v>
      </c>
      <c r="Y81" s="17">
        <v>93288</v>
      </c>
      <c r="Z81" s="17">
        <v>11779</v>
      </c>
      <c r="AA81" s="17">
        <v>2423</v>
      </c>
      <c r="AB81" s="17">
        <f t="shared" si="8"/>
        <v>14202</v>
      </c>
      <c r="AC81" s="17">
        <f t="shared" si="9"/>
        <v>107490</v>
      </c>
      <c r="AE81" s="51">
        <f t="shared" si="4"/>
        <v>9.811656127157752</v>
      </c>
      <c r="AF81" s="51">
        <f t="shared" si="5"/>
        <v>1.4937091621419085</v>
      </c>
      <c r="AG81" s="51">
        <f t="shared" si="6"/>
        <v>11.30536528929966</v>
      </c>
      <c r="AH81" s="51" t="str">
        <f t="shared" si="7"/>
        <v/>
      </c>
      <c r="AI81" s="17">
        <v>362490</v>
      </c>
      <c r="AJ81" s="17">
        <v>422793</v>
      </c>
      <c r="AK81" s="17">
        <v>363302</v>
      </c>
      <c r="AL81" s="17">
        <v>786095</v>
      </c>
      <c r="AM81" s="17">
        <v>1148585</v>
      </c>
      <c r="AO81" s="17">
        <v>6361583000</v>
      </c>
      <c r="AP81" s="17">
        <v>9305002000</v>
      </c>
      <c r="AQ81" s="17">
        <v>6931277000</v>
      </c>
      <c r="AR81" s="17">
        <v>16236279000</v>
      </c>
      <c r="AS81" s="17">
        <v>22597862000</v>
      </c>
      <c r="BG81" s="15"/>
      <c r="BM81" s="17"/>
      <c r="BN81" s="17"/>
      <c r="BO81" s="17"/>
      <c r="BP81" s="17"/>
      <c r="BQ81" s="17"/>
      <c r="BW81" s="17" t="s">
        <v>265</v>
      </c>
    </row>
    <row r="82" spans="1:75" hidden="1" x14ac:dyDescent="0.25">
      <c r="A82" s="15" t="s">
        <v>257</v>
      </c>
      <c r="B82" s="15" t="s">
        <v>30</v>
      </c>
      <c r="C82" s="15">
        <v>2015</v>
      </c>
      <c r="D82" s="15" t="s">
        <v>258</v>
      </c>
      <c r="E82" s="15">
        <v>6720</v>
      </c>
      <c r="F82" s="15">
        <v>9489616</v>
      </c>
      <c r="G82" s="15" t="s">
        <v>42</v>
      </c>
      <c r="H82" s="15" t="s">
        <v>43</v>
      </c>
      <c r="I82" s="15" t="s">
        <v>259</v>
      </c>
      <c r="J82" s="15" t="s">
        <v>260</v>
      </c>
      <c r="K82" s="15" t="s">
        <v>261</v>
      </c>
      <c r="L82" s="15" t="s">
        <v>262</v>
      </c>
      <c r="M82" s="15" t="s">
        <v>263</v>
      </c>
      <c r="N82" s="15" t="s">
        <v>167</v>
      </c>
      <c r="O82" s="15"/>
      <c r="P82" s="15"/>
      <c r="Q82" s="15"/>
      <c r="R82" s="15"/>
      <c r="S82" s="15" t="s">
        <v>264</v>
      </c>
      <c r="T82" s="15"/>
      <c r="U82" s="15"/>
      <c r="V82" s="15"/>
      <c r="W82" s="15"/>
      <c r="X82" s="15" t="s">
        <v>264</v>
      </c>
      <c r="Y82" s="17">
        <v>92684</v>
      </c>
      <c r="Z82" s="17">
        <v>12363</v>
      </c>
      <c r="AA82" s="17">
        <v>2416</v>
      </c>
      <c r="AB82" s="17">
        <f t="shared" si="8"/>
        <v>14779</v>
      </c>
      <c r="AC82" s="17">
        <f t="shared" si="9"/>
        <v>107463</v>
      </c>
      <c r="AE82" s="51">
        <f t="shared" si="4"/>
        <v>9.7668862470304383</v>
      </c>
      <c r="AF82" s="51">
        <f t="shared" si="5"/>
        <v>1.557386515955967</v>
      </c>
      <c r="AG82" s="51">
        <f t="shared" si="6"/>
        <v>11.324272762986405</v>
      </c>
      <c r="AH82" s="51" t="str">
        <f t="shared" si="7"/>
        <v/>
      </c>
      <c r="AI82" s="17">
        <v>319721</v>
      </c>
      <c r="AJ82" s="17">
        <v>443072</v>
      </c>
      <c r="AK82" s="17">
        <v>373308</v>
      </c>
      <c r="AL82" s="17">
        <v>816380</v>
      </c>
      <c r="AM82" s="17">
        <v>1136101</v>
      </c>
      <c r="AO82" s="17">
        <v>5124859170</v>
      </c>
      <c r="AP82" s="17">
        <v>9080890810</v>
      </c>
      <c r="AQ82" s="17">
        <v>6923055370</v>
      </c>
      <c r="AR82" s="17">
        <v>16003946180</v>
      </c>
      <c r="AS82" s="17">
        <v>21128805350</v>
      </c>
      <c r="BG82" s="15"/>
      <c r="BM82" s="17"/>
      <c r="BN82" s="17"/>
      <c r="BO82" s="17"/>
      <c r="BP82" s="17"/>
      <c r="BQ82" s="17"/>
      <c r="BW82" s="17" t="s">
        <v>265</v>
      </c>
    </row>
    <row r="83" spans="1:75" hidden="1" x14ac:dyDescent="0.25">
      <c r="A83" s="15" t="s">
        <v>257</v>
      </c>
      <c r="B83" s="15" t="s">
        <v>30</v>
      </c>
      <c r="C83" s="15">
        <v>2014</v>
      </c>
      <c r="D83" s="15" t="s">
        <v>258</v>
      </c>
      <c r="E83" s="15">
        <v>7600</v>
      </c>
      <c r="F83" s="15">
        <v>9474511</v>
      </c>
      <c r="G83" s="15" t="s">
        <v>42</v>
      </c>
      <c r="H83" s="15" t="s">
        <v>43</v>
      </c>
      <c r="I83" s="15" t="s">
        <v>259</v>
      </c>
      <c r="J83" s="15" t="s">
        <v>260</v>
      </c>
      <c r="K83" s="15" t="s">
        <v>261</v>
      </c>
      <c r="L83" s="15" t="s">
        <v>262</v>
      </c>
      <c r="M83" s="15" t="s">
        <v>263</v>
      </c>
      <c r="N83" s="15" t="s">
        <v>167</v>
      </c>
      <c r="O83" s="15"/>
      <c r="P83" s="15"/>
      <c r="Q83" s="15"/>
      <c r="R83" s="15"/>
      <c r="S83" s="15" t="s">
        <v>264</v>
      </c>
      <c r="T83" s="15"/>
      <c r="U83" s="15"/>
      <c r="V83" s="15"/>
      <c r="W83" s="15"/>
      <c r="X83" s="15" t="s">
        <v>264</v>
      </c>
      <c r="Y83" s="17">
        <v>99368</v>
      </c>
      <c r="Z83" s="17">
        <v>12424</v>
      </c>
      <c r="AA83" s="17">
        <v>2394</v>
      </c>
      <c r="AB83" s="17">
        <f t="shared" si="8"/>
        <v>14818</v>
      </c>
      <c r="AC83" s="17">
        <f t="shared" si="9"/>
        <v>114186</v>
      </c>
      <c r="AE83" s="51">
        <f t="shared" si="4"/>
        <v>10.487929139561926</v>
      </c>
      <c r="AF83" s="51">
        <f t="shared" si="5"/>
        <v>1.5639857297120663</v>
      </c>
      <c r="AG83" s="51">
        <f t="shared" si="6"/>
        <v>12.051914869273991</v>
      </c>
      <c r="AH83" s="51" t="str">
        <f t="shared" si="7"/>
        <v/>
      </c>
      <c r="AI83" s="17">
        <v>347967</v>
      </c>
      <c r="AJ83" s="17">
        <v>470499</v>
      </c>
      <c r="AK83" s="17">
        <v>382091</v>
      </c>
      <c r="AL83" s="17">
        <v>852590</v>
      </c>
      <c r="AM83" s="17">
        <v>1200557</v>
      </c>
      <c r="AO83" s="17">
        <v>5076494010</v>
      </c>
      <c r="AP83" s="17">
        <v>7977347730</v>
      </c>
      <c r="AQ83" s="17">
        <v>6043445250</v>
      </c>
      <c r="AR83" s="17">
        <v>14020792980</v>
      </c>
      <c r="AS83" s="17">
        <v>19097286990</v>
      </c>
      <c r="BG83" s="15"/>
      <c r="BM83" s="17"/>
      <c r="BN83" s="17"/>
      <c r="BO83" s="17"/>
      <c r="BP83" s="17"/>
      <c r="BQ83" s="17"/>
      <c r="BW83" s="17" t="s">
        <v>265</v>
      </c>
    </row>
    <row r="84" spans="1:75" hidden="1" x14ac:dyDescent="0.25">
      <c r="A84" s="15" t="s">
        <v>257</v>
      </c>
      <c r="B84" s="15" t="s">
        <v>30</v>
      </c>
      <c r="C84" s="15">
        <v>2013</v>
      </c>
      <c r="D84" s="15" t="s">
        <v>258</v>
      </c>
      <c r="E84" s="15">
        <v>7010</v>
      </c>
      <c r="F84" s="15">
        <v>9465997</v>
      </c>
      <c r="G84" s="15" t="s">
        <v>42</v>
      </c>
      <c r="H84" s="15" t="s">
        <v>43</v>
      </c>
      <c r="I84" s="15" t="s">
        <v>259</v>
      </c>
      <c r="J84" s="15" t="s">
        <v>260</v>
      </c>
      <c r="K84" s="15" t="s">
        <v>261</v>
      </c>
      <c r="L84" s="15" t="s">
        <v>262</v>
      </c>
      <c r="M84" s="15" t="s">
        <v>263</v>
      </c>
      <c r="N84" s="15" t="s">
        <v>167</v>
      </c>
      <c r="O84" s="15"/>
      <c r="P84" s="15"/>
      <c r="Q84" s="15"/>
      <c r="R84" s="15"/>
      <c r="S84" s="15" t="s">
        <v>264</v>
      </c>
      <c r="T84" s="15"/>
      <c r="U84" s="15"/>
      <c r="V84" s="15"/>
      <c r="W84" s="15"/>
      <c r="X84" s="15" t="s">
        <v>264</v>
      </c>
      <c r="Y84" s="17">
        <v>96858</v>
      </c>
      <c r="Z84" s="17">
        <v>11831</v>
      </c>
      <c r="AA84" s="17">
        <v>2315</v>
      </c>
      <c r="AB84" s="17">
        <f t="shared" si="8"/>
        <v>14146</v>
      </c>
      <c r="AC84" s="17">
        <f t="shared" si="9"/>
        <v>111004</v>
      </c>
      <c r="AE84" s="51">
        <f t="shared" si="4"/>
        <v>10.232202693493353</v>
      </c>
      <c r="AF84" s="51">
        <f t="shared" si="5"/>
        <v>1.4944014877672158</v>
      </c>
      <c r="AG84" s="51">
        <f t="shared" si="6"/>
        <v>11.726604181260569</v>
      </c>
      <c r="AH84" s="51" t="str">
        <f t="shared" si="7"/>
        <v/>
      </c>
      <c r="AI84" s="17">
        <v>384960</v>
      </c>
      <c r="AJ84" s="17">
        <v>461739</v>
      </c>
      <c r="AK84" s="17">
        <v>391223</v>
      </c>
      <c r="AL84" s="17">
        <v>852962</v>
      </c>
      <c r="AM84" s="17">
        <v>1237922</v>
      </c>
      <c r="AO84" s="17">
        <v>4359475250</v>
      </c>
      <c r="AP84" s="17">
        <v>6572747300</v>
      </c>
      <c r="AQ84" s="17">
        <v>5164301450</v>
      </c>
      <c r="AR84" s="17">
        <v>11737048750</v>
      </c>
      <c r="AS84" s="17">
        <v>16096524000</v>
      </c>
      <c r="BG84" s="15"/>
      <c r="BM84" s="17"/>
      <c r="BN84" s="17"/>
      <c r="BO84" s="17"/>
      <c r="BP84" s="17"/>
      <c r="BQ84" s="17"/>
      <c r="BW84" s="17" t="s">
        <v>265</v>
      </c>
    </row>
    <row r="85" spans="1:75" hidden="1" x14ac:dyDescent="0.25">
      <c r="A85" s="15" t="s">
        <v>257</v>
      </c>
      <c r="B85" s="15" t="s">
        <v>30</v>
      </c>
      <c r="C85" s="15">
        <v>2012</v>
      </c>
      <c r="D85" s="15" t="s">
        <v>258</v>
      </c>
      <c r="E85" s="15">
        <v>6620</v>
      </c>
      <c r="F85" s="15">
        <v>9464495</v>
      </c>
      <c r="G85" s="15" t="s">
        <v>42</v>
      </c>
      <c r="H85" s="15" t="s">
        <v>43</v>
      </c>
      <c r="I85" s="15" t="s">
        <v>259</v>
      </c>
      <c r="J85" s="15" t="s">
        <v>260</v>
      </c>
      <c r="K85" s="15" t="s">
        <v>261</v>
      </c>
      <c r="L85" s="15" t="s">
        <v>262</v>
      </c>
      <c r="M85" s="15" t="s">
        <v>263</v>
      </c>
      <c r="N85" s="15" t="s">
        <v>167</v>
      </c>
      <c r="O85" s="15"/>
      <c r="P85" s="15"/>
      <c r="Q85" s="15"/>
      <c r="R85" s="15"/>
      <c r="S85" s="15" t="s">
        <v>264</v>
      </c>
      <c r="T85" s="15"/>
      <c r="U85" s="15"/>
      <c r="V85" s="15"/>
      <c r="W85" s="15"/>
      <c r="X85" s="15" t="s">
        <v>264</v>
      </c>
      <c r="Y85" s="17">
        <v>85682</v>
      </c>
      <c r="Z85" s="17">
        <v>11762</v>
      </c>
      <c r="AA85" s="17">
        <v>2245</v>
      </c>
      <c r="AB85" s="17">
        <f t="shared" si="8"/>
        <v>14007</v>
      </c>
      <c r="AC85" s="17">
        <f t="shared" si="9"/>
        <v>99689</v>
      </c>
      <c r="AE85" s="51">
        <f t="shared" si="4"/>
        <v>9.0529922621333725</v>
      </c>
      <c r="AF85" s="51">
        <f t="shared" si="5"/>
        <v>1.4799521791706796</v>
      </c>
      <c r="AG85" s="51">
        <f t="shared" si="6"/>
        <v>10.532944441304053</v>
      </c>
      <c r="AH85" s="51" t="str">
        <f t="shared" si="7"/>
        <v/>
      </c>
      <c r="AI85" s="17">
        <v>354177</v>
      </c>
      <c r="AJ85" s="17">
        <v>452379</v>
      </c>
      <c r="AK85" s="17">
        <v>403319</v>
      </c>
      <c r="AL85" s="17">
        <v>855698</v>
      </c>
      <c r="AM85" s="17">
        <v>1209875</v>
      </c>
      <c r="AO85" s="17">
        <v>3723793560</v>
      </c>
      <c r="AP85" s="17">
        <v>5366643660</v>
      </c>
      <c r="AQ85" s="17">
        <v>5092835310</v>
      </c>
      <c r="AR85" s="17">
        <v>10459478970</v>
      </c>
      <c r="AS85" s="17">
        <v>14183272530</v>
      </c>
      <c r="BG85" s="15"/>
      <c r="BM85" s="17"/>
      <c r="BN85" s="17"/>
      <c r="BO85" s="17"/>
      <c r="BP85" s="17"/>
      <c r="BQ85" s="17"/>
      <c r="BW85" s="17" t="s">
        <v>265</v>
      </c>
    </row>
    <row r="86" spans="1:75" hidden="1" x14ac:dyDescent="0.25">
      <c r="A86" s="15" t="s">
        <v>268</v>
      </c>
      <c r="B86" s="15" t="s">
        <v>30</v>
      </c>
      <c r="C86" s="15">
        <v>2016</v>
      </c>
      <c r="D86" s="15" t="s">
        <v>269</v>
      </c>
      <c r="E86" s="15">
        <v>42640</v>
      </c>
      <c r="F86" s="15">
        <v>11372068</v>
      </c>
      <c r="G86" s="15" t="s">
        <v>109</v>
      </c>
      <c r="H86" s="15" t="s">
        <v>43</v>
      </c>
      <c r="I86" s="15" t="s">
        <v>188</v>
      </c>
      <c r="J86" s="15" t="s">
        <v>193</v>
      </c>
      <c r="K86" s="15" t="s">
        <v>190</v>
      </c>
      <c r="L86" s="15" t="s">
        <v>48</v>
      </c>
      <c r="M86" s="15" t="s">
        <v>62</v>
      </c>
      <c r="N86" s="15" t="s">
        <v>63</v>
      </c>
      <c r="O86" s="15"/>
      <c r="P86" s="15"/>
      <c r="Q86" s="15"/>
      <c r="R86" s="15"/>
      <c r="S86" s="15" t="s">
        <v>55</v>
      </c>
      <c r="T86" s="15"/>
      <c r="U86" s="15"/>
      <c r="V86" s="15"/>
      <c r="W86" s="15"/>
      <c r="X86" s="15" t="s">
        <v>55</v>
      </c>
      <c r="Y86" s="17">
        <v>579074</v>
      </c>
      <c r="Z86" s="17">
        <v>14069</v>
      </c>
      <c r="AA86" s="17">
        <v>4171</v>
      </c>
      <c r="AB86" s="17">
        <v>18240</v>
      </c>
      <c r="AC86" s="17">
        <v>597314</v>
      </c>
      <c r="AD86" s="17">
        <v>912</v>
      </c>
      <c r="AE86" s="51">
        <f t="shared" si="4"/>
        <v>50.92072963334374</v>
      </c>
      <c r="AF86" s="51">
        <f t="shared" si="5"/>
        <v>1.6039299096699036</v>
      </c>
      <c r="AG86" s="51">
        <f t="shared" si="6"/>
        <v>52.524659543013634</v>
      </c>
      <c r="AH86" s="51">
        <f t="shared" si="7"/>
        <v>8.0196495483495181E-2</v>
      </c>
      <c r="AI86" s="17">
        <v>968611</v>
      </c>
      <c r="AJ86" s="17">
        <v>546598</v>
      </c>
      <c r="AK86" s="17">
        <v>423503</v>
      </c>
      <c r="AL86" s="17">
        <v>970101</v>
      </c>
      <c r="AM86" s="17">
        <v>1938712</v>
      </c>
      <c r="AN86" s="17">
        <v>863715</v>
      </c>
      <c r="AO86" s="17">
        <v>51722900000</v>
      </c>
      <c r="AP86" s="17">
        <v>41177200000</v>
      </c>
      <c r="AQ86" s="17">
        <v>38543100000</v>
      </c>
      <c r="AR86" s="17">
        <v>79720300000</v>
      </c>
      <c r="AS86" s="17">
        <v>131443200000</v>
      </c>
      <c r="AT86" s="17">
        <v>80353400000</v>
      </c>
      <c r="AU86" s="15" t="s">
        <v>191</v>
      </c>
      <c r="AV86" s="15" t="s">
        <v>191</v>
      </c>
      <c r="BG86" s="15"/>
      <c r="BM86" s="17"/>
      <c r="BN86" s="17"/>
      <c r="BO86" s="17"/>
      <c r="BP86" s="17"/>
      <c r="BQ86" s="17"/>
      <c r="BW86" s="17"/>
    </row>
    <row r="87" spans="1:75" hidden="1" x14ac:dyDescent="0.25">
      <c r="A87" s="15" t="s">
        <v>268</v>
      </c>
      <c r="B87" s="15" t="s">
        <v>30</v>
      </c>
      <c r="C87" s="15">
        <v>2015</v>
      </c>
      <c r="D87" s="15" t="s">
        <v>269</v>
      </c>
      <c r="E87" s="15">
        <v>44230</v>
      </c>
      <c r="F87" s="15">
        <v>11274196</v>
      </c>
      <c r="G87" s="15" t="s">
        <v>109</v>
      </c>
      <c r="H87" s="15" t="s">
        <v>43</v>
      </c>
      <c r="I87" s="15" t="s">
        <v>188</v>
      </c>
      <c r="J87" s="15" t="s">
        <v>193</v>
      </c>
      <c r="K87" s="15" t="s">
        <v>190</v>
      </c>
      <c r="L87" s="15" t="s">
        <v>48</v>
      </c>
      <c r="M87" s="15" t="s">
        <v>62</v>
      </c>
      <c r="N87" s="15" t="s">
        <v>63</v>
      </c>
      <c r="O87" s="15"/>
      <c r="P87" s="15"/>
      <c r="Q87" s="15"/>
      <c r="R87" s="15"/>
      <c r="S87" s="15" t="s">
        <v>55</v>
      </c>
      <c r="T87" s="15"/>
      <c r="U87" s="15"/>
      <c r="V87" s="15"/>
      <c r="W87" s="15"/>
      <c r="X87" s="15" t="s">
        <v>55</v>
      </c>
      <c r="Y87" s="17">
        <v>569950</v>
      </c>
      <c r="Z87" s="17">
        <v>13905</v>
      </c>
      <c r="AA87" s="17">
        <v>4067</v>
      </c>
      <c r="AB87" s="17">
        <v>17972</v>
      </c>
      <c r="AC87" s="17">
        <v>587922</v>
      </c>
      <c r="AD87" s="17">
        <v>901</v>
      </c>
      <c r="AE87" s="51">
        <f t="shared" si="4"/>
        <v>50.553494014118613</v>
      </c>
      <c r="AF87" s="51">
        <f t="shared" si="5"/>
        <v>1.5940826290406873</v>
      </c>
      <c r="AG87" s="51">
        <f t="shared" si="6"/>
        <v>52.147576643159297</v>
      </c>
      <c r="AH87" s="51">
        <f t="shared" si="7"/>
        <v>7.9917006942224533E-2</v>
      </c>
      <c r="AI87" s="17">
        <v>958868</v>
      </c>
      <c r="AJ87" s="17">
        <v>545325</v>
      </c>
      <c r="AK87" s="17">
        <v>414465</v>
      </c>
      <c r="AL87" s="17">
        <v>959790</v>
      </c>
      <c r="AM87" s="17">
        <v>1918658</v>
      </c>
      <c r="AN87" s="17">
        <v>850427</v>
      </c>
      <c r="AO87" s="17">
        <v>48805400000</v>
      </c>
      <c r="AP87" s="17">
        <v>39249200000</v>
      </c>
      <c r="AQ87" s="17">
        <v>36797200000</v>
      </c>
      <c r="AR87" s="17">
        <v>76046400000</v>
      </c>
      <c r="AS87" s="17">
        <v>124851800000</v>
      </c>
      <c r="AT87" s="17">
        <v>76764800000</v>
      </c>
      <c r="AU87" s="15" t="s">
        <v>191</v>
      </c>
      <c r="AV87" s="15" t="s">
        <v>191</v>
      </c>
      <c r="BG87" s="15"/>
      <c r="BM87" s="17"/>
      <c r="BN87" s="17"/>
      <c r="BO87" s="17"/>
      <c r="BP87" s="17"/>
      <c r="BQ87" s="17"/>
      <c r="BW87" s="17"/>
    </row>
    <row r="88" spans="1:75" hidden="1" x14ac:dyDescent="0.25">
      <c r="A88" s="15" t="s">
        <v>268</v>
      </c>
      <c r="B88" s="15" t="s">
        <v>30</v>
      </c>
      <c r="C88" s="15">
        <v>2014</v>
      </c>
      <c r="D88" s="15" t="s">
        <v>269</v>
      </c>
      <c r="E88" s="15">
        <v>46970</v>
      </c>
      <c r="F88" s="15">
        <v>11209057</v>
      </c>
      <c r="G88" s="15" t="s">
        <v>109</v>
      </c>
      <c r="H88" s="15" t="s">
        <v>43</v>
      </c>
      <c r="I88" s="15" t="s">
        <v>188</v>
      </c>
      <c r="J88" s="15" t="s">
        <v>193</v>
      </c>
      <c r="K88" s="15" t="s">
        <v>190</v>
      </c>
      <c r="L88" s="15" t="s">
        <v>48</v>
      </c>
      <c r="M88" s="15" t="s">
        <v>62</v>
      </c>
      <c r="N88" s="15" t="s">
        <v>63</v>
      </c>
      <c r="O88" s="15"/>
      <c r="P88" s="15"/>
      <c r="Q88" s="15"/>
      <c r="R88" s="15"/>
      <c r="S88" s="15" t="s">
        <v>55</v>
      </c>
      <c r="T88" s="15"/>
      <c r="U88" s="15"/>
      <c r="V88" s="15"/>
      <c r="W88" s="15"/>
      <c r="X88" s="15" t="s">
        <v>55</v>
      </c>
      <c r="Y88" s="17">
        <v>561279</v>
      </c>
      <c r="Z88" s="17">
        <v>13853</v>
      </c>
      <c r="AA88" s="17">
        <v>4064</v>
      </c>
      <c r="AB88" s="17">
        <v>17917</v>
      </c>
      <c r="AC88" s="17">
        <v>579196</v>
      </c>
      <c r="AD88" s="17">
        <v>882</v>
      </c>
      <c r="AE88" s="51">
        <f t="shared" si="4"/>
        <v>50.073703791496463</v>
      </c>
      <c r="AF88" s="51">
        <f t="shared" si="5"/>
        <v>1.5984395475908455</v>
      </c>
      <c r="AG88" s="51">
        <f t="shared" si="6"/>
        <v>51.672143339087313</v>
      </c>
      <c r="AH88" s="51">
        <f t="shared" si="7"/>
        <v>7.8686369424296798E-2</v>
      </c>
      <c r="AI88" s="17">
        <v>950039</v>
      </c>
      <c r="AJ88" s="17">
        <v>550014</v>
      </c>
      <c r="AK88" s="17">
        <v>414543</v>
      </c>
      <c r="AL88" s="17">
        <v>964557</v>
      </c>
      <c r="AM88" s="17">
        <v>1914596</v>
      </c>
      <c r="AN88" s="17">
        <v>830040</v>
      </c>
      <c r="AO88" s="17">
        <v>46512200000</v>
      </c>
      <c r="AP88" s="17">
        <v>38208500000</v>
      </c>
      <c r="AQ88" s="17">
        <v>36122800000</v>
      </c>
      <c r="AR88" s="17">
        <v>74331300000</v>
      </c>
      <c r="AS88" s="17">
        <v>120843500000</v>
      </c>
      <c r="AT88" s="17">
        <v>74094700000</v>
      </c>
      <c r="AU88" s="15" t="s">
        <v>191</v>
      </c>
      <c r="AV88" s="15" t="s">
        <v>191</v>
      </c>
      <c r="BG88" s="15"/>
      <c r="BM88" s="17"/>
      <c r="BN88" s="17"/>
      <c r="BO88" s="17"/>
      <c r="BP88" s="17"/>
      <c r="BQ88" s="17"/>
      <c r="BW88" s="17"/>
    </row>
    <row r="89" spans="1:75" hidden="1" x14ac:dyDescent="0.25">
      <c r="A89" s="15" t="s">
        <v>268</v>
      </c>
      <c r="B89" s="15" t="s">
        <v>30</v>
      </c>
      <c r="C89" s="15">
        <v>2013</v>
      </c>
      <c r="D89" s="15" t="s">
        <v>269</v>
      </c>
      <c r="E89" s="15">
        <v>47400</v>
      </c>
      <c r="F89" s="15">
        <v>11182817</v>
      </c>
      <c r="G89" s="15" t="s">
        <v>109</v>
      </c>
      <c r="H89" s="15" t="s">
        <v>43</v>
      </c>
      <c r="I89" s="15" t="s">
        <v>188</v>
      </c>
      <c r="J89" s="15" t="s">
        <v>193</v>
      </c>
      <c r="K89" s="15" t="s">
        <v>190</v>
      </c>
      <c r="L89" s="15" t="s">
        <v>48</v>
      </c>
      <c r="M89" s="15" t="s">
        <v>62</v>
      </c>
      <c r="N89" s="15" t="s">
        <v>63</v>
      </c>
      <c r="O89" s="15"/>
      <c r="P89" s="15"/>
      <c r="Q89" s="15"/>
      <c r="R89" s="15"/>
      <c r="S89" s="15" t="s">
        <v>55</v>
      </c>
      <c r="T89" s="15"/>
      <c r="U89" s="15"/>
      <c r="V89" s="15"/>
      <c r="W89" s="15"/>
      <c r="X89" s="15" t="s">
        <v>55</v>
      </c>
      <c r="Y89" s="17">
        <v>533487</v>
      </c>
      <c r="Z89" s="17">
        <v>14356</v>
      </c>
      <c r="AA89" s="17">
        <v>4189</v>
      </c>
      <c r="AB89" s="17">
        <v>18545</v>
      </c>
      <c r="AC89" s="17">
        <v>552032</v>
      </c>
      <c r="AD89" s="17">
        <v>886</v>
      </c>
      <c r="AE89" s="51">
        <f t="shared" si="4"/>
        <v>47.705958167785454</v>
      </c>
      <c r="AF89" s="51">
        <f t="shared" si="5"/>
        <v>1.6583478027048104</v>
      </c>
      <c r="AG89" s="51">
        <f t="shared" si="6"/>
        <v>49.364305970490264</v>
      </c>
      <c r="AH89" s="51">
        <f t="shared" si="7"/>
        <v>7.9228695238418023E-2</v>
      </c>
      <c r="AI89" s="17">
        <v>924736</v>
      </c>
      <c r="AJ89" s="17">
        <v>546775</v>
      </c>
      <c r="AK89" s="17">
        <v>422299</v>
      </c>
      <c r="AL89" s="17">
        <v>969074</v>
      </c>
      <c r="AM89" s="17">
        <v>1893810</v>
      </c>
      <c r="AN89" s="17">
        <v>816107</v>
      </c>
      <c r="AO89" s="17">
        <v>42635500000</v>
      </c>
      <c r="AP89" s="17">
        <v>39536600000</v>
      </c>
      <c r="AQ89" s="17">
        <v>35337300000</v>
      </c>
      <c r="AR89" s="17">
        <v>74873900000</v>
      </c>
      <c r="AS89" s="17">
        <v>117509400000</v>
      </c>
      <c r="AT89" s="17">
        <v>73662700000</v>
      </c>
      <c r="AU89" s="15" t="s">
        <v>191</v>
      </c>
      <c r="AV89" s="15" t="s">
        <v>191</v>
      </c>
      <c r="BG89" s="15"/>
      <c r="BM89" s="17"/>
      <c r="BN89" s="17"/>
      <c r="BO89" s="17"/>
      <c r="BP89" s="17"/>
      <c r="BQ89" s="17"/>
      <c r="BW89" s="17"/>
    </row>
    <row r="90" spans="1:75" hidden="1" x14ac:dyDescent="0.25">
      <c r="A90" s="15" t="s">
        <v>268</v>
      </c>
      <c r="B90" s="15" t="s">
        <v>30</v>
      </c>
      <c r="C90" s="15">
        <v>2012</v>
      </c>
      <c r="D90" s="15" t="s">
        <v>269</v>
      </c>
      <c r="E90" s="15">
        <v>47190</v>
      </c>
      <c r="F90" s="15">
        <v>11128246</v>
      </c>
      <c r="G90" s="15" t="s">
        <v>109</v>
      </c>
      <c r="H90" s="15" t="s">
        <v>43</v>
      </c>
      <c r="I90" s="15" t="s">
        <v>188</v>
      </c>
      <c r="J90" s="15" t="s">
        <v>193</v>
      </c>
      <c r="K90" s="15" t="s">
        <v>190</v>
      </c>
      <c r="L90" s="15" t="s">
        <v>48</v>
      </c>
      <c r="M90" s="15" t="s">
        <v>62</v>
      </c>
      <c r="N90" s="15" t="s">
        <v>63</v>
      </c>
      <c r="O90" s="15"/>
      <c r="P90" s="15"/>
      <c r="Q90" s="15"/>
      <c r="R90" s="15"/>
      <c r="S90" s="15" t="s">
        <v>55</v>
      </c>
      <c r="T90" s="15"/>
      <c r="U90" s="15"/>
      <c r="V90" s="15"/>
      <c r="W90" s="15"/>
      <c r="X90" s="15" t="s">
        <v>55</v>
      </c>
      <c r="Y90" s="17">
        <v>533350</v>
      </c>
      <c r="Z90" s="17">
        <v>14524</v>
      </c>
      <c r="AA90" s="17">
        <v>4197</v>
      </c>
      <c r="AB90" s="17">
        <v>18721</v>
      </c>
      <c r="AC90" s="17">
        <v>552071</v>
      </c>
      <c r="AD90" s="17">
        <v>870</v>
      </c>
      <c r="AE90" s="51">
        <f t="shared" si="4"/>
        <v>47.927588947979764</v>
      </c>
      <c r="AF90" s="51">
        <f t="shared" si="5"/>
        <v>1.6822956645638496</v>
      </c>
      <c r="AG90" s="51">
        <f t="shared" si="6"/>
        <v>49.60988461254361</v>
      </c>
      <c r="AH90" s="51">
        <f t="shared" si="7"/>
        <v>7.8179436364005608E-2</v>
      </c>
      <c r="AI90" s="17">
        <v>927484</v>
      </c>
      <c r="AJ90" s="17">
        <v>551801</v>
      </c>
      <c r="AK90" s="17">
        <v>425582</v>
      </c>
      <c r="AL90" s="17">
        <v>977383</v>
      </c>
      <c r="AM90" s="17">
        <v>1904867</v>
      </c>
      <c r="AN90" s="17">
        <v>813488</v>
      </c>
      <c r="AO90" s="17">
        <v>45211100000</v>
      </c>
      <c r="AP90" s="17">
        <v>37153500000</v>
      </c>
      <c r="AQ90" s="17">
        <v>35183400000</v>
      </c>
      <c r="AR90" s="17">
        <v>72336900000</v>
      </c>
      <c r="AS90" s="17">
        <v>117548000000</v>
      </c>
      <c r="AT90" s="17">
        <v>71537700000</v>
      </c>
      <c r="AU90" s="15" t="s">
        <v>191</v>
      </c>
      <c r="AV90" s="15" t="s">
        <v>191</v>
      </c>
      <c r="BG90" s="15"/>
      <c r="BM90" s="17"/>
      <c r="BN90" s="17"/>
      <c r="BO90" s="17"/>
      <c r="BP90" s="17"/>
      <c r="BQ90" s="17"/>
      <c r="BW90" s="17"/>
    </row>
    <row r="91" spans="1:75" hidden="1" x14ac:dyDescent="0.25">
      <c r="A91" s="15" t="s">
        <v>268</v>
      </c>
      <c r="B91" s="15" t="s">
        <v>52</v>
      </c>
      <c r="C91" s="15">
        <v>2016</v>
      </c>
      <c r="D91" s="15" t="s">
        <v>269</v>
      </c>
      <c r="E91" s="15">
        <v>42640</v>
      </c>
      <c r="F91" s="15">
        <v>11372068</v>
      </c>
      <c r="G91" s="15" t="s">
        <v>109</v>
      </c>
      <c r="H91" s="15" t="s">
        <v>43</v>
      </c>
      <c r="I91" s="15" t="s">
        <v>270</v>
      </c>
      <c r="J91" s="15" t="s">
        <v>271</v>
      </c>
      <c r="K91" s="15" t="s">
        <v>190</v>
      </c>
      <c r="L91" s="15" t="s">
        <v>48</v>
      </c>
      <c r="M91" s="15" t="s">
        <v>62</v>
      </c>
      <c r="N91" s="15" t="s">
        <v>63</v>
      </c>
      <c r="O91" s="15"/>
      <c r="P91" s="15"/>
      <c r="Q91" s="15"/>
      <c r="R91" s="15"/>
      <c r="S91" s="15" t="s">
        <v>55</v>
      </c>
      <c r="T91" s="15"/>
      <c r="U91" s="15"/>
      <c r="V91" s="15"/>
      <c r="W91" s="15"/>
      <c r="X91" s="15" t="s">
        <v>55</v>
      </c>
      <c r="AE91" s="51" t="str">
        <f t="shared" si="4"/>
        <v/>
      </c>
      <c r="AF91" s="51" t="str">
        <f t="shared" si="5"/>
        <v/>
      </c>
      <c r="AG91" s="51" t="str">
        <f t="shared" si="6"/>
        <v/>
      </c>
      <c r="AH91" s="51" t="str">
        <f t="shared" si="7"/>
        <v/>
      </c>
      <c r="AI91" s="17">
        <v>904365</v>
      </c>
      <c r="AJ91" s="17">
        <v>552800</v>
      </c>
      <c r="AK91" s="17">
        <v>419841</v>
      </c>
      <c r="BF91" s="21">
        <v>0.66</v>
      </c>
      <c r="BM91" s="17"/>
      <c r="BN91" s="17"/>
      <c r="BO91" s="17"/>
      <c r="BP91" s="17"/>
      <c r="BQ91" s="17"/>
      <c r="BW91" s="17"/>
    </row>
    <row r="92" spans="1:75" hidden="1" x14ac:dyDescent="0.25">
      <c r="A92" s="15" t="s">
        <v>268</v>
      </c>
      <c r="B92" s="15" t="s">
        <v>52</v>
      </c>
      <c r="C92" s="15">
        <v>2015</v>
      </c>
      <c r="D92" s="15" t="s">
        <v>269</v>
      </c>
      <c r="E92" s="15">
        <v>44230</v>
      </c>
      <c r="F92" s="15">
        <v>11274196</v>
      </c>
      <c r="G92" s="15" t="s">
        <v>109</v>
      </c>
      <c r="H92" s="15" t="s">
        <v>43</v>
      </c>
      <c r="I92" s="15" t="s">
        <v>270</v>
      </c>
      <c r="J92" s="15" t="s">
        <v>271</v>
      </c>
      <c r="K92" s="15" t="s">
        <v>190</v>
      </c>
      <c r="L92" s="15" t="s">
        <v>48</v>
      </c>
      <c r="M92" s="15" t="s">
        <v>62</v>
      </c>
      <c r="N92" s="15" t="s">
        <v>63</v>
      </c>
      <c r="O92" s="15"/>
      <c r="P92" s="15"/>
      <c r="Q92" s="15"/>
      <c r="R92" s="15"/>
      <c r="S92" s="15" t="s">
        <v>55</v>
      </c>
      <c r="T92" s="15"/>
      <c r="U92" s="15"/>
      <c r="V92" s="15"/>
      <c r="W92" s="15"/>
      <c r="X92" s="15" t="s">
        <v>55</v>
      </c>
      <c r="AE92" s="51" t="str">
        <f t="shared" si="4"/>
        <v/>
      </c>
      <c r="AF92" s="51" t="str">
        <f t="shared" si="5"/>
        <v/>
      </c>
      <c r="AG92" s="51" t="str">
        <f t="shared" si="6"/>
        <v/>
      </c>
      <c r="AH92" s="51" t="str">
        <f t="shared" si="7"/>
        <v/>
      </c>
      <c r="AI92" s="17">
        <v>864178</v>
      </c>
      <c r="AJ92" s="17">
        <v>536720</v>
      </c>
      <c r="AK92" s="17">
        <v>416153</v>
      </c>
      <c r="BF92" s="21">
        <v>0.63439999999999996</v>
      </c>
      <c r="BM92" s="17"/>
      <c r="BN92" s="17"/>
      <c r="BO92" s="17"/>
      <c r="BP92" s="17"/>
      <c r="BQ92" s="17"/>
      <c r="BW92" s="17"/>
    </row>
    <row r="93" spans="1:75" hidden="1" x14ac:dyDescent="0.25">
      <c r="A93" s="15" t="s">
        <v>268</v>
      </c>
      <c r="B93" s="15" t="s">
        <v>52</v>
      </c>
      <c r="C93" s="15">
        <v>2014</v>
      </c>
      <c r="D93" s="15" t="s">
        <v>269</v>
      </c>
      <c r="E93" s="15">
        <v>46970</v>
      </c>
      <c r="F93" s="15">
        <v>11209057</v>
      </c>
      <c r="G93" s="15" t="s">
        <v>109</v>
      </c>
      <c r="H93" s="15" t="s">
        <v>43</v>
      </c>
      <c r="I93" s="15" t="s">
        <v>270</v>
      </c>
      <c r="J93" s="15" t="s">
        <v>271</v>
      </c>
      <c r="K93" s="15" t="s">
        <v>190</v>
      </c>
      <c r="L93" s="15" t="s">
        <v>48</v>
      </c>
      <c r="M93" s="15" t="s">
        <v>62</v>
      </c>
      <c r="N93" s="15" t="s">
        <v>63</v>
      </c>
      <c r="O93" s="15"/>
      <c r="P93" s="15"/>
      <c r="Q93" s="15"/>
      <c r="R93" s="15"/>
      <c r="S93" s="15" t="s">
        <v>55</v>
      </c>
      <c r="T93" s="15"/>
      <c r="U93" s="15"/>
      <c r="V93" s="15"/>
      <c r="W93" s="15"/>
      <c r="X93" s="15" t="s">
        <v>55</v>
      </c>
      <c r="AE93" s="51" t="str">
        <f t="shared" si="4"/>
        <v/>
      </c>
      <c r="AF93" s="51" t="str">
        <f t="shared" si="5"/>
        <v/>
      </c>
      <c r="AG93" s="51" t="str">
        <f t="shared" si="6"/>
        <v/>
      </c>
      <c r="AH93" s="51" t="str">
        <f t="shared" si="7"/>
        <v/>
      </c>
      <c r="BF93" s="21">
        <v>0.66390000000000005</v>
      </c>
      <c r="BM93" s="17"/>
      <c r="BN93" s="17"/>
      <c r="BO93" s="17"/>
      <c r="BP93" s="17"/>
      <c r="BQ93" s="17"/>
      <c r="BW93" s="17"/>
    </row>
    <row r="94" spans="1:75" hidden="1" x14ac:dyDescent="0.25">
      <c r="A94" s="15" t="s">
        <v>268</v>
      </c>
      <c r="B94" s="15" t="s">
        <v>52</v>
      </c>
      <c r="C94" s="15">
        <v>2013</v>
      </c>
      <c r="D94" s="15" t="s">
        <v>269</v>
      </c>
      <c r="E94" s="15">
        <v>47400</v>
      </c>
      <c r="F94" s="15">
        <v>11182817</v>
      </c>
      <c r="G94" s="15" t="s">
        <v>109</v>
      </c>
      <c r="H94" s="15" t="s">
        <v>43</v>
      </c>
      <c r="I94" s="15" t="s">
        <v>270</v>
      </c>
      <c r="J94" s="15" t="s">
        <v>271</v>
      </c>
      <c r="K94" s="15" t="s">
        <v>190</v>
      </c>
      <c r="L94" s="15" t="s">
        <v>48</v>
      </c>
      <c r="M94" s="15" t="s">
        <v>62</v>
      </c>
      <c r="N94" s="15" t="s">
        <v>63</v>
      </c>
      <c r="O94" s="15"/>
      <c r="P94" s="15"/>
      <c r="Q94" s="15"/>
      <c r="R94" s="15"/>
      <c r="S94" s="15" t="s">
        <v>55</v>
      </c>
      <c r="T94" s="15"/>
      <c r="U94" s="15"/>
      <c r="V94" s="15"/>
      <c r="W94" s="15"/>
      <c r="X94" s="15" t="s">
        <v>55</v>
      </c>
      <c r="AE94" s="51" t="str">
        <f t="shared" si="4"/>
        <v/>
      </c>
      <c r="AF94" s="51" t="str">
        <f t="shared" si="5"/>
        <v/>
      </c>
      <c r="AG94" s="51" t="str">
        <f t="shared" si="6"/>
        <v/>
      </c>
      <c r="AH94" s="51" t="str">
        <f t="shared" si="7"/>
        <v/>
      </c>
      <c r="BF94" s="21">
        <v>0.67600000000000005</v>
      </c>
      <c r="BM94" s="17"/>
      <c r="BN94" s="17"/>
      <c r="BO94" s="17"/>
      <c r="BP94" s="17"/>
      <c r="BQ94" s="17"/>
      <c r="BW94" s="17"/>
    </row>
    <row r="95" spans="1:75" hidden="1" x14ac:dyDescent="0.25">
      <c r="A95" s="15" t="s">
        <v>268</v>
      </c>
      <c r="B95" s="15" t="s">
        <v>52</v>
      </c>
      <c r="C95" s="15">
        <v>2012</v>
      </c>
      <c r="D95" s="15" t="s">
        <v>269</v>
      </c>
      <c r="E95" s="15">
        <v>47190</v>
      </c>
      <c r="F95" s="15">
        <v>11128246</v>
      </c>
      <c r="G95" s="15" t="s">
        <v>109</v>
      </c>
      <c r="H95" s="15" t="s">
        <v>43</v>
      </c>
      <c r="I95" s="15" t="s">
        <v>270</v>
      </c>
      <c r="J95" s="15" t="s">
        <v>271</v>
      </c>
      <c r="K95" s="15" t="s">
        <v>190</v>
      </c>
      <c r="L95" s="15" t="s">
        <v>48</v>
      </c>
      <c r="M95" s="15" t="s">
        <v>62</v>
      </c>
      <c r="N95" s="15" t="s">
        <v>63</v>
      </c>
      <c r="O95" s="15"/>
      <c r="P95" s="15"/>
      <c r="Q95" s="15"/>
      <c r="R95" s="15"/>
      <c r="S95" s="15" t="s">
        <v>55</v>
      </c>
      <c r="T95" s="15"/>
      <c r="U95" s="15"/>
      <c r="V95" s="15"/>
      <c r="W95" s="15"/>
      <c r="X95" s="15" t="s">
        <v>55</v>
      </c>
      <c r="AE95" s="51" t="str">
        <f t="shared" si="4"/>
        <v/>
      </c>
      <c r="AF95" s="51" t="str">
        <f t="shared" si="5"/>
        <v/>
      </c>
      <c r="AG95" s="51" t="str">
        <f t="shared" si="6"/>
        <v/>
      </c>
      <c r="AH95" s="51" t="str">
        <f t="shared" si="7"/>
        <v/>
      </c>
      <c r="BF95" s="21">
        <v>0.65429999999999999</v>
      </c>
      <c r="BM95" s="17"/>
      <c r="BN95" s="17"/>
      <c r="BO95" s="17"/>
      <c r="BP95" s="17"/>
      <c r="BQ95" s="17"/>
      <c r="BW95" s="17"/>
    </row>
    <row r="96" spans="1:75" hidden="1" x14ac:dyDescent="0.25">
      <c r="A96" s="15" t="s">
        <v>268</v>
      </c>
      <c r="B96" s="15" t="s">
        <v>52</v>
      </c>
      <c r="C96" s="15">
        <v>2011</v>
      </c>
      <c r="D96" s="15" t="s">
        <v>269</v>
      </c>
      <c r="E96" s="15">
        <v>47080</v>
      </c>
      <c r="F96" s="15">
        <v>11047744</v>
      </c>
      <c r="G96" s="15" t="s">
        <v>109</v>
      </c>
      <c r="H96" s="15" t="s">
        <v>43</v>
      </c>
      <c r="I96" s="15" t="s">
        <v>270</v>
      </c>
      <c r="J96" s="15" t="s">
        <v>271</v>
      </c>
      <c r="K96" s="15" t="s">
        <v>190</v>
      </c>
      <c r="L96" s="15" t="s">
        <v>48</v>
      </c>
      <c r="M96" s="15" t="s">
        <v>62</v>
      </c>
      <c r="N96" s="15" t="s">
        <v>63</v>
      </c>
      <c r="O96" s="15"/>
      <c r="P96" s="15"/>
      <c r="Q96" s="15"/>
      <c r="R96" s="15"/>
      <c r="S96" s="15" t="s">
        <v>55</v>
      </c>
      <c r="T96" s="15"/>
      <c r="U96" s="15"/>
      <c r="V96" s="15"/>
      <c r="W96" s="15"/>
      <c r="X96" s="15" t="s">
        <v>55</v>
      </c>
      <c r="AE96" s="51" t="str">
        <f t="shared" si="4"/>
        <v/>
      </c>
      <c r="AF96" s="51" t="str">
        <f t="shared" si="5"/>
        <v/>
      </c>
      <c r="AG96" s="51" t="str">
        <f t="shared" si="6"/>
        <v/>
      </c>
      <c r="AH96" s="51" t="str">
        <f t="shared" si="7"/>
        <v/>
      </c>
      <c r="BF96" s="21">
        <v>0.65069999999999995</v>
      </c>
      <c r="BM96" s="17"/>
      <c r="BN96" s="17"/>
      <c r="BO96" s="17"/>
      <c r="BP96" s="17"/>
      <c r="BQ96" s="17"/>
      <c r="BW96" s="17"/>
    </row>
    <row r="97" spans="1:75" hidden="1" x14ac:dyDescent="0.25">
      <c r="A97" s="15" t="s">
        <v>272</v>
      </c>
      <c r="B97" s="15" t="s">
        <v>30</v>
      </c>
      <c r="C97" s="15">
        <v>2016</v>
      </c>
      <c r="D97" s="15" t="s">
        <v>273</v>
      </c>
      <c r="E97" s="15">
        <v>4480</v>
      </c>
      <c r="F97" s="15">
        <v>366954</v>
      </c>
      <c r="G97" s="15" t="s">
        <v>42</v>
      </c>
      <c r="H97" s="15" t="s">
        <v>110</v>
      </c>
      <c r="I97" s="15" t="s">
        <v>274</v>
      </c>
      <c r="J97" s="15" t="s">
        <v>275</v>
      </c>
      <c r="K97" s="15" t="s">
        <v>241</v>
      </c>
      <c r="L97" s="15" t="s">
        <v>182</v>
      </c>
      <c r="M97" s="15" t="s">
        <v>276</v>
      </c>
      <c r="N97" s="15" t="s">
        <v>244</v>
      </c>
      <c r="O97" s="15" t="s">
        <v>277</v>
      </c>
      <c r="P97" s="15" t="s">
        <v>278</v>
      </c>
      <c r="Q97" s="15" t="s">
        <v>279</v>
      </c>
      <c r="R97" s="15" t="s">
        <v>280</v>
      </c>
      <c r="S97" s="15" t="s">
        <v>281</v>
      </c>
      <c r="T97" s="15" t="s">
        <v>220</v>
      </c>
      <c r="U97" s="15" t="s">
        <v>282</v>
      </c>
      <c r="V97" s="15" t="s">
        <v>283</v>
      </c>
      <c r="W97" s="15" t="s">
        <v>284</v>
      </c>
      <c r="X97" s="15" t="s">
        <v>281</v>
      </c>
      <c r="Y97" s="17">
        <v>5374</v>
      </c>
      <c r="Z97" s="17">
        <v>1565</v>
      </c>
      <c r="AA97" s="17">
        <v>477</v>
      </c>
      <c r="AB97" s="17">
        <v>2042</v>
      </c>
      <c r="AC97" s="17">
        <v>7416</v>
      </c>
      <c r="AD97" s="17">
        <v>558</v>
      </c>
      <c r="AE97" s="51">
        <f t="shared" si="4"/>
        <v>14.644887370079084</v>
      </c>
      <c r="AF97" s="51">
        <f t="shared" si="5"/>
        <v>5.5647301841647723</v>
      </c>
      <c r="AG97" s="51">
        <f t="shared" si="6"/>
        <v>20.209617554243856</v>
      </c>
      <c r="AH97" s="51">
        <f t="shared" si="7"/>
        <v>1.5206265635474747</v>
      </c>
      <c r="AU97" s="15" t="s">
        <v>285</v>
      </c>
      <c r="AV97" s="15" t="s">
        <v>285</v>
      </c>
      <c r="BG97" s="15"/>
      <c r="BM97" s="17"/>
      <c r="BN97" s="17"/>
      <c r="BO97" s="17"/>
      <c r="BP97" s="17"/>
      <c r="BQ97" s="17"/>
      <c r="BW97" s="17"/>
    </row>
    <row r="98" spans="1:75" hidden="1" x14ac:dyDescent="0.25">
      <c r="A98" s="15" t="s">
        <v>272</v>
      </c>
      <c r="B98" s="15" t="s">
        <v>52</v>
      </c>
      <c r="C98" s="15">
        <v>2012</v>
      </c>
      <c r="D98" s="15" t="s">
        <v>273</v>
      </c>
      <c r="E98" s="15">
        <v>4260</v>
      </c>
      <c r="F98" s="15">
        <v>336701</v>
      </c>
      <c r="G98" s="15" t="s">
        <v>42</v>
      </c>
      <c r="H98" s="15" t="s">
        <v>110</v>
      </c>
      <c r="I98" s="15" t="s">
        <v>286</v>
      </c>
      <c r="J98" s="15" t="s">
        <v>287</v>
      </c>
      <c r="K98" s="15" t="s">
        <v>241</v>
      </c>
      <c r="L98" s="15" t="s">
        <v>182</v>
      </c>
      <c r="M98" s="15" t="s">
        <v>276</v>
      </c>
      <c r="N98" s="15" t="s">
        <v>244</v>
      </c>
      <c r="O98" s="15" t="s">
        <v>277</v>
      </c>
      <c r="P98" s="15" t="s">
        <v>278</v>
      </c>
      <c r="Q98" s="15" t="s">
        <v>279</v>
      </c>
      <c r="R98" s="15" t="s">
        <v>280</v>
      </c>
      <c r="S98" s="15" t="s">
        <v>281</v>
      </c>
      <c r="T98" s="15" t="s">
        <v>220</v>
      </c>
      <c r="U98" s="15" t="s">
        <v>282</v>
      </c>
      <c r="V98" s="15" t="s">
        <v>283</v>
      </c>
      <c r="W98" s="15" t="s">
        <v>284</v>
      </c>
      <c r="X98" s="15" t="s">
        <v>281</v>
      </c>
      <c r="AE98" s="51" t="str">
        <f t="shared" si="4"/>
        <v/>
      </c>
      <c r="AF98" s="51" t="str">
        <f t="shared" si="5"/>
        <v/>
      </c>
      <c r="AG98" s="51" t="str">
        <f t="shared" si="6"/>
        <v/>
      </c>
      <c r="AH98" s="51" t="str">
        <f t="shared" si="7"/>
        <v/>
      </c>
      <c r="BG98" s="15"/>
      <c r="BM98" s="17"/>
      <c r="BN98" s="17"/>
      <c r="BO98" s="17"/>
      <c r="BP98" s="17"/>
      <c r="BQ98" s="17"/>
      <c r="BW98" s="17"/>
    </row>
    <row r="99" spans="1:75" hidden="1" x14ac:dyDescent="0.25">
      <c r="A99" s="15" t="s">
        <v>288</v>
      </c>
      <c r="B99" s="15" t="s">
        <v>30</v>
      </c>
      <c r="C99" s="15">
        <v>2008</v>
      </c>
      <c r="D99" s="15" t="s">
        <v>289</v>
      </c>
      <c r="E99" s="15">
        <v>750</v>
      </c>
      <c r="F99" s="15">
        <v>8696916</v>
      </c>
      <c r="G99" s="15" t="s">
        <v>32</v>
      </c>
      <c r="H99" s="15" t="s">
        <v>89</v>
      </c>
      <c r="I99" s="15" t="s">
        <v>290</v>
      </c>
      <c r="J99" s="15" t="s">
        <v>291</v>
      </c>
      <c r="K99" s="15"/>
      <c r="L99" s="15"/>
      <c r="M99" s="15"/>
      <c r="N99" s="15"/>
      <c r="O99" s="15" t="s">
        <v>292</v>
      </c>
      <c r="P99" s="15" t="s">
        <v>293</v>
      </c>
      <c r="Q99" s="15" t="s">
        <v>294</v>
      </c>
      <c r="R99" s="15" t="s">
        <v>295</v>
      </c>
      <c r="S99" s="15" t="s">
        <v>296</v>
      </c>
      <c r="T99" s="15"/>
      <c r="U99" s="15"/>
      <c r="V99" s="15"/>
      <c r="W99" s="15"/>
      <c r="X99" s="15" t="s">
        <v>296</v>
      </c>
      <c r="Y99" s="17">
        <v>4003</v>
      </c>
      <c r="Z99" s="17">
        <v>117507</v>
      </c>
      <c r="AA99" s="17">
        <v>16137</v>
      </c>
      <c r="AB99" s="17">
        <v>133644</v>
      </c>
      <c r="AC99" s="17">
        <v>137647</v>
      </c>
      <c r="AD99" s="17">
        <v>216</v>
      </c>
      <c r="AE99" s="51">
        <f t="shared" si="4"/>
        <v>0.46027810318048373</v>
      </c>
      <c r="AF99" s="51">
        <f t="shared" si="5"/>
        <v>15.366826585424073</v>
      </c>
      <c r="AG99" s="51">
        <f t="shared" si="6"/>
        <v>15.827104688604557</v>
      </c>
      <c r="AH99" s="51">
        <f t="shared" si="7"/>
        <v>2.4836390279036846E-2</v>
      </c>
      <c r="AU99" s="15" t="s">
        <v>297</v>
      </c>
      <c r="AV99" s="15" t="s">
        <v>297</v>
      </c>
      <c r="BG99" s="15"/>
      <c r="BM99" s="17"/>
      <c r="BN99" s="17"/>
      <c r="BO99" s="17"/>
      <c r="BP99" s="17"/>
      <c r="BQ99" s="17"/>
      <c r="BW99" s="17"/>
    </row>
    <row r="100" spans="1:75" hidden="1" x14ac:dyDescent="0.25">
      <c r="A100" s="15" t="s">
        <v>298</v>
      </c>
      <c r="B100" s="15" t="s">
        <v>30</v>
      </c>
      <c r="C100" s="15">
        <v>2017</v>
      </c>
      <c r="D100" s="15" t="s">
        <v>299</v>
      </c>
      <c r="E100" s="15">
        <v>106140</v>
      </c>
      <c r="F100" s="15">
        <v>65441</v>
      </c>
      <c r="G100" s="15" t="s">
        <v>109</v>
      </c>
      <c r="H100" s="15" t="s">
        <v>300</v>
      </c>
      <c r="I100" s="15" t="s">
        <v>301</v>
      </c>
      <c r="J100" s="15" t="s">
        <v>302</v>
      </c>
      <c r="K100" s="15" t="s">
        <v>46</v>
      </c>
      <c r="L100" s="15" t="s">
        <v>47</v>
      </c>
      <c r="M100" s="15" t="s">
        <v>48</v>
      </c>
      <c r="N100" s="15" t="s">
        <v>49</v>
      </c>
      <c r="O100" s="15"/>
      <c r="P100" s="15"/>
      <c r="Q100" s="15"/>
      <c r="R100" s="15"/>
      <c r="S100" s="15" t="s">
        <v>281</v>
      </c>
      <c r="T100" s="15" t="s">
        <v>220</v>
      </c>
      <c r="U100" s="15" t="s">
        <v>282</v>
      </c>
      <c r="V100" s="15" t="s">
        <v>283</v>
      </c>
      <c r="W100" s="15" t="s">
        <v>284</v>
      </c>
      <c r="X100" s="15" t="s">
        <v>281</v>
      </c>
      <c r="Y100" s="17">
        <v>3033</v>
      </c>
      <c r="Z100" s="17">
        <v>502</v>
      </c>
      <c r="AA100" s="17">
        <v>411</v>
      </c>
      <c r="AB100" s="17">
        <v>913</v>
      </c>
      <c r="AC100" s="17">
        <v>3946</v>
      </c>
      <c r="AD100" s="17">
        <v>123</v>
      </c>
      <c r="AE100" s="51">
        <f t="shared" si="4"/>
        <v>46.347091273055121</v>
      </c>
      <c r="AF100" s="51">
        <f t="shared" si="5"/>
        <v>13.951498296175181</v>
      </c>
      <c r="AG100" s="51">
        <f t="shared" si="6"/>
        <v>60.298589569230302</v>
      </c>
      <c r="AH100" s="51">
        <f t="shared" si="7"/>
        <v>1.8795556302623737</v>
      </c>
      <c r="AI100" s="17">
        <v>4763</v>
      </c>
      <c r="AJ100" s="17">
        <v>3315</v>
      </c>
      <c r="AK100" s="17">
        <v>8355</v>
      </c>
      <c r="AL100" s="17">
        <v>11670</v>
      </c>
      <c r="AM100" s="17">
        <v>16433</v>
      </c>
      <c r="AN100" s="17">
        <v>17220</v>
      </c>
      <c r="AU100" s="15" t="s">
        <v>303</v>
      </c>
      <c r="AV100" s="15" t="s">
        <v>303</v>
      </c>
      <c r="BG100" s="15"/>
      <c r="BM100" s="17"/>
      <c r="BN100" s="17"/>
      <c r="BO100" s="17"/>
      <c r="BP100" s="17"/>
      <c r="BQ100" s="17"/>
      <c r="BT100" s="15" t="s">
        <v>304</v>
      </c>
      <c r="BW100" s="17"/>
    </row>
    <row r="101" spans="1:75" hidden="1" x14ac:dyDescent="0.25">
      <c r="A101" s="15" t="s">
        <v>298</v>
      </c>
      <c r="B101" s="15" t="s">
        <v>30</v>
      </c>
      <c r="C101" s="15">
        <v>2016</v>
      </c>
      <c r="D101" s="15" t="s">
        <v>299</v>
      </c>
      <c r="E101" s="15">
        <v>106140</v>
      </c>
      <c r="F101" s="15">
        <v>65441</v>
      </c>
      <c r="G101" s="15" t="s">
        <v>109</v>
      </c>
      <c r="H101" s="15" t="s">
        <v>300</v>
      </c>
      <c r="I101" s="15" t="s">
        <v>301</v>
      </c>
      <c r="J101" s="15" t="s">
        <v>302</v>
      </c>
      <c r="K101" s="15" t="s">
        <v>46</v>
      </c>
      <c r="L101" s="15" t="s">
        <v>47</v>
      </c>
      <c r="M101" s="15" t="s">
        <v>48</v>
      </c>
      <c r="N101" s="15" t="s">
        <v>49</v>
      </c>
      <c r="O101" s="15"/>
      <c r="P101" s="15"/>
      <c r="Q101" s="15"/>
      <c r="R101" s="15"/>
      <c r="S101" s="15" t="s">
        <v>281</v>
      </c>
      <c r="T101" s="15" t="s">
        <v>220</v>
      </c>
      <c r="U101" s="15" t="s">
        <v>282</v>
      </c>
      <c r="V101" s="15" t="s">
        <v>283</v>
      </c>
      <c r="W101" s="15" t="s">
        <v>284</v>
      </c>
      <c r="X101" s="15" t="s">
        <v>281</v>
      </c>
      <c r="Y101" s="17">
        <v>3030</v>
      </c>
      <c r="Z101" s="17">
        <v>507</v>
      </c>
      <c r="AA101" s="17">
        <v>398</v>
      </c>
      <c r="AB101" s="17">
        <v>905</v>
      </c>
      <c r="AC101" s="17">
        <v>3935</v>
      </c>
      <c r="AD101" s="17">
        <v>119</v>
      </c>
      <c r="AE101" s="51">
        <f t="shared" si="4"/>
        <v>46.30124845280482</v>
      </c>
      <c r="AF101" s="51">
        <f t="shared" si="5"/>
        <v>13.82925077550771</v>
      </c>
      <c r="AG101" s="51">
        <f t="shared" si="6"/>
        <v>60.130499228312523</v>
      </c>
      <c r="AH101" s="51">
        <f t="shared" si="7"/>
        <v>1.8184318699286379</v>
      </c>
      <c r="AI101" s="17">
        <v>4788</v>
      </c>
      <c r="AJ101" s="17">
        <v>3336</v>
      </c>
      <c r="AK101" s="17">
        <v>8207</v>
      </c>
      <c r="AL101" s="17">
        <v>11543</v>
      </c>
      <c r="AM101" s="17">
        <v>16331</v>
      </c>
      <c r="AN101" s="17">
        <v>17150</v>
      </c>
      <c r="BG101" s="15"/>
      <c r="BM101" s="17"/>
      <c r="BN101" s="17"/>
      <c r="BO101" s="17"/>
      <c r="BP101" s="17"/>
      <c r="BQ101" s="17"/>
      <c r="BT101" s="15" t="s">
        <v>304</v>
      </c>
      <c r="BW101" s="17"/>
    </row>
    <row r="102" spans="1:75" hidden="1" x14ac:dyDescent="0.25">
      <c r="A102" s="15" t="s">
        <v>298</v>
      </c>
      <c r="B102" s="15" t="s">
        <v>30</v>
      </c>
      <c r="C102" s="15">
        <v>2015</v>
      </c>
      <c r="D102" s="15" t="s">
        <v>299</v>
      </c>
      <c r="E102" s="15">
        <v>106140</v>
      </c>
      <c r="F102" s="15">
        <v>65239</v>
      </c>
      <c r="G102" s="15" t="s">
        <v>109</v>
      </c>
      <c r="H102" s="15" t="s">
        <v>300</v>
      </c>
      <c r="I102" s="15" t="s">
        <v>301</v>
      </c>
      <c r="J102" s="15" t="s">
        <v>302</v>
      </c>
      <c r="K102" s="15" t="s">
        <v>46</v>
      </c>
      <c r="L102" s="15" t="s">
        <v>47</v>
      </c>
      <c r="M102" s="15" t="s">
        <v>48</v>
      </c>
      <c r="N102" s="15" t="s">
        <v>49</v>
      </c>
      <c r="O102" s="15"/>
      <c r="P102" s="15"/>
      <c r="Q102" s="15"/>
      <c r="R102" s="15"/>
      <c r="S102" s="15" t="s">
        <v>281</v>
      </c>
      <c r="T102" s="15" t="s">
        <v>220</v>
      </c>
      <c r="U102" s="15" t="s">
        <v>282</v>
      </c>
      <c r="V102" s="15" t="s">
        <v>283</v>
      </c>
      <c r="W102" s="15" t="s">
        <v>284</v>
      </c>
      <c r="X102" s="15" t="s">
        <v>281</v>
      </c>
      <c r="Y102" s="17">
        <v>3118</v>
      </c>
      <c r="Z102" s="17">
        <v>493</v>
      </c>
      <c r="AA102" s="17">
        <v>381</v>
      </c>
      <c r="AB102" s="17">
        <v>874</v>
      </c>
      <c r="AC102" s="17">
        <v>3992</v>
      </c>
      <c r="AD102" s="17">
        <v>117</v>
      </c>
      <c r="AE102" s="51">
        <f t="shared" si="4"/>
        <v>47.793497754410701</v>
      </c>
      <c r="AF102" s="51">
        <f t="shared" si="5"/>
        <v>13.396894495623783</v>
      </c>
      <c r="AG102" s="51">
        <f t="shared" si="6"/>
        <v>61.190392250034492</v>
      </c>
      <c r="AH102" s="51">
        <f t="shared" si="7"/>
        <v>1.7934057848832754</v>
      </c>
      <c r="AI102" s="17">
        <v>4977</v>
      </c>
      <c r="AJ102" s="17">
        <v>3198</v>
      </c>
      <c r="AK102" s="17">
        <v>7954</v>
      </c>
      <c r="AL102" s="17">
        <v>11152</v>
      </c>
      <c r="AM102" s="17">
        <v>16129</v>
      </c>
      <c r="AN102" s="17">
        <v>17346</v>
      </c>
      <c r="BG102" s="15"/>
      <c r="BM102" s="17"/>
      <c r="BN102" s="17"/>
      <c r="BO102" s="17"/>
      <c r="BP102" s="17"/>
      <c r="BQ102" s="17"/>
      <c r="BT102" s="15" t="s">
        <v>304</v>
      </c>
      <c r="BW102" s="17"/>
    </row>
    <row r="103" spans="1:75" hidden="1" x14ac:dyDescent="0.25">
      <c r="A103" s="15" t="s">
        <v>298</v>
      </c>
      <c r="B103" s="15" t="s">
        <v>30</v>
      </c>
      <c r="C103" s="15">
        <v>2014</v>
      </c>
      <c r="D103" s="15" t="s">
        <v>299</v>
      </c>
      <c r="E103" s="15">
        <v>106140</v>
      </c>
      <c r="F103" s="15">
        <v>65139</v>
      </c>
      <c r="G103" s="15" t="s">
        <v>109</v>
      </c>
      <c r="H103" s="15" t="s">
        <v>300</v>
      </c>
      <c r="I103" s="15" t="s">
        <v>301</v>
      </c>
      <c r="J103" s="15" t="s">
        <v>302</v>
      </c>
      <c r="K103" s="15" t="s">
        <v>46</v>
      </c>
      <c r="L103" s="15" t="s">
        <v>47</v>
      </c>
      <c r="M103" s="15" t="s">
        <v>48</v>
      </c>
      <c r="N103" s="15" t="s">
        <v>49</v>
      </c>
      <c r="O103" s="15"/>
      <c r="P103" s="15"/>
      <c r="Q103" s="15"/>
      <c r="R103" s="15"/>
      <c r="S103" s="15" t="s">
        <v>281</v>
      </c>
      <c r="T103" s="15" t="s">
        <v>220</v>
      </c>
      <c r="U103" s="15" t="s">
        <v>282</v>
      </c>
      <c r="V103" s="15" t="s">
        <v>283</v>
      </c>
      <c r="W103" s="15" t="s">
        <v>284</v>
      </c>
      <c r="X103" s="15" t="s">
        <v>281</v>
      </c>
      <c r="Y103" s="17">
        <v>3129</v>
      </c>
      <c r="Z103" s="17">
        <v>498</v>
      </c>
      <c r="AA103" s="17">
        <v>385</v>
      </c>
      <c r="AB103" s="17">
        <v>883</v>
      </c>
      <c r="AC103" s="17">
        <v>4012</v>
      </c>
      <c r="AD103" s="17">
        <v>118</v>
      </c>
      <c r="AE103" s="51">
        <f t="shared" si="4"/>
        <v>48.035738958227789</v>
      </c>
      <c r="AF103" s="51">
        <f t="shared" si="5"/>
        <v>13.555627197224398</v>
      </c>
      <c r="AG103" s="51">
        <f t="shared" si="6"/>
        <v>61.591366155452185</v>
      </c>
      <c r="AH103" s="51">
        <f t="shared" si="7"/>
        <v>1.8115107692780055</v>
      </c>
      <c r="AI103" s="17">
        <v>5025</v>
      </c>
      <c r="AJ103" s="17">
        <v>3260</v>
      </c>
      <c r="AK103" s="17">
        <v>8097</v>
      </c>
      <c r="AL103" s="17">
        <v>11357</v>
      </c>
      <c r="AM103" s="17">
        <v>16382</v>
      </c>
      <c r="AN103" s="17">
        <v>17895</v>
      </c>
      <c r="BG103" s="15"/>
      <c r="BM103" s="17"/>
      <c r="BN103" s="17"/>
      <c r="BO103" s="17"/>
      <c r="BP103" s="17"/>
      <c r="BQ103" s="17"/>
      <c r="BT103" s="15" t="s">
        <v>304</v>
      </c>
      <c r="BW103" s="17"/>
    </row>
    <row r="104" spans="1:75" hidden="1" x14ac:dyDescent="0.25">
      <c r="A104" s="15" t="s">
        <v>305</v>
      </c>
      <c r="B104" s="15" t="s">
        <v>30</v>
      </c>
      <c r="C104" s="15">
        <v>2017</v>
      </c>
      <c r="D104" s="15" t="s">
        <v>306</v>
      </c>
      <c r="E104" s="15">
        <v>2720</v>
      </c>
      <c r="F104" s="15">
        <v>807610</v>
      </c>
      <c r="G104" s="15" t="s">
        <v>88</v>
      </c>
      <c r="H104" s="15" t="s">
        <v>33</v>
      </c>
      <c r="I104" s="15" t="s">
        <v>307</v>
      </c>
      <c r="J104" s="15" t="s">
        <v>308</v>
      </c>
      <c r="K104" s="15" t="s">
        <v>46</v>
      </c>
      <c r="L104" s="15" t="s">
        <v>182</v>
      </c>
      <c r="M104" s="15" t="s">
        <v>309</v>
      </c>
      <c r="N104" s="15" t="s">
        <v>310</v>
      </c>
      <c r="O104" s="15"/>
      <c r="P104" s="15"/>
      <c r="Q104" s="15"/>
      <c r="R104" s="15"/>
      <c r="S104" s="15" t="s">
        <v>306</v>
      </c>
      <c r="T104" s="15"/>
      <c r="U104" s="15"/>
      <c r="V104" s="15"/>
      <c r="W104" s="15"/>
      <c r="X104" s="15" t="s">
        <v>306</v>
      </c>
      <c r="Y104" s="17">
        <v>14003</v>
      </c>
      <c r="Z104" s="17">
        <v>4029</v>
      </c>
      <c r="AA104" s="17">
        <v>1576</v>
      </c>
      <c r="AB104" s="17">
        <f>+Z104+AA104</f>
        <v>5605</v>
      </c>
      <c r="AC104" s="17">
        <f>+Y104+AB104</f>
        <v>19608</v>
      </c>
      <c r="AD104" s="17">
        <v>485</v>
      </c>
      <c r="AE104" s="51">
        <f t="shared" si="4"/>
        <v>17.338814526813685</v>
      </c>
      <c r="AF104" s="51">
        <f t="shared" si="5"/>
        <v>6.9402310521167392</v>
      </c>
      <c r="AG104" s="51">
        <f t="shared" si="6"/>
        <v>24.279045578930422</v>
      </c>
      <c r="AH104" s="51">
        <f t="shared" si="7"/>
        <v>0.60053738809573931</v>
      </c>
      <c r="BG104" s="15"/>
      <c r="BM104" s="17"/>
      <c r="BN104" s="17"/>
      <c r="BO104" s="17"/>
      <c r="BP104" s="17"/>
      <c r="BQ104" s="17"/>
      <c r="BW104" s="17" t="s">
        <v>311</v>
      </c>
    </row>
    <row r="105" spans="1:75" hidden="1" x14ac:dyDescent="0.25">
      <c r="A105" s="15" t="s">
        <v>305</v>
      </c>
      <c r="B105" s="15" t="s">
        <v>30</v>
      </c>
      <c r="C105" s="15">
        <v>2016</v>
      </c>
      <c r="D105" s="15" t="s">
        <v>306</v>
      </c>
      <c r="E105" s="15">
        <v>2510</v>
      </c>
      <c r="F105" s="15">
        <v>807610</v>
      </c>
      <c r="G105" s="15" t="s">
        <v>88</v>
      </c>
      <c r="H105" s="15" t="s">
        <v>33</v>
      </c>
      <c r="I105" s="15" t="s">
        <v>307</v>
      </c>
      <c r="J105" s="15" t="s">
        <v>308</v>
      </c>
      <c r="K105" s="15" t="s">
        <v>46</v>
      </c>
      <c r="L105" s="15" t="s">
        <v>182</v>
      </c>
      <c r="M105" s="15" t="s">
        <v>309</v>
      </c>
      <c r="N105" s="15" t="s">
        <v>310</v>
      </c>
      <c r="O105" s="15"/>
      <c r="P105" s="15"/>
      <c r="Q105" s="15"/>
      <c r="R105" s="15"/>
      <c r="S105" s="15" t="s">
        <v>306</v>
      </c>
      <c r="T105" s="15"/>
      <c r="U105" s="15"/>
      <c r="V105" s="15"/>
      <c r="W105" s="15"/>
      <c r="X105" s="15" t="s">
        <v>306</v>
      </c>
      <c r="Y105" s="17">
        <v>11719</v>
      </c>
      <c r="Z105" s="17">
        <v>3455</v>
      </c>
      <c r="AA105" s="17">
        <v>1407</v>
      </c>
      <c r="AB105" s="17">
        <f>+Z105+AA105</f>
        <v>4862</v>
      </c>
      <c r="AC105" s="17">
        <f>+Y105+AB105</f>
        <v>16581</v>
      </c>
      <c r="AD105" s="17">
        <v>423</v>
      </c>
      <c r="AE105" s="51">
        <f t="shared" si="4"/>
        <v>14.510716806379317</v>
      </c>
      <c r="AF105" s="51">
        <f t="shared" si="5"/>
        <v>6.0202325379824417</v>
      </c>
      <c r="AG105" s="51">
        <f t="shared" si="6"/>
        <v>20.530949344361758</v>
      </c>
      <c r="AH105" s="51">
        <f t="shared" si="7"/>
        <v>0.52376766013298504</v>
      </c>
      <c r="BG105" s="15"/>
      <c r="BM105" s="17"/>
      <c r="BN105" s="17"/>
      <c r="BO105" s="17"/>
      <c r="BP105" s="17"/>
      <c r="BQ105" s="17"/>
      <c r="BW105" s="17" t="s">
        <v>311</v>
      </c>
    </row>
    <row r="106" spans="1:75" hidden="1" x14ac:dyDescent="0.25">
      <c r="A106" s="15" t="s">
        <v>305</v>
      </c>
      <c r="B106" s="15" t="s">
        <v>30</v>
      </c>
      <c r="C106" s="15">
        <v>2015</v>
      </c>
      <c r="D106" s="15" t="s">
        <v>306</v>
      </c>
      <c r="E106" s="15">
        <v>2340</v>
      </c>
      <c r="F106" s="15">
        <v>787386</v>
      </c>
      <c r="G106" s="15" t="s">
        <v>88</v>
      </c>
      <c r="H106" s="15" t="s">
        <v>33</v>
      </c>
      <c r="I106" s="15" t="s">
        <v>307</v>
      </c>
      <c r="J106" s="15" t="s">
        <v>308</v>
      </c>
      <c r="K106" s="15" t="s">
        <v>46</v>
      </c>
      <c r="L106" s="15" t="s">
        <v>182</v>
      </c>
      <c r="M106" s="15" t="s">
        <v>309</v>
      </c>
      <c r="N106" s="15" t="s">
        <v>310</v>
      </c>
      <c r="O106" s="15"/>
      <c r="P106" s="15"/>
      <c r="Q106" s="15"/>
      <c r="R106" s="15"/>
      <c r="S106" s="15" t="s">
        <v>306</v>
      </c>
      <c r="T106" s="15"/>
      <c r="U106" s="15"/>
      <c r="V106" s="15"/>
      <c r="W106" s="15"/>
      <c r="X106" s="15" t="s">
        <v>306</v>
      </c>
      <c r="Y106" s="17">
        <v>16819</v>
      </c>
      <c r="Z106" s="17">
        <v>5785</v>
      </c>
      <c r="AA106" s="17">
        <v>327</v>
      </c>
      <c r="AB106" s="17">
        <v>6112</v>
      </c>
      <c r="AC106" s="17">
        <v>22931</v>
      </c>
      <c r="AD106" s="17">
        <v>203</v>
      </c>
      <c r="AE106" s="51">
        <f t="shared" si="4"/>
        <v>21.360552511728681</v>
      </c>
      <c r="AF106" s="51">
        <f t="shared" si="5"/>
        <v>7.7623935401442239</v>
      </c>
      <c r="AG106" s="51">
        <f t="shared" si="6"/>
        <v>29.122946051872905</v>
      </c>
      <c r="AH106" s="51">
        <f t="shared" si="7"/>
        <v>0.25781509958266974</v>
      </c>
      <c r="BG106" s="15"/>
      <c r="BM106" s="17"/>
      <c r="BN106" s="17"/>
      <c r="BO106" s="17"/>
      <c r="BP106" s="17"/>
      <c r="BQ106" s="17"/>
      <c r="BW106" s="17" t="s">
        <v>311</v>
      </c>
    </row>
    <row r="107" spans="1:75" hidden="1" x14ac:dyDescent="0.25">
      <c r="A107" s="15" t="s">
        <v>305</v>
      </c>
      <c r="B107" s="15" t="s">
        <v>30</v>
      </c>
      <c r="C107" s="15">
        <v>2014</v>
      </c>
      <c r="D107" s="15" t="s">
        <v>306</v>
      </c>
      <c r="E107" s="15">
        <v>2330</v>
      </c>
      <c r="F107" s="15">
        <v>776448</v>
      </c>
      <c r="G107" s="15" t="s">
        <v>88</v>
      </c>
      <c r="H107" s="15" t="s">
        <v>33</v>
      </c>
      <c r="I107" s="15" t="s">
        <v>307</v>
      </c>
      <c r="J107" s="15" t="s">
        <v>308</v>
      </c>
      <c r="K107" s="15" t="s">
        <v>46</v>
      </c>
      <c r="L107" s="15" t="s">
        <v>182</v>
      </c>
      <c r="M107" s="15" t="s">
        <v>309</v>
      </c>
      <c r="N107" s="15" t="s">
        <v>310</v>
      </c>
      <c r="O107" s="15"/>
      <c r="P107" s="15"/>
      <c r="Q107" s="15"/>
      <c r="R107" s="15"/>
      <c r="S107" s="15" t="s">
        <v>306</v>
      </c>
      <c r="T107" s="15"/>
      <c r="U107" s="15"/>
      <c r="V107" s="15"/>
      <c r="W107" s="15"/>
      <c r="X107" s="15" t="s">
        <v>306</v>
      </c>
      <c r="Y107" s="17">
        <v>25156</v>
      </c>
      <c r="Z107" s="17">
        <v>3659</v>
      </c>
      <c r="AA107" s="17">
        <v>296</v>
      </c>
      <c r="AB107" s="17">
        <v>3955</v>
      </c>
      <c r="AC107" s="17">
        <v>29111</v>
      </c>
      <c r="AD107" s="17">
        <v>177</v>
      </c>
      <c r="AE107" s="51">
        <f t="shared" si="4"/>
        <v>32.398821299043853</v>
      </c>
      <c r="AF107" s="51">
        <f t="shared" si="5"/>
        <v>5.0937087866798549</v>
      </c>
      <c r="AG107" s="51">
        <f t="shared" si="6"/>
        <v>37.492530085723708</v>
      </c>
      <c r="AH107" s="51">
        <f t="shared" si="7"/>
        <v>0.22796117705242333</v>
      </c>
      <c r="BG107" s="15"/>
      <c r="BM107" s="17"/>
      <c r="BN107" s="17"/>
      <c r="BO107" s="17"/>
      <c r="BP107" s="17"/>
      <c r="BQ107" s="17"/>
      <c r="BW107" s="17" t="s">
        <v>311</v>
      </c>
    </row>
    <row r="108" spans="1:75" hidden="1" x14ac:dyDescent="0.25">
      <c r="A108" s="15" t="s">
        <v>305</v>
      </c>
      <c r="B108" s="15" t="s">
        <v>30</v>
      </c>
      <c r="C108" s="15">
        <v>2013</v>
      </c>
      <c r="D108" s="15" t="s">
        <v>306</v>
      </c>
      <c r="E108" s="15">
        <v>2300</v>
      </c>
      <c r="F108" s="15">
        <v>764961</v>
      </c>
      <c r="G108" s="15" t="s">
        <v>88</v>
      </c>
      <c r="H108" s="15" t="s">
        <v>33</v>
      </c>
      <c r="I108" s="15" t="s">
        <v>307</v>
      </c>
      <c r="J108" s="15" t="s">
        <v>308</v>
      </c>
      <c r="K108" s="15" t="s">
        <v>46</v>
      </c>
      <c r="L108" s="15" t="s">
        <v>182</v>
      </c>
      <c r="M108" s="15" t="s">
        <v>309</v>
      </c>
      <c r="N108" s="15" t="s">
        <v>310</v>
      </c>
      <c r="O108" s="15"/>
      <c r="P108" s="15"/>
      <c r="Q108" s="15"/>
      <c r="R108" s="15"/>
      <c r="S108" s="15" t="s">
        <v>306</v>
      </c>
      <c r="T108" s="15"/>
      <c r="U108" s="15"/>
      <c r="V108" s="15"/>
      <c r="W108" s="15"/>
      <c r="X108" s="15" t="s">
        <v>306</v>
      </c>
      <c r="Y108" s="17">
        <v>23324</v>
      </c>
      <c r="Z108" s="17">
        <v>3053</v>
      </c>
      <c r="AA108" s="17">
        <v>268</v>
      </c>
      <c r="AB108" s="17">
        <v>3321</v>
      </c>
      <c r="AC108" s="17">
        <v>26645</v>
      </c>
      <c r="AD108" s="17">
        <v>162</v>
      </c>
      <c r="AE108" s="51">
        <f t="shared" si="4"/>
        <v>30.490443303645545</v>
      </c>
      <c r="AF108" s="51">
        <f t="shared" si="5"/>
        <v>4.3413977967504227</v>
      </c>
      <c r="AG108" s="51">
        <f t="shared" si="6"/>
        <v>34.831841100395962</v>
      </c>
      <c r="AH108" s="51">
        <f t="shared" si="7"/>
        <v>0.21177550228050843</v>
      </c>
      <c r="BG108" s="15"/>
      <c r="BM108" s="17"/>
      <c r="BN108" s="17"/>
      <c r="BO108" s="17"/>
      <c r="BP108" s="17"/>
      <c r="BQ108" s="17"/>
      <c r="BW108" s="17" t="s">
        <v>311</v>
      </c>
    </row>
    <row r="109" spans="1:75" hidden="1" x14ac:dyDescent="0.25">
      <c r="A109" s="15" t="s">
        <v>305</v>
      </c>
      <c r="B109" s="15" t="s">
        <v>30</v>
      </c>
      <c r="C109" s="15">
        <v>2012</v>
      </c>
      <c r="D109" s="15" t="s">
        <v>306</v>
      </c>
      <c r="E109" s="15">
        <v>2290</v>
      </c>
      <c r="F109" s="15">
        <v>752967</v>
      </c>
      <c r="G109" s="15" t="s">
        <v>88</v>
      </c>
      <c r="H109" s="15" t="s">
        <v>33</v>
      </c>
      <c r="I109" s="15" t="s">
        <v>307</v>
      </c>
      <c r="J109" s="15" t="s">
        <v>308</v>
      </c>
      <c r="K109" s="15" t="s">
        <v>46</v>
      </c>
      <c r="L109" s="15" t="s">
        <v>182</v>
      </c>
      <c r="M109" s="15" t="s">
        <v>309</v>
      </c>
      <c r="N109" s="15" t="s">
        <v>310</v>
      </c>
      <c r="O109" s="15"/>
      <c r="P109" s="15"/>
      <c r="Q109" s="15"/>
      <c r="R109" s="15"/>
      <c r="S109" s="15" t="s">
        <v>306</v>
      </c>
      <c r="T109" s="15"/>
      <c r="U109" s="15"/>
      <c r="V109" s="15"/>
      <c r="W109" s="15"/>
      <c r="X109" s="15" t="s">
        <v>306</v>
      </c>
      <c r="Y109" s="17">
        <v>21210</v>
      </c>
      <c r="Z109" s="17">
        <v>3014</v>
      </c>
      <c r="AA109" s="17">
        <v>240</v>
      </c>
      <c r="AB109" s="17">
        <v>3254</v>
      </c>
      <c r="AC109" s="17">
        <v>24464</v>
      </c>
      <c r="AD109" s="17">
        <v>141</v>
      </c>
      <c r="AE109" s="51">
        <f t="shared" si="4"/>
        <v>28.168565156241907</v>
      </c>
      <c r="AF109" s="51">
        <f t="shared" si="5"/>
        <v>4.3215705336356036</v>
      </c>
      <c r="AG109" s="51">
        <f t="shared" si="6"/>
        <v>32.490135689877512</v>
      </c>
      <c r="AH109" s="51">
        <f t="shared" si="7"/>
        <v>0.18725920259453602</v>
      </c>
      <c r="BG109" s="15"/>
      <c r="BM109" s="17"/>
      <c r="BN109" s="17"/>
      <c r="BO109" s="17"/>
      <c r="BP109" s="17"/>
      <c r="BQ109" s="17"/>
      <c r="BW109" s="17" t="s">
        <v>311</v>
      </c>
    </row>
    <row r="110" spans="1:75" hidden="1" x14ac:dyDescent="0.25">
      <c r="A110" s="15" t="s">
        <v>312</v>
      </c>
      <c r="B110" s="15" t="s">
        <v>30</v>
      </c>
      <c r="C110" s="15">
        <v>2010</v>
      </c>
      <c r="D110" s="15" t="s">
        <v>313</v>
      </c>
      <c r="E110" s="15">
        <v>1810</v>
      </c>
      <c r="F110" s="15">
        <v>9918242</v>
      </c>
      <c r="G110" s="15" t="s">
        <v>88</v>
      </c>
      <c r="H110" s="15" t="s">
        <v>110</v>
      </c>
      <c r="I110" s="15" t="s">
        <v>314</v>
      </c>
      <c r="J110" s="15" t="s">
        <v>315</v>
      </c>
      <c r="K110" s="15" t="s">
        <v>46</v>
      </c>
      <c r="L110" s="15" t="s">
        <v>316</v>
      </c>
      <c r="M110" s="15" t="s">
        <v>317</v>
      </c>
      <c r="N110" s="15" t="s">
        <v>49</v>
      </c>
      <c r="O110" s="15"/>
      <c r="P110" s="15"/>
      <c r="Q110" s="15"/>
      <c r="R110" s="15"/>
      <c r="S110" s="15" t="s">
        <v>1855</v>
      </c>
      <c r="T110" s="15"/>
      <c r="U110" s="15"/>
      <c r="V110" s="15"/>
      <c r="W110" s="15"/>
      <c r="X110" s="15" t="s">
        <v>1855</v>
      </c>
      <c r="AE110" s="51" t="str">
        <f t="shared" si="4"/>
        <v/>
      </c>
      <c r="AF110" s="51" t="str">
        <f t="shared" si="5"/>
        <v/>
      </c>
      <c r="AG110" s="51" t="str">
        <f t="shared" si="6"/>
        <v/>
      </c>
      <c r="AH110" s="51" t="str">
        <f t="shared" si="7"/>
        <v/>
      </c>
      <c r="AK110" s="17">
        <v>800375.43930000009</v>
      </c>
      <c r="AM110" s="17">
        <v>3170196.9385000002</v>
      </c>
      <c r="AN110" s="17">
        <v>701788.62219999998</v>
      </c>
      <c r="BG110" s="15"/>
      <c r="BM110" s="17"/>
      <c r="BN110" s="17"/>
      <c r="BO110" s="17"/>
      <c r="BP110" s="17"/>
      <c r="BQ110" s="17"/>
      <c r="BT110" s="15" t="s">
        <v>319</v>
      </c>
      <c r="BW110" s="17" t="s">
        <v>318</v>
      </c>
    </row>
    <row r="111" spans="1:75" hidden="1" x14ac:dyDescent="0.25">
      <c r="A111" s="15" t="s">
        <v>312</v>
      </c>
      <c r="B111" s="15" t="s">
        <v>52</v>
      </c>
      <c r="C111" s="15">
        <v>2018</v>
      </c>
      <c r="D111" s="15" t="s">
        <v>313</v>
      </c>
      <c r="E111" s="15">
        <v>3130</v>
      </c>
      <c r="F111" s="15">
        <v>11051600</v>
      </c>
      <c r="G111" s="15" t="s">
        <v>88</v>
      </c>
      <c r="H111" s="15" t="s">
        <v>110</v>
      </c>
      <c r="I111" s="15" t="s">
        <v>320</v>
      </c>
      <c r="J111" s="15" t="s">
        <v>321</v>
      </c>
      <c r="K111" s="15" t="s">
        <v>2013</v>
      </c>
      <c r="L111" s="15" t="s">
        <v>2014</v>
      </c>
      <c r="M111" s="15" t="s">
        <v>2015</v>
      </c>
      <c r="N111" s="15" t="s">
        <v>2016</v>
      </c>
      <c r="O111" s="15" t="s">
        <v>2013</v>
      </c>
      <c r="P111" s="15" t="s">
        <v>2014</v>
      </c>
      <c r="Q111" s="15" t="s">
        <v>2015</v>
      </c>
      <c r="R111" s="15" t="s">
        <v>2016</v>
      </c>
      <c r="S111" s="15" t="s">
        <v>1855</v>
      </c>
      <c r="T111" s="15" t="s">
        <v>1952</v>
      </c>
      <c r="U111" s="15" t="s">
        <v>1953</v>
      </c>
      <c r="V111" s="15" t="s">
        <v>1954</v>
      </c>
      <c r="W111" s="15" t="s">
        <v>1955</v>
      </c>
      <c r="X111" s="15" t="s">
        <v>1855</v>
      </c>
      <c r="AE111" s="51" t="str">
        <f t="shared" si="4"/>
        <v/>
      </c>
      <c r="AF111" s="51" t="str">
        <f t="shared" si="5"/>
        <v/>
      </c>
      <c r="AG111" s="51" t="str">
        <f t="shared" si="6"/>
        <v/>
      </c>
      <c r="AH111" s="51" t="str">
        <f t="shared" si="7"/>
        <v/>
      </c>
      <c r="BG111" s="15"/>
      <c r="BM111" s="17"/>
      <c r="BN111" s="17"/>
      <c r="BO111" s="17"/>
      <c r="BP111" s="17"/>
      <c r="BQ111" s="17"/>
      <c r="BT111" s="15" t="s">
        <v>1956</v>
      </c>
      <c r="BW111" s="17"/>
    </row>
    <row r="112" spans="1:75" hidden="1" x14ac:dyDescent="0.25">
      <c r="A112" s="15" t="s">
        <v>322</v>
      </c>
      <c r="B112" s="15" t="s">
        <v>30</v>
      </c>
      <c r="C112" s="15">
        <v>2015</v>
      </c>
      <c r="D112" s="15" t="s">
        <v>323</v>
      </c>
      <c r="E112" s="15">
        <v>5050</v>
      </c>
      <c r="F112" s="15">
        <v>3535961</v>
      </c>
      <c r="G112" s="15" t="s">
        <v>42</v>
      </c>
      <c r="H112" s="15" t="s">
        <v>43</v>
      </c>
      <c r="I112" s="15" t="s">
        <v>188</v>
      </c>
      <c r="J112" s="15" t="s">
        <v>189</v>
      </c>
      <c r="K112" s="15" t="s">
        <v>190</v>
      </c>
      <c r="L112" s="15" t="s">
        <v>48</v>
      </c>
      <c r="M112" s="15" t="s">
        <v>62</v>
      </c>
      <c r="N112" s="15" t="s">
        <v>63</v>
      </c>
      <c r="O112" s="15"/>
      <c r="P112" s="15"/>
      <c r="Q112" s="15"/>
      <c r="R112" s="15"/>
      <c r="S112" s="15" t="s">
        <v>55</v>
      </c>
      <c r="T112" s="15"/>
      <c r="U112" s="15"/>
      <c r="V112" s="15"/>
      <c r="W112" s="15"/>
      <c r="X112" s="15" t="s">
        <v>55</v>
      </c>
      <c r="Y112" s="17">
        <v>59540</v>
      </c>
      <c r="Z112" s="17">
        <v>4991</v>
      </c>
      <c r="AA112" s="17">
        <v>1076</v>
      </c>
      <c r="AB112" s="17">
        <v>6067</v>
      </c>
      <c r="AC112" s="17">
        <v>65607</v>
      </c>
      <c r="AD112" s="17">
        <v>193</v>
      </c>
      <c r="AE112" s="51">
        <f t="shared" si="4"/>
        <v>16.838421011996456</v>
      </c>
      <c r="AF112" s="51">
        <f t="shared" si="5"/>
        <v>1.7157994672452554</v>
      </c>
      <c r="AG112" s="51">
        <f t="shared" si="6"/>
        <v>18.554220479241714</v>
      </c>
      <c r="AH112" s="51">
        <f t="shared" si="7"/>
        <v>5.4582049971705002E-2</v>
      </c>
      <c r="AI112" s="17">
        <v>134933</v>
      </c>
      <c r="AJ112" s="17">
        <v>101307</v>
      </c>
      <c r="AK112" s="17">
        <v>107022</v>
      </c>
      <c r="AL112" s="17">
        <f>+AJ112+AK112</f>
        <v>208329</v>
      </c>
      <c r="AM112" s="17">
        <f>+AL112+AI112</f>
        <v>343262</v>
      </c>
      <c r="AN112" s="17">
        <v>136608</v>
      </c>
      <c r="AO112" s="17">
        <v>1555500000</v>
      </c>
      <c r="AP112" s="17">
        <v>1585500000</v>
      </c>
      <c r="AQ112" s="17">
        <v>1561000000</v>
      </c>
      <c r="AR112" s="17">
        <f>+AP112+AQ112</f>
        <v>3146500000</v>
      </c>
      <c r="AS112" s="17">
        <f>+AR112+AO112</f>
        <v>4702000000</v>
      </c>
      <c r="AT112" s="17">
        <v>2467000000</v>
      </c>
      <c r="AU112" s="15" t="s">
        <v>191</v>
      </c>
      <c r="AV112" s="15" t="s">
        <v>189</v>
      </c>
      <c r="BG112" s="15"/>
      <c r="BM112" s="17"/>
      <c r="BN112" s="17"/>
      <c r="BO112" s="17"/>
      <c r="BP112" s="17"/>
      <c r="BQ112" s="17"/>
      <c r="BW112" s="17"/>
    </row>
    <row r="113" spans="1:75" hidden="1" x14ac:dyDescent="0.25">
      <c r="A113" s="15" t="s">
        <v>322</v>
      </c>
      <c r="B113" s="15" t="s">
        <v>30</v>
      </c>
      <c r="C113" s="15">
        <v>2014</v>
      </c>
      <c r="D113" s="15" t="s">
        <v>323</v>
      </c>
      <c r="E113" s="15">
        <v>5170</v>
      </c>
      <c r="F113" s="15">
        <v>3566002</v>
      </c>
      <c r="G113" s="15" t="s">
        <v>42</v>
      </c>
      <c r="H113" s="15" t="s">
        <v>43</v>
      </c>
      <c r="I113" s="15" t="s">
        <v>188</v>
      </c>
      <c r="J113" s="15" t="s">
        <v>189</v>
      </c>
      <c r="K113" s="15" t="s">
        <v>190</v>
      </c>
      <c r="L113" s="15" t="s">
        <v>48</v>
      </c>
      <c r="M113" s="15" t="s">
        <v>62</v>
      </c>
      <c r="N113" s="15" t="s">
        <v>63</v>
      </c>
      <c r="O113" s="15"/>
      <c r="P113" s="15"/>
      <c r="Q113" s="15"/>
      <c r="R113" s="15"/>
      <c r="S113" s="15" t="s">
        <v>55</v>
      </c>
      <c r="T113" s="15"/>
      <c r="U113" s="15"/>
      <c r="V113" s="15"/>
      <c r="W113" s="15"/>
      <c r="X113" s="15" t="s">
        <v>55</v>
      </c>
      <c r="Y113" s="17">
        <v>58780</v>
      </c>
      <c r="Z113" s="17">
        <v>4924</v>
      </c>
      <c r="AA113" s="17">
        <v>1070</v>
      </c>
      <c r="AB113" s="17">
        <v>5994</v>
      </c>
      <c r="AC113" s="17">
        <v>64774</v>
      </c>
      <c r="AD113" s="17">
        <v>189</v>
      </c>
      <c r="AE113" s="51">
        <f t="shared" si="4"/>
        <v>16.483445606592479</v>
      </c>
      <c r="AF113" s="51">
        <f t="shared" si="5"/>
        <v>1.6808739871710672</v>
      </c>
      <c r="AG113" s="51">
        <f t="shared" si="6"/>
        <v>18.164319593763548</v>
      </c>
      <c r="AH113" s="51">
        <f t="shared" si="7"/>
        <v>5.3000531127015631E-2</v>
      </c>
      <c r="AI113" s="17">
        <v>132257</v>
      </c>
      <c r="AJ113" s="17">
        <v>100394</v>
      </c>
      <c r="AK113" s="17">
        <v>105552</v>
      </c>
      <c r="AL113" s="17">
        <f>+AJ113+AK113</f>
        <v>205946</v>
      </c>
      <c r="AM113" s="17">
        <f>+AL113+AI113</f>
        <v>338203</v>
      </c>
      <c r="AN113" s="17">
        <v>135281</v>
      </c>
      <c r="AO113" s="17">
        <v>1426100000</v>
      </c>
      <c r="AP113" s="17">
        <v>1510000000</v>
      </c>
      <c r="AQ113" s="17">
        <v>1470300000</v>
      </c>
      <c r="AR113" s="17">
        <f>+AP113+AQ113</f>
        <v>2980300000</v>
      </c>
      <c r="AS113" s="17">
        <f>+AR113+AO113</f>
        <v>4406400000</v>
      </c>
      <c r="AT113" s="17">
        <v>2332100000</v>
      </c>
      <c r="AU113" s="15" t="s">
        <v>191</v>
      </c>
      <c r="AV113" s="15" t="s">
        <v>189</v>
      </c>
      <c r="BG113" s="15"/>
      <c r="BM113" s="17"/>
      <c r="BN113" s="17"/>
      <c r="BO113" s="17"/>
      <c r="BP113" s="17"/>
      <c r="BQ113" s="17"/>
      <c r="BW113" s="17"/>
    </row>
    <row r="114" spans="1:75" hidden="1" x14ac:dyDescent="0.25">
      <c r="A114" s="15" t="s">
        <v>322</v>
      </c>
      <c r="B114" s="15" t="s">
        <v>52</v>
      </c>
      <c r="C114" s="15">
        <v>2017</v>
      </c>
      <c r="D114" s="15" t="s">
        <v>323</v>
      </c>
      <c r="E114" s="15">
        <v>4940</v>
      </c>
      <c r="F114" s="15">
        <v>3507017</v>
      </c>
      <c r="G114" s="15" t="s">
        <v>42</v>
      </c>
      <c r="H114" s="15" t="s">
        <v>43</v>
      </c>
      <c r="I114" s="15" t="s">
        <v>324</v>
      </c>
      <c r="J114" s="15" t="s">
        <v>325</v>
      </c>
      <c r="K114" s="15" t="s">
        <v>61</v>
      </c>
      <c r="L114" s="15" t="s">
        <v>48</v>
      </c>
      <c r="M114" s="15" t="s">
        <v>62</v>
      </c>
      <c r="N114" s="15" t="s">
        <v>63</v>
      </c>
      <c r="O114" s="15" t="s">
        <v>326</v>
      </c>
      <c r="P114" s="15" t="s">
        <v>327</v>
      </c>
      <c r="Q114" s="15" t="s">
        <v>328</v>
      </c>
      <c r="R114" s="15" t="s">
        <v>329</v>
      </c>
      <c r="S114" s="15" t="s">
        <v>330</v>
      </c>
      <c r="T114" s="15"/>
      <c r="U114" s="15"/>
      <c r="V114" s="15"/>
      <c r="W114" s="15"/>
      <c r="X114" s="15" t="s">
        <v>330</v>
      </c>
      <c r="Y114" s="17">
        <v>25003</v>
      </c>
      <c r="Z114" s="17">
        <v>6212</v>
      </c>
      <c r="AA114" s="17">
        <v>2113</v>
      </c>
      <c r="AB114" s="17">
        <v>8325</v>
      </c>
      <c r="AC114" s="17">
        <v>33328</v>
      </c>
      <c r="AD114" s="17">
        <v>335</v>
      </c>
      <c r="AE114" s="51">
        <f t="shared" si="4"/>
        <v>7.1294208154679604</v>
      </c>
      <c r="AF114" s="51">
        <f t="shared" si="5"/>
        <v>2.3738122740779417</v>
      </c>
      <c r="AG114" s="51">
        <f t="shared" si="6"/>
        <v>9.5032330895459012</v>
      </c>
      <c r="AH114" s="51">
        <f t="shared" si="7"/>
        <v>9.5522776194127371E-2</v>
      </c>
      <c r="AU114" s="15" t="s">
        <v>325</v>
      </c>
      <c r="AV114" s="15" t="s">
        <v>325</v>
      </c>
      <c r="BG114" s="15"/>
      <c r="BM114" s="17"/>
      <c r="BN114" s="17"/>
      <c r="BO114" s="17"/>
      <c r="BP114" s="17"/>
      <c r="BQ114" s="17"/>
      <c r="BW114" s="17" t="s">
        <v>331</v>
      </c>
    </row>
    <row r="115" spans="1:75" hidden="1" x14ac:dyDescent="0.25">
      <c r="A115" s="15" t="s">
        <v>322</v>
      </c>
      <c r="B115" s="15" t="s">
        <v>52</v>
      </c>
      <c r="C115" s="15">
        <v>2016</v>
      </c>
      <c r="D115" s="15" t="s">
        <v>323</v>
      </c>
      <c r="E115" s="15">
        <v>4940</v>
      </c>
      <c r="F115" s="15">
        <v>3507017</v>
      </c>
      <c r="G115" s="15" t="s">
        <v>42</v>
      </c>
      <c r="H115" s="15" t="s">
        <v>43</v>
      </c>
      <c r="I115" s="15" t="s">
        <v>324</v>
      </c>
      <c r="J115" s="15" t="s">
        <v>325</v>
      </c>
      <c r="K115" s="15" t="s">
        <v>61</v>
      </c>
      <c r="L115" s="15" t="s">
        <v>48</v>
      </c>
      <c r="M115" s="15" t="s">
        <v>62</v>
      </c>
      <c r="N115" s="15" t="s">
        <v>63</v>
      </c>
      <c r="O115" s="15" t="s">
        <v>326</v>
      </c>
      <c r="P115" s="15" t="s">
        <v>327</v>
      </c>
      <c r="Q115" s="15" t="s">
        <v>328</v>
      </c>
      <c r="R115" s="15" t="s">
        <v>329</v>
      </c>
      <c r="S115" s="15" t="s">
        <v>330</v>
      </c>
      <c r="T115" s="15"/>
      <c r="U115" s="15"/>
      <c r="V115" s="15"/>
      <c r="W115" s="15"/>
      <c r="X115" s="15" t="s">
        <v>330</v>
      </c>
      <c r="Y115" s="17">
        <v>24983</v>
      </c>
      <c r="Z115" s="17">
        <v>6045</v>
      </c>
      <c r="AA115" s="17">
        <v>2026</v>
      </c>
      <c r="AB115" s="17">
        <v>8071</v>
      </c>
      <c r="AC115" s="17">
        <v>33054</v>
      </c>
      <c r="AD115" s="17">
        <v>336</v>
      </c>
      <c r="AE115" s="51">
        <f t="shared" si="4"/>
        <v>7.1237179631578629</v>
      </c>
      <c r="AF115" s="51">
        <f t="shared" si="5"/>
        <v>2.3013860497397074</v>
      </c>
      <c r="AG115" s="51">
        <f t="shared" si="6"/>
        <v>9.4251040128975703</v>
      </c>
      <c r="AH115" s="51">
        <f t="shared" si="7"/>
        <v>9.5807918809632228E-2</v>
      </c>
      <c r="BG115" s="15"/>
      <c r="BM115" s="17"/>
      <c r="BN115" s="17"/>
      <c r="BO115" s="17"/>
      <c r="BP115" s="17"/>
      <c r="BQ115" s="17"/>
      <c r="BW115" s="17"/>
    </row>
    <row r="116" spans="1:75" hidden="1" x14ac:dyDescent="0.25">
      <c r="A116" s="15" t="s">
        <v>322</v>
      </c>
      <c r="B116" s="15" t="s">
        <v>52</v>
      </c>
      <c r="C116" s="15">
        <v>2015</v>
      </c>
      <c r="D116" s="15" t="s">
        <v>323</v>
      </c>
      <c r="E116" s="15">
        <v>5050</v>
      </c>
      <c r="F116" s="15">
        <v>3535961</v>
      </c>
      <c r="G116" s="15" t="s">
        <v>42</v>
      </c>
      <c r="H116" s="15" t="s">
        <v>43</v>
      </c>
      <c r="I116" s="15" t="s">
        <v>324</v>
      </c>
      <c r="J116" s="15" t="s">
        <v>325</v>
      </c>
      <c r="K116" s="15" t="s">
        <v>61</v>
      </c>
      <c r="L116" s="15" t="s">
        <v>48</v>
      </c>
      <c r="M116" s="15" t="s">
        <v>62</v>
      </c>
      <c r="N116" s="15" t="s">
        <v>63</v>
      </c>
      <c r="O116" s="15" t="s">
        <v>326</v>
      </c>
      <c r="P116" s="15" t="s">
        <v>327</v>
      </c>
      <c r="Q116" s="15" t="s">
        <v>328</v>
      </c>
      <c r="R116" s="15" t="s">
        <v>329</v>
      </c>
      <c r="S116" s="15" t="s">
        <v>330</v>
      </c>
      <c r="T116" s="15"/>
      <c r="U116" s="15"/>
      <c r="V116" s="15"/>
      <c r="W116" s="15"/>
      <c r="X116" s="15" t="s">
        <v>330</v>
      </c>
      <c r="Y116" s="17">
        <v>24557</v>
      </c>
      <c r="Z116" s="17">
        <v>5906</v>
      </c>
      <c r="AA116" s="17">
        <v>1978</v>
      </c>
      <c r="AB116" s="17">
        <v>7884</v>
      </c>
      <c r="AC116" s="17">
        <v>32441</v>
      </c>
      <c r="AD116" s="17">
        <v>319</v>
      </c>
      <c r="AE116" s="51">
        <f t="shared" si="4"/>
        <v>6.9449295396640407</v>
      </c>
      <c r="AF116" s="51">
        <f t="shared" si="5"/>
        <v>2.2296626009166958</v>
      </c>
      <c r="AG116" s="51">
        <f t="shared" si="6"/>
        <v>9.1745921405807369</v>
      </c>
      <c r="AH116" s="51">
        <f t="shared" si="7"/>
        <v>9.0215927155305173E-2</v>
      </c>
      <c r="BG116" s="15"/>
      <c r="BM116" s="17"/>
      <c r="BN116" s="17"/>
      <c r="BO116" s="17"/>
      <c r="BP116" s="17"/>
      <c r="BQ116" s="17"/>
      <c r="BW116" s="17"/>
    </row>
    <row r="117" spans="1:75" hidden="1" x14ac:dyDescent="0.25">
      <c r="A117" s="15" t="s">
        <v>322</v>
      </c>
      <c r="B117" s="15" t="s">
        <v>52</v>
      </c>
      <c r="C117" s="15">
        <v>2014</v>
      </c>
      <c r="D117" s="15" t="s">
        <v>323</v>
      </c>
      <c r="E117" s="15">
        <v>5170</v>
      </c>
      <c r="F117" s="15">
        <v>3566002</v>
      </c>
      <c r="G117" s="15" t="s">
        <v>42</v>
      </c>
      <c r="H117" s="15" t="s">
        <v>43</v>
      </c>
      <c r="I117" s="15" t="s">
        <v>324</v>
      </c>
      <c r="J117" s="15" t="s">
        <v>325</v>
      </c>
      <c r="K117" s="15" t="s">
        <v>61</v>
      </c>
      <c r="L117" s="15" t="s">
        <v>48</v>
      </c>
      <c r="M117" s="15" t="s">
        <v>62</v>
      </c>
      <c r="N117" s="15" t="s">
        <v>63</v>
      </c>
      <c r="O117" s="15" t="s">
        <v>326</v>
      </c>
      <c r="P117" s="15" t="s">
        <v>327</v>
      </c>
      <c r="Q117" s="15" t="s">
        <v>328</v>
      </c>
      <c r="R117" s="15" t="s">
        <v>329</v>
      </c>
      <c r="S117" s="15" t="s">
        <v>330</v>
      </c>
      <c r="T117" s="15"/>
      <c r="U117" s="15"/>
      <c r="V117" s="15"/>
      <c r="W117" s="15"/>
      <c r="X117" s="15" t="s">
        <v>330</v>
      </c>
      <c r="Y117" s="17">
        <v>24512</v>
      </c>
      <c r="Z117" s="17">
        <v>5841</v>
      </c>
      <c r="AA117" s="17">
        <v>1981</v>
      </c>
      <c r="AB117" s="17">
        <v>7822</v>
      </c>
      <c r="AC117" s="17">
        <v>32334</v>
      </c>
      <c r="AD117" s="17">
        <v>300</v>
      </c>
      <c r="AE117" s="51">
        <f t="shared" si="4"/>
        <v>6.8738043332561229</v>
      </c>
      <c r="AF117" s="51">
        <f t="shared" si="5"/>
        <v>2.1934928808228373</v>
      </c>
      <c r="AG117" s="51">
        <f t="shared" si="6"/>
        <v>9.0672972140789589</v>
      </c>
      <c r="AH117" s="51">
        <f t="shared" si="7"/>
        <v>8.4127827185739093E-2</v>
      </c>
      <c r="BG117" s="15"/>
      <c r="BM117" s="17"/>
      <c r="BN117" s="17"/>
      <c r="BO117" s="17"/>
      <c r="BP117" s="17"/>
      <c r="BQ117" s="17"/>
      <c r="BW117" s="17"/>
    </row>
    <row r="118" spans="1:75" hidden="1" x14ac:dyDescent="0.25">
      <c r="A118" s="15" t="s">
        <v>322</v>
      </c>
      <c r="B118" s="15" t="s">
        <v>52</v>
      </c>
      <c r="C118" s="15">
        <v>2013</v>
      </c>
      <c r="D118" s="15" t="s">
        <v>323</v>
      </c>
      <c r="E118" s="15">
        <v>5180</v>
      </c>
      <c r="F118" s="15">
        <v>3604999</v>
      </c>
      <c r="G118" s="15" t="s">
        <v>42</v>
      </c>
      <c r="H118" s="15" t="s">
        <v>43</v>
      </c>
      <c r="I118" s="15" t="s">
        <v>324</v>
      </c>
      <c r="J118" s="15" t="s">
        <v>325</v>
      </c>
      <c r="K118" s="15" t="s">
        <v>61</v>
      </c>
      <c r="L118" s="15" t="s">
        <v>48</v>
      </c>
      <c r="M118" s="15" t="s">
        <v>62</v>
      </c>
      <c r="N118" s="15" t="s">
        <v>63</v>
      </c>
      <c r="O118" s="15" t="s">
        <v>326</v>
      </c>
      <c r="P118" s="15" t="s">
        <v>327</v>
      </c>
      <c r="Q118" s="15" t="s">
        <v>328</v>
      </c>
      <c r="R118" s="15" t="s">
        <v>329</v>
      </c>
      <c r="S118" s="15" t="s">
        <v>330</v>
      </c>
      <c r="T118" s="15"/>
      <c r="U118" s="15"/>
      <c r="V118" s="15"/>
      <c r="W118" s="15"/>
      <c r="X118" s="15" t="s">
        <v>330</v>
      </c>
      <c r="Y118" s="17">
        <v>23183</v>
      </c>
      <c r="Z118" s="17">
        <v>5891</v>
      </c>
      <c r="AA118" s="17">
        <v>1907</v>
      </c>
      <c r="AB118" s="17">
        <v>7798</v>
      </c>
      <c r="AC118" s="17">
        <v>30981</v>
      </c>
      <c r="AD118" s="17">
        <v>300</v>
      </c>
      <c r="AE118" s="51">
        <f t="shared" si="4"/>
        <v>6.4307923525082806</v>
      </c>
      <c r="AF118" s="51">
        <f t="shared" si="5"/>
        <v>2.1631073961462959</v>
      </c>
      <c r="AG118" s="51">
        <f t="shared" si="6"/>
        <v>8.593899748654577</v>
      </c>
      <c r="AH118" s="51">
        <f t="shared" si="7"/>
        <v>8.3217776204653593E-2</v>
      </c>
      <c r="AI118" s="17">
        <v>66851</v>
      </c>
      <c r="AJ118" s="17">
        <v>126993</v>
      </c>
      <c r="AK118" s="17">
        <v>187934</v>
      </c>
      <c r="AL118" s="17">
        <v>314927</v>
      </c>
      <c r="AM118" s="17">
        <v>381778</v>
      </c>
      <c r="AN118" s="17">
        <v>235992</v>
      </c>
      <c r="BG118" s="15"/>
      <c r="BM118" s="17"/>
      <c r="BN118" s="17"/>
      <c r="BO118" s="17"/>
      <c r="BP118" s="17"/>
      <c r="BQ118" s="17"/>
      <c r="BW118" s="17"/>
    </row>
    <row r="119" spans="1:75" hidden="1" x14ac:dyDescent="0.25">
      <c r="A119" s="15" t="s">
        <v>322</v>
      </c>
      <c r="B119" s="15" t="s">
        <v>52</v>
      </c>
      <c r="C119" s="15">
        <v>2012</v>
      </c>
      <c r="D119" s="15" t="s">
        <v>323</v>
      </c>
      <c r="E119" s="15">
        <v>4930</v>
      </c>
      <c r="F119" s="15">
        <v>3648200</v>
      </c>
      <c r="G119" s="15" t="s">
        <v>42</v>
      </c>
      <c r="H119" s="15" t="s">
        <v>43</v>
      </c>
      <c r="I119" s="15" t="s">
        <v>324</v>
      </c>
      <c r="J119" s="15" t="s">
        <v>325</v>
      </c>
      <c r="K119" s="15" t="s">
        <v>61</v>
      </c>
      <c r="L119" s="15" t="s">
        <v>48</v>
      </c>
      <c r="M119" s="15" t="s">
        <v>62</v>
      </c>
      <c r="N119" s="15" t="s">
        <v>63</v>
      </c>
      <c r="O119" s="15" t="s">
        <v>326</v>
      </c>
      <c r="P119" s="15" t="s">
        <v>327</v>
      </c>
      <c r="Q119" s="15" t="s">
        <v>328</v>
      </c>
      <c r="R119" s="15" t="s">
        <v>329</v>
      </c>
      <c r="S119" s="15" t="s">
        <v>330</v>
      </c>
      <c r="T119" s="15"/>
      <c r="U119" s="15"/>
      <c r="V119" s="15"/>
      <c r="W119" s="15"/>
      <c r="X119" s="15" t="s">
        <v>330</v>
      </c>
      <c r="Y119" s="17">
        <v>25004</v>
      </c>
      <c r="Z119" s="17">
        <v>5895</v>
      </c>
      <c r="AA119" s="17">
        <v>1936</v>
      </c>
      <c r="AB119" s="17">
        <v>7831</v>
      </c>
      <c r="AC119" s="17">
        <v>32835</v>
      </c>
      <c r="AD119" s="17">
        <v>301</v>
      </c>
      <c r="AE119" s="51">
        <f t="shared" si="4"/>
        <v>6.8537909105860422</v>
      </c>
      <c r="AF119" s="51">
        <f t="shared" si="5"/>
        <v>2.1465380187489718</v>
      </c>
      <c r="AG119" s="51">
        <f t="shared" si="6"/>
        <v>9.0003289293350157</v>
      </c>
      <c r="AH119" s="51">
        <f t="shared" si="7"/>
        <v>8.2506441532810712E-2</v>
      </c>
      <c r="AI119" s="17">
        <v>69382</v>
      </c>
      <c r="AJ119" s="17">
        <v>128205</v>
      </c>
      <c r="AK119" s="17">
        <v>181941</v>
      </c>
      <c r="AL119" s="17">
        <v>310146</v>
      </c>
      <c r="AM119" s="17">
        <v>379528</v>
      </c>
      <c r="AN119" s="17">
        <v>237751</v>
      </c>
      <c r="BG119" s="15"/>
      <c r="BM119" s="17"/>
      <c r="BN119" s="17"/>
      <c r="BO119" s="17"/>
      <c r="BP119" s="17"/>
      <c r="BQ119" s="17"/>
      <c r="BW119" s="17"/>
    </row>
    <row r="120" spans="1:75" hidden="1" x14ac:dyDescent="0.25">
      <c r="A120" s="15" t="s">
        <v>322</v>
      </c>
      <c r="B120" s="15" t="s">
        <v>52</v>
      </c>
      <c r="C120" s="15">
        <v>2011</v>
      </c>
      <c r="D120" s="15" t="s">
        <v>323</v>
      </c>
      <c r="E120" s="15">
        <v>4970</v>
      </c>
      <c r="F120" s="15">
        <v>3688865</v>
      </c>
      <c r="G120" s="15" t="s">
        <v>42</v>
      </c>
      <c r="H120" s="15" t="s">
        <v>43</v>
      </c>
      <c r="I120" s="15" t="s">
        <v>324</v>
      </c>
      <c r="J120" s="15" t="s">
        <v>325</v>
      </c>
      <c r="K120" s="15" t="s">
        <v>61</v>
      </c>
      <c r="L120" s="15" t="s">
        <v>48</v>
      </c>
      <c r="M120" s="15" t="s">
        <v>62</v>
      </c>
      <c r="N120" s="15" t="s">
        <v>63</v>
      </c>
      <c r="O120" s="15" t="s">
        <v>326</v>
      </c>
      <c r="P120" s="15" t="s">
        <v>327</v>
      </c>
      <c r="Q120" s="15" t="s">
        <v>328</v>
      </c>
      <c r="R120" s="15" t="s">
        <v>329</v>
      </c>
      <c r="S120" s="15" t="s">
        <v>330</v>
      </c>
      <c r="T120" s="15"/>
      <c r="U120" s="15"/>
      <c r="V120" s="15"/>
      <c r="W120" s="15"/>
      <c r="X120" s="15" t="s">
        <v>330</v>
      </c>
      <c r="Y120" s="17">
        <v>24931</v>
      </c>
      <c r="Z120" s="17">
        <v>5981</v>
      </c>
      <c r="AA120" s="17">
        <v>1756</v>
      </c>
      <c r="AB120" s="17">
        <v>7737</v>
      </c>
      <c r="AC120" s="17">
        <v>32668</v>
      </c>
      <c r="AD120" s="17">
        <v>286</v>
      </c>
      <c r="AE120" s="51">
        <f t="shared" si="4"/>
        <v>6.7584473815116572</v>
      </c>
      <c r="AF120" s="51">
        <f t="shared" si="5"/>
        <v>2.0973931005878499</v>
      </c>
      <c r="AG120" s="51">
        <f t="shared" si="6"/>
        <v>8.8558404820995076</v>
      </c>
      <c r="AH120" s="51">
        <f t="shared" si="7"/>
        <v>7.7530622562766591E-2</v>
      </c>
      <c r="AI120" s="17">
        <v>71709</v>
      </c>
      <c r="AJ120" s="17">
        <v>128136</v>
      </c>
      <c r="AK120" s="17">
        <v>180401</v>
      </c>
      <c r="AL120" s="17">
        <v>308537</v>
      </c>
      <c r="AM120" s="17">
        <v>380246</v>
      </c>
      <c r="AN120" s="17">
        <v>235663</v>
      </c>
      <c r="BG120" s="15"/>
      <c r="BM120" s="17"/>
      <c r="BN120" s="17"/>
      <c r="BO120" s="17"/>
      <c r="BP120" s="17"/>
      <c r="BQ120" s="17"/>
      <c r="BW120" s="17"/>
    </row>
    <row r="121" spans="1:75" hidden="1" x14ac:dyDescent="0.25">
      <c r="A121" s="15" t="s">
        <v>332</v>
      </c>
      <c r="B121" s="15" t="s">
        <v>30</v>
      </c>
      <c r="C121" s="15">
        <v>2016</v>
      </c>
      <c r="D121" s="15" t="s">
        <v>333</v>
      </c>
      <c r="E121" s="15">
        <v>6760</v>
      </c>
      <c r="F121" s="15">
        <v>2291661</v>
      </c>
      <c r="G121" s="15" t="s">
        <v>42</v>
      </c>
      <c r="H121" s="15" t="s">
        <v>89</v>
      </c>
      <c r="I121" s="15" t="s">
        <v>334</v>
      </c>
      <c r="J121" s="15" t="s">
        <v>335</v>
      </c>
      <c r="K121" s="15" t="s">
        <v>46</v>
      </c>
      <c r="L121" s="15" t="s">
        <v>336</v>
      </c>
      <c r="M121" s="15" t="s">
        <v>337</v>
      </c>
      <c r="N121" s="15" t="s">
        <v>49</v>
      </c>
      <c r="O121" s="15"/>
      <c r="P121" s="15"/>
      <c r="Q121" s="15"/>
      <c r="R121" s="15"/>
      <c r="S121" s="15" t="s">
        <v>1856</v>
      </c>
      <c r="T121" s="15"/>
      <c r="U121" s="15"/>
      <c r="V121" s="15"/>
      <c r="W121" s="15"/>
      <c r="X121" s="15" t="s">
        <v>1856</v>
      </c>
      <c r="Y121" s="17">
        <v>7376</v>
      </c>
      <c r="Z121" s="17">
        <v>6077</v>
      </c>
      <c r="AA121" s="17">
        <v>438</v>
      </c>
      <c r="AB121" s="17">
        <v>6515</v>
      </c>
      <c r="AC121" s="17">
        <v>13891</v>
      </c>
      <c r="AD121" s="17">
        <v>726</v>
      </c>
      <c r="AE121" s="51">
        <f t="shared" si="4"/>
        <v>3.21862614060282</v>
      </c>
      <c r="AF121" s="51">
        <f t="shared" si="5"/>
        <v>2.8429161206653166</v>
      </c>
      <c r="AG121" s="51">
        <f t="shared" si="6"/>
        <v>6.0615422612681371</v>
      </c>
      <c r="AH121" s="51">
        <f t="shared" si="7"/>
        <v>0.31680078336193707</v>
      </c>
      <c r="AV121" s="15" t="s">
        <v>338</v>
      </c>
      <c r="BG121" s="15"/>
      <c r="BM121" s="17"/>
      <c r="BN121" s="17"/>
      <c r="BO121" s="17"/>
      <c r="BP121" s="17"/>
      <c r="BQ121" s="17"/>
      <c r="BW121" s="17"/>
    </row>
    <row r="122" spans="1:75" hidden="1" x14ac:dyDescent="0.25">
      <c r="A122" s="15" t="s">
        <v>332</v>
      </c>
      <c r="B122" s="15" t="s">
        <v>52</v>
      </c>
      <c r="C122" s="15">
        <v>2010</v>
      </c>
      <c r="D122" s="15" t="s">
        <v>333</v>
      </c>
      <c r="E122" s="15">
        <v>5570</v>
      </c>
      <c r="F122" s="15">
        <v>2014866</v>
      </c>
      <c r="G122" s="15" t="s">
        <v>42</v>
      </c>
      <c r="H122" s="15" t="s">
        <v>89</v>
      </c>
      <c r="I122" s="15" t="s">
        <v>339</v>
      </c>
      <c r="J122" s="15" t="s">
        <v>340</v>
      </c>
      <c r="K122" s="15" t="s">
        <v>46</v>
      </c>
      <c r="L122" s="15" t="s">
        <v>336</v>
      </c>
      <c r="M122" s="15" t="s">
        <v>341</v>
      </c>
      <c r="N122" s="15" t="s">
        <v>37</v>
      </c>
      <c r="O122" s="15"/>
      <c r="P122" s="15"/>
      <c r="Q122" s="15"/>
      <c r="R122" s="15"/>
      <c r="S122" s="15" t="s">
        <v>1856</v>
      </c>
      <c r="T122" s="15"/>
      <c r="U122" s="15"/>
      <c r="V122" s="15"/>
      <c r="W122" s="15"/>
      <c r="X122" s="15" t="s">
        <v>1856</v>
      </c>
      <c r="AE122" s="51" t="str">
        <f t="shared" si="4"/>
        <v/>
      </c>
      <c r="AF122" s="51" t="str">
        <f t="shared" si="5"/>
        <v/>
      </c>
      <c r="AG122" s="51" t="str">
        <f t="shared" si="6"/>
        <v/>
      </c>
      <c r="AH122" s="51" t="str">
        <f t="shared" si="7"/>
        <v/>
      </c>
      <c r="AI122" s="17">
        <v>4809</v>
      </c>
      <c r="AJ122" s="17">
        <v>5879</v>
      </c>
      <c r="AK122" s="17">
        <v>1263</v>
      </c>
      <c r="AL122" s="17">
        <v>7142</v>
      </c>
      <c r="AM122" s="17">
        <v>11951</v>
      </c>
      <c r="AN122" s="17">
        <v>342</v>
      </c>
      <c r="BG122" s="15"/>
      <c r="BM122" s="17"/>
      <c r="BN122" s="17"/>
      <c r="BO122" s="17"/>
      <c r="BP122" s="17"/>
      <c r="BQ122" s="17"/>
      <c r="BW122" s="17"/>
    </row>
    <row r="123" spans="1:75" hidden="1" x14ac:dyDescent="0.25">
      <c r="A123" s="15" t="s">
        <v>342</v>
      </c>
      <c r="B123" s="15" t="s">
        <v>30</v>
      </c>
      <c r="C123" s="15">
        <v>2016</v>
      </c>
      <c r="D123" s="15" t="s">
        <v>343</v>
      </c>
      <c r="E123" s="15">
        <v>8860</v>
      </c>
      <c r="F123" s="15">
        <v>209288278</v>
      </c>
      <c r="G123" s="15" t="s">
        <v>42</v>
      </c>
      <c r="H123" s="15" t="s">
        <v>110</v>
      </c>
      <c r="I123" s="15" t="s">
        <v>344</v>
      </c>
      <c r="J123" s="15" t="s">
        <v>345</v>
      </c>
      <c r="K123" s="15" t="s">
        <v>190</v>
      </c>
      <c r="L123" s="15" t="s">
        <v>48</v>
      </c>
      <c r="M123" s="15" t="s">
        <v>62</v>
      </c>
      <c r="N123" s="15" t="s">
        <v>63</v>
      </c>
      <c r="O123" s="15"/>
      <c r="P123" s="15"/>
      <c r="Q123" s="15"/>
      <c r="R123" s="15"/>
      <c r="S123" s="15" t="s">
        <v>362</v>
      </c>
      <c r="T123" s="15"/>
      <c r="U123" s="15"/>
      <c r="V123" s="15"/>
      <c r="W123" s="15"/>
      <c r="X123" s="15" t="s">
        <v>362</v>
      </c>
      <c r="Y123" s="17">
        <v>4425763</v>
      </c>
      <c r="Z123" s="17">
        <v>538626</v>
      </c>
      <c r="AA123" s="17">
        <v>67300</v>
      </c>
      <c r="AB123" s="17">
        <v>605926</v>
      </c>
      <c r="AC123" s="17">
        <v>5031689</v>
      </c>
      <c r="AD123" s="17">
        <v>18926</v>
      </c>
      <c r="AE123" s="51">
        <f t="shared" si="4"/>
        <v>21.146731399835019</v>
      </c>
      <c r="AF123" s="51">
        <f t="shared" si="5"/>
        <v>2.8951740909254364</v>
      </c>
      <c r="AG123" s="51">
        <f t="shared" si="6"/>
        <v>24.041905490760453</v>
      </c>
      <c r="AH123" s="51">
        <f t="shared" si="7"/>
        <v>9.043029156176631E-2</v>
      </c>
      <c r="AI123" s="17">
        <v>11427756</v>
      </c>
      <c r="AJ123" s="17">
        <v>9775173</v>
      </c>
      <c r="AK123" s="17">
        <v>6660821</v>
      </c>
      <c r="AL123" s="17">
        <v>16435994</v>
      </c>
      <c r="AM123" s="17">
        <v>27863750</v>
      </c>
      <c r="AN123" s="17">
        <v>23547449</v>
      </c>
      <c r="AU123" s="15" t="s">
        <v>346</v>
      </c>
      <c r="AV123" s="15" t="s">
        <v>346</v>
      </c>
      <c r="BG123" s="15"/>
      <c r="BM123" s="17"/>
      <c r="BN123" s="17"/>
      <c r="BO123" s="17"/>
      <c r="BP123" s="17"/>
      <c r="BQ123" s="17"/>
      <c r="BW123" s="17"/>
    </row>
    <row r="124" spans="1:75" hidden="1" x14ac:dyDescent="0.25">
      <c r="A124" s="15" t="s">
        <v>342</v>
      </c>
      <c r="B124" s="15" t="s">
        <v>30</v>
      </c>
      <c r="C124" s="15">
        <v>2015</v>
      </c>
      <c r="D124" s="15" t="s">
        <v>343</v>
      </c>
      <c r="E124" s="15">
        <v>10100</v>
      </c>
      <c r="F124" s="15">
        <v>205962108</v>
      </c>
      <c r="G124" s="15" t="s">
        <v>42</v>
      </c>
      <c r="H124" s="15" t="s">
        <v>110</v>
      </c>
      <c r="I124" s="15" t="s">
        <v>344</v>
      </c>
      <c r="J124" s="15" t="s">
        <v>345</v>
      </c>
      <c r="K124" s="15" t="s">
        <v>190</v>
      </c>
      <c r="L124" s="15" t="s">
        <v>48</v>
      </c>
      <c r="M124" s="15" t="s">
        <v>62</v>
      </c>
      <c r="N124" s="15" t="s">
        <v>63</v>
      </c>
      <c r="O124" s="15"/>
      <c r="P124" s="15"/>
      <c r="Q124" s="15"/>
      <c r="R124" s="15"/>
      <c r="S124" s="15" t="s">
        <v>362</v>
      </c>
      <c r="T124" s="15"/>
      <c r="U124" s="15"/>
      <c r="V124" s="15"/>
      <c r="W124" s="15"/>
      <c r="X124" s="15" t="s">
        <v>362</v>
      </c>
      <c r="Y124" s="17">
        <v>4466316</v>
      </c>
      <c r="Z124" s="17">
        <v>557657</v>
      </c>
      <c r="AA124" s="17">
        <v>70995</v>
      </c>
      <c r="AB124" s="17">
        <v>628652</v>
      </c>
      <c r="AC124" s="17">
        <v>5094968</v>
      </c>
      <c r="AD124" s="17">
        <v>20015</v>
      </c>
      <c r="AE124" s="51">
        <f t="shared" si="4"/>
        <v>21.685134432591841</v>
      </c>
      <c r="AF124" s="51">
        <f t="shared" si="5"/>
        <v>3.0522701777746422</v>
      </c>
      <c r="AG124" s="51">
        <f t="shared" si="6"/>
        <v>24.737404610366482</v>
      </c>
      <c r="AH124" s="51">
        <f t="shared" si="7"/>
        <v>9.717806927864614E-2</v>
      </c>
      <c r="AI124" s="17">
        <v>11582380</v>
      </c>
      <c r="AJ124" s="17">
        <v>10150598</v>
      </c>
      <c r="AK124" s="17">
        <v>7020686</v>
      </c>
      <c r="AL124" s="17">
        <v>17171284</v>
      </c>
      <c r="AM124" s="17">
        <v>28753664</v>
      </c>
      <c r="AN124" s="17">
        <v>24788031</v>
      </c>
      <c r="BG124" s="15"/>
      <c r="BM124" s="17"/>
      <c r="BN124" s="17"/>
      <c r="BO124" s="17"/>
      <c r="BP124" s="17"/>
      <c r="BQ124" s="17"/>
      <c r="BW124" s="17"/>
    </row>
    <row r="125" spans="1:75" hidden="1" x14ac:dyDescent="0.25">
      <c r="A125" s="15" t="s">
        <v>342</v>
      </c>
      <c r="B125" s="15" t="s">
        <v>30</v>
      </c>
      <c r="C125" s="15">
        <v>2014</v>
      </c>
      <c r="D125" s="15" t="s">
        <v>343</v>
      </c>
      <c r="E125" s="15">
        <v>12020</v>
      </c>
      <c r="F125" s="15">
        <v>204213133</v>
      </c>
      <c r="G125" s="15" t="s">
        <v>42</v>
      </c>
      <c r="H125" s="15" t="s">
        <v>110</v>
      </c>
      <c r="I125" s="15" t="s">
        <v>344</v>
      </c>
      <c r="J125" s="15" t="s">
        <v>345</v>
      </c>
      <c r="K125" s="15" t="s">
        <v>190</v>
      </c>
      <c r="L125" s="15" t="s">
        <v>48</v>
      </c>
      <c r="M125" s="15" t="s">
        <v>62</v>
      </c>
      <c r="N125" s="15" t="s">
        <v>63</v>
      </c>
      <c r="O125" s="15"/>
      <c r="P125" s="15"/>
      <c r="Q125" s="15"/>
      <c r="R125" s="15"/>
      <c r="S125" s="15" t="s">
        <v>362</v>
      </c>
      <c r="T125" s="15"/>
      <c r="U125" s="15"/>
      <c r="V125" s="15"/>
      <c r="W125" s="15"/>
      <c r="X125" s="15" t="s">
        <v>362</v>
      </c>
      <c r="Y125" s="17">
        <v>4442670</v>
      </c>
      <c r="Z125" s="17">
        <v>564733</v>
      </c>
      <c r="AA125" s="17">
        <v>74961</v>
      </c>
      <c r="AB125" s="17">
        <v>639694</v>
      </c>
      <c r="AC125" s="17">
        <v>5082364</v>
      </c>
      <c r="AD125" s="17">
        <v>20993</v>
      </c>
      <c r="AE125" s="51">
        <f t="shared" si="4"/>
        <v>21.755065086827692</v>
      </c>
      <c r="AF125" s="51">
        <f t="shared" si="5"/>
        <v>3.1324821797822375</v>
      </c>
      <c r="AG125" s="51">
        <f t="shared" si="6"/>
        <v>24.887547266609928</v>
      </c>
      <c r="AH125" s="51">
        <f t="shared" si="7"/>
        <v>0.10279946099255037</v>
      </c>
      <c r="AI125" s="17">
        <v>11525208</v>
      </c>
      <c r="AJ125" s="17">
        <v>10372893</v>
      </c>
      <c r="AK125" s="17">
        <v>7428420</v>
      </c>
      <c r="AL125" s="17">
        <v>17801313</v>
      </c>
      <c r="AM125" s="17">
        <v>29326521</v>
      </c>
      <c r="AN125" s="17">
        <v>25937471</v>
      </c>
      <c r="BG125" s="15"/>
      <c r="BM125" s="17"/>
      <c r="BN125" s="17"/>
      <c r="BO125" s="17"/>
      <c r="BP125" s="17"/>
      <c r="BQ125" s="17"/>
      <c r="BW125" s="17"/>
    </row>
    <row r="126" spans="1:75" hidden="1" x14ac:dyDescent="0.25">
      <c r="A126" s="15" t="s">
        <v>342</v>
      </c>
      <c r="B126" s="15" t="s">
        <v>30</v>
      </c>
      <c r="C126" s="15">
        <v>2013</v>
      </c>
      <c r="D126" s="15" t="s">
        <v>343</v>
      </c>
      <c r="E126" s="15">
        <v>12730</v>
      </c>
      <c r="F126" s="15">
        <v>202408632</v>
      </c>
      <c r="G126" s="15" t="s">
        <v>42</v>
      </c>
      <c r="H126" s="15" t="s">
        <v>110</v>
      </c>
      <c r="I126" s="15" t="s">
        <v>344</v>
      </c>
      <c r="J126" s="15" t="s">
        <v>345</v>
      </c>
      <c r="K126" s="15" t="s">
        <v>190</v>
      </c>
      <c r="L126" s="15" t="s">
        <v>48</v>
      </c>
      <c r="M126" s="15" t="s">
        <v>62</v>
      </c>
      <c r="N126" s="15" t="s">
        <v>63</v>
      </c>
      <c r="O126" s="15"/>
      <c r="P126" s="15"/>
      <c r="Q126" s="15"/>
      <c r="R126" s="15"/>
      <c r="S126" s="15" t="s">
        <v>362</v>
      </c>
      <c r="T126" s="15"/>
      <c r="U126" s="15"/>
      <c r="V126" s="15"/>
      <c r="W126" s="15"/>
      <c r="X126" s="15" t="s">
        <v>362</v>
      </c>
      <c r="Y126" s="17">
        <v>4740976</v>
      </c>
      <c r="Z126" s="17">
        <v>555422</v>
      </c>
      <c r="AA126" s="17">
        <v>74783</v>
      </c>
      <c r="AB126" s="17">
        <v>630205</v>
      </c>
      <c r="AC126" s="17">
        <v>5371181</v>
      </c>
      <c r="AD126" s="17">
        <v>21053</v>
      </c>
      <c r="AE126" s="51">
        <f t="shared" si="4"/>
        <v>23.422795525835085</v>
      </c>
      <c r="AF126" s="51">
        <f t="shared" si="5"/>
        <v>3.1135282807503981</v>
      </c>
      <c r="AG126" s="51">
        <f t="shared" si="6"/>
        <v>26.536323806585482</v>
      </c>
      <c r="AH126" s="51">
        <f t="shared" si="7"/>
        <v>0.10401236247671493</v>
      </c>
      <c r="AI126" s="17">
        <v>11635368</v>
      </c>
      <c r="AJ126" s="17">
        <v>10190455</v>
      </c>
      <c r="AK126" s="17">
        <v>7425365</v>
      </c>
      <c r="AL126" s="17">
        <v>17615820</v>
      </c>
      <c r="AM126" s="17">
        <v>29251188</v>
      </c>
      <c r="AN126" s="17">
        <v>25915333</v>
      </c>
      <c r="BG126" s="15"/>
      <c r="BM126" s="17"/>
      <c r="BN126" s="17"/>
      <c r="BO126" s="17"/>
      <c r="BP126" s="17"/>
      <c r="BQ126" s="17"/>
      <c r="BW126" s="17"/>
    </row>
    <row r="127" spans="1:75" hidden="1" x14ac:dyDescent="0.25">
      <c r="A127" s="15" t="s">
        <v>342</v>
      </c>
      <c r="B127" s="15" t="s">
        <v>30</v>
      </c>
      <c r="C127" s="15">
        <v>2012</v>
      </c>
      <c r="D127" s="15" t="s">
        <v>343</v>
      </c>
      <c r="E127" s="15">
        <v>12280</v>
      </c>
      <c r="F127" s="15">
        <v>200560983</v>
      </c>
      <c r="G127" s="15" t="s">
        <v>42</v>
      </c>
      <c r="H127" s="15" t="s">
        <v>110</v>
      </c>
      <c r="I127" s="15" t="s">
        <v>344</v>
      </c>
      <c r="J127" s="15" t="s">
        <v>345</v>
      </c>
      <c r="K127" s="15" t="s">
        <v>190</v>
      </c>
      <c r="L127" s="15" t="s">
        <v>48</v>
      </c>
      <c r="M127" s="15" t="s">
        <v>62</v>
      </c>
      <c r="N127" s="15" t="s">
        <v>63</v>
      </c>
      <c r="O127" s="15"/>
      <c r="P127" s="15"/>
      <c r="Q127" s="15"/>
      <c r="R127" s="15"/>
      <c r="S127" s="15" t="s">
        <v>362</v>
      </c>
      <c r="T127" s="15"/>
      <c r="U127" s="15"/>
      <c r="V127" s="15"/>
      <c r="W127" s="15"/>
      <c r="X127" s="15" t="s">
        <v>362</v>
      </c>
      <c r="Y127" s="17">
        <v>4564585</v>
      </c>
      <c r="Z127" s="17">
        <v>536615</v>
      </c>
      <c r="AA127" s="17">
        <v>73788</v>
      </c>
      <c r="AB127" s="17">
        <v>610403</v>
      </c>
      <c r="AC127" s="17">
        <v>5174988</v>
      </c>
      <c r="AD127" s="17">
        <v>20262</v>
      </c>
      <c r="AE127" s="51">
        <f t="shared" si="4"/>
        <v>22.759087693542067</v>
      </c>
      <c r="AF127" s="51">
        <f t="shared" si="5"/>
        <v>3.0434783020583818</v>
      </c>
      <c r="AG127" s="51">
        <f t="shared" si="6"/>
        <v>25.80256599560045</v>
      </c>
      <c r="AH127" s="51">
        <f t="shared" si="7"/>
        <v>0.10102662889321798</v>
      </c>
      <c r="AI127" s="17">
        <v>11334350</v>
      </c>
      <c r="AJ127" s="17">
        <v>9856753</v>
      </c>
      <c r="AK127" s="17">
        <v>7321659</v>
      </c>
      <c r="AL127" s="17">
        <v>17178412</v>
      </c>
      <c r="AM127" s="17">
        <v>28512762</v>
      </c>
      <c r="AN127" s="17">
        <v>24871500</v>
      </c>
      <c r="BG127" s="15"/>
      <c r="BM127" s="17"/>
      <c r="BN127" s="17"/>
      <c r="BO127" s="17"/>
      <c r="BP127" s="17"/>
      <c r="BQ127" s="17"/>
      <c r="BW127" s="17"/>
    </row>
    <row r="128" spans="1:75" hidden="1" x14ac:dyDescent="0.25">
      <c r="A128" s="15" t="s">
        <v>342</v>
      </c>
      <c r="B128" s="15" t="s">
        <v>30</v>
      </c>
      <c r="C128" s="15">
        <v>2011</v>
      </c>
      <c r="D128" s="15" t="s">
        <v>343</v>
      </c>
      <c r="E128" s="15">
        <v>11010</v>
      </c>
      <c r="F128" s="15">
        <v>198686688</v>
      </c>
      <c r="G128" s="15" t="s">
        <v>42</v>
      </c>
      <c r="H128" s="15" t="s">
        <v>110</v>
      </c>
      <c r="I128" s="15" t="s">
        <v>344</v>
      </c>
      <c r="J128" s="15" t="s">
        <v>345</v>
      </c>
      <c r="K128" s="15" t="s">
        <v>190</v>
      </c>
      <c r="L128" s="15" t="s">
        <v>48</v>
      </c>
      <c r="M128" s="15" t="s">
        <v>62</v>
      </c>
      <c r="N128" s="15" t="s">
        <v>63</v>
      </c>
      <c r="O128" s="15"/>
      <c r="P128" s="15"/>
      <c r="Q128" s="15"/>
      <c r="R128" s="15"/>
      <c r="S128" s="15" t="s">
        <v>362</v>
      </c>
      <c r="T128" s="15"/>
      <c r="U128" s="15"/>
      <c r="V128" s="15"/>
      <c r="W128" s="15"/>
      <c r="X128" s="15" t="s">
        <v>362</v>
      </c>
      <c r="Y128" s="17">
        <v>4518832</v>
      </c>
      <c r="Z128" s="17">
        <v>518627</v>
      </c>
      <c r="AA128" s="17">
        <v>71617</v>
      </c>
      <c r="AB128" s="17">
        <v>590244</v>
      </c>
      <c r="AC128" s="17">
        <v>5109076</v>
      </c>
      <c r="AD128" s="17">
        <v>20129</v>
      </c>
      <c r="AE128" s="51">
        <f t="shared" si="4"/>
        <v>22.743506600703917</v>
      </c>
      <c r="AF128" s="51">
        <f t="shared" si="5"/>
        <v>2.9707274601104632</v>
      </c>
      <c r="AG128" s="51">
        <f t="shared" si="6"/>
        <v>25.71423406081438</v>
      </c>
      <c r="AH128" s="51">
        <f t="shared" si="7"/>
        <v>0.1013102599002506</v>
      </c>
      <c r="AI128" s="17">
        <v>10958802</v>
      </c>
      <c r="AJ128" s="17">
        <v>9590166</v>
      </c>
      <c r="AK128" s="17">
        <v>7106565</v>
      </c>
      <c r="AL128" s="17">
        <v>16696731</v>
      </c>
      <c r="AM128" s="17">
        <v>27655533</v>
      </c>
      <c r="AN128" s="17">
        <v>24517560</v>
      </c>
      <c r="BG128" s="15"/>
      <c r="BM128" s="17"/>
      <c r="BN128" s="17"/>
      <c r="BO128" s="17"/>
      <c r="BP128" s="17"/>
      <c r="BQ128" s="17"/>
      <c r="BW128" s="17"/>
    </row>
    <row r="129" spans="1:75" hidden="1" x14ac:dyDescent="0.25">
      <c r="A129" s="15" t="s">
        <v>342</v>
      </c>
      <c r="B129" s="15" t="s">
        <v>30</v>
      </c>
      <c r="C129" s="15">
        <v>2010</v>
      </c>
      <c r="D129" s="15" t="s">
        <v>343</v>
      </c>
      <c r="E129" s="15">
        <v>9610</v>
      </c>
      <c r="F129" s="15">
        <v>196796269</v>
      </c>
      <c r="G129" s="15" t="s">
        <v>42</v>
      </c>
      <c r="H129" s="15" t="s">
        <v>110</v>
      </c>
      <c r="I129" s="15" t="s">
        <v>344</v>
      </c>
      <c r="J129" s="15" t="s">
        <v>345</v>
      </c>
      <c r="K129" s="15" t="s">
        <v>190</v>
      </c>
      <c r="L129" s="15" t="s">
        <v>48</v>
      </c>
      <c r="M129" s="15" t="s">
        <v>62</v>
      </c>
      <c r="N129" s="15" t="s">
        <v>63</v>
      </c>
      <c r="O129" s="15"/>
      <c r="P129" s="15"/>
      <c r="Q129" s="15"/>
      <c r="R129" s="15"/>
      <c r="S129" s="15" t="s">
        <v>362</v>
      </c>
      <c r="T129" s="15"/>
      <c r="U129" s="15"/>
      <c r="V129" s="15"/>
      <c r="W129" s="15"/>
      <c r="X129" s="15" t="s">
        <v>362</v>
      </c>
      <c r="Y129" s="17">
        <v>4554656</v>
      </c>
      <c r="Z129" s="17">
        <v>486363</v>
      </c>
      <c r="AA129" s="17">
        <v>68175</v>
      </c>
      <c r="AB129" s="17">
        <v>554538</v>
      </c>
      <c r="AC129" s="17">
        <v>5109194</v>
      </c>
      <c r="AD129" s="17">
        <v>19374</v>
      </c>
      <c r="AE129" s="51">
        <f t="shared" si="4"/>
        <v>23.144016007742504</v>
      </c>
      <c r="AF129" s="51">
        <f t="shared" si="5"/>
        <v>2.8178278115628301</v>
      </c>
      <c r="AG129" s="51">
        <f t="shared" si="6"/>
        <v>25.961843819305333</v>
      </c>
      <c r="AH129" s="51">
        <f t="shared" si="7"/>
        <v>9.8446988342040159E-2</v>
      </c>
      <c r="AI129" s="17">
        <v>10560120</v>
      </c>
      <c r="AJ129" s="17">
        <v>8982158</v>
      </c>
      <c r="AK129" s="17">
        <v>6772751</v>
      </c>
      <c r="AL129" s="17">
        <v>15754909</v>
      </c>
      <c r="AM129" s="17">
        <v>26315029</v>
      </c>
      <c r="AN129" s="17">
        <v>23418355</v>
      </c>
      <c r="BG129" s="15"/>
      <c r="BM129" s="17"/>
      <c r="BN129" s="17"/>
      <c r="BO129" s="17"/>
      <c r="BP129" s="17"/>
      <c r="BQ129" s="17"/>
      <c r="BW129" s="17"/>
    </row>
    <row r="130" spans="1:75" hidden="1" x14ac:dyDescent="0.25">
      <c r="A130" s="15" t="s">
        <v>342</v>
      </c>
      <c r="B130" s="15" t="s">
        <v>30</v>
      </c>
      <c r="C130" s="15">
        <v>2009</v>
      </c>
      <c r="D130" s="15" t="s">
        <v>343</v>
      </c>
      <c r="E130" s="15">
        <v>8070</v>
      </c>
      <c r="F130" s="15">
        <v>194895996</v>
      </c>
      <c r="G130" s="15" t="s">
        <v>42</v>
      </c>
      <c r="H130" s="15" t="s">
        <v>110</v>
      </c>
      <c r="I130" s="15" t="s">
        <v>344</v>
      </c>
      <c r="J130" s="15" t="s">
        <v>345</v>
      </c>
      <c r="K130" s="15" t="s">
        <v>190</v>
      </c>
      <c r="L130" s="15" t="s">
        <v>48</v>
      </c>
      <c r="M130" s="15" t="s">
        <v>62</v>
      </c>
      <c r="N130" s="15" t="s">
        <v>63</v>
      </c>
      <c r="O130" s="15"/>
      <c r="P130" s="15"/>
      <c r="Q130" s="15"/>
      <c r="R130" s="15"/>
      <c r="S130" s="15" t="s">
        <v>362</v>
      </c>
      <c r="T130" s="15"/>
      <c r="U130" s="15"/>
      <c r="V130" s="15"/>
      <c r="W130" s="15"/>
      <c r="X130" s="15" t="s">
        <v>362</v>
      </c>
      <c r="Y130" s="17">
        <v>4309463</v>
      </c>
      <c r="Z130" s="17">
        <v>456118</v>
      </c>
      <c r="AA130" s="17">
        <v>62838</v>
      </c>
      <c r="AB130" s="17">
        <v>518956</v>
      </c>
      <c r="AC130" s="17">
        <v>4828419</v>
      </c>
      <c r="AD130" s="17">
        <v>18220</v>
      </c>
      <c r="AE130" s="51">
        <f t="shared" si="4"/>
        <v>22.111603565216395</v>
      </c>
      <c r="AF130" s="51">
        <f t="shared" si="5"/>
        <v>2.6627329993993309</v>
      </c>
      <c r="AG130" s="51">
        <f t="shared" si="6"/>
        <v>24.774336564615723</v>
      </c>
      <c r="AH130" s="51">
        <f t="shared" si="7"/>
        <v>9.3485758424713863E-2</v>
      </c>
      <c r="AI130" s="17">
        <v>10005032</v>
      </c>
      <c r="AJ130" s="17">
        <v>8390713</v>
      </c>
      <c r="AK130" s="17">
        <v>6234467</v>
      </c>
      <c r="AL130" s="17">
        <v>14625180</v>
      </c>
      <c r="AM130" s="17">
        <v>24630212</v>
      </c>
      <c r="AN130" s="17">
        <v>22052236</v>
      </c>
      <c r="BG130" s="15"/>
      <c r="BM130" s="17"/>
      <c r="BN130" s="17"/>
      <c r="BO130" s="17"/>
      <c r="BP130" s="17"/>
      <c r="BQ130" s="17"/>
      <c r="BW130" s="17"/>
    </row>
    <row r="131" spans="1:75" hidden="1" x14ac:dyDescent="0.25">
      <c r="A131" s="15" t="s">
        <v>342</v>
      </c>
      <c r="B131" s="15" t="s">
        <v>30</v>
      </c>
      <c r="C131" s="15">
        <v>2008</v>
      </c>
      <c r="D131" s="15" t="s">
        <v>343</v>
      </c>
      <c r="E131" s="15">
        <v>7400</v>
      </c>
      <c r="F131" s="15">
        <v>192979029</v>
      </c>
      <c r="G131" s="15" t="s">
        <v>42</v>
      </c>
      <c r="H131" s="15" t="s">
        <v>110</v>
      </c>
      <c r="I131" s="15" t="s">
        <v>344</v>
      </c>
      <c r="J131" s="15" t="s">
        <v>345</v>
      </c>
      <c r="K131" s="15" t="s">
        <v>190</v>
      </c>
      <c r="L131" s="15" t="s">
        <v>48</v>
      </c>
      <c r="M131" s="15" t="s">
        <v>62</v>
      </c>
      <c r="N131" s="15" t="s">
        <v>63</v>
      </c>
      <c r="O131" s="15"/>
      <c r="P131" s="15"/>
      <c r="Q131" s="15"/>
      <c r="R131" s="15"/>
      <c r="S131" s="15" t="s">
        <v>362</v>
      </c>
      <c r="T131" s="15"/>
      <c r="U131" s="15"/>
      <c r="V131" s="15"/>
      <c r="W131" s="15"/>
      <c r="X131" s="15" t="s">
        <v>362</v>
      </c>
      <c r="Y131" s="17">
        <v>4096115</v>
      </c>
      <c r="Z131" s="17">
        <v>433689</v>
      </c>
      <c r="AA131" s="17">
        <v>60157</v>
      </c>
      <c r="AB131" s="17">
        <v>493846</v>
      </c>
      <c r="AC131" s="17">
        <v>4589961</v>
      </c>
      <c r="AD131" s="17">
        <v>17300</v>
      </c>
      <c r="AE131" s="51">
        <f t="shared" ref="AE131:AE194" si="10">IF(ISERROR((Y131/$F131)*1000),"",IF((Y131/$F131)*1000=0,"",(Y131/$F131)*1000))</f>
        <v>21.225700125167489</v>
      </c>
      <c r="AF131" s="51">
        <f t="shared" ref="AF131:AF194" si="11">IF(ISERROR((AB131/$F131)*1000),"",IF((AB131/$F131)*1000=0,"",(AB131/$F131)*1000))</f>
        <v>2.5590656277993813</v>
      </c>
      <c r="AG131" s="51">
        <f t="shared" ref="AG131:AG194" si="12">IF(ISERROR((AC131/$F131)*1000),"",IF((AC131/$F131)*1000=0,"",(AC131/$F131)*1000))</f>
        <v>23.784765752966869</v>
      </c>
      <c r="AH131" s="51">
        <f t="shared" ref="AH131:AH194" si="13">IF(ISERROR((AD131/$F131)*1000),"",IF((AD131/$F131)*1000=0,"",(AD131/$F131)*1000))</f>
        <v>8.9647046571055142E-2</v>
      </c>
      <c r="AI131" s="17">
        <v>9524825</v>
      </c>
      <c r="AJ131" s="17">
        <v>7997325</v>
      </c>
      <c r="AK131" s="17">
        <v>5999476</v>
      </c>
      <c r="AL131" s="17">
        <v>13996801</v>
      </c>
      <c r="AM131" s="17">
        <v>23521626</v>
      </c>
      <c r="AN131" s="17">
        <v>21053258</v>
      </c>
      <c r="BG131" s="15"/>
      <c r="BM131" s="17"/>
      <c r="BN131" s="17"/>
      <c r="BO131" s="17"/>
      <c r="BP131" s="17"/>
      <c r="BQ131" s="17"/>
      <c r="BW131" s="17"/>
    </row>
    <row r="132" spans="1:75" hidden="1" x14ac:dyDescent="0.25">
      <c r="A132" s="15" t="s">
        <v>342</v>
      </c>
      <c r="B132" s="15" t="s">
        <v>30</v>
      </c>
      <c r="C132" s="15">
        <v>2007</v>
      </c>
      <c r="D132" s="15" t="s">
        <v>343</v>
      </c>
      <c r="E132" s="15">
        <v>6030</v>
      </c>
      <c r="F132" s="15">
        <v>191026637</v>
      </c>
      <c r="G132" s="15" t="s">
        <v>42</v>
      </c>
      <c r="H132" s="15" t="s">
        <v>110</v>
      </c>
      <c r="I132" s="15" t="s">
        <v>344</v>
      </c>
      <c r="J132" s="15" t="s">
        <v>345</v>
      </c>
      <c r="K132" s="15" t="s">
        <v>190</v>
      </c>
      <c r="L132" s="15" t="s">
        <v>48</v>
      </c>
      <c r="M132" s="15" t="s">
        <v>62</v>
      </c>
      <c r="N132" s="15" t="s">
        <v>63</v>
      </c>
      <c r="O132" s="15"/>
      <c r="P132" s="15"/>
      <c r="Q132" s="15"/>
      <c r="R132" s="15"/>
      <c r="S132" s="15" t="s">
        <v>362</v>
      </c>
      <c r="T132" s="15"/>
      <c r="U132" s="15"/>
      <c r="V132" s="15"/>
      <c r="W132" s="15"/>
      <c r="X132" s="15" t="s">
        <v>362</v>
      </c>
      <c r="Y132" s="17">
        <v>3935433</v>
      </c>
      <c r="Z132" s="17">
        <v>411007</v>
      </c>
      <c r="AA132" s="17">
        <v>57179</v>
      </c>
      <c r="AB132" s="17">
        <v>468186</v>
      </c>
      <c r="AC132" s="17">
        <v>4403619</v>
      </c>
      <c r="AD132" s="17">
        <v>16726</v>
      </c>
      <c r="AE132" s="51">
        <f t="shared" si="10"/>
        <v>20.601488157905433</v>
      </c>
      <c r="AF132" s="51">
        <f t="shared" si="11"/>
        <v>2.4508937986486146</v>
      </c>
      <c r="AG132" s="51">
        <f t="shared" si="12"/>
        <v>23.052381956554047</v>
      </c>
      <c r="AH132" s="51">
        <f t="shared" si="13"/>
        <v>8.7558469659914498E-2</v>
      </c>
      <c r="AI132" s="17">
        <v>9147843</v>
      </c>
      <c r="AJ132" s="17">
        <v>7565173</v>
      </c>
      <c r="AK132" s="17">
        <v>5720405</v>
      </c>
      <c r="AL132" s="17">
        <v>13285578</v>
      </c>
      <c r="AM132" s="17">
        <v>22433421</v>
      </c>
      <c r="AN132" s="17">
        <v>20207754</v>
      </c>
      <c r="BG132" s="15"/>
      <c r="BM132" s="17"/>
      <c r="BN132" s="17"/>
      <c r="BO132" s="17"/>
      <c r="BP132" s="17"/>
      <c r="BQ132" s="17"/>
      <c r="BW132" s="17"/>
    </row>
    <row r="133" spans="1:75" hidden="1" x14ac:dyDescent="0.25">
      <c r="A133" s="15" t="s">
        <v>342</v>
      </c>
      <c r="B133" s="15" t="s">
        <v>30</v>
      </c>
      <c r="C133" s="15">
        <v>2006</v>
      </c>
      <c r="D133" s="15" t="s">
        <v>343</v>
      </c>
      <c r="E133" s="15">
        <v>4750</v>
      </c>
      <c r="F133" s="15">
        <v>189012412</v>
      </c>
      <c r="G133" s="15" t="s">
        <v>42</v>
      </c>
      <c r="H133" s="15" t="s">
        <v>110</v>
      </c>
      <c r="I133" s="15" t="s">
        <v>344</v>
      </c>
      <c r="J133" s="15" t="s">
        <v>345</v>
      </c>
      <c r="K133" s="15" t="s">
        <v>190</v>
      </c>
      <c r="L133" s="15" t="s">
        <v>48</v>
      </c>
      <c r="M133" s="15" t="s">
        <v>62</v>
      </c>
      <c r="N133" s="15" t="s">
        <v>63</v>
      </c>
      <c r="O133" s="15"/>
      <c r="P133" s="15"/>
      <c r="Q133" s="15"/>
      <c r="R133" s="15"/>
      <c r="S133" s="15" t="s">
        <v>362</v>
      </c>
      <c r="T133" s="15"/>
      <c r="U133" s="15"/>
      <c r="V133" s="15"/>
      <c r="W133" s="15"/>
      <c r="X133" s="15" t="s">
        <v>362</v>
      </c>
      <c r="Y133" s="17">
        <v>3856131</v>
      </c>
      <c r="Z133" s="17">
        <v>380926</v>
      </c>
      <c r="AA133" s="17">
        <v>52933</v>
      </c>
      <c r="AB133" s="17">
        <v>433859</v>
      </c>
      <c r="AC133" s="17">
        <v>4289990</v>
      </c>
      <c r="AD133" s="17">
        <v>15588</v>
      </c>
      <c r="AE133" s="51">
        <f t="shared" si="10"/>
        <v>20.40146971935367</v>
      </c>
      <c r="AF133" s="51">
        <f t="shared" si="11"/>
        <v>2.29539952117007</v>
      </c>
      <c r="AG133" s="51">
        <f t="shared" si="12"/>
        <v>22.696869240523739</v>
      </c>
      <c r="AH133" s="51">
        <f t="shared" si="13"/>
        <v>8.247077445898103E-2</v>
      </c>
      <c r="AI133" s="17">
        <v>8677507</v>
      </c>
      <c r="AJ133" s="17">
        <v>6970810</v>
      </c>
      <c r="AK133" s="17">
        <v>5319132</v>
      </c>
      <c r="AL133" s="17">
        <v>12289942</v>
      </c>
      <c r="AM133" s="17">
        <v>20967449</v>
      </c>
      <c r="AN133" s="17">
        <v>18655302</v>
      </c>
      <c r="BG133" s="15"/>
      <c r="BM133" s="17"/>
      <c r="BN133" s="17"/>
      <c r="BO133" s="17"/>
      <c r="BP133" s="17"/>
      <c r="BQ133" s="17"/>
      <c r="BW133" s="17"/>
    </row>
    <row r="134" spans="1:75" hidden="1" x14ac:dyDescent="0.25">
      <c r="A134" s="15" t="s">
        <v>342</v>
      </c>
      <c r="B134" s="15" t="s">
        <v>52</v>
      </c>
      <c r="C134" s="15">
        <v>2015</v>
      </c>
      <c r="D134" s="15" t="s">
        <v>343</v>
      </c>
      <c r="E134" s="15">
        <v>10100</v>
      </c>
      <c r="F134" s="15">
        <v>205962108</v>
      </c>
      <c r="G134" s="15" t="s">
        <v>42</v>
      </c>
      <c r="H134" s="15" t="s">
        <v>110</v>
      </c>
      <c r="I134" s="15" t="s">
        <v>347</v>
      </c>
      <c r="J134" s="15" t="s">
        <v>348</v>
      </c>
      <c r="K134" s="15" t="s">
        <v>349</v>
      </c>
      <c r="L134" s="15" t="s">
        <v>350</v>
      </c>
      <c r="M134" s="15" t="s">
        <v>351</v>
      </c>
      <c r="N134" s="15" t="s">
        <v>352</v>
      </c>
      <c r="O134" s="15"/>
      <c r="P134" s="15"/>
      <c r="Q134" s="15"/>
      <c r="R134" s="15"/>
      <c r="S134" s="15" t="s">
        <v>362</v>
      </c>
      <c r="T134" s="15"/>
      <c r="U134" s="15"/>
      <c r="V134" s="15"/>
      <c r="W134" s="15"/>
      <c r="X134" s="15" t="s">
        <v>362</v>
      </c>
      <c r="Y134" s="17">
        <v>6356804</v>
      </c>
      <c r="Z134" s="17">
        <v>418689</v>
      </c>
      <c r="AA134" s="17">
        <v>43362</v>
      </c>
      <c r="AB134" s="17">
        <v>24196</v>
      </c>
      <c r="AC134" s="17">
        <v>6381000</v>
      </c>
      <c r="AE134" s="51">
        <f t="shared" si="10"/>
        <v>30.863949013378711</v>
      </c>
      <c r="AF134" s="51">
        <f t="shared" si="11"/>
        <v>0.11747791977347599</v>
      </c>
      <c r="AG134" s="51">
        <f t="shared" si="12"/>
        <v>30.981426933152189</v>
      </c>
      <c r="AH134" s="51" t="str">
        <f t="shared" si="13"/>
        <v/>
      </c>
      <c r="AI134" s="17">
        <v>7957818</v>
      </c>
      <c r="AJ134" s="17">
        <v>9234868</v>
      </c>
      <c r="AK134" s="17">
        <v>4668277</v>
      </c>
      <c r="AL134" s="17">
        <v>13903145</v>
      </c>
      <c r="AM134" s="17">
        <v>21860963</v>
      </c>
      <c r="AN134" s="17">
        <v>10020375</v>
      </c>
      <c r="BG134" s="15"/>
      <c r="BM134" s="17"/>
      <c r="BN134" s="17"/>
      <c r="BO134" s="17"/>
      <c r="BP134" s="17"/>
      <c r="BQ134" s="17"/>
      <c r="BT134" s="15" t="s">
        <v>353</v>
      </c>
      <c r="BU134" s="15" t="s">
        <v>354</v>
      </c>
      <c r="BW134" s="17"/>
    </row>
    <row r="135" spans="1:75" hidden="1" x14ac:dyDescent="0.25">
      <c r="A135" s="15" t="s">
        <v>342</v>
      </c>
      <c r="B135" s="15" t="s">
        <v>52</v>
      </c>
      <c r="C135" s="15">
        <v>2014</v>
      </c>
      <c r="D135" s="15" t="s">
        <v>343</v>
      </c>
      <c r="E135" s="15">
        <v>12020</v>
      </c>
      <c r="F135" s="15">
        <v>204213133</v>
      </c>
      <c r="G135" s="15" t="s">
        <v>42</v>
      </c>
      <c r="H135" s="15" t="s">
        <v>110</v>
      </c>
      <c r="I135" s="15" t="s">
        <v>347</v>
      </c>
      <c r="J135" s="15" t="s">
        <v>348</v>
      </c>
      <c r="K135" s="15" t="s">
        <v>349</v>
      </c>
      <c r="L135" s="15" t="s">
        <v>350</v>
      </c>
      <c r="M135" s="15" t="s">
        <v>351</v>
      </c>
      <c r="N135" s="15" t="s">
        <v>352</v>
      </c>
      <c r="O135" s="15"/>
      <c r="P135" s="15"/>
      <c r="Q135" s="15"/>
      <c r="R135" s="15"/>
      <c r="S135" s="15" t="s">
        <v>362</v>
      </c>
      <c r="T135" s="15"/>
      <c r="U135" s="15"/>
      <c r="V135" s="15"/>
      <c r="W135" s="15"/>
      <c r="X135" s="15" t="s">
        <v>362</v>
      </c>
      <c r="Y135" s="17">
        <v>6295057</v>
      </c>
      <c r="Z135" s="17">
        <v>424801</v>
      </c>
      <c r="AA135" s="17">
        <v>45491</v>
      </c>
      <c r="AB135" s="17">
        <v>25366</v>
      </c>
      <c r="AC135" s="17">
        <v>6320423</v>
      </c>
      <c r="AE135" s="51">
        <f t="shared" si="10"/>
        <v>30.825916568255188</v>
      </c>
      <c r="AF135" s="51">
        <f t="shared" si="11"/>
        <v>0.12421336290844721</v>
      </c>
      <c r="AG135" s="51">
        <f t="shared" si="12"/>
        <v>30.950129931163634</v>
      </c>
      <c r="AH135" s="51" t="str">
        <f t="shared" si="13"/>
        <v/>
      </c>
      <c r="AI135" s="17">
        <v>7946837</v>
      </c>
      <c r="AJ135" s="17">
        <v>9516970</v>
      </c>
      <c r="AK135" s="17">
        <v>5003637</v>
      </c>
      <c r="AL135" s="17">
        <v>14520607</v>
      </c>
      <c r="AM135" s="17">
        <v>22467444</v>
      </c>
      <c r="AN135" s="17">
        <v>10739815</v>
      </c>
      <c r="BG135" s="15"/>
      <c r="BM135" s="17"/>
      <c r="BN135" s="17"/>
      <c r="BO135" s="17"/>
      <c r="BP135" s="17"/>
      <c r="BQ135" s="17"/>
      <c r="BT135" s="15" t="s">
        <v>353</v>
      </c>
      <c r="BU135" s="15" t="s">
        <v>354</v>
      </c>
      <c r="BW135" s="17"/>
    </row>
    <row r="136" spans="1:75" hidden="1" x14ac:dyDescent="0.25">
      <c r="A136" s="15" t="s">
        <v>342</v>
      </c>
      <c r="B136" s="15" t="s">
        <v>52</v>
      </c>
      <c r="C136" s="15">
        <v>2013</v>
      </c>
      <c r="D136" s="15" t="s">
        <v>343</v>
      </c>
      <c r="E136" s="15">
        <v>12730</v>
      </c>
      <c r="F136" s="15">
        <v>202408632</v>
      </c>
      <c r="G136" s="15" t="s">
        <v>42</v>
      </c>
      <c r="H136" s="15" t="s">
        <v>110</v>
      </c>
      <c r="I136" s="15" t="s">
        <v>347</v>
      </c>
      <c r="J136" s="15" t="s">
        <v>348</v>
      </c>
      <c r="K136" s="15" t="s">
        <v>349</v>
      </c>
      <c r="L136" s="15" t="s">
        <v>350</v>
      </c>
      <c r="M136" s="15" t="s">
        <v>351</v>
      </c>
      <c r="N136" s="15" t="s">
        <v>352</v>
      </c>
      <c r="O136" s="15"/>
      <c r="P136" s="15"/>
      <c r="Q136" s="15"/>
      <c r="R136" s="15"/>
      <c r="S136" s="15" t="s">
        <v>362</v>
      </c>
      <c r="T136" s="15"/>
      <c r="U136" s="15"/>
      <c r="V136" s="15"/>
      <c r="W136" s="15"/>
      <c r="X136" s="15" t="s">
        <v>362</v>
      </c>
      <c r="Y136" s="17">
        <v>6215352</v>
      </c>
      <c r="Z136" s="17">
        <v>414527</v>
      </c>
      <c r="AA136" s="17">
        <v>45115</v>
      </c>
      <c r="AB136" s="17">
        <v>25127</v>
      </c>
      <c r="AC136" s="17">
        <v>6240479</v>
      </c>
      <c r="AE136" s="51">
        <f t="shared" si="10"/>
        <v>30.706951272710544</v>
      </c>
      <c r="AF136" s="51">
        <f t="shared" si="11"/>
        <v>0.12413996256839481</v>
      </c>
      <c r="AG136" s="51">
        <f t="shared" si="12"/>
        <v>30.831091235278937</v>
      </c>
      <c r="AH136" s="51" t="str">
        <f t="shared" si="13"/>
        <v/>
      </c>
      <c r="AI136" s="17">
        <v>7713340</v>
      </c>
      <c r="AJ136" s="17">
        <v>9357951</v>
      </c>
      <c r="AK136" s="17">
        <v>5027167</v>
      </c>
      <c r="AL136" s="17">
        <v>14385118</v>
      </c>
      <c r="AM136" s="17">
        <v>22098458</v>
      </c>
      <c r="AN136" s="17">
        <v>10659041</v>
      </c>
      <c r="BG136" s="15"/>
      <c r="BL136" s="15" t="s">
        <v>355</v>
      </c>
      <c r="BM136" s="17">
        <v>1856187</v>
      </c>
      <c r="BN136" s="17"/>
      <c r="BO136" s="17"/>
      <c r="BP136" s="17"/>
      <c r="BQ136" s="17"/>
      <c r="BT136" s="15" t="s">
        <v>353</v>
      </c>
      <c r="BU136" s="15" t="s">
        <v>354</v>
      </c>
      <c r="BW136" s="17"/>
    </row>
    <row r="137" spans="1:75" hidden="1" x14ac:dyDescent="0.25">
      <c r="A137" s="15" t="s">
        <v>342</v>
      </c>
      <c r="B137" s="15" t="s">
        <v>52</v>
      </c>
      <c r="C137" s="15">
        <v>2012</v>
      </c>
      <c r="D137" s="15" t="s">
        <v>343</v>
      </c>
      <c r="E137" s="15">
        <v>12280</v>
      </c>
      <c r="F137" s="15">
        <v>200560983</v>
      </c>
      <c r="G137" s="15" t="s">
        <v>42</v>
      </c>
      <c r="H137" s="15" t="s">
        <v>110</v>
      </c>
      <c r="I137" s="15" t="s">
        <v>347</v>
      </c>
      <c r="J137" s="15" t="s">
        <v>348</v>
      </c>
      <c r="K137" s="15" t="s">
        <v>349</v>
      </c>
      <c r="L137" s="15" t="s">
        <v>350</v>
      </c>
      <c r="M137" s="15" t="s">
        <v>351</v>
      </c>
      <c r="N137" s="15" t="s">
        <v>352</v>
      </c>
      <c r="O137" s="15"/>
      <c r="P137" s="15"/>
      <c r="Q137" s="15"/>
      <c r="R137" s="15"/>
      <c r="S137" s="15" t="s">
        <v>362</v>
      </c>
      <c r="T137" s="15"/>
      <c r="U137" s="15"/>
      <c r="V137" s="15"/>
      <c r="W137" s="15"/>
      <c r="X137" s="15" t="s">
        <v>362</v>
      </c>
      <c r="Y137" s="17">
        <v>6040089</v>
      </c>
      <c r="Z137" s="17">
        <v>401442</v>
      </c>
      <c r="AA137" s="17">
        <v>43823</v>
      </c>
      <c r="AB137" s="17">
        <v>24411</v>
      </c>
      <c r="AC137" s="17">
        <v>6064500</v>
      </c>
      <c r="AE137" s="51">
        <f t="shared" si="10"/>
        <v>30.115972257674866</v>
      </c>
      <c r="AF137" s="51">
        <f t="shared" si="11"/>
        <v>0.1217136036873134</v>
      </c>
      <c r="AG137" s="51">
        <f t="shared" si="12"/>
        <v>30.237685861362177</v>
      </c>
      <c r="AH137" s="51" t="str">
        <f t="shared" si="13"/>
        <v/>
      </c>
      <c r="AI137" s="17">
        <v>7447914</v>
      </c>
      <c r="AJ137" s="17">
        <v>9108431</v>
      </c>
      <c r="AK137" s="17">
        <v>4910685</v>
      </c>
      <c r="AL137" s="17">
        <v>14019116</v>
      </c>
      <c r="AM137" s="17">
        <v>21467030</v>
      </c>
      <c r="AN137" s="17">
        <v>10402762</v>
      </c>
      <c r="BG137" s="15"/>
      <c r="BL137" s="15" t="s">
        <v>355</v>
      </c>
      <c r="BM137" s="17">
        <v>1857042</v>
      </c>
      <c r="BN137" s="17"/>
      <c r="BO137" s="17"/>
      <c r="BP137" s="17"/>
      <c r="BQ137" s="17"/>
      <c r="BT137" s="15" t="s">
        <v>353</v>
      </c>
      <c r="BU137" s="15" t="s">
        <v>354</v>
      </c>
      <c r="BW137" s="17"/>
    </row>
    <row r="138" spans="1:75" hidden="1" x14ac:dyDescent="0.25">
      <c r="A138" s="15" t="s">
        <v>342</v>
      </c>
      <c r="B138" s="15" t="s">
        <v>52</v>
      </c>
      <c r="C138" s="15">
        <v>2011</v>
      </c>
      <c r="D138" s="15" t="s">
        <v>343</v>
      </c>
      <c r="E138" s="15">
        <v>11010</v>
      </c>
      <c r="F138" s="15">
        <v>198686688</v>
      </c>
      <c r="G138" s="15" t="s">
        <v>42</v>
      </c>
      <c r="H138" s="15" t="s">
        <v>110</v>
      </c>
      <c r="I138" s="15" t="s">
        <v>347</v>
      </c>
      <c r="J138" s="15" t="s">
        <v>348</v>
      </c>
      <c r="K138" s="15" t="s">
        <v>349</v>
      </c>
      <c r="L138" s="15" t="s">
        <v>350</v>
      </c>
      <c r="M138" s="15" t="s">
        <v>351</v>
      </c>
      <c r="N138" s="15" t="s">
        <v>352</v>
      </c>
      <c r="O138" s="15"/>
      <c r="P138" s="15"/>
      <c r="Q138" s="15"/>
      <c r="R138" s="15"/>
      <c r="S138" s="15" t="s">
        <v>362</v>
      </c>
      <c r="T138" s="15"/>
      <c r="U138" s="15"/>
      <c r="V138" s="15"/>
      <c r="W138" s="15"/>
      <c r="X138" s="15" t="s">
        <v>362</v>
      </c>
      <c r="Y138" s="17">
        <v>5980973</v>
      </c>
      <c r="Z138" s="17">
        <v>384028</v>
      </c>
      <c r="AA138" s="17">
        <v>42463</v>
      </c>
      <c r="AB138" s="17">
        <v>23155</v>
      </c>
      <c r="AC138" s="17">
        <v>6004128</v>
      </c>
      <c r="AE138" s="51">
        <f t="shared" si="10"/>
        <v>30.102535102905332</v>
      </c>
      <c r="AF138" s="51">
        <f t="shared" si="11"/>
        <v>0.11654026866661545</v>
      </c>
      <c r="AG138" s="51">
        <f t="shared" si="12"/>
        <v>30.219075371571947</v>
      </c>
      <c r="AH138" s="51" t="str">
        <f t="shared" si="13"/>
        <v/>
      </c>
      <c r="AI138" s="17">
        <v>7114273</v>
      </c>
      <c r="AJ138" s="17">
        <v>8773438</v>
      </c>
      <c r="AK138" s="17">
        <v>4786063</v>
      </c>
      <c r="AL138" s="17">
        <v>13559501</v>
      </c>
      <c r="AM138" s="17">
        <v>20673774</v>
      </c>
      <c r="AN138" s="17">
        <v>10034048</v>
      </c>
      <c r="BG138" s="15"/>
      <c r="BL138" s="15" t="s">
        <v>355</v>
      </c>
      <c r="BM138" s="17">
        <v>1808667</v>
      </c>
      <c r="BN138" s="17"/>
      <c r="BO138" s="17"/>
      <c r="BP138" s="17"/>
      <c r="BQ138" s="17"/>
      <c r="BT138" s="15" t="s">
        <v>353</v>
      </c>
      <c r="BU138" s="15" t="s">
        <v>354</v>
      </c>
      <c r="BW138" s="17"/>
    </row>
    <row r="139" spans="1:75" hidden="1" x14ac:dyDescent="0.25">
      <c r="A139" s="15" t="s">
        <v>342</v>
      </c>
      <c r="B139" s="15" t="s">
        <v>52</v>
      </c>
      <c r="C139" s="15">
        <v>2010</v>
      </c>
      <c r="D139" s="15" t="s">
        <v>343</v>
      </c>
      <c r="E139" s="15">
        <v>9610</v>
      </c>
      <c r="F139" s="15">
        <v>196796269</v>
      </c>
      <c r="G139" s="15" t="s">
        <v>42</v>
      </c>
      <c r="H139" s="15" t="s">
        <v>110</v>
      </c>
      <c r="I139" s="15" t="s">
        <v>347</v>
      </c>
      <c r="J139" s="15" t="s">
        <v>348</v>
      </c>
      <c r="K139" s="15" t="s">
        <v>349</v>
      </c>
      <c r="L139" s="15" t="s">
        <v>350</v>
      </c>
      <c r="M139" s="15" t="s">
        <v>351</v>
      </c>
      <c r="N139" s="15" t="s">
        <v>352</v>
      </c>
      <c r="O139" s="15"/>
      <c r="P139" s="15"/>
      <c r="Q139" s="15"/>
      <c r="R139" s="15"/>
      <c r="S139" s="15" t="s">
        <v>362</v>
      </c>
      <c r="T139" s="15"/>
      <c r="U139" s="15"/>
      <c r="V139" s="15"/>
      <c r="W139" s="15"/>
      <c r="X139" s="15" t="s">
        <v>362</v>
      </c>
      <c r="Y139" s="17">
        <v>5790546</v>
      </c>
      <c r="Z139" s="17">
        <v>360773</v>
      </c>
      <c r="AA139" s="17">
        <v>40211</v>
      </c>
      <c r="AB139" s="17">
        <v>21598</v>
      </c>
      <c r="AC139" s="17">
        <v>5812144</v>
      </c>
      <c r="AE139" s="51">
        <f t="shared" si="10"/>
        <v>29.424063928772959</v>
      </c>
      <c r="AF139" s="51">
        <f t="shared" si="11"/>
        <v>0.10974801559881199</v>
      </c>
      <c r="AG139" s="51">
        <f t="shared" si="12"/>
        <v>29.53381194437177</v>
      </c>
      <c r="AH139" s="51" t="str">
        <f t="shared" si="13"/>
        <v/>
      </c>
      <c r="AI139" s="17">
        <v>6705756</v>
      </c>
      <c r="AJ139" s="17">
        <v>8253379</v>
      </c>
      <c r="AK139" s="17">
        <v>4607526</v>
      </c>
      <c r="AL139" s="17">
        <v>12860905</v>
      </c>
      <c r="AM139" s="17">
        <v>19566661</v>
      </c>
      <c r="AN139" s="17">
        <v>9357500</v>
      </c>
      <c r="BG139" s="15"/>
      <c r="BL139" s="15" t="s">
        <v>355</v>
      </c>
      <c r="BM139" s="17">
        <v>1594583</v>
      </c>
      <c r="BN139" s="17"/>
      <c r="BO139" s="17"/>
      <c r="BP139" s="17"/>
      <c r="BQ139" s="17"/>
      <c r="BT139" s="15" t="s">
        <v>353</v>
      </c>
      <c r="BU139" s="15" t="s">
        <v>354</v>
      </c>
      <c r="BW139" s="17"/>
    </row>
    <row r="140" spans="1:75" hidden="1" x14ac:dyDescent="0.25">
      <c r="A140" s="15" t="s">
        <v>342</v>
      </c>
      <c r="B140" s="15" t="s">
        <v>52</v>
      </c>
      <c r="C140" s="15">
        <v>2009</v>
      </c>
      <c r="D140" s="15" t="s">
        <v>343</v>
      </c>
      <c r="E140" s="15">
        <v>8070</v>
      </c>
      <c r="F140" s="15">
        <v>194895996</v>
      </c>
      <c r="G140" s="15" t="s">
        <v>42</v>
      </c>
      <c r="H140" s="15" t="s">
        <v>110</v>
      </c>
      <c r="I140" s="15" t="s">
        <v>347</v>
      </c>
      <c r="J140" s="15" t="s">
        <v>348</v>
      </c>
      <c r="K140" s="15" t="s">
        <v>349</v>
      </c>
      <c r="L140" s="15" t="s">
        <v>350</v>
      </c>
      <c r="M140" s="15" t="s">
        <v>351</v>
      </c>
      <c r="N140" s="15" t="s">
        <v>352</v>
      </c>
      <c r="O140" s="15"/>
      <c r="P140" s="15"/>
      <c r="Q140" s="15"/>
      <c r="R140" s="15"/>
      <c r="S140" s="15" t="s">
        <v>362</v>
      </c>
      <c r="T140" s="15"/>
      <c r="U140" s="15"/>
      <c r="V140" s="15"/>
      <c r="W140" s="15"/>
      <c r="X140" s="15" t="s">
        <v>362</v>
      </c>
      <c r="Y140" s="17">
        <v>5657018</v>
      </c>
      <c r="Z140" s="17">
        <v>331570</v>
      </c>
      <c r="AA140" s="17">
        <v>36527</v>
      </c>
      <c r="AB140" s="17">
        <v>19369</v>
      </c>
      <c r="AC140" s="17">
        <v>5676387</v>
      </c>
      <c r="AE140" s="51">
        <f t="shared" si="10"/>
        <v>29.025829755886829</v>
      </c>
      <c r="AF140" s="51">
        <f t="shared" si="11"/>
        <v>9.9381210479049562E-2</v>
      </c>
      <c r="AG140" s="51">
        <f t="shared" si="12"/>
        <v>29.125210966365874</v>
      </c>
      <c r="AH140" s="51" t="str">
        <f t="shared" si="13"/>
        <v/>
      </c>
      <c r="AI140" s="17">
        <v>6263212</v>
      </c>
      <c r="AJ140" s="17">
        <v>7554098</v>
      </c>
      <c r="AK140" s="17">
        <v>4166658</v>
      </c>
      <c r="AL140" s="17">
        <v>11720756</v>
      </c>
      <c r="AM140" s="17">
        <v>17983968</v>
      </c>
      <c r="AN140" s="17">
        <v>8380183</v>
      </c>
      <c r="BG140" s="15"/>
      <c r="BL140" s="15" t="s">
        <v>355</v>
      </c>
      <c r="BM140" s="17">
        <v>1650749</v>
      </c>
      <c r="BN140" s="17"/>
      <c r="BO140" s="17"/>
      <c r="BP140" s="17"/>
      <c r="BQ140" s="17"/>
      <c r="BT140" s="15" t="s">
        <v>353</v>
      </c>
      <c r="BU140" s="15" t="s">
        <v>354</v>
      </c>
      <c r="BW140" s="17"/>
    </row>
    <row r="141" spans="1:75" hidden="1" x14ac:dyDescent="0.25">
      <c r="A141" s="15" t="s">
        <v>342</v>
      </c>
      <c r="B141" s="15" t="s">
        <v>52</v>
      </c>
      <c r="C141" s="15">
        <v>2008</v>
      </c>
      <c r="D141" s="15" t="s">
        <v>343</v>
      </c>
      <c r="E141" s="15">
        <v>7400</v>
      </c>
      <c r="F141" s="15">
        <v>192979029</v>
      </c>
      <c r="G141" s="15" t="s">
        <v>42</v>
      </c>
      <c r="H141" s="15" t="s">
        <v>110</v>
      </c>
      <c r="I141" s="15" t="s">
        <v>347</v>
      </c>
      <c r="J141" s="15" t="s">
        <v>348</v>
      </c>
      <c r="K141" s="15" t="s">
        <v>349</v>
      </c>
      <c r="L141" s="15" t="s">
        <v>350</v>
      </c>
      <c r="M141" s="15" t="s">
        <v>351</v>
      </c>
      <c r="N141" s="15" t="s">
        <v>352</v>
      </c>
      <c r="O141" s="15"/>
      <c r="P141" s="15"/>
      <c r="Q141" s="15"/>
      <c r="R141" s="15"/>
      <c r="S141" s="15" t="s">
        <v>362</v>
      </c>
      <c r="T141" s="15"/>
      <c r="U141" s="15"/>
      <c r="V141" s="15"/>
      <c r="W141" s="15"/>
      <c r="X141" s="15" t="s">
        <v>362</v>
      </c>
      <c r="Y141" s="17">
        <v>5473213</v>
      </c>
      <c r="Z141" s="17">
        <v>315538</v>
      </c>
      <c r="AA141" s="17">
        <v>34811</v>
      </c>
      <c r="AB141" s="17">
        <v>18385</v>
      </c>
      <c r="AC141" s="17">
        <v>5491598</v>
      </c>
      <c r="AE141" s="51">
        <f t="shared" si="10"/>
        <v>28.361698306607192</v>
      </c>
      <c r="AF141" s="51">
        <f t="shared" si="11"/>
        <v>9.5269419145020157E-2</v>
      </c>
      <c r="AG141" s="51">
        <f t="shared" si="12"/>
        <v>28.456967725752211</v>
      </c>
      <c r="AH141" s="51" t="str">
        <f t="shared" si="13"/>
        <v/>
      </c>
      <c r="AI141" s="17">
        <v>5957857</v>
      </c>
      <c r="AJ141" s="17">
        <v>7228170</v>
      </c>
      <c r="AK141" s="17">
        <v>4020361</v>
      </c>
      <c r="AL141" s="17">
        <v>11248531</v>
      </c>
      <c r="AM141" s="17">
        <v>17206388</v>
      </c>
      <c r="AN141" s="17">
        <v>8025375</v>
      </c>
      <c r="BG141" s="15"/>
      <c r="BL141" s="15" t="s">
        <v>355</v>
      </c>
      <c r="BM141" s="17">
        <v>1551866</v>
      </c>
      <c r="BN141" s="17"/>
      <c r="BO141" s="17"/>
      <c r="BP141" s="17"/>
      <c r="BQ141" s="17"/>
      <c r="BT141" s="15" t="s">
        <v>353</v>
      </c>
      <c r="BU141" s="15" t="s">
        <v>354</v>
      </c>
      <c r="BW141" s="17"/>
    </row>
    <row r="142" spans="1:75" hidden="1" x14ac:dyDescent="0.25">
      <c r="A142" s="15" t="s">
        <v>342</v>
      </c>
      <c r="B142" s="15" t="s">
        <v>52</v>
      </c>
      <c r="C142" s="15">
        <v>2007</v>
      </c>
      <c r="D142" s="15" t="s">
        <v>343</v>
      </c>
      <c r="E142" s="15">
        <v>6030</v>
      </c>
      <c r="F142" s="15">
        <v>191026637</v>
      </c>
      <c r="G142" s="15" t="s">
        <v>42</v>
      </c>
      <c r="H142" s="15" t="s">
        <v>110</v>
      </c>
      <c r="I142" s="15" t="s">
        <v>347</v>
      </c>
      <c r="J142" s="15" t="s">
        <v>348</v>
      </c>
      <c r="K142" s="15" t="s">
        <v>349</v>
      </c>
      <c r="L142" s="15" t="s">
        <v>350</v>
      </c>
      <c r="M142" s="15" t="s">
        <v>351</v>
      </c>
      <c r="N142" s="15" t="s">
        <v>352</v>
      </c>
      <c r="O142" s="15"/>
      <c r="P142" s="15"/>
      <c r="Q142" s="15"/>
      <c r="R142" s="15"/>
      <c r="S142" s="15" t="s">
        <v>362</v>
      </c>
      <c r="T142" s="15"/>
      <c r="U142" s="15"/>
      <c r="V142" s="15"/>
      <c r="W142" s="15"/>
      <c r="X142" s="15" t="s">
        <v>362</v>
      </c>
      <c r="Y142" s="17">
        <v>5274274</v>
      </c>
      <c r="Z142" s="17">
        <v>293035</v>
      </c>
      <c r="AA142" s="17">
        <v>32531</v>
      </c>
      <c r="AB142" s="17">
        <v>17217</v>
      </c>
      <c r="AC142" s="17">
        <v>5291491</v>
      </c>
      <c r="AE142" s="51">
        <f t="shared" si="10"/>
        <v>27.610149468317342</v>
      </c>
      <c r="AF142" s="51">
        <f t="shared" si="11"/>
        <v>9.0128791829173022E-2</v>
      </c>
      <c r="AG142" s="51">
        <f t="shared" si="12"/>
        <v>27.700278260146519</v>
      </c>
      <c r="AH142" s="51" t="str">
        <f t="shared" si="13"/>
        <v/>
      </c>
      <c r="AI142" s="17">
        <v>5616442</v>
      </c>
      <c r="AJ142" s="17">
        <v>6725612</v>
      </c>
      <c r="AK142" s="17">
        <v>3790332</v>
      </c>
      <c r="AL142" s="17">
        <v>10515944</v>
      </c>
      <c r="AM142" s="17">
        <v>16132386</v>
      </c>
      <c r="AN142" s="17">
        <v>7496829</v>
      </c>
      <c r="BG142" s="15"/>
      <c r="BL142" s="15" t="s">
        <v>355</v>
      </c>
      <c r="BM142" s="17">
        <v>1516081</v>
      </c>
      <c r="BN142" s="17"/>
      <c r="BO142" s="17"/>
      <c r="BP142" s="17"/>
      <c r="BQ142" s="17"/>
      <c r="BT142" s="15" t="s">
        <v>353</v>
      </c>
      <c r="BU142" s="15" t="s">
        <v>354</v>
      </c>
      <c r="BW142" s="17"/>
    </row>
    <row r="143" spans="1:75" hidden="1" x14ac:dyDescent="0.25">
      <c r="A143" s="15" t="s">
        <v>342</v>
      </c>
      <c r="B143" s="15" t="s">
        <v>52</v>
      </c>
      <c r="C143" s="15">
        <v>2006</v>
      </c>
      <c r="D143" s="15" t="s">
        <v>343</v>
      </c>
      <c r="E143" s="15">
        <v>4750</v>
      </c>
      <c r="F143" s="15">
        <v>189012412</v>
      </c>
      <c r="G143" s="15" t="s">
        <v>42</v>
      </c>
      <c r="H143" s="15" t="s">
        <v>110</v>
      </c>
      <c r="I143" s="15" t="s">
        <v>347</v>
      </c>
      <c r="J143" s="15" t="s">
        <v>348</v>
      </c>
      <c r="K143" s="15" t="s">
        <v>349</v>
      </c>
      <c r="L143" s="15" t="s">
        <v>350</v>
      </c>
      <c r="M143" s="15" t="s">
        <v>351</v>
      </c>
      <c r="N143" s="15" t="s">
        <v>352</v>
      </c>
      <c r="O143" s="15"/>
      <c r="P143" s="15"/>
      <c r="Q143" s="15"/>
      <c r="R143" s="15"/>
      <c r="S143" s="15" t="s">
        <v>362</v>
      </c>
      <c r="T143" s="15"/>
      <c r="U143" s="15"/>
      <c r="V143" s="15"/>
      <c r="W143" s="15"/>
      <c r="X143" s="15" t="s">
        <v>362</v>
      </c>
      <c r="AE143" s="51" t="str">
        <f t="shared" si="10"/>
        <v/>
      </c>
      <c r="AF143" s="51" t="str">
        <f t="shared" si="11"/>
        <v/>
      </c>
      <c r="AG143" s="51" t="str">
        <f t="shared" si="12"/>
        <v/>
      </c>
      <c r="AH143" s="51" t="str">
        <f t="shared" si="13"/>
        <v/>
      </c>
      <c r="AI143" s="17">
        <v>5398185</v>
      </c>
      <c r="AJ143" s="17">
        <v>6279047</v>
      </c>
      <c r="AK143" s="17">
        <v>3492894</v>
      </c>
      <c r="AL143" s="17">
        <v>9771941</v>
      </c>
      <c r="AM143" s="17">
        <v>15170126</v>
      </c>
      <c r="AN143" s="17">
        <v>6665086</v>
      </c>
      <c r="BG143" s="15"/>
      <c r="BL143" s="15" t="s">
        <v>355</v>
      </c>
      <c r="BM143" s="17">
        <v>1439455</v>
      </c>
      <c r="BN143" s="17"/>
      <c r="BO143" s="17"/>
      <c r="BP143" s="17"/>
      <c r="BQ143" s="17"/>
      <c r="BT143" s="15" t="s">
        <v>353</v>
      </c>
      <c r="BU143" s="15" t="s">
        <v>354</v>
      </c>
      <c r="BW143" s="17"/>
    </row>
    <row r="144" spans="1:75" hidden="1" x14ac:dyDescent="0.25">
      <c r="A144" s="15" t="s">
        <v>342</v>
      </c>
      <c r="B144" s="15" t="s">
        <v>52</v>
      </c>
      <c r="C144" s="15">
        <v>2005</v>
      </c>
      <c r="D144" s="15" t="s">
        <v>343</v>
      </c>
      <c r="E144" s="15">
        <v>3940</v>
      </c>
      <c r="F144" s="15">
        <v>186917361</v>
      </c>
      <c r="G144" s="15" t="s">
        <v>42</v>
      </c>
      <c r="H144" s="15" t="s">
        <v>110</v>
      </c>
      <c r="I144" s="15" t="s">
        <v>347</v>
      </c>
      <c r="J144" s="15" t="s">
        <v>348</v>
      </c>
      <c r="K144" s="15" t="s">
        <v>349</v>
      </c>
      <c r="L144" s="15" t="s">
        <v>350</v>
      </c>
      <c r="M144" s="15" t="s">
        <v>351</v>
      </c>
      <c r="N144" s="15" t="s">
        <v>352</v>
      </c>
      <c r="O144" s="15"/>
      <c r="P144" s="15"/>
      <c r="Q144" s="15"/>
      <c r="R144" s="15"/>
      <c r="S144" s="15" t="s">
        <v>362</v>
      </c>
      <c r="T144" s="15"/>
      <c r="U144" s="15"/>
      <c r="V144" s="15"/>
      <c r="W144" s="15"/>
      <c r="X144" s="15" t="s">
        <v>362</v>
      </c>
      <c r="AE144" s="51" t="str">
        <f t="shared" si="10"/>
        <v/>
      </c>
      <c r="AF144" s="51" t="str">
        <f t="shared" si="11"/>
        <v/>
      </c>
      <c r="AG144" s="51" t="str">
        <f t="shared" si="12"/>
        <v/>
      </c>
      <c r="AH144" s="51" t="str">
        <f t="shared" si="13"/>
        <v/>
      </c>
      <c r="AI144" s="17">
        <v>5146937</v>
      </c>
      <c r="AJ144" s="17">
        <v>5924042</v>
      </c>
      <c r="AK144" s="17">
        <v>3242793</v>
      </c>
      <c r="AL144" s="17">
        <v>9166835</v>
      </c>
      <c r="AM144" s="17">
        <v>14313772</v>
      </c>
      <c r="AN144" s="17">
        <v>6138173</v>
      </c>
      <c r="BG144" s="15"/>
      <c r="BL144" s="15" t="s">
        <v>355</v>
      </c>
      <c r="BM144" s="17">
        <v>1381860</v>
      </c>
      <c r="BN144" s="17"/>
      <c r="BO144" s="17"/>
      <c r="BP144" s="17"/>
      <c r="BQ144" s="17"/>
      <c r="BT144" s="15" t="s">
        <v>353</v>
      </c>
      <c r="BU144" s="15" t="s">
        <v>354</v>
      </c>
      <c r="BW144" s="17"/>
    </row>
    <row r="145" spans="1:75" hidden="1" x14ac:dyDescent="0.25">
      <c r="A145" s="15" t="s">
        <v>342</v>
      </c>
      <c r="B145" s="15" t="s">
        <v>150</v>
      </c>
      <c r="C145" s="15">
        <v>2016</v>
      </c>
      <c r="D145" s="15" t="s">
        <v>343</v>
      </c>
      <c r="E145" s="15">
        <v>8860</v>
      </c>
      <c r="F145" s="15">
        <v>209288278</v>
      </c>
      <c r="G145" s="15" t="s">
        <v>42</v>
      </c>
      <c r="H145" s="15" t="s">
        <v>110</v>
      </c>
      <c r="I145" s="15" t="s">
        <v>356</v>
      </c>
      <c r="J145" s="15" t="s">
        <v>357</v>
      </c>
      <c r="K145" s="15" t="s">
        <v>61</v>
      </c>
      <c r="L145" s="15" t="s">
        <v>48</v>
      </c>
      <c r="M145" s="15" t="s">
        <v>62</v>
      </c>
      <c r="N145" s="15" t="s">
        <v>63</v>
      </c>
      <c r="O145" s="15"/>
      <c r="P145" s="15"/>
      <c r="Q145" s="15"/>
      <c r="R145" s="15"/>
      <c r="S145" s="15" t="s">
        <v>362</v>
      </c>
      <c r="T145" s="15" t="s">
        <v>358</v>
      </c>
      <c r="U145" s="15" t="s">
        <v>359</v>
      </c>
      <c r="V145" s="15" t="s">
        <v>360</v>
      </c>
      <c r="W145" s="15" t="s">
        <v>361</v>
      </c>
      <c r="X145" s="15" t="s">
        <v>362</v>
      </c>
      <c r="AE145" s="51" t="str">
        <f t="shared" si="10"/>
        <v/>
      </c>
      <c r="AF145" s="51" t="str">
        <f t="shared" si="11"/>
        <v/>
      </c>
      <c r="AG145" s="51" t="str">
        <f t="shared" si="12"/>
        <v/>
      </c>
      <c r="AH145" s="51" t="str">
        <f t="shared" si="13"/>
        <v/>
      </c>
      <c r="AS145" s="17">
        <v>1689991503273.0005</v>
      </c>
      <c r="BG145" s="15"/>
      <c r="BJ145" s="21">
        <v>6.6600000000000006E-2</v>
      </c>
      <c r="BM145" s="17"/>
      <c r="BN145" s="17"/>
      <c r="BO145" s="17"/>
      <c r="BP145" s="17"/>
      <c r="BQ145" s="17"/>
      <c r="BT145" s="15" t="s">
        <v>363</v>
      </c>
      <c r="BW145" s="17"/>
    </row>
    <row r="146" spans="1:75" hidden="1" x14ac:dyDescent="0.25">
      <c r="A146" s="15" t="s">
        <v>342</v>
      </c>
      <c r="B146" s="15" t="s">
        <v>150</v>
      </c>
      <c r="C146" s="15">
        <v>2015</v>
      </c>
      <c r="D146" s="15" t="s">
        <v>343</v>
      </c>
      <c r="E146" s="15">
        <v>10100</v>
      </c>
      <c r="F146" s="15">
        <v>205962108</v>
      </c>
      <c r="G146" s="15" t="s">
        <v>42</v>
      </c>
      <c r="H146" s="15" t="s">
        <v>110</v>
      </c>
      <c r="I146" s="15" t="s">
        <v>356</v>
      </c>
      <c r="J146" s="15" t="s">
        <v>357</v>
      </c>
      <c r="K146" s="15" t="s">
        <v>61</v>
      </c>
      <c r="L146" s="15" t="s">
        <v>48</v>
      </c>
      <c r="M146" s="15" t="s">
        <v>62</v>
      </c>
      <c r="N146" s="15" t="s">
        <v>63</v>
      </c>
      <c r="O146" s="15"/>
      <c r="P146" s="15"/>
      <c r="Q146" s="15"/>
      <c r="R146" s="15"/>
      <c r="S146" s="15" t="s">
        <v>362</v>
      </c>
      <c r="T146" s="15" t="s">
        <v>358</v>
      </c>
      <c r="U146" s="15" t="s">
        <v>359</v>
      </c>
      <c r="V146" s="15" t="s">
        <v>360</v>
      </c>
      <c r="W146" s="15" t="s">
        <v>361</v>
      </c>
      <c r="X146" s="15" t="s">
        <v>362</v>
      </c>
      <c r="AE146" s="51" t="str">
        <f t="shared" si="10"/>
        <v/>
      </c>
      <c r="AF146" s="51" t="str">
        <f t="shared" si="11"/>
        <v/>
      </c>
      <c r="AG146" s="51" t="str">
        <f t="shared" si="12"/>
        <v/>
      </c>
      <c r="AH146" s="51" t="str">
        <f t="shared" si="13"/>
        <v/>
      </c>
      <c r="BG146" s="15"/>
      <c r="BI146" s="21">
        <v>7.5300000000000006E-2</v>
      </c>
      <c r="BJ146" s="21">
        <v>5.4300000000000001E-2</v>
      </c>
      <c r="BM146" s="17"/>
      <c r="BN146" s="17"/>
      <c r="BO146" s="17"/>
      <c r="BP146" s="17"/>
      <c r="BQ146" s="17"/>
      <c r="BW146" s="17"/>
    </row>
    <row r="147" spans="1:75" hidden="1" x14ac:dyDescent="0.25">
      <c r="A147" s="15" t="s">
        <v>342</v>
      </c>
      <c r="B147" s="15" t="s">
        <v>150</v>
      </c>
      <c r="C147" s="15">
        <v>2014</v>
      </c>
      <c r="D147" s="15" t="s">
        <v>343</v>
      </c>
      <c r="E147" s="15">
        <v>12020</v>
      </c>
      <c r="F147" s="15">
        <v>204213133</v>
      </c>
      <c r="G147" s="15" t="s">
        <v>42</v>
      </c>
      <c r="H147" s="15" t="s">
        <v>110</v>
      </c>
      <c r="I147" s="15" t="s">
        <v>356</v>
      </c>
      <c r="J147" s="15" t="s">
        <v>357</v>
      </c>
      <c r="K147" s="15" t="s">
        <v>61</v>
      </c>
      <c r="L147" s="15" t="s">
        <v>48</v>
      </c>
      <c r="M147" s="15" t="s">
        <v>62</v>
      </c>
      <c r="N147" s="15" t="s">
        <v>63</v>
      </c>
      <c r="O147" s="15"/>
      <c r="P147" s="15"/>
      <c r="Q147" s="15"/>
      <c r="R147" s="15"/>
      <c r="S147" s="15" t="s">
        <v>362</v>
      </c>
      <c r="T147" s="15" t="s">
        <v>358</v>
      </c>
      <c r="U147" s="15" t="s">
        <v>359</v>
      </c>
      <c r="V147" s="15" t="s">
        <v>360</v>
      </c>
      <c r="W147" s="15" t="s">
        <v>361</v>
      </c>
      <c r="X147" s="15" t="s">
        <v>362</v>
      </c>
      <c r="AE147" s="51" t="str">
        <f t="shared" si="10"/>
        <v/>
      </c>
      <c r="AF147" s="51" t="str">
        <f t="shared" si="11"/>
        <v/>
      </c>
      <c r="AG147" s="51" t="str">
        <f t="shared" si="12"/>
        <v/>
      </c>
      <c r="AH147" s="51" t="str">
        <f t="shared" si="13"/>
        <v/>
      </c>
      <c r="BG147" s="15"/>
      <c r="BI147" s="21">
        <v>6.3200000000000006E-2</v>
      </c>
      <c r="BJ147" s="21">
        <v>3.9E-2</v>
      </c>
      <c r="BM147" s="17"/>
      <c r="BN147" s="17"/>
      <c r="BO147" s="17"/>
      <c r="BP147" s="17"/>
      <c r="BQ147" s="17"/>
      <c r="BW147" s="17"/>
    </row>
    <row r="148" spans="1:75" hidden="1" x14ac:dyDescent="0.25">
      <c r="A148" s="15" t="s">
        <v>342</v>
      </c>
      <c r="B148" s="15" t="s">
        <v>150</v>
      </c>
      <c r="C148" s="15">
        <v>2013</v>
      </c>
      <c r="D148" s="15" t="s">
        <v>343</v>
      </c>
      <c r="E148" s="15">
        <v>12730</v>
      </c>
      <c r="F148" s="15">
        <v>202408632</v>
      </c>
      <c r="G148" s="15" t="s">
        <v>42</v>
      </c>
      <c r="H148" s="15" t="s">
        <v>110</v>
      </c>
      <c r="I148" s="15" t="s">
        <v>356</v>
      </c>
      <c r="J148" s="15" t="s">
        <v>357</v>
      </c>
      <c r="K148" s="15" t="s">
        <v>61</v>
      </c>
      <c r="L148" s="15" t="s">
        <v>48</v>
      </c>
      <c r="M148" s="15" t="s">
        <v>62</v>
      </c>
      <c r="N148" s="15" t="s">
        <v>63</v>
      </c>
      <c r="O148" s="15"/>
      <c r="P148" s="15"/>
      <c r="Q148" s="15"/>
      <c r="R148" s="15"/>
      <c r="S148" s="15" t="s">
        <v>362</v>
      </c>
      <c r="T148" s="15" t="s">
        <v>358</v>
      </c>
      <c r="U148" s="15" t="s">
        <v>359</v>
      </c>
      <c r="V148" s="15" t="s">
        <v>360</v>
      </c>
      <c r="W148" s="15" t="s">
        <v>361</v>
      </c>
      <c r="X148" s="15" t="s">
        <v>362</v>
      </c>
      <c r="AE148" s="51" t="str">
        <f t="shared" si="10"/>
        <v/>
      </c>
      <c r="AF148" s="51" t="str">
        <f t="shared" si="11"/>
        <v/>
      </c>
      <c r="AG148" s="51" t="str">
        <f t="shared" si="12"/>
        <v/>
      </c>
      <c r="AH148" s="51" t="str">
        <f t="shared" si="13"/>
        <v/>
      </c>
      <c r="BG148" s="15"/>
      <c r="BI148" s="21">
        <v>6.3200000000000006E-2</v>
      </c>
      <c r="BJ148" s="21">
        <v>3.56E-2</v>
      </c>
      <c r="BM148" s="17"/>
      <c r="BN148" s="17"/>
      <c r="BO148" s="17"/>
      <c r="BP148" s="17"/>
      <c r="BQ148" s="17"/>
      <c r="BW148" s="17"/>
    </row>
    <row r="149" spans="1:75" hidden="1" x14ac:dyDescent="0.25">
      <c r="A149" s="15" t="s">
        <v>342</v>
      </c>
      <c r="B149" s="15" t="s">
        <v>150</v>
      </c>
      <c r="C149" s="15">
        <v>2012</v>
      </c>
      <c r="D149" s="15" t="s">
        <v>343</v>
      </c>
      <c r="E149" s="15">
        <v>12280</v>
      </c>
      <c r="F149" s="15">
        <v>200560983</v>
      </c>
      <c r="G149" s="15" t="s">
        <v>42</v>
      </c>
      <c r="H149" s="15" t="s">
        <v>110</v>
      </c>
      <c r="I149" s="15" t="s">
        <v>356</v>
      </c>
      <c r="J149" s="15" t="s">
        <v>357</v>
      </c>
      <c r="K149" s="15" t="s">
        <v>61</v>
      </c>
      <c r="L149" s="15" t="s">
        <v>48</v>
      </c>
      <c r="M149" s="15" t="s">
        <v>62</v>
      </c>
      <c r="N149" s="15" t="s">
        <v>63</v>
      </c>
      <c r="O149" s="15"/>
      <c r="P149" s="15"/>
      <c r="Q149" s="15"/>
      <c r="R149" s="15"/>
      <c r="S149" s="15" t="s">
        <v>362</v>
      </c>
      <c r="T149" s="15" t="s">
        <v>358</v>
      </c>
      <c r="U149" s="15" t="s">
        <v>359</v>
      </c>
      <c r="V149" s="15" t="s">
        <v>360</v>
      </c>
      <c r="W149" s="15" t="s">
        <v>361</v>
      </c>
      <c r="X149" s="15" t="s">
        <v>362</v>
      </c>
      <c r="AE149" s="51" t="str">
        <f t="shared" si="10"/>
        <v/>
      </c>
      <c r="AF149" s="51" t="str">
        <f t="shared" si="11"/>
        <v/>
      </c>
      <c r="AG149" s="51" t="str">
        <f t="shared" si="12"/>
        <v/>
      </c>
      <c r="AH149" s="51" t="str">
        <f t="shared" si="13"/>
        <v/>
      </c>
      <c r="BG149" s="15"/>
      <c r="BI149" s="21">
        <v>7.3800000000000004E-2</v>
      </c>
      <c r="BJ149" s="21">
        <v>4.1799999999999997E-2</v>
      </c>
      <c r="BM149" s="17"/>
      <c r="BN149" s="17"/>
      <c r="BO149" s="17"/>
      <c r="BP149" s="17"/>
      <c r="BQ149" s="17"/>
      <c r="BW149" s="17"/>
    </row>
    <row r="150" spans="1:75" hidden="1" x14ac:dyDescent="0.25">
      <c r="A150" s="15" t="s">
        <v>342</v>
      </c>
      <c r="B150" s="15" t="s">
        <v>150</v>
      </c>
      <c r="C150" s="15">
        <v>2011</v>
      </c>
      <c r="D150" s="15" t="s">
        <v>343</v>
      </c>
      <c r="E150" s="15">
        <v>11010</v>
      </c>
      <c r="F150" s="15">
        <v>198686688</v>
      </c>
      <c r="G150" s="15" t="s">
        <v>42</v>
      </c>
      <c r="H150" s="15" t="s">
        <v>110</v>
      </c>
      <c r="I150" s="15" t="s">
        <v>356</v>
      </c>
      <c r="J150" s="15" t="s">
        <v>357</v>
      </c>
      <c r="K150" s="15" t="s">
        <v>61</v>
      </c>
      <c r="L150" s="15" t="s">
        <v>48</v>
      </c>
      <c r="M150" s="15" t="s">
        <v>62</v>
      </c>
      <c r="N150" s="15" t="s">
        <v>63</v>
      </c>
      <c r="O150" s="15"/>
      <c r="P150" s="15"/>
      <c r="Q150" s="15"/>
      <c r="R150" s="15"/>
      <c r="S150" s="15" t="s">
        <v>362</v>
      </c>
      <c r="T150" s="15" t="s">
        <v>358</v>
      </c>
      <c r="U150" s="15" t="s">
        <v>359</v>
      </c>
      <c r="V150" s="15" t="s">
        <v>360</v>
      </c>
      <c r="W150" s="15" t="s">
        <v>361</v>
      </c>
      <c r="X150" s="15" t="s">
        <v>362</v>
      </c>
      <c r="AE150" s="51" t="str">
        <f t="shared" si="10"/>
        <v/>
      </c>
      <c r="AF150" s="51" t="str">
        <f t="shared" si="11"/>
        <v/>
      </c>
      <c r="AG150" s="51" t="str">
        <f t="shared" si="12"/>
        <v/>
      </c>
      <c r="AH150" s="51" t="str">
        <f t="shared" si="13"/>
        <v/>
      </c>
      <c r="BG150" s="15"/>
      <c r="BI150" s="21">
        <v>7.0199999999999999E-2</v>
      </c>
      <c r="BJ150" s="21">
        <v>3.6299999999999999E-2</v>
      </c>
      <c r="BM150" s="17"/>
      <c r="BN150" s="17"/>
      <c r="BO150" s="17"/>
      <c r="BP150" s="17"/>
      <c r="BQ150" s="17"/>
      <c r="BW150" s="17"/>
    </row>
    <row r="151" spans="1:75" hidden="1" x14ac:dyDescent="0.25">
      <c r="A151" s="15" t="s">
        <v>342</v>
      </c>
      <c r="B151" s="15" t="s">
        <v>150</v>
      </c>
      <c r="C151" s="15">
        <v>2010</v>
      </c>
      <c r="D151" s="15" t="s">
        <v>343</v>
      </c>
      <c r="E151" s="15">
        <v>9610</v>
      </c>
      <c r="F151" s="15">
        <v>196796269</v>
      </c>
      <c r="G151" s="15" t="s">
        <v>42</v>
      </c>
      <c r="H151" s="15" t="s">
        <v>110</v>
      </c>
      <c r="I151" s="15" t="s">
        <v>356</v>
      </c>
      <c r="J151" s="15" t="s">
        <v>357</v>
      </c>
      <c r="K151" s="15" t="s">
        <v>61</v>
      </c>
      <c r="L151" s="15" t="s">
        <v>48</v>
      </c>
      <c r="M151" s="15" t="s">
        <v>62</v>
      </c>
      <c r="N151" s="15" t="s">
        <v>63</v>
      </c>
      <c r="O151" s="15"/>
      <c r="P151" s="15"/>
      <c r="Q151" s="15"/>
      <c r="R151" s="15"/>
      <c r="S151" s="15" t="s">
        <v>362</v>
      </c>
      <c r="T151" s="15" t="s">
        <v>358</v>
      </c>
      <c r="U151" s="15" t="s">
        <v>359</v>
      </c>
      <c r="V151" s="15" t="s">
        <v>360</v>
      </c>
      <c r="W151" s="15" t="s">
        <v>361</v>
      </c>
      <c r="X151" s="15" t="s">
        <v>362</v>
      </c>
      <c r="AE151" s="51" t="str">
        <f t="shared" si="10"/>
        <v/>
      </c>
      <c r="AF151" s="51" t="str">
        <f t="shared" si="11"/>
        <v/>
      </c>
      <c r="AG151" s="51" t="str">
        <f t="shared" si="12"/>
        <v/>
      </c>
      <c r="AH151" s="51" t="str">
        <f t="shared" si="13"/>
        <v/>
      </c>
      <c r="BG151" s="15"/>
      <c r="BI151" s="21">
        <v>6.9099999999999995E-2</v>
      </c>
      <c r="BJ151" s="21">
        <v>3.39E-2</v>
      </c>
      <c r="BM151" s="17"/>
      <c r="BN151" s="17"/>
      <c r="BO151" s="17"/>
      <c r="BP151" s="17"/>
      <c r="BQ151" s="17"/>
      <c r="BW151" s="17"/>
    </row>
    <row r="152" spans="1:75" hidden="1" x14ac:dyDescent="0.25">
      <c r="A152" s="15" t="s">
        <v>342</v>
      </c>
      <c r="B152" s="15" t="s">
        <v>150</v>
      </c>
      <c r="C152" s="15">
        <v>2009</v>
      </c>
      <c r="D152" s="15" t="s">
        <v>343</v>
      </c>
      <c r="E152" s="15">
        <v>8070</v>
      </c>
      <c r="F152" s="15">
        <v>194895996</v>
      </c>
      <c r="G152" s="15" t="s">
        <v>42</v>
      </c>
      <c r="H152" s="15" t="s">
        <v>110</v>
      </c>
      <c r="I152" s="15" t="s">
        <v>356</v>
      </c>
      <c r="J152" s="15" t="s">
        <v>357</v>
      </c>
      <c r="K152" s="15" t="s">
        <v>61</v>
      </c>
      <c r="L152" s="15" t="s">
        <v>48</v>
      </c>
      <c r="M152" s="15" t="s">
        <v>62</v>
      </c>
      <c r="N152" s="15" t="s">
        <v>63</v>
      </c>
      <c r="O152" s="15"/>
      <c r="P152" s="15"/>
      <c r="Q152" s="15"/>
      <c r="R152" s="15"/>
      <c r="S152" s="15" t="s">
        <v>362</v>
      </c>
      <c r="T152" s="15" t="s">
        <v>358</v>
      </c>
      <c r="U152" s="15" t="s">
        <v>359</v>
      </c>
      <c r="V152" s="15" t="s">
        <v>360</v>
      </c>
      <c r="W152" s="15" t="s">
        <v>361</v>
      </c>
      <c r="X152" s="15" t="s">
        <v>362</v>
      </c>
      <c r="AE152" s="51" t="str">
        <f t="shared" si="10"/>
        <v/>
      </c>
      <c r="AF152" s="51" t="str">
        <f t="shared" si="11"/>
        <v/>
      </c>
      <c r="AG152" s="51" t="str">
        <f t="shared" si="12"/>
        <v/>
      </c>
      <c r="AH152" s="51" t="str">
        <f t="shared" si="13"/>
        <v/>
      </c>
      <c r="BG152" s="15"/>
      <c r="BI152" s="21">
        <v>0.08</v>
      </c>
      <c r="BJ152" s="21">
        <v>4.6800000000000001E-2</v>
      </c>
      <c r="BM152" s="17"/>
      <c r="BN152" s="17"/>
      <c r="BO152" s="17"/>
      <c r="BP152" s="17"/>
      <c r="BQ152" s="17"/>
      <c r="BW152" s="17"/>
    </row>
    <row r="153" spans="1:75" ht="13.5" hidden="1" customHeight="1" x14ac:dyDescent="0.25">
      <c r="A153" s="15" t="s">
        <v>342</v>
      </c>
      <c r="B153" s="15" t="s">
        <v>150</v>
      </c>
      <c r="C153" s="15">
        <v>2008</v>
      </c>
      <c r="D153" s="15" t="s">
        <v>343</v>
      </c>
      <c r="E153" s="15">
        <v>7400</v>
      </c>
      <c r="F153" s="15">
        <v>192979029</v>
      </c>
      <c r="G153" s="15" t="s">
        <v>42</v>
      </c>
      <c r="H153" s="15" t="s">
        <v>110</v>
      </c>
      <c r="I153" s="15" t="s">
        <v>356</v>
      </c>
      <c r="J153" s="15" t="s">
        <v>357</v>
      </c>
      <c r="K153" s="15" t="s">
        <v>61</v>
      </c>
      <c r="L153" s="15" t="s">
        <v>48</v>
      </c>
      <c r="M153" s="15" t="s">
        <v>62</v>
      </c>
      <c r="N153" s="15" t="s">
        <v>63</v>
      </c>
      <c r="O153" s="15"/>
      <c r="P153" s="15"/>
      <c r="Q153" s="15"/>
      <c r="R153" s="15"/>
      <c r="S153" s="15" t="s">
        <v>362</v>
      </c>
      <c r="T153" s="15" t="s">
        <v>358</v>
      </c>
      <c r="U153" s="15" t="s">
        <v>359</v>
      </c>
      <c r="V153" s="15" t="s">
        <v>360</v>
      </c>
      <c r="W153" s="15" t="s">
        <v>361</v>
      </c>
      <c r="X153" s="15" t="s">
        <v>362</v>
      </c>
      <c r="AE153" s="51" t="str">
        <f t="shared" si="10"/>
        <v/>
      </c>
      <c r="AF153" s="51" t="str">
        <f t="shared" si="11"/>
        <v/>
      </c>
      <c r="AG153" s="51" t="str">
        <f t="shared" si="12"/>
        <v/>
      </c>
      <c r="AH153" s="51" t="str">
        <f t="shared" si="13"/>
        <v/>
      </c>
      <c r="BG153" s="15"/>
      <c r="BI153" s="21">
        <v>5.4800000000000001E-2</v>
      </c>
      <c r="BJ153" s="21">
        <v>2.7900000000000001E-2</v>
      </c>
      <c r="BM153" s="17"/>
      <c r="BN153" s="17"/>
      <c r="BO153" s="17"/>
      <c r="BP153" s="17"/>
      <c r="BQ153" s="17"/>
      <c r="BW153" s="17"/>
    </row>
    <row r="154" spans="1:75" hidden="1" x14ac:dyDescent="0.25">
      <c r="A154" s="15" t="s">
        <v>342</v>
      </c>
      <c r="B154" s="15" t="s">
        <v>150</v>
      </c>
      <c r="C154" s="15">
        <v>2007</v>
      </c>
      <c r="D154" s="15" t="s">
        <v>343</v>
      </c>
      <c r="E154" s="15">
        <v>6030</v>
      </c>
      <c r="F154" s="15">
        <v>191026637</v>
      </c>
      <c r="G154" s="15" t="s">
        <v>42</v>
      </c>
      <c r="H154" s="15" t="s">
        <v>110</v>
      </c>
      <c r="I154" s="15" t="s">
        <v>356</v>
      </c>
      <c r="J154" s="15" t="s">
        <v>357</v>
      </c>
      <c r="K154" s="15" t="s">
        <v>61</v>
      </c>
      <c r="L154" s="15" t="s">
        <v>48</v>
      </c>
      <c r="M154" s="15" t="s">
        <v>62</v>
      </c>
      <c r="N154" s="15" t="s">
        <v>63</v>
      </c>
      <c r="O154" s="15"/>
      <c r="P154" s="15"/>
      <c r="Q154" s="15"/>
      <c r="R154" s="15"/>
      <c r="S154" s="15" t="s">
        <v>362</v>
      </c>
      <c r="T154" s="15" t="s">
        <v>358</v>
      </c>
      <c r="U154" s="15" t="s">
        <v>359</v>
      </c>
      <c r="V154" s="15" t="s">
        <v>360</v>
      </c>
      <c r="W154" s="15" t="s">
        <v>361</v>
      </c>
      <c r="X154" s="15" t="s">
        <v>362</v>
      </c>
      <c r="AE154" s="51" t="str">
        <f t="shared" si="10"/>
        <v/>
      </c>
      <c r="AF154" s="51" t="str">
        <f t="shared" si="11"/>
        <v/>
      </c>
      <c r="AG154" s="51" t="str">
        <f t="shared" si="12"/>
        <v/>
      </c>
      <c r="AH154" s="51" t="str">
        <f t="shared" si="13"/>
        <v/>
      </c>
      <c r="BG154" s="15"/>
      <c r="BJ154" s="21">
        <v>2.64E-2</v>
      </c>
      <c r="BM154" s="17"/>
      <c r="BN154" s="17"/>
      <c r="BO154" s="17"/>
      <c r="BP154" s="17"/>
      <c r="BQ154" s="17"/>
      <c r="BW154" s="17"/>
    </row>
    <row r="155" spans="1:75" x14ac:dyDescent="0.25">
      <c r="A155" s="15" t="s">
        <v>342</v>
      </c>
      <c r="B155" s="15" t="s">
        <v>364</v>
      </c>
      <c r="C155" s="15">
        <v>2014</v>
      </c>
      <c r="D155" s="15" t="s">
        <v>343</v>
      </c>
      <c r="E155" s="15">
        <v>12020</v>
      </c>
      <c r="F155" s="15">
        <v>204213133</v>
      </c>
      <c r="G155" s="15" t="s">
        <v>42</v>
      </c>
      <c r="H155" s="15" t="s">
        <v>110</v>
      </c>
      <c r="I155" s="15" t="s">
        <v>365</v>
      </c>
      <c r="J155" s="15" t="s">
        <v>366</v>
      </c>
      <c r="K155" s="15"/>
      <c r="L155" s="15"/>
      <c r="M155" s="15"/>
      <c r="N155" s="15"/>
      <c r="O155" s="15"/>
      <c r="P155" s="15"/>
      <c r="Q155" s="15"/>
      <c r="R155" s="15"/>
      <c r="S155" s="15" t="s">
        <v>362</v>
      </c>
      <c r="T155" s="15"/>
      <c r="U155" s="15"/>
      <c r="V155" s="15"/>
      <c r="W155" s="15"/>
      <c r="X155" s="15" t="s">
        <v>362</v>
      </c>
      <c r="AE155" s="51" t="str">
        <f t="shared" si="10"/>
        <v/>
      </c>
      <c r="AF155" s="51" t="str">
        <f t="shared" si="11"/>
        <v/>
      </c>
      <c r="AG155" s="51" t="str">
        <f t="shared" si="12"/>
        <v/>
      </c>
      <c r="AH155" s="51" t="str">
        <f t="shared" si="13"/>
        <v/>
      </c>
      <c r="BG155" s="15"/>
      <c r="BM155" s="17"/>
      <c r="BN155" s="17"/>
      <c r="BO155" s="17"/>
      <c r="BP155" s="17"/>
      <c r="BQ155" s="17"/>
      <c r="BR155" s="43">
        <v>0.16300000000000001</v>
      </c>
      <c r="BW155" s="17"/>
    </row>
    <row r="156" spans="1:75" x14ac:dyDescent="0.25">
      <c r="A156" s="15" t="s">
        <v>342</v>
      </c>
      <c r="B156" s="15" t="s">
        <v>364</v>
      </c>
      <c r="C156" s="15">
        <v>2013</v>
      </c>
      <c r="D156" s="15" t="s">
        <v>343</v>
      </c>
      <c r="E156" s="15">
        <v>12730</v>
      </c>
      <c r="F156" s="15">
        <v>202408632</v>
      </c>
      <c r="G156" s="15" t="s">
        <v>42</v>
      </c>
      <c r="H156" s="15" t="s">
        <v>110</v>
      </c>
      <c r="I156" s="15" t="s">
        <v>365</v>
      </c>
      <c r="J156" s="15" t="s">
        <v>366</v>
      </c>
      <c r="K156" s="15"/>
      <c r="L156" s="15"/>
      <c r="M156" s="15"/>
      <c r="N156" s="15"/>
      <c r="O156" s="15"/>
      <c r="P156" s="15"/>
      <c r="Q156" s="15"/>
      <c r="R156" s="15"/>
      <c r="S156" s="15" t="s">
        <v>362</v>
      </c>
      <c r="T156" s="15"/>
      <c r="U156" s="15"/>
      <c r="V156" s="15"/>
      <c r="W156" s="15"/>
      <c r="X156" s="15" t="s">
        <v>362</v>
      </c>
      <c r="AE156" s="51" t="str">
        <f t="shared" si="10"/>
        <v/>
      </c>
      <c r="AF156" s="51" t="str">
        <f t="shared" si="11"/>
        <v/>
      </c>
      <c r="AG156" s="51" t="str">
        <f t="shared" si="12"/>
        <v/>
      </c>
      <c r="AH156" s="51" t="str">
        <f t="shared" si="13"/>
        <v/>
      </c>
      <c r="BG156" s="15"/>
      <c r="BM156" s="17"/>
      <c r="BN156" s="17"/>
      <c r="BO156" s="17"/>
      <c r="BP156" s="17"/>
      <c r="BQ156" s="17"/>
      <c r="BR156" s="43">
        <v>0.16200000000000001</v>
      </c>
      <c r="BW156" s="17"/>
    </row>
    <row r="157" spans="1:75" x14ac:dyDescent="0.25">
      <c r="A157" s="15" t="s">
        <v>342</v>
      </c>
      <c r="B157" s="15" t="s">
        <v>364</v>
      </c>
      <c r="C157" s="15">
        <v>2012</v>
      </c>
      <c r="D157" s="15" t="s">
        <v>343</v>
      </c>
      <c r="E157" s="15">
        <v>12280</v>
      </c>
      <c r="F157" s="15">
        <v>200560983</v>
      </c>
      <c r="G157" s="15" t="s">
        <v>42</v>
      </c>
      <c r="H157" s="15" t="s">
        <v>110</v>
      </c>
      <c r="I157" s="15" t="s">
        <v>365</v>
      </c>
      <c r="J157" s="15" t="s">
        <v>366</v>
      </c>
      <c r="K157" s="15"/>
      <c r="L157" s="15"/>
      <c r="M157" s="15"/>
      <c r="N157" s="15"/>
      <c r="O157" s="15"/>
      <c r="P157" s="15"/>
      <c r="Q157" s="15"/>
      <c r="R157" s="15"/>
      <c r="S157" s="15" t="s">
        <v>362</v>
      </c>
      <c r="T157" s="15"/>
      <c r="U157" s="15"/>
      <c r="V157" s="15"/>
      <c r="W157" s="15"/>
      <c r="X157" s="15" t="s">
        <v>362</v>
      </c>
      <c r="AE157" s="51" t="str">
        <f t="shared" si="10"/>
        <v/>
      </c>
      <c r="AF157" s="51" t="str">
        <f t="shared" si="11"/>
        <v/>
      </c>
      <c r="AG157" s="51" t="str">
        <f t="shared" si="12"/>
        <v/>
      </c>
      <c r="AH157" s="51" t="str">
        <f t="shared" si="13"/>
        <v/>
      </c>
      <c r="BG157" s="15"/>
      <c r="BM157" s="17"/>
      <c r="BN157" s="17"/>
      <c r="BO157" s="17"/>
      <c r="BP157" s="17"/>
      <c r="BQ157" s="17"/>
      <c r="BR157" s="43">
        <v>0.161</v>
      </c>
      <c r="BW157" s="17"/>
    </row>
    <row r="158" spans="1:75" x14ac:dyDescent="0.25">
      <c r="A158" s="15" t="s">
        <v>342</v>
      </c>
      <c r="B158" s="15" t="s">
        <v>364</v>
      </c>
      <c r="C158" s="15">
        <v>2011</v>
      </c>
      <c r="D158" s="15" t="s">
        <v>343</v>
      </c>
      <c r="E158" s="15">
        <v>11010</v>
      </c>
      <c r="F158" s="15">
        <v>198686688</v>
      </c>
      <c r="G158" s="15" t="s">
        <v>42</v>
      </c>
      <c r="H158" s="15" t="s">
        <v>110</v>
      </c>
      <c r="I158" s="15" t="s">
        <v>365</v>
      </c>
      <c r="J158" s="15" t="s">
        <v>366</v>
      </c>
      <c r="K158" s="15"/>
      <c r="L158" s="15"/>
      <c r="M158" s="15"/>
      <c r="N158" s="15"/>
      <c r="O158" s="15"/>
      <c r="P158" s="15"/>
      <c r="Q158" s="15"/>
      <c r="R158" s="15"/>
      <c r="S158" s="15" t="s">
        <v>362</v>
      </c>
      <c r="T158" s="15"/>
      <c r="U158" s="15"/>
      <c r="V158" s="15"/>
      <c r="W158" s="15"/>
      <c r="X158" s="15" t="s">
        <v>362</v>
      </c>
      <c r="AE158" s="51" t="str">
        <f t="shared" si="10"/>
        <v/>
      </c>
      <c r="AF158" s="51" t="str">
        <f t="shared" si="11"/>
        <v/>
      </c>
      <c r="AG158" s="51" t="str">
        <f t="shared" si="12"/>
        <v/>
      </c>
      <c r="AH158" s="51" t="str">
        <f t="shared" si="13"/>
        <v/>
      </c>
      <c r="BG158" s="15"/>
      <c r="BM158" s="17"/>
      <c r="BN158" s="17"/>
      <c r="BO158" s="17"/>
      <c r="BP158" s="17"/>
      <c r="BQ158" s="17"/>
      <c r="BR158" s="43">
        <v>0.16200000000000001</v>
      </c>
      <c r="BW158" s="17"/>
    </row>
    <row r="159" spans="1:75" x14ac:dyDescent="0.25">
      <c r="A159" s="15" t="s">
        <v>342</v>
      </c>
      <c r="B159" s="15" t="s">
        <v>364</v>
      </c>
      <c r="C159" s="15">
        <v>2010</v>
      </c>
      <c r="D159" s="15" t="s">
        <v>343</v>
      </c>
      <c r="E159" s="15">
        <v>9610</v>
      </c>
      <c r="F159" s="15">
        <v>196796269</v>
      </c>
      <c r="G159" s="15" t="s">
        <v>42</v>
      </c>
      <c r="H159" s="15" t="s">
        <v>110</v>
      </c>
      <c r="I159" s="15" t="s">
        <v>365</v>
      </c>
      <c r="J159" s="15" t="s">
        <v>366</v>
      </c>
      <c r="K159" s="15"/>
      <c r="L159" s="15"/>
      <c r="M159" s="15"/>
      <c r="N159" s="15"/>
      <c r="O159" s="15"/>
      <c r="P159" s="15"/>
      <c r="Q159" s="15"/>
      <c r="R159" s="15"/>
      <c r="S159" s="15" t="s">
        <v>362</v>
      </c>
      <c r="T159" s="15"/>
      <c r="U159" s="15"/>
      <c r="V159" s="15"/>
      <c r="W159" s="15"/>
      <c r="X159" s="15" t="s">
        <v>362</v>
      </c>
      <c r="AE159" s="51" t="str">
        <f t="shared" si="10"/>
        <v/>
      </c>
      <c r="AF159" s="51" t="str">
        <f t="shared" si="11"/>
        <v/>
      </c>
      <c r="AG159" s="51" t="str">
        <f t="shared" si="12"/>
        <v/>
      </c>
      <c r="AH159" s="51" t="str">
        <f t="shared" si="13"/>
        <v/>
      </c>
      <c r="BG159" s="15"/>
      <c r="BM159" s="17"/>
      <c r="BN159" s="17"/>
      <c r="BO159" s="17"/>
      <c r="BP159" s="17"/>
      <c r="BQ159" s="17"/>
      <c r="BR159" s="43">
        <v>0.16500000000000001</v>
      </c>
      <c r="BW159" s="17"/>
    </row>
    <row r="160" spans="1:75" x14ac:dyDescent="0.25">
      <c r="A160" s="15" t="s">
        <v>342</v>
      </c>
      <c r="B160" s="15" t="s">
        <v>364</v>
      </c>
      <c r="C160" s="15">
        <v>2009</v>
      </c>
      <c r="D160" s="15" t="s">
        <v>343</v>
      </c>
      <c r="E160" s="15">
        <v>8070</v>
      </c>
      <c r="F160" s="15">
        <v>194895996</v>
      </c>
      <c r="G160" s="15" t="s">
        <v>42</v>
      </c>
      <c r="H160" s="15" t="s">
        <v>110</v>
      </c>
      <c r="I160" s="15" t="s">
        <v>365</v>
      </c>
      <c r="J160" s="15" t="s">
        <v>366</v>
      </c>
      <c r="K160" s="15"/>
      <c r="L160" s="15"/>
      <c r="M160" s="15"/>
      <c r="N160" s="15"/>
      <c r="O160" s="15"/>
      <c r="P160" s="15"/>
      <c r="Q160" s="15"/>
      <c r="R160" s="15"/>
      <c r="S160" s="15" t="s">
        <v>362</v>
      </c>
      <c r="T160" s="15"/>
      <c r="U160" s="15"/>
      <c r="V160" s="15"/>
      <c r="W160" s="15"/>
      <c r="X160" s="15" t="s">
        <v>362</v>
      </c>
      <c r="AE160" s="51" t="str">
        <f t="shared" si="10"/>
        <v/>
      </c>
      <c r="AF160" s="51" t="str">
        <f t="shared" si="11"/>
        <v/>
      </c>
      <c r="AG160" s="51" t="str">
        <f t="shared" si="12"/>
        <v/>
      </c>
      <c r="AH160" s="51" t="str">
        <f t="shared" si="13"/>
        <v/>
      </c>
      <c r="BG160" s="15"/>
      <c r="BM160" s="17"/>
      <c r="BN160" s="17"/>
      <c r="BO160" s="17"/>
      <c r="BP160" s="17"/>
      <c r="BQ160" s="17"/>
      <c r="BR160" s="43">
        <v>0.16900000000000001</v>
      </c>
      <c r="BW160" s="17"/>
    </row>
    <row r="161" spans="1:75" ht="13.5" customHeight="1" x14ac:dyDescent="0.25">
      <c r="A161" s="15" t="s">
        <v>342</v>
      </c>
      <c r="B161" s="15" t="s">
        <v>364</v>
      </c>
      <c r="C161" s="15">
        <v>2008</v>
      </c>
      <c r="D161" s="15" t="s">
        <v>343</v>
      </c>
      <c r="E161" s="15">
        <v>7400</v>
      </c>
      <c r="F161" s="15">
        <v>192979029</v>
      </c>
      <c r="G161" s="15" t="s">
        <v>42</v>
      </c>
      <c r="H161" s="15" t="s">
        <v>110</v>
      </c>
      <c r="I161" s="15" t="s">
        <v>365</v>
      </c>
      <c r="J161" s="15" t="s">
        <v>366</v>
      </c>
      <c r="K161" s="15"/>
      <c r="L161" s="15"/>
      <c r="M161" s="15"/>
      <c r="N161" s="15"/>
      <c r="O161" s="15"/>
      <c r="P161" s="15"/>
      <c r="Q161" s="15"/>
      <c r="R161" s="15"/>
      <c r="S161" s="15" t="s">
        <v>362</v>
      </c>
      <c r="T161" s="15"/>
      <c r="U161" s="15"/>
      <c r="V161" s="15"/>
      <c r="W161" s="15"/>
      <c r="X161" s="15" t="s">
        <v>362</v>
      </c>
      <c r="AE161" s="51" t="str">
        <f t="shared" si="10"/>
        <v/>
      </c>
      <c r="AF161" s="51" t="str">
        <f t="shared" si="11"/>
        <v/>
      </c>
      <c r="AG161" s="51" t="str">
        <f t="shared" si="12"/>
        <v/>
      </c>
      <c r="AH161" s="51" t="str">
        <f t="shared" si="13"/>
        <v/>
      </c>
      <c r="BG161" s="15"/>
      <c r="BM161" s="17"/>
      <c r="BN161" s="17"/>
      <c r="BO161" s="17"/>
      <c r="BP161" s="17"/>
      <c r="BQ161" s="17"/>
      <c r="BR161" s="43">
        <v>0.17599999999999999</v>
      </c>
      <c r="BW161" s="17"/>
    </row>
    <row r="162" spans="1:75" x14ac:dyDescent="0.25">
      <c r="A162" s="15" t="s">
        <v>342</v>
      </c>
      <c r="B162" s="15" t="s">
        <v>364</v>
      </c>
      <c r="C162" s="15">
        <v>2007</v>
      </c>
      <c r="D162" s="15" t="s">
        <v>343</v>
      </c>
      <c r="E162" s="15">
        <v>6030</v>
      </c>
      <c r="F162" s="15">
        <v>191026637</v>
      </c>
      <c r="G162" s="15" t="s">
        <v>42</v>
      </c>
      <c r="H162" s="15" t="s">
        <v>110</v>
      </c>
      <c r="I162" s="15" t="s">
        <v>365</v>
      </c>
      <c r="J162" s="15" t="s">
        <v>366</v>
      </c>
      <c r="K162" s="15"/>
      <c r="L162" s="15"/>
      <c r="M162" s="15"/>
      <c r="N162" s="15"/>
      <c r="O162" s="15"/>
      <c r="P162" s="15"/>
      <c r="Q162" s="15"/>
      <c r="R162" s="15"/>
      <c r="S162" s="15" t="s">
        <v>362</v>
      </c>
      <c r="T162" s="15"/>
      <c r="U162" s="15"/>
      <c r="V162" s="15"/>
      <c r="W162" s="15"/>
      <c r="X162" s="15" t="s">
        <v>362</v>
      </c>
      <c r="AE162" s="51" t="str">
        <f t="shared" si="10"/>
        <v/>
      </c>
      <c r="AF162" s="51" t="str">
        <f t="shared" si="11"/>
        <v/>
      </c>
      <c r="AG162" s="51" t="str">
        <f t="shared" si="12"/>
        <v/>
      </c>
      <c r="AH162" s="51" t="str">
        <f t="shared" si="13"/>
        <v/>
      </c>
      <c r="BG162" s="15"/>
      <c r="BM162" s="17"/>
      <c r="BN162" s="17"/>
      <c r="BO162" s="17"/>
      <c r="BP162" s="17"/>
      <c r="BQ162" s="17"/>
      <c r="BR162" s="43">
        <v>0.185</v>
      </c>
      <c r="BW162" s="17"/>
    </row>
    <row r="163" spans="1:75" x14ac:dyDescent="0.25">
      <c r="A163" s="15" t="s">
        <v>342</v>
      </c>
      <c r="B163" s="15" t="s">
        <v>364</v>
      </c>
      <c r="C163" s="15">
        <v>2006</v>
      </c>
      <c r="D163" s="15" t="s">
        <v>343</v>
      </c>
      <c r="E163" s="15">
        <v>4750</v>
      </c>
      <c r="F163" s="15">
        <v>189012412</v>
      </c>
      <c r="G163" s="15" t="s">
        <v>42</v>
      </c>
      <c r="H163" s="15" t="s">
        <v>110</v>
      </c>
      <c r="I163" s="15" t="s">
        <v>365</v>
      </c>
      <c r="J163" s="15" t="s">
        <v>366</v>
      </c>
      <c r="K163" s="15"/>
      <c r="L163" s="15"/>
      <c r="M163" s="15"/>
      <c r="N163" s="15"/>
      <c r="O163" s="15"/>
      <c r="P163" s="15"/>
      <c r="Q163" s="15"/>
      <c r="R163" s="15"/>
      <c r="S163" s="15" t="s">
        <v>362</v>
      </c>
      <c r="T163" s="15"/>
      <c r="U163" s="15"/>
      <c r="V163" s="15"/>
      <c r="W163" s="15"/>
      <c r="X163" s="15" t="s">
        <v>362</v>
      </c>
      <c r="AE163" s="51" t="str">
        <f t="shared" si="10"/>
        <v/>
      </c>
      <c r="AF163" s="51" t="str">
        <f t="shared" si="11"/>
        <v/>
      </c>
      <c r="AG163" s="51" t="str">
        <f t="shared" si="12"/>
        <v/>
      </c>
      <c r="AH163" s="51" t="str">
        <f t="shared" si="13"/>
        <v/>
      </c>
      <c r="BG163" s="15"/>
      <c r="BM163" s="17"/>
      <c r="BN163" s="17"/>
      <c r="BO163" s="17"/>
      <c r="BP163" s="17"/>
      <c r="BQ163" s="17"/>
      <c r="BR163" s="43">
        <v>0.187</v>
      </c>
      <c r="BW163" s="17"/>
    </row>
    <row r="164" spans="1:75" x14ac:dyDescent="0.25">
      <c r="A164" s="15" t="s">
        <v>342</v>
      </c>
      <c r="B164" s="15" t="s">
        <v>364</v>
      </c>
      <c r="C164" s="15">
        <v>2005</v>
      </c>
      <c r="D164" s="15" t="s">
        <v>343</v>
      </c>
      <c r="E164" s="15">
        <v>3940</v>
      </c>
      <c r="F164" s="15">
        <v>186917361</v>
      </c>
      <c r="G164" s="15" t="s">
        <v>42</v>
      </c>
      <c r="H164" s="15" t="s">
        <v>110</v>
      </c>
      <c r="I164" s="15" t="s">
        <v>365</v>
      </c>
      <c r="J164" s="15" t="s">
        <v>366</v>
      </c>
      <c r="K164" s="15"/>
      <c r="L164" s="15"/>
      <c r="M164" s="15"/>
      <c r="N164" s="15"/>
      <c r="O164" s="15"/>
      <c r="P164" s="15"/>
      <c r="Q164" s="15"/>
      <c r="R164" s="15"/>
      <c r="S164" s="15" t="s">
        <v>362</v>
      </c>
      <c r="T164" s="15"/>
      <c r="U164" s="15"/>
      <c r="V164" s="15"/>
      <c r="W164" s="15"/>
      <c r="X164" s="15" t="s">
        <v>362</v>
      </c>
      <c r="AE164" s="51" t="str">
        <f t="shared" si="10"/>
        <v/>
      </c>
      <c r="AF164" s="51" t="str">
        <f t="shared" si="11"/>
        <v/>
      </c>
      <c r="AG164" s="51" t="str">
        <f t="shared" si="12"/>
        <v/>
      </c>
      <c r="AH164" s="51" t="str">
        <f t="shared" si="13"/>
        <v/>
      </c>
      <c r="BG164" s="15"/>
      <c r="BM164" s="17"/>
      <c r="BN164" s="17"/>
      <c r="BO164" s="17"/>
      <c r="BP164" s="17"/>
      <c r="BQ164" s="17"/>
      <c r="BR164" s="43">
        <v>0.19400000000000001</v>
      </c>
      <c r="BW164" s="17"/>
    </row>
    <row r="165" spans="1:75" x14ac:dyDescent="0.25">
      <c r="A165" s="15" t="s">
        <v>342</v>
      </c>
      <c r="B165" s="15" t="s">
        <v>364</v>
      </c>
      <c r="C165" s="15">
        <v>2004</v>
      </c>
      <c r="D165" s="15" t="s">
        <v>343</v>
      </c>
      <c r="E165" s="15">
        <v>3300</v>
      </c>
      <c r="F165" s="15">
        <v>184738458</v>
      </c>
      <c r="G165" s="15" t="s">
        <v>42</v>
      </c>
      <c r="H165" s="15" t="s">
        <v>110</v>
      </c>
      <c r="I165" s="15" t="s">
        <v>365</v>
      </c>
      <c r="J165" s="15" t="s">
        <v>366</v>
      </c>
      <c r="K165" s="15"/>
      <c r="L165" s="15"/>
      <c r="M165" s="15"/>
      <c r="N165" s="15"/>
      <c r="O165" s="15"/>
      <c r="P165" s="15"/>
      <c r="Q165" s="15"/>
      <c r="R165" s="15"/>
      <c r="S165" s="15" t="s">
        <v>362</v>
      </c>
      <c r="T165" s="15"/>
      <c r="U165" s="15"/>
      <c r="V165" s="15"/>
      <c r="W165" s="15"/>
      <c r="X165" s="15" t="s">
        <v>362</v>
      </c>
      <c r="AE165" s="51" t="str">
        <f t="shared" si="10"/>
        <v/>
      </c>
      <c r="AF165" s="51" t="str">
        <f t="shared" si="11"/>
        <v/>
      </c>
      <c r="AG165" s="51" t="str">
        <f t="shared" si="12"/>
        <v/>
      </c>
      <c r="AH165" s="51" t="str">
        <f t="shared" si="13"/>
        <v/>
      </c>
      <c r="BG165" s="15"/>
      <c r="BM165" s="17"/>
      <c r="BN165" s="17"/>
      <c r="BO165" s="17"/>
      <c r="BP165" s="17"/>
      <c r="BQ165" s="17"/>
      <c r="BR165" s="43">
        <v>0.20200000000000001</v>
      </c>
      <c r="BW165" s="17"/>
    </row>
    <row r="166" spans="1:75" x14ac:dyDescent="0.25">
      <c r="A166" s="15" t="s">
        <v>342</v>
      </c>
      <c r="B166" s="15" t="s">
        <v>364</v>
      </c>
      <c r="C166" s="15">
        <v>2003</v>
      </c>
      <c r="D166" s="15" t="s">
        <v>343</v>
      </c>
      <c r="E166" s="15">
        <v>2940</v>
      </c>
      <c r="F166" s="15">
        <v>182482149</v>
      </c>
      <c r="G166" s="15" t="s">
        <v>42</v>
      </c>
      <c r="H166" s="15" t="s">
        <v>110</v>
      </c>
      <c r="I166" s="15" t="s">
        <v>365</v>
      </c>
      <c r="J166" s="15" t="s">
        <v>366</v>
      </c>
      <c r="K166" s="15"/>
      <c r="L166" s="15"/>
      <c r="M166" s="15"/>
      <c r="N166" s="15"/>
      <c r="O166" s="15"/>
      <c r="P166" s="15"/>
      <c r="Q166" s="15"/>
      <c r="R166" s="15"/>
      <c r="S166" s="15" t="s">
        <v>362</v>
      </c>
      <c r="T166" s="15"/>
      <c r="U166" s="15"/>
      <c r="V166" s="15"/>
      <c r="W166" s="15"/>
      <c r="X166" s="15" t="s">
        <v>362</v>
      </c>
      <c r="AE166" s="51" t="str">
        <f t="shared" si="10"/>
        <v/>
      </c>
      <c r="AF166" s="51" t="str">
        <f t="shared" si="11"/>
        <v/>
      </c>
      <c r="AG166" s="51" t="str">
        <f t="shared" si="12"/>
        <v/>
      </c>
      <c r="AH166" s="51" t="str">
        <f t="shared" si="13"/>
        <v/>
      </c>
      <c r="BG166" s="15"/>
      <c r="BM166" s="17"/>
      <c r="BN166" s="17"/>
      <c r="BO166" s="17"/>
      <c r="BP166" s="17"/>
      <c r="BQ166" s="17"/>
      <c r="BR166" s="43">
        <v>0.20499999999999999</v>
      </c>
      <c r="BW166" s="17"/>
    </row>
    <row r="167" spans="1:75" x14ac:dyDescent="0.25">
      <c r="A167" s="15" t="s">
        <v>342</v>
      </c>
      <c r="B167" s="15" t="s">
        <v>364</v>
      </c>
      <c r="C167" s="15">
        <v>2002</v>
      </c>
      <c r="D167" s="15" t="s">
        <v>343</v>
      </c>
      <c r="E167" s="15">
        <v>3060</v>
      </c>
      <c r="F167" s="15">
        <v>180151021</v>
      </c>
      <c r="G167" s="15" t="s">
        <v>42</v>
      </c>
      <c r="H167" s="15" t="s">
        <v>110</v>
      </c>
      <c r="I167" s="15" t="s">
        <v>365</v>
      </c>
      <c r="J167" s="15" t="s">
        <v>366</v>
      </c>
      <c r="K167" s="15"/>
      <c r="L167" s="15"/>
      <c r="M167" s="15"/>
      <c r="N167" s="15"/>
      <c r="O167" s="15"/>
      <c r="P167" s="15"/>
      <c r="Q167" s="15"/>
      <c r="R167" s="15"/>
      <c r="S167" s="15" t="s">
        <v>362</v>
      </c>
      <c r="T167" s="15"/>
      <c r="U167" s="15"/>
      <c r="V167" s="15"/>
      <c r="W167" s="15"/>
      <c r="X167" s="15" t="s">
        <v>362</v>
      </c>
      <c r="AE167" s="51" t="str">
        <f t="shared" si="10"/>
        <v/>
      </c>
      <c r="AF167" s="51" t="str">
        <f t="shared" si="11"/>
        <v/>
      </c>
      <c r="AG167" s="51" t="str">
        <f t="shared" si="12"/>
        <v/>
      </c>
      <c r="AH167" s="51" t="str">
        <f t="shared" si="13"/>
        <v/>
      </c>
      <c r="BG167" s="15"/>
      <c r="BM167" s="17"/>
      <c r="BN167" s="17"/>
      <c r="BO167" s="17"/>
      <c r="BP167" s="17"/>
      <c r="BQ167" s="17"/>
      <c r="BR167" s="43">
        <v>0.20899999999999999</v>
      </c>
      <c r="BW167" s="17"/>
    </row>
    <row r="168" spans="1:75" x14ac:dyDescent="0.25">
      <c r="A168" s="15" t="s">
        <v>342</v>
      </c>
      <c r="B168" s="15" t="s">
        <v>364</v>
      </c>
      <c r="C168" s="15">
        <v>2001</v>
      </c>
      <c r="D168" s="15" t="s">
        <v>343</v>
      </c>
      <c r="E168" s="15">
        <v>3290</v>
      </c>
      <c r="F168" s="15">
        <v>177750670</v>
      </c>
      <c r="G168" s="15" t="s">
        <v>42</v>
      </c>
      <c r="H168" s="15" t="s">
        <v>110</v>
      </c>
      <c r="I168" s="15" t="s">
        <v>365</v>
      </c>
      <c r="J168" s="15" t="s">
        <v>366</v>
      </c>
      <c r="K168" s="15"/>
      <c r="L168" s="15"/>
      <c r="M168" s="15"/>
      <c r="N168" s="15"/>
      <c r="O168" s="15"/>
      <c r="P168" s="15"/>
      <c r="Q168" s="15"/>
      <c r="R168" s="15"/>
      <c r="S168" s="15" t="s">
        <v>362</v>
      </c>
      <c r="T168" s="15"/>
      <c r="U168" s="15"/>
      <c r="V168" s="15"/>
      <c r="W168" s="15"/>
      <c r="X168" s="15" t="s">
        <v>362</v>
      </c>
      <c r="AE168" s="51" t="str">
        <f t="shared" si="10"/>
        <v/>
      </c>
      <c r="AF168" s="51" t="str">
        <f t="shared" si="11"/>
        <v/>
      </c>
      <c r="AG168" s="51" t="str">
        <f t="shared" si="12"/>
        <v/>
      </c>
      <c r="AH168" s="51" t="str">
        <f t="shared" si="13"/>
        <v/>
      </c>
      <c r="BG168" s="15"/>
      <c r="BM168" s="17"/>
      <c r="BN168" s="17"/>
      <c r="BO168" s="17"/>
      <c r="BP168" s="17"/>
      <c r="BQ168" s="17"/>
      <c r="BR168" s="43">
        <v>0.21</v>
      </c>
      <c r="BW168" s="17"/>
    </row>
    <row r="169" spans="1:75" hidden="1" x14ac:dyDescent="0.25">
      <c r="A169" s="15" t="s">
        <v>367</v>
      </c>
      <c r="B169" s="15" t="s">
        <v>30</v>
      </c>
      <c r="C169" s="15">
        <v>2008</v>
      </c>
      <c r="D169" s="15" t="s">
        <v>368</v>
      </c>
      <c r="E169" s="15">
        <v>34160</v>
      </c>
      <c r="F169" s="15">
        <v>379252</v>
      </c>
      <c r="G169" s="15" t="s">
        <v>109</v>
      </c>
      <c r="H169" s="15" t="s">
        <v>77</v>
      </c>
      <c r="I169" s="15" t="s">
        <v>369</v>
      </c>
      <c r="J169" s="15" t="s">
        <v>370</v>
      </c>
      <c r="K169" s="15" t="s">
        <v>34</v>
      </c>
      <c r="L169" s="15" t="s">
        <v>371</v>
      </c>
      <c r="M169" s="15" t="s">
        <v>372</v>
      </c>
      <c r="N169" s="15" t="s">
        <v>37</v>
      </c>
      <c r="O169" s="15"/>
      <c r="P169" s="15"/>
      <c r="Q169" s="15"/>
      <c r="R169" s="15"/>
      <c r="S169" s="15"/>
      <c r="T169" s="15"/>
      <c r="U169" s="15"/>
      <c r="V169" s="15"/>
      <c r="W169" s="15"/>
      <c r="X169" s="15"/>
      <c r="Y169" s="17">
        <v>4673</v>
      </c>
      <c r="AB169" s="17">
        <v>4112</v>
      </c>
      <c r="AC169" s="17">
        <v>8785</v>
      </c>
      <c r="AE169" s="51">
        <f t="shared" si="10"/>
        <v>12.321622562306857</v>
      </c>
      <c r="AF169" s="51">
        <f t="shared" si="11"/>
        <v>10.842395030217375</v>
      </c>
      <c r="AG169" s="51">
        <f t="shared" si="12"/>
        <v>23.164017592524232</v>
      </c>
      <c r="AH169" s="51" t="str">
        <f t="shared" si="13"/>
        <v/>
      </c>
      <c r="BG169" s="15"/>
      <c r="BM169" s="17"/>
      <c r="BN169" s="17"/>
      <c r="BO169" s="17"/>
      <c r="BP169" s="17"/>
      <c r="BQ169" s="17"/>
      <c r="BW169" s="17"/>
    </row>
    <row r="170" spans="1:75" hidden="1" x14ac:dyDescent="0.25">
      <c r="A170" s="15" t="s">
        <v>373</v>
      </c>
      <c r="B170" s="15" t="s">
        <v>30</v>
      </c>
      <c r="C170" s="15">
        <v>2016</v>
      </c>
      <c r="D170" s="15" t="s">
        <v>374</v>
      </c>
      <c r="E170" s="15">
        <v>7580</v>
      </c>
      <c r="F170" s="15">
        <v>7075991</v>
      </c>
      <c r="G170" s="15" t="s">
        <v>42</v>
      </c>
      <c r="H170" s="15" t="s">
        <v>43</v>
      </c>
      <c r="I170" s="15" t="s">
        <v>188</v>
      </c>
      <c r="J170" s="15" t="s">
        <v>375</v>
      </c>
      <c r="K170" s="15" t="s">
        <v>190</v>
      </c>
      <c r="L170" s="15" t="s">
        <v>48</v>
      </c>
      <c r="M170" s="15" t="s">
        <v>62</v>
      </c>
      <c r="N170" s="15" t="s">
        <v>63</v>
      </c>
      <c r="O170" s="15"/>
      <c r="P170" s="15"/>
      <c r="Q170" s="15"/>
      <c r="R170" s="15"/>
      <c r="S170" s="15"/>
      <c r="T170" s="15"/>
      <c r="U170" s="15"/>
      <c r="V170" s="15"/>
      <c r="W170" s="15"/>
      <c r="X170" s="15"/>
      <c r="Y170" s="17">
        <v>308099</v>
      </c>
      <c r="Z170" s="17">
        <v>23012</v>
      </c>
      <c r="AA170" s="17">
        <v>4268</v>
      </c>
      <c r="AB170" s="17">
        <v>27280</v>
      </c>
      <c r="AC170" s="17">
        <v>335379</v>
      </c>
      <c r="AD170" s="17">
        <v>662</v>
      </c>
      <c r="AE170" s="51">
        <f t="shared" si="10"/>
        <v>43.541462955506873</v>
      </c>
      <c r="AF170" s="51">
        <f t="shared" si="11"/>
        <v>3.8552903755813142</v>
      </c>
      <c r="AG170" s="51">
        <f t="shared" si="12"/>
        <v>47.396753331088185</v>
      </c>
      <c r="AH170" s="51">
        <f t="shared" si="13"/>
        <v>9.3555800169898465E-2</v>
      </c>
      <c r="AI170" s="17">
        <v>592929</v>
      </c>
      <c r="AJ170" s="17">
        <v>455271</v>
      </c>
      <c r="AK170" s="17">
        <v>419472</v>
      </c>
      <c r="AL170" s="17">
        <v>874743</v>
      </c>
      <c r="AM170" s="17">
        <v>1467672</v>
      </c>
      <c r="AN170" s="17">
        <v>493848</v>
      </c>
      <c r="AO170" s="17">
        <v>5026400000</v>
      </c>
      <c r="AP170" s="17">
        <v>5023700000</v>
      </c>
      <c r="AQ170" s="17">
        <v>5645800000</v>
      </c>
      <c r="AR170" s="17">
        <v>10669500000</v>
      </c>
      <c r="AS170" s="17">
        <v>15695900000</v>
      </c>
      <c r="AT170" s="17">
        <v>9106700000</v>
      </c>
      <c r="AU170" s="15" t="s">
        <v>375</v>
      </c>
      <c r="AV170" s="15" t="s">
        <v>375</v>
      </c>
      <c r="BG170" s="15"/>
      <c r="BM170" s="17"/>
      <c r="BN170" s="17"/>
      <c r="BO170" s="17"/>
      <c r="BP170" s="17"/>
      <c r="BQ170" s="17"/>
      <c r="BW170" s="17"/>
    </row>
    <row r="171" spans="1:75" hidden="1" x14ac:dyDescent="0.25">
      <c r="A171" s="15" t="s">
        <v>373</v>
      </c>
      <c r="B171" s="15" t="s">
        <v>30</v>
      </c>
      <c r="C171" s="15">
        <v>2015</v>
      </c>
      <c r="D171" s="15" t="s">
        <v>374</v>
      </c>
      <c r="E171" s="15">
        <v>7480</v>
      </c>
      <c r="F171" s="15">
        <v>7177991</v>
      </c>
      <c r="G171" s="15" t="s">
        <v>42</v>
      </c>
      <c r="H171" s="15" t="s">
        <v>43</v>
      </c>
      <c r="I171" s="15" t="s">
        <v>188</v>
      </c>
      <c r="J171" s="15" t="s">
        <v>375</v>
      </c>
      <c r="K171" s="15" t="s">
        <v>190</v>
      </c>
      <c r="L171" s="15" t="s">
        <v>48</v>
      </c>
      <c r="M171" s="15" t="s">
        <v>62</v>
      </c>
      <c r="N171" s="15" t="s">
        <v>63</v>
      </c>
      <c r="O171" s="15"/>
      <c r="P171" s="15"/>
      <c r="Q171" s="15"/>
      <c r="R171" s="15"/>
      <c r="S171" s="15"/>
      <c r="T171" s="15"/>
      <c r="U171" s="15"/>
      <c r="V171" s="15"/>
      <c r="W171" s="15"/>
      <c r="X171" s="15"/>
      <c r="Y171" s="17">
        <v>298559</v>
      </c>
      <c r="Z171" s="17">
        <v>22751</v>
      </c>
      <c r="AA171" s="17">
        <v>4240</v>
      </c>
      <c r="AB171" s="17">
        <v>26991</v>
      </c>
      <c r="AC171" s="17">
        <v>325550</v>
      </c>
      <c r="AD171" s="17">
        <v>669</v>
      </c>
      <c r="AE171" s="51">
        <f t="shared" si="10"/>
        <v>41.593671544029519</v>
      </c>
      <c r="AF171" s="51">
        <f t="shared" si="11"/>
        <v>3.7602443357758459</v>
      </c>
      <c r="AG171" s="51">
        <f t="shared" si="12"/>
        <v>45.353915879805371</v>
      </c>
      <c r="AH171" s="51">
        <f t="shared" si="13"/>
        <v>9.3201565730578362E-2</v>
      </c>
      <c r="AI171" s="17">
        <v>564629</v>
      </c>
      <c r="AJ171" s="17">
        <v>450325</v>
      </c>
      <c r="AK171" s="17">
        <v>414487</v>
      </c>
      <c r="AL171" s="17">
        <v>864812</v>
      </c>
      <c r="AM171" s="17">
        <v>1429441</v>
      </c>
      <c r="AN171" s="17">
        <v>482475</v>
      </c>
      <c r="AO171" s="17">
        <v>4666500000</v>
      </c>
      <c r="AP171" s="17">
        <v>4930900000</v>
      </c>
      <c r="AQ171" s="17">
        <v>5260300000</v>
      </c>
      <c r="AR171" s="17">
        <v>10191200000</v>
      </c>
      <c r="AS171" s="17">
        <v>14857700000</v>
      </c>
      <c r="AT171" s="17">
        <v>8160800000</v>
      </c>
      <c r="AU171" s="15" t="s">
        <v>375</v>
      </c>
      <c r="AV171" s="15" t="s">
        <v>375</v>
      </c>
      <c r="BG171" s="15"/>
      <c r="BM171" s="17"/>
      <c r="BN171" s="17"/>
      <c r="BO171" s="17"/>
      <c r="BP171" s="17"/>
      <c r="BQ171" s="17"/>
      <c r="BW171" s="17"/>
    </row>
    <row r="172" spans="1:75" hidden="1" x14ac:dyDescent="0.25">
      <c r="A172" s="15" t="s">
        <v>373</v>
      </c>
      <c r="B172" s="15" t="s">
        <v>30</v>
      </c>
      <c r="C172" s="15">
        <v>2014</v>
      </c>
      <c r="D172" s="15" t="s">
        <v>374</v>
      </c>
      <c r="E172" s="15">
        <v>7720</v>
      </c>
      <c r="F172" s="15">
        <v>7223938</v>
      </c>
      <c r="G172" s="15" t="s">
        <v>42</v>
      </c>
      <c r="H172" s="15" t="s">
        <v>43</v>
      </c>
      <c r="I172" s="15" t="s">
        <v>188</v>
      </c>
      <c r="J172" s="15" t="s">
        <v>375</v>
      </c>
      <c r="K172" s="15" t="s">
        <v>190</v>
      </c>
      <c r="L172" s="15" t="s">
        <v>48</v>
      </c>
      <c r="M172" s="15" t="s">
        <v>62</v>
      </c>
      <c r="N172" s="15" t="s">
        <v>63</v>
      </c>
      <c r="O172" s="15"/>
      <c r="P172" s="15"/>
      <c r="Q172" s="15"/>
      <c r="R172" s="15"/>
      <c r="S172" s="15"/>
      <c r="T172" s="15"/>
      <c r="U172" s="15"/>
      <c r="V172" s="15"/>
      <c r="W172" s="15"/>
      <c r="X172" s="15"/>
      <c r="Y172" s="17">
        <v>292852</v>
      </c>
      <c r="Z172" s="17">
        <v>22143</v>
      </c>
      <c r="AA172" s="17">
        <v>4176</v>
      </c>
      <c r="AB172" s="17">
        <v>26319</v>
      </c>
      <c r="AC172" s="17">
        <v>319171</v>
      </c>
      <c r="AD172" s="17">
        <v>685</v>
      </c>
      <c r="AE172" s="51">
        <f t="shared" si="10"/>
        <v>40.539107616925833</v>
      </c>
      <c r="AF172" s="51">
        <f t="shared" si="11"/>
        <v>3.6433036939132091</v>
      </c>
      <c r="AG172" s="51">
        <f t="shared" si="12"/>
        <v>44.182411310839043</v>
      </c>
      <c r="AH172" s="51">
        <f t="shared" si="13"/>
        <v>9.4823626670107075E-2</v>
      </c>
      <c r="AI172" s="17">
        <v>563691</v>
      </c>
      <c r="AJ172" s="17">
        <v>439097</v>
      </c>
      <c r="AK172" s="17">
        <v>407090</v>
      </c>
      <c r="AL172" s="17">
        <v>846187</v>
      </c>
      <c r="AM172" s="17">
        <v>1409878</v>
      </c>
      <c r="AN172" s="17">
        <v>478844</v>
      </c>
      <c r="AO172" s="17">
        <v>4025100000</v>
      </c>
      <c r="AP172" s="17">
        <v>4275000000</v>
      </c>
      <c r="AQ172" s="17">
        <v>4660300000</v>
      </c>
      <c r="AR172" s="17">
        <v>8935300000</v>
      </c>
      <c r="AS172" s="17">
        <v>12960400000</v>
      </c>
      <c r="AT172" s="17">
        <v>6927200000</v>
      </c>
      <c r="AU172" s="15" t="s">
        <v>375</v>
      </c>
      <c r="AV172" s="15" t="s">
        <v>375</v>
      </c>
      <c r="BG172" s="15"/>
      <c r="BM172" s="17"/>
      <c r="BN172" s="17"/>
      <c r="BO172" s="17"/>
      <c r="BP172" s="17"/>
      <c r="BQ172" s="17"/>
      <c r="BW172" s="17"/>
    </row>
    <row r="173" spans="1:75" hidden="1" x14ac:dyDescent="0.25">
      <c r="A173" s="15" t="s">
        <v>373</v>
      </c>
      <c r="B173" s="15" t="s">
        <v>30</v>
      </c>
      <c r="C173" s="15">
        <v>2013</v>
      </c>
      <c r="D173" s="15" t="s">
        <v>374</v>
      </c>
      <c r="E173" s="15">
        <v>7610</v>
      </c>
      <c r="F173" s="15">
        <v>7265115</v>
      </c>
      <c r="G173" s="15" t="s">
        <v>42</v>
      </c>
      <c r="H173" s="15" t="s">
        <v>43</v>
      </c>
      <c r="I173" s="15" t="s">
        <v>188</v>
      </c>
      <c r="J173" s="15" t="s">
        <v>375</v>
      </c>
      <c r="K173" s="15" t="s">
        <v>190</v>
      </c>
      <c r="L173" s="15" t="s">
        <v>48</v>
      </c>
      <c r="M173" s="15" t="s">
        <v>62</v>
      </c>
      <c r="N173" s="15" t="s">
        <v>63</v>
      </c>
      <c r="O173" s="15"/>
      <c r="P173" s="15"/>
      <c r="Q173" s="15"/>
      <c r="R173" s="15"/>
      <c r="S173" s="15"/>
      <c r="T173" s="15"/>
      <c r="U173" s="15"/>
      <c r="V173" s="15"/>
      <c r="W173" s="15"/>
      <c r="X173" s="15"/>
      <c r="Y173" s="17">
        <v>287045</v>
      </c>
      <c r="Z173" s="17">
        <v>22307</v>
      </c>
      <c r="AA173" s="17">
        <v>4161</v>
      </c>
      <c r="AB173" s="17">
        <v>26468</v>
      </c>
      <c r="AC173" s="17">
        <v>313513</v>
      </c>
      <c r="AD173" s="17">
        <v>679</v>
      </c>
      <c r="AE173" s="51">
        <f t="shared" si="10"/>
        <v>39.510042167260941</v>
      </c>
      <c r="AF173" s="51">
        <f t="shared" si="11"/>
        <v>3.6431632534378329</v>
      </c>
      <c r="AG173" s="51">
        <f t="shared" si="12"/>
        <v>43.153205420698775</v>
      </c>
      <c r="AH173" s="51">
        <f t="shared" si="13"/>
        <v>9.3460323752617813E-2</v>
      </c>
      <c r="AI173" s="17">
        <v>561075</v>
      </c>
      <c r="AJ173" s="17">
        <v>439473</v>
      </c>
      <c r="AK173" s="17">
        <v>402511</v>
      </c>
      <c r="AL173" s="17">
        <v>841984</v>
      </c>
      <c r="AM173" s="17">
        <v>1403059</v>
      </c>
      <c r="AN173" s="17">
        <v>461631</v>
      </c>
      <c r="AO173" s="17">
        <v>3893500000</v>
      </c>
      <c r="AP173" s="17">
        <v>3930800000</v>
      </c>
      <c r="AQ173" s="17">
        <v>4365100000</v>
      </c>
      <c r="AR173" s="17">
        <v>8295900000</v>
      </c>
      <c r="AS173" s="17">
        <v>12189400000</v>
      </c>
      <c r="AT173" s="17">
        <v>6635400000</v>
      </c>
      <c r="AU173" s="15" t="s">
        <v>375</v>
      </c>
      <c r="AV173" s="15" t="s">
        <v>375</v>
      </c>
      <c r="BG173" s="15"/>
      <c r="BM173" s="17"/>
      <c r="BN173" s="17"/>
      <c r="BO173" s="17"/>
      <c r="BP173" s="17"/>
      <c r="BQ173" s="17"/>
      <c r="BW173" s="17"/>
    </row>
    <row r="174" spans="1:75" hidden="1" x14ac:dyDescent="0.25">
      <c r="A174" s="15" t="s">
        <v>376</v>
      </c>
      <c r="B174" s="15" t="s">
        <v>30</v>
      </c>
      <c r="C174" s="15">
        <v>2017</v>
      </c>
      <c r="D174" s="15" t="s">
        <v>377</v>
      </c>
      <c r="E174" s="15">
        <v>590</v>
      </c>
      <c r="F174" s="15">
        <v>19193382</v>
      </c>
      <c r="G174" s="15" t="s">
        <v>32</v>
      </c>
      <c r="H174" s="15" t="s">
        <v>89</v>
      </c>
      <c r="I174" s="15" t="s">
        <v>378</v>
      </c>
      <c r="J174" s="15" t="s">
        <v>1957</v>
      </c>
      <c r="K174" s="15" t="s">
        <v>61</v>
      </c>
      <c r="L174" s="15" t="s">
        <v>379</v>
      </c>
      <c r="M174" s="15" t="s">
        <v>341</v>
      </c>
      <c r="N174" s="15" t="s">
        <v>1670</v>
      </c>
      <c r="O174" s="15"/>
      <c r="P174" s="15"/>
      <c r="Q174" s="15"/>
      <c r="R174" s="15"/>
      <c r="S174" s="15"/>
      <c r="T174" s="15" t="s">
        <v>1853</v>
      </c>
      <c r="U174" s="15" t="s">
        <v>380</v>
      </c>
      <c r="V174" s="15" t="s">
        <v>381</v>
      </c>
      <c r="W174" s="15" t="s">
        <v>1854</v>
      </c>
      <c r="X174" s="15" t="s">
        <v>296</v>
      </c>
      <c r="AE174" s="51" t="str">
        <f t="shared" si="10"/>
        <v/>
      </c>
      <c r="AF174" s="51" t="str">
        <f t="shared" si="11"/>
        <v/>
      </c>
      <c r="AG174" s="51" t="str">
        <f t="shared" si="12"/>
        <v/>
      </c>
      <c r="AH174" s="51" t="str">
        <f t="shared" si="13"/>
        <v/>
      </c>
      <c r="BG174" s="15"/>
      <c r="BM174" s="17"/>
      <c r="BN174" s="17"/>
      <c r="BO174" s="17"/>
      <c r="BP174" s="17"/>
      <c r="BQ174" s="17"/>
      <c r="BW174" s="17"/>
    </row>
    <row r="175" spans="1:75" hidden="1" x14ac:dyDescent="0.25">
      <c r="A175" s="15" t="s">
        <v>382</v>
      </c>
      <c r="B175" s="15" t="s">
        <v>30</v>
      </c>
      <c r="C175" s="15">
        <v>2016</v>
      </c>
      <c r="D175" s="15" t="s">
        <v>383</v>
      </c>
      <c r="E175" s="15">
        <v>280</v>
      </c>
      <c r="F175" s="15">
        <v>10864245</v>
      </c>
      <c r="G175" s="15" t="s">
        <v>32</v>
      </c>
      <c r="H175" s="15" t="s">
        <v>89</v>
      </c>
      <c r="I175" s="15" t="s">
        <v>384</v>
      </c>
      <c r="J175" s="15" t="s">
        <v>385</v>
      </c>
      <c r="K175" s="15" t="s">
        <v>386</v>
      </c>
      <c r="L175" s="15" t="s">
        <v>243</v>
      </c>
      <c r="M175" s="15" t="s">
        <v>166</v>
      </c>
      <c r="N175" s="15" t="s">
        <v>167</v>
      </c>
      <c r="O175" s="15"/>
      <c r="P175" s="15"/>
      <c r="Q175" s="15"/>
      <c r="R175" s="15"/>
      <c r="S175" s="15"/>
      <c r="T175" s="15"/>
      <c r="U175" s="15"/>
      <c r="V175" s="15"/>
      <c r="W175" s="15"/>
      <c r="X175" s="15"/>
      <c r="Y175" s="17">
        <v>6272</v>
      </c>
      <c r="Z175" s="17">
        <v>360</v>
      </c>
      <c r="AA175" s="17">
        <v>347</v>
      </c>
      <c r="AB175" s="17">
        <v>707</v>
      </c>
      <c r="AC175" s="17">
        <v>6979</v>
      </c>
      <c r="AD175" s="17">
        <v>49</v>
      </c>
      <c r="AE175" s="51">
        <f t="shared" si="10"/>
        <v>0.57730656847300477</v>
      </c>
      <c r="AF175" s="51">
        <f t="shared" si="11"/>
        <v>6.5075852026532904E-2</v>
      </c>
      <c r="AG175" s="51">
        <f t="shared" si="12"/>
        <v>0.64238242049953764</v>
      </c>
      <c r="AH175" s="51">
        <f t="shared" si="13"/>
        <v>4.5102075661953497E-3</v>
      </c>
      <c r="BG175" s="15"/>
      <c r="BM175" s="17"/>
      <c r="BN175" s="17"/>
      <c r="BO175" s="17"/>
      <c r="BP175" s="17"/>
      <c r="BQ175" s="17"/>
      <c r="BW175" s="17"/>
    </row>
    <row r="176" spans="1:75" hidden="1" x14ac:dyDescent="0.25">
      <c r="A176" s="15" t="s">
        <v>382</v>
      </c>
      <c r="B176" s="15" t="s">
        <v>30</v>
      </c>
      <c r="C176" s="15">
        <v>2015</v>
      </c>
      <c r="D176" s="15" t="s">
        <v>383</v>
      </c>
      <c r="E176" s="15">
        <v>280</v>
      </c>
      <c r="F176" s="15">
        <v>10199270</v>
      </c>
      <c r="G176" s="15" t="s">
        <v>32</v>
      </c>
      <c r="H176" s="15" t="s">
        <v>89</v>
      </c>
      <c r="I176" s="15" t="s">
        <v>384</v>
      </c>
      <c r="J176" s="15" t="s">
        <v>385</v>
      </c>
      <c r="K176" s="15" t="s">
        <v>386</v>
      </c>
      <c r="L176" s="15" t="s">
        <v>243</v>
      </c>
      <c r="M176" s="15" t="s">
        <v>166</v>
      </c>
      <c r="N176" s="15" t="s">
        <v>167</v>
      </c>
      <c r="O176" s="15"/>
      <c r="P176" s="15"/>
      <c r="Q176" s="15"/>
      <c r="R176" s="15"/>
      <c r="S176" s="15"/>
      <c r="T176" s="15"/>
      <c r="U176" s="15"/>
      <c r="V176" s="15"/>
      <c r="W176" s="15"/>
      <c r="X176" s="15"/>
      <c r="Y176" s="17">
        <v>5960</v>
      </c>
      <c r="Z176" s="17">
        <v>342</v>
      </c>
      <c r="AA176" s="17">
        <v>333</v>
      </c>
      <c r="AB176" s="17">
        <v>675</v>
      </c>
      <c r="AC176" s="17">
        <v>6635</v>
      </c>
      <c r="AD176" s="17">
        <v>48</v>
      </c>
      <c r="AE176" s="51">
        <f t="shared" si="10"/>
        <v>0.58435554701463921</v>
      </c>
      <c r="AF176" s="51">
        <f t="shared" si="11"/>
        <v>6.6181207086389526E-2</v>
      </c>
      <c r="AG176" s="51">
        <f t="shared" si="12"/>
        <v>0.65053675410102874</v>
      </c>
      <c r="AH176" s="51">
        <f t="shared" si="13"/>
        <v>4.7062191705876995E-3</v>
      </c>
      <c r="BG176" s="15"/>
      <c r="BM176" s="17"/>
      <c r="BN176" s="17"/>
      <c r="BO176" s="17"/>
      <c r="BP176" s="17"/>
      <c r="BQ176" s="17"/>
      <c r="BW176" s="17"/>
    </row>
    <row r="177" spans="1:75" hidden="1" x14ac:dyDescent="0.25">
      <c r="A177" s="15" t="s">
        <v>382</v>
      </c>
      <c r="B177" s="15" t="s">
        <v>30</v>
      </c>
      <c r="C177" s="15">
        <v>2014</v>
      </c>
      <c r="D177" s="15" t="s">
        <v>383</v>
      </c>
      <c r="E177" s="15">
        <v>290</v>
      </c>
      <c r="F177" s="15">
        <v>9891790</v>
      </c>
      <c r="G177" s="15" t="s">
        <v>32</v>
      </c>
      <c r="H177" s="15" t="s">
        <v>89</v>
      </c>
      <c r="I177" s="15" t="s">
        <v>384</v>
      </c>
      <c r="J177" s="15" t="s">
        <v>385</v>
      </c>
      <c r="K177" s="15" t="s">
        <v>386</v>
      </c>
      <c r="L177" s="15" t="s">
        <v>243</v>
      </c>
      <c r="M177" s="15" t="s">
        <v>166</v>
      </c>
      <c r="N177" s="15" t="s">
        <v>167</v>
      </c>
      <c r="O177" s="15"/>
      <c r="P177" s="15"/>
      <c r="Q177" s="15"/>
      <c r="R177" s="15"/>
      <c r="S177" s="15"/>
      <c r="T177" s="15"/>
      <c r="U177" s="15"/>
      <c r="V177" s="15"/>
      <c r="W177" s="15"/>
      <c r="X177" s="15"/>
      <c r="Y177" s="17">
        <v>5547</v>
      </c>
      <c r="Z177" s="17">
        <v>317</v>
      </c>
      <c r="AA177" s="17">
        <v>309</v>
      </c>
      <c r="AB177" s="17">
        <v>626</v>
      </c>
      <c r="AC177" s="17">
        <v>6173</v>
      </c>
      <c r="AD177" s="17">
        <v>46</v>
      </c>
      <c r="AE177" s="51">
        <f t="shared" si="10"/>
        <v>0.56076807129953221</v>
      </c>
      <c r="AF177" s="51">
        <f t="shared" si="11"/>
        <v>6.3284804873536535E-2</v>
      </c>
      <c r="AG177" s="51">
        <f t="shared" si="12"/>
        <v>0.62405287617306882</v>
      </c>
      <c r="AH177" s="51">
        <f t="shared" si="13"/>
        <v>4.6503211248924608E-3</v>
      </c>
      <c r="BG177" s="15"/>
      <c r="BM177" s="17"/>
      <c r="BN177" s="17"/>
      <c r="BO177" s="17"/>
      <c r="BP177" s="17"/>
      <c r="BQ177" s="17"/>
      <c r="BW177" s="17"/>
    </row>
    <row r="178" spans="1:75" hidden="1" x14ac:dyDescent="0.25">
      <c r="A178" s="15" t="s">
        <v>382</v>
      </c>
      <c r="B178" s="15" t="s">
        <v>30</v>
      </c>
      <c r="C178" s="15">
        <v>2013</v>
      </c>
      <c r="D178" s="15" t="s">
        <v>383</v>
      </c>
      <c r="E178" s="15">
        <v>280</v>
      </c>
      <c r="F178" s="15">
        <v>9600186</v>
      </c>
      <c r="G178" s="15" t="s">
        <v>32</v>
      </c>
      <c r="H178" s="15" t="s">
        <v>89</v>
      </c>
      <c r="I178" s="15" t="s">
        <v>384</v>
      </c>
      <c r="J178" s="15" t="s">
        <v>385</v>
      </c>
      <c r="K178" s="15" t="s">
        <v>386</v>
      </c>
      <c r="L178" s="15" t="s">
        <v>243</v>
      </c>
      <c r="M178" s="15" t="s">
        <v>166</v>
      </c>
      <c r="N178" s="15" t="s">
        <v>167</v>
      </c>
      <c r="O178" s="15"/>
      <c r="P178" s="15"/>
      <c r="Q178" s="15"/>
      <c r="R178" s="15"/>
      <c r="S178" s="15"/>
      <c r="T178" s="15"/>
      <c r="U178" s="15"/>
      <c r="V178" s="15"/>
      <c r="W178" s="15"/>
      <c r="X178" s="15"/>
      <c r="Y178" s="17">
        <v>4940</v>
      </c>
      <c r="Z178" s="17">
        <v>283</v>
      </c>
      <c r="AA178" s="17">
        <v>279</v>
      </c>
      <c r="AB178" s="17">
        <v>562</v>
      </c>
      <c r="AC178" s="17">
        <v>5502</v>
      </c>
      <c r="AD178" s="17">
        <v>44</v>
      </c>
      <c r="AE178" s="51">
        <f t="shared" si="10"/>
        <v>0.51457336347441596</v>
      </c>
      <c r="AF178" s="51">
        <f t="shared" si="11"/>
        <v>5.8540532443850567E-2</v>
      </c>
      <c r="AG178" s="51">
        <f t="shared" si="12"/>
        <v>0.57311389591826656</v>
      </c>
      <c r="AH178" s="51">
        <f t="shared" si="13"/>
        <v>4.5832445329705073E-3</v>
      </c>
      <c r="BG178" s="15"/>
      <c r="BM178" s="17"/>
      <c r="BN178" s="17"/>
      <c r="BO178" s="17"/>
      <c r="BP178" s="17"/>
      <c r="BQ178" s="17"/>
      <c r="BW178" s="17"/>
    </row>
    <row r="179" spans="1:75" hidden="1" x14ac:dyDescent="0.25">
      <c r="A179" s="15" t="s">
        <v>382</v>
      </c>
      <c r="B179" s="15" t="s">
        <v>30</v>
      </c>
      <c r="C179" s="15">
        <v>2012</v>
      </c>
      <c r="D179" s="15" t="s">
        <v>383</v>
      </c>
      <c r="E179" s="15">
        <v>260</v>
      </c>
      <c r="F179" s="15">
        <v>9319710</v>
      </c>
      <c r="G179" s="15" t="s">
        <v>32</v>
      </c>
      <c r="H179" s="15" t="s">
        <v>89</v>
      </c>
      <c r="I179" s="15" t="s">
        <v>384</v>
      </c>
      <c r="J179" s="15" t="s">
        <v>385</v>
      </c>
      <c r="K179" s="15" t="s">
        <v>386</v>
      </c>
      <c r="L179" s="15" t="s">
        <v>243</v>
      </c>
      <c r="M179" s="15" t="s">
        <v>166</v>
      </c>
      <c r="N179" s="15" t="s">
        <v>167</v>
      </c>
      <c r="O179" s="15"/>
      <c r="P179" s="15"/>
      <c r="Q179" s="15"/>
      <c r="R179" s="15"/>
      <c r="S179" s="15"/>
      <c r="T179" s="15"/>
      <c r="U179" s="15"/>
      <c r="V179" s="15"/>
      <c r="W179" s="15"/>
      <c r="X179" s="15"/>
      <c r="Y179" s="17">
        <v>4413</v>
      </c>
      <c r="Z179" s="17">
        <v>253</v>
      </c>
      <c r="AA179" s="17">
        <v>253</v>
      </c>
      <c r="AB179" s="17">
        <v>506</v>
      </c>
      <c r="AC179" s="17">
        <v>4919</v>
      </c>
      <c r="AD179" s="17">
        <v>42</v>
      </c>
      <c r="AE179" s="51">
        <f t="shared" si="10"/>
        <v>0.47351258783803363</v>
      </c>
      <c r="AF179" s="51">
        <f t="shared" si="11"/>
        <v>5.4293534884669162E-2</v>
      </c>
      <c r="AG179" s="51">
        <f t="shared" si="12"/>
        <v>0.52780612272270278</v>
      </c>
      <c r="AH179" s="51">
        <f t="shared" si="13"/>
        <v>4.5065779943796536E-3</v>
      </c>
      <c r="BG179" s="15"/>
      <c r="BM179" s="17"/>
      <c r="BN179" s="17"/>
      <c r="BO179" s="17"/>
      <c r="BP179" s="17"/>
      <c r="BQ179" s="17"/>
      <c r="BW179" s="17"/>
    </row>
    <row r="180" spans="1:75" hidden="1" x14ac:dyDescent="0.25">
      <c r="A180" s="15" t="s">
        <v>382</v>
      </c>
      <c r="B180" s="15" t="s">
        <v>30</v>
      </c>
      <c r="C180" s="15">
        <v>2011</v>
      </c>
      <c r="D180" s="15" t="s">
        <v>383</v>
      </c>
      <c r="E180" s="15">
        <v>230</v>
      </c>
      <c r="F180" s="15">
        <v>9043508</v>
      </c>
      <c r="G180" s="15" t="s">
        <v>32</v>
      </c>
      <c r="H180" s="15" t="s">
        <v>89</v>
      </c>
      <c r="I180" s="15" t="s">
        <v>384</v>
      </c>
      <c r="J180" s="15" t="s">
        <v>385</v>
      </c>
      <c r="K180" s="15" t="s">
        <v>386</v>
      </c>
      <c r="L180" s="15" t="s">
        <v>243</v>
      </c>
      <c r="M180" s="15" t="s">
        <v>166</v>
      </c>
      <c r="N180" s="15" t="s">
        <v>167</v>
      </c>
      <c r="O180" s="15"/>
      <c r="P180" s="15"/>
      <c r="Q180" s="15"/>
      <c r="R180" s="15"/>
      <c r="S180" s="15"/>
      <c r="T180" s="15"/>
      <c r="U180" s="15"/>
      <c r="V180" s="15"/>
      <c r="W180" s="15"/>
      <c r="X180" s="15"/>
      <c r="Y180" s="17">
        <v>3826</v>
      </c>
      <c r="Z180" s="17">
        <v>219</v>
      </c>
      <c r="AA180" s="17">
        <v>224</v>
      </c>
      <c r="AB180" s="17">
        <v>443</v>
      </c>
      <c r="AC180" s="17">
        <v>4269</v>
      </c>
      <c r="AD180" s="17">
        <v>40</v>
      </c>
      <c r="AE180" s="51">
        <f t="shared" si="10"/>
        <v>0.4230659164563132</v>
      </c>
      <c r="AF180" s="51">
        <f t="shared" si="11"/>
        <v>4.8985415836420999E-2</v>
      </c>
      <c r="AG180" s="51">
        <f t="shared" si="12"/>
        <v>0.47205133229273422</v>
      </c>
      <c r="AH180" s="51">
        <f t="shared" si="13"/>
        <v>4.4230623780064111E-3</v>
      </c>
      <c r="BG180" s="15"/>
      <c r="BM180" s="17"/>
      <c r="BN180" s="17"/>
      <c r="BO180" s="17"/>
      <c r="BP180" s="17"/>
      <c r="BQ180" s="17"/>
      <c r="BW180" s="17"/>
    </row>
    <row r="181" spans="1:75" hidden="1" x14ac:dyDescent="0.25">
      <c r="A181" s="15" t="s">
        <v>387</v>
      </c>
      <c r="B181" s="15" t="s">
        <v>30</v>
      </c>
      <c r="C181" s="15">
        <v>2012</v>
      </c>
      <c r="D181" s="15" t="s">
        <v>388</v>
      </c>
      <c r="E181" s="15">
        <v>3380</v>
      </c>
      <c r="F181" s="15">
        <v>513979</v>
      </c>
      <c r="G181" s="15" t="s">
        <v>88</v>
      </c>
      <c r="H181" s="15" t="s">
        <v>89</v>
      </c>
      <c r="I181" s="15" t="s">
        <v>389</v>
      </c>
      <c r="J181" s="15" t="s">
        <v>390</v>
      </c>
      <c r="K181" s="15" t="s">
        <v>391</v>
      </c>
      <c r="L181" s="15" t="s">
        <v>392</v>
      </c>
      <c r="M181" s="15" t="s">
        <v>393</v>
      </c>
      <c r="N181" s="15" t="s">
        <v>394</v>
      </c>
      <c r="O181" s="15"/>
      <c r="P181" s="15"/>
      <c r="Q181" s="15"/>
      <c r="R181" s="15"/>
      <c r="S181" s="15"/>
      <c r="T181" s="15"/>
      <c r="U181" s="15"/>
      <c r="V181" s="15"/>
      <c r="W181" s="15"/>
      <c r="X181" s="15" t="s">
        <v>395</v>
      </c>
      <c r="Y181" s="17">
        <v>7907</v>
      </c>
      <c r="Z181" s="17">
        <v>648</v>
      </c>
      <c r="AA181" s="17">
        <v>328</v>
      </c>
      <c r="AB181" s="17">
        <f>+Z181+AA181</f>
        <v>976</v>
      </c>
      <c r="AC181" s="17">
        <f>+AB181+Y181</f>
        <v>8883</v>
      </c>
      <c r="AD181" s="17">
        <v>294</v>
      </c>
      <c r="AE181" s="51">
        <f t="shared" si="10"/>
        <v>15.383897007465286</v>
      </c>
      <c r="AF181" s="51">
        <f t="shared" si="11"/>
        <v>1.8989102667618716</v>
      </c>
      <c r="AG181" s="51">
        <f t="shared" si="12"/>
        <v>17.282807274227157</v>
      </c>
      <c r="AH181" s="51">
        <f t="shared" si="13"/>
        <v>0.57200780576638344</v>
      </c>
      <c r="AI181" s="17">
        <v>14824</v>
      </c>
      <c r="AJ181" s="17">
        <v>4818</v>
      </c>
      <c r="AK181" s="17">
        <v>4664</v>
      </c>
      <c r="AL181" s="17">
        <f>+AJ181+AK181</f>
        <v>9482</v>
      </c>
      <c r="AM181" s="17">
        <f>+AL181+AI181</f>
        <v>24306</v>
      </c>
      <c r="AN181" s="17">
        <v>27105</v>
      </c>
      <c r="AO181" s="17">
        <v>7757439000</v>
      </c>
      <c r="AP181" s="17">
        <v>3915673000</v>
      </c>
      <c r="AQ181" s="17">
        <v>4451522000</v>
      </c>
      <c r="AR181" s="17">
        <f>+AP181+AQ181</f>
        <v>8367195000</v>
      </c>
      <c r="AS181" s="17">
        <f>+AR181+AO181</f>
        <v>16124634000</v>
      </c>
      <c r="AT181" s="17">
        <v>38587420000</v>
      </c>
      <c r="BG181" s="15"/>
      <c r="BM181" s="17"/>
      <c r="BN181" s="17"/>
      <c r="BO181" s="17"/>
      <c r="BP181" s="17"/>
      <c r="BQ181" s="17"/>
      <c r="BT181" s="15" t="s">
        <v>396</v>
      </c>
      <c r="BW181" s="17"/>
    </row>
    <row r="182" spans="1:75" hidden="1" x14ac:dyDescent="0.25">
      <c r="A182" s="15" t="s">
        <v>387</v>
      </c>
      <c r="B182" s="15" t="s">
        <v>30</v>
      </c>
      <c r="C182" s="15">
        <v>2011</v>
      </c>
      <c r="D182" s="15" t="s">
        <v>388</v>
      </c>
      <c r="E182" s="15">
        <v>3450</v>
      </c>
      <c r="F182" s="15">
        <v>508067</v>
      </c>
      <c r="G182" s="15" t="s">
        <v>88</v>
      </c>
      <c r="H182" s="15" t="s">
        <v>89</v>
      </c>
      <c r="I182" s="15" t="s">
        <v>389</v>
      </c>
      <c r="J182" s="15" t="s">
        <v>390</v>
      </c>
      <c r="K182" s="15" t="s">
        <v>391</v>
      </c>
      <c r="L182" s="15" t="s">
        <v>392</v>
      </c>
      <c r="M182" s="15" t="s">
        <v>393</v>
      </c>
      <c r="N182" s="15" t="s">
        <v>394</v>
      </c>
      <c r="O182" s="15"/>
      <c r="P182" s="15"/>
      <c r="Q182" s="15"/>
      <c r="R182" s="15"/>
      <c r="S182" s="15"/>
      <c r="T182" s="15"/>
      <c r="U182" s="15"/>
      <c r="V182" s="15"/>
      <c r="W182" s="15"/>
      <c r="X182" s="15" t="s">
        <v>395</v>
      </c>
      <c r="Y182" s="17">
        <v>7738</v>
      </c>
      <c r="Z182" s="17">
        <v>587</v>
      </c>
      <c r="AA182" s="17">
        <v>319</v>
      </c>
      <c r="AB182" s="17">
        <f>+Z182+AA182</f>
        <v>906</v>
      </c>
      <c r="AC182" s="17">
        <f>+AB182+Y182</f>
        <v>8644</v>
      </c>
      <c r="AD182" s="17">
        <v>312</v>
      </c>
      <c r="AE182" s="51">
        <f t="shared" si="10"/>
        <v>15.23027474722822</v>
      </c>
      <c r="AF182" s="51">
        <f t="shared" si="11"/>
        <v>1.7832293772278065</v>
      </c>
      <c r="AG182" s="51">
        <f t="shared" si="12"/>
        <v>17.013504124456027</v>
      </c>
      <c r="AH182" s="51">
        <f t="shared" si="13"/>
        <v>0.61409223586652939</v>
      </c>
      <c r="AI182" s="17">
        <v>17020</v>
      </c>
      <c r="AJ182" s="17">
        <v>4389</v>
      </c>
      <c r="AK182" s="17">
        <v>4519</v>
      </c>
      <c r="AL182" s="17">
        <f>+AJ182+AK182</f>
        <v>8908</v>
      </c>
      <c r="AM182" s="17">
        <f>+AL182+AI182</f>
        <v>25928</v>
      </c>
      <c r="AN182" s="17">
        <v>27446</v>
      </c>
      <c r="BG182" s="15"/>
      <c r="BM182" s="17"/>
      <c r="BN182" s="17"/>
      <c r="BO182" s="17"/>
      <c r="BP182" s="17"/>
      <c r="BQ182" s="17"/>
      <c r="BW182" s="17"/>
    </row>
    <row r="183" spans="1:75" hidden="1" x14ac:dyDescent="0.25">
      <c r="A183" s="15" t="s">
        <v>387</v>
      </c>
      <c r="B183" s="15" t="s">
        <v>30</v>
      </c>
      <c r="C183" s="15">
        <v>2010</v>
      </c>
      <c r="D183" s="15" t="s">
        <v>388</v>
      </c>
      <c r="E183" s="15">
        <v>2240</v>
      </c>
      <c r="F183" s="15">
        <v>480795</v>
      </c>
      <c r="G183" s="15" t="s">
        <v>88</v>
      </c>
      <c r="H183" s="15" t="s">
        <v>89</v>
      </c>
      <c r="I183" s="15" t="s">
        <v>389</v>
      </c>
      <c r="J183" s="15" t="s">
        <v>390</v>
      </c>
      <c r="K183" s="15" t="s">
        <v>391</v>
      </c>
      <c r="L183" s="15" t="s">
        <v>392</v>
      </c>
      <c r="M183" s="15" t="s">
        <v>393</v>
      </c>
      <c r="N183" s="15" t="s">
        <v>394</v>
      </c>
      <c r="O183" s="15"/>
      <c r="P183" s="15"/>
      <c r="Q183" s="15"/>
      <c r="R183" s="15"/>
      <c r="S183" s="15"/>
      <c r="T183" s="15"/>
      <c r="U183" s="15"/>
      <c r="V183" s="15"/>
      <c r="W183" s="15"/>
      <c r="X183" s="15" t="s">
        <v>395</v>
      </c>
      <c r="Y183" s="17">
        <v>7500</v>
      </c>
      <c r="Z183" s="17">
        <v>748</v>
      </c>
      <c r="AA183" s="17">
        <v>326</v>
      </c>
      <c r="AB183" s="17">
        <f>+Z183+AA183</f>
        <v>1074</v>
      </c>
      <c r="AC183" s="17">
        <f>+AB183+Y183</f>
        <v>8574</v>
      </c>
      <c r="AD183" s="17">
        <v>326</v>
      </c>
      <c r="AE183" s="51">
        <f t="shared" si="10"/>
        <v>15.599163884815773</v>
      </c>
      <c r="AF183" s="51">
        <f t="shared" si="11"/>
        <v>2.2338002683056186</v>
      </c>
      <c r="AG183" s="51">
        <f t="shared" si="12"/>
        <v>17.832964153121395</v>
      </c>
      <c r="AH183" s="51">
        <f t="shared" si="13"/>
        <v>0.67804365685999235</v>
      </c>
      <c r="AI183" s="17">
        <v>15252</v>
      </c>
      <c r="AJ183" s="17">
        <v>5602</v>
      </c>
      <c r="AK183" s="17">
        <v>4651</v>
      </c>
      <c r="AL183" s="17">
        <f>+AJ183+AK183</f>
        <v>10253</v>
      </c>
      <c r="AM183" s="17">
        <f>+AL183+AI183</f>
        <v>25505</v>
      </c>
      <c r="AN183" s="17">
        <v>26574</v>
      </c>
      <c r="BG183" s="15"/>
      <c r="BM183" s="17"/>
      <c r="BN183" s="17"/>
      <c r="BO183" s="17"/>
      <c r="BP183" s="17"/>
      <c r="BQ183" s="17"/>
      <c r="BW183" s="17"/>
    </row>
    <row r="184" spans="1:75" hidden="1" x14ac:dyDescent="0.25">
      <c r="A184" s="15" t="s">
        <v>387</v>
      </c>
      <c r="B184" s="15" t="s">
        <v>30</v>
      </c>
      <c r="C184" s="15">
        <v>2009</v>
      </c>
      <c r="D184" s="15" t="s">
        <v>388</v>
      </c>
      <c r="E184" s="15">
        <v>3410</v>
      </c>
      <c r="F184" s="15">
        <v>496963</v>
      </c>
      <c r="G184" s="15" t="s">
        <v>88</v>
      </c>
      <c r="H184" s="15" t="s">
        <v>89</v>
      </c>
      <c r="I184" s="15" t="s">
        <v>389</v>
      </c>
      <c r="J184" s="15" t="s">
        <v>390</v>
      </c>
      <c r="K184" s="15" t="s">
        <v>391</v>
      </c>
      <c r="L184" s="15" t="s">
        <v>392</v>
      </c>
      <c r="M184" s="15" t="s">
        <v>393</v>
      </c>
      <c r="N184" s="15" t="s">
        <v>394</v>
      </c>
      <c r="O184" s="15"/>
      <c r="P184" s="15"/>
      <c r="Q184" s="15"/>
      <c r="R184" s="15"/>
      <c r="S184" s="15"/>
      <c r="T184" s="15"/>
      <c r="U184" s="15"/>
      <c r="V184" s="15"/>
      <c r="W184" s="15"/>
      <c r="X184" s="15" t="s">
        <v>395</v>
      </c>
      <c r="Y184" s="17">
        <v>7324</v>
      </c>
      <c r="Z184" s="17">
        <v>683</v>
      </c>
      <c r="AA184" s="17">
        <v>275</v>
      </c>
      <c r="AB184" s="17">
        <f>+Z184+AA184</f>
        <v>958</v>
      </c>
      <c r="AC184" s="17">
        <f>+AB184+Y184</f>
        <v>8282</v>
      </c>
      <c r="AD184" s="17">
        <v>316</v>
      </c>
      <c r="AE184" s="51">
        <f t="shared" si="10"/>
        <v>14.737515670180677</v>
      </c>
      <c r="AF184" s="51">
        <f t="shared" si="11"/>
        <v>1.9277089038821804</v>
      </c>
      <c r="AG184" s="51">
        <f t="shared" si="12"/>
        <v>16.665224574062858</v>
      </c>
      <c r="AH184" s="51">
        <f t="shared" si="13"/>
        <v>0.63586222716781726</v>
      </c>
      <c r="AI184" s="17">
        <v>15622</v>
      </c>
      <c r="AJ184" s="17">
        <v>5129</v>
      </c>
      <c r="AK184" s="17">
        <v>3946</v>
      </c>
      <c r="AL184" s="17">
        <f>+AJ184+AK184</f>
        <v>9075</v>
      </c>
      <c r="AM184" s="17">
        <f>+AL184+AI184</f>
        <v>24697</v>
      </c>
      <c r="AN184" s="17">
        <v>25493</v>
      </c>
      <c r="BG184" s="15"/>
      <c r="BM184" s="17"/>
      <c r="BN184" s="17"/>
      <c r="BO184" s="17"/>
      <c r="BP184" s="17"/>
      <c r="BQ184" s="17"/>
      <c r="BW184" s="17"/>
    </row>
    <row r="185" spans="1:75" hidden="1" x14ac:dyDescent="0.25">
      <c r="A185" s="15" t="s">
        <v>387</v>
      </c>
      <c r="B185" s="15" t="s">
        <v>30</v>
      </c>
      <c r="C185" s="15">
        <v>2008</v>
      </c>
      <c r="D185" s="15" t="s">
        <v>388</v>
      </c>
      <c r="E185" s="15">
        <v>3230</v>
      </c>
      <c r="F185" s="15">
        <v>491723</v>
      </c>
      <c r="G185" s="15" t="s">
        <v>88</v>
      </c>
      <c r="H185" s="15" t="s">
        <v>89</v>
      </c>
      <c r="I185" s="15" t="s">
        <v>389</v>
      </c>
      <c r="J185" s="15" t="s">
        <v>390</v>
      </c>
      <c r="K185" s="15" t="s">
        <v>391</v>
      </c>
      <c r="L185" s="15" t="s">
        <v>392</v>
      </c>
      <c r="M185" s="15" t="s">
        <v>393</v>
      </c>
      <c r="N185" s="15" t="s">
        <v>394</v>
      </c>
      <c r="O185" s="15"/>
      <c r="P185" s="15"/>
      <c r="Q185" s="15"/>
      <c r="R185" s="15"/>
      <c r="S185" s="15"/>
      <c r="T185" s="15"/>
      <c r="U185" s="15"/>
      <c r="V185" s="15"/>
      <c r="W185" s="15"/>
      <c r="X185" s="15" t="s">
        <v>395</v>
      </c>
      <c r="Y185" s="17">
        <v>6618</v>
      </c>
      <c r="Z185" s="17">
        <v>665</v>
      </c>
      <c r="AA185" s="17">
        <v>287</v>
      </c>
      <c r="AB185" s="17">
        <f>+Z185+AA185</f>
        <v>952</v>
      </c>
      <c r="AC185" s="17">
        <f>+AB185+Y185</f>
        <v>7570</v>
      </c>
      <c r="AD185" s="17">
        <v>295</v>
      </c>
      <c r="AE185" s="51">
        <f t="shared" si="10"/>
        <v>13.458796924284607</v>
      </c>
      <c r="AF185" s="51">
        <f t="shared" si="11"/>
        <v>1.9360493611240475</v>
      </c>
      <c r="AG185" s="51">
        <f t="shared" si="12"/>
        <v>15.394846285408656</v>
      </c>
      <c r="AH185" s="51">
        <f t="shared" si="13"/>
        <v>0.59993126211301895</v>
      </c>
      <c r="AI185" s="17">
        <v>13748</v>
      </c>
      <c r="AJ185" s="17">
        <v>4933</v>
      </c>
      <c r="AK185" s="17">
        <v>4121</v>
      </c>
      <c r="AL185" s="17">
        <f>+AJ185+AK185</f>
        <v>9054</v>
      </c>
      <c r="AM185" s="17">
        <f>+AL185+AI185</f>
        <v>22802</v>
      </c>
      <c r="AN185" s="17">
        <v>24970</v>
      </c>
      <c r="BG185" s="15"/>
      <c r="BM185" s="17"/>
      <c r="BN185" s="17"/>
      <c r="BO185" s="17"/>
      <c r="BP185" s="17"/>
      <c r="BQ185" s="17"/>
      <c r="BW185" s="17"/>
    </row>
    <row r="186" spans="1:75" hidden="1" x14ac:dyDescent="0.25">
      <c r="A186" s="15" t="s">
        <v>397</v>
      </c>
      <c r="B186" s="15" t="s">
        <v>30</v>
      </c>
      <c r="C186" s="15">
        <v>2014</v>
      </c>
      <c r="D186" s="15" t="s">
        <v>398</v>
      </c>
      <c r="E186" s="15">
        <v>1020</v>
      </c>
      <c r="F186" s="15">
        <v>15270790</v>
      </c>
      <c r="G186" s="15" t="s">
        <v>88</v>
      </c>
      <c r="H186" s="15" t="s">
        <v>77</v>
      </c>
      <c r="I186" s="15" t="s">
        <v>399</v>
      </c>
      <c r="J186" s="15" t="s">
        <v>400</v>
      </c>
      <c r="K186" s="15" t="s">
        <v>401</v>
      </c>
      <c r="L186" s="15" t="s">
        <v>402</v>
      </c>
      <c r="M186" s="15" t="s">
        <v>372</v>
      </c>
      <c r="N186" s="15" t="s">
        <v>37</v>
      </c>
      <c r="O186" s="15"/>
      <c r="P186" s="15"/>
      <c r="Q186" s="15"/>
      <c r="R186" s="15"/>
      <c r="S186" s="15"/>
      <c r="T186" s="15"/>
      <c r="U186" s="15"/>
      <c r="V186" s="15"/>
      <c r="W186" s="15"/>
      <c r="X186" s="15"/>
      <c r="Y186" s="17">
        <v>501612</v>
      </c>
      <c r="Z186" s="17">
        <v>10648</v>
      </c>
      <c r="AA186" s="17">
        <v>610</v>
      </c>
      <c r="AB186" s="17">
        <v>11258</v>
      </c>
      <c r="AC186" s="17">
        <v>512870</v>
      </c>
      <c r="AD186" s="17">
        <v>889</v>
      </c>
      <c r="AE186" s="51">
        <f t="shared" si="10"/>
        <v>32.847809445352858</v>
      </c>
      <c r="AF186" s="51">
        <f t="shared" si="11"/>
        <v>0.7372244657938456</v>
      </c>
      <c r="AG186" s="51">
        <f t="shared" si="12"/>
        <v>33.585033911146709</v>
      </c>
      <c r="AH186" s="51">
        <f t="shared" si="13"/>
        <v>5.8215717719908397E-2</v>
      </c>
      <c r="AI186" s="17">
        <v>1093496</v>
      </c>
      <c r="AJ186" s="17">
        <v>207774</v>
      </c>
      <c r="AK186" s="17">
        <v>43830</v>
      </c>
      <c r="AL186" s="17">
        <v>251604</v>
      </c>
      <c r="AM186" s="17">
        <v>1345100</v>
      </c>
      <c r="AN186" s="17">
        <v>529570</v>
      </c>
      <c r="AO186" s="17">
        <v>8160968893</v>
      </c>
      <c r="AP186" s="17">
        <v>2638723372</v>
      </c>
      <c r="AQ186" s="17">
        <v>451186122</v>
      </c>
      <c r="AR186" s="17">
        <v>3089909494</v>
      </c>
      <c r="AS186" s="17">
        <v>11250878387</v>
      </c>
      <c r="AT186" s="17">
        <v>11360755435</v>
      </c>
      <c r="AU186" s="15" t="s">
        <v>400</v>
      </c>
      <c r="AV186" s="15" t="s">
        <v>400</v>
      </c>
      <c r="BG186" s="15"/>
      <c r="BM186" s="17"/>
      <c r="BN186" s="17"/>
      <c r="BO186" s="17"/>
      <c r="BP186" s="17"/>
      <c r="BQ186" s="17"/>
      <c r="BW186" s="17"/>
    </row>
    <row r="187" spans="1:75" hidden="1" x14ac:dyDescent="0.25">
      <c r="A187" s="15" t="s">
        <v>397</v>
      </c>
      <c r="B187" s="15" t="s">
        <v>30</v>
      </c>
      <c r="C187" s="15">
        <v>2011</v>
      </c>
      <c r="D187" s="15" t="s">
        <v>398</v>
      </c>
      <c r="E187" s="15">
        <v>810</v>
      </c>
      <c r="F187" s="15">
        <v>14537886</v>
      </c>
      <c r="G187" s="15" t="s">
        <v>88</v>
      </c>
      <c r="H187" s="15" t="s">
        <v>77</v>
      </c>
      <c r="I187" s="15" t="s">
        <v>403</v>
      </c>
      <c r="J187" s="15" t="s">
        <v>404</v>
      </c>
      <c r="K187" s="15" t="s">
        <v>401</v>
      </c>
      <c r="L187" s="15" t="s">
        <v>402</v>
      </c>
      <c r="M187" s="15" t="s">
        <v>372</v>
      </c>
      <c r="N187" s="15" t="s">
        <v>37</v>
      </c>
      <c r="O187" s="15"/>
      <c r="P187" s="15"/>
      <c r="Q187" s="15"/>
      <c r="R187" s="15"/>
      <c r="S187" s="15"/>
      <c r="T187" s="15"/>
      <c r="U187" s="15"/>
      <c r="V187" s="15"/>
      <c r="W187" s="15"/>
      <c r="X187" s="15"/>
      <c r="Y187" s="17">
        <v>493544</v>
      </c>
      <c r="Z187" s="17">
        <v>10009</v>
      </c>
      <c r="AA187" s="17">
        <v>800</v>
      </c>
      <c r="AB187" s="17">
        <v>10809</v>
      </c>
      <c r="AC187" s="17">
        <v>504353</v>
      </c>
      <c r="AD187" s="17">
        <v>781</v>
      </c>
      <c r="AE187" s="51">
        <f t="shared" si="10"/>
        <v>33.948814841442562</v>
      </c>
      <c r="AF187" s="51">
        <f t="shared" si="11"/>
        <v>0.74350562385755392</v>
      </c>
      <c r="AG187" s="51">
        <f t="shared" si="12"/>
        <v>34.692320465300106</v>
      </c>
      <c r="AH187" s="51">
        <f t="shared" si="13"/>
        <v>5.3721703416851667E-2</v>
      </c>
      <c r="AI187" s="17">
        <v>975980</v>
      </c>
      <c r="AJ187" s="17">
        <v>191792</v>
      </c>
      <c r="AK187" s="17">
        <v>53879</v>
      </c>
      <c r="AL187" s="17">
        <v>245671</v>
      </c>
      <c r="AM187" s="17">
        <v>1221651</v>
      </c>
      <c r="AN187" s="17">
        <v>451739</v>
      </c>
      <c r="AO187" s="17">
        <v>5786000000</v>
      </c>
      <c r="AP187" s="17">
        <v>1242000000</v>
      </c>
      <c r="AQ187" s="17">
        <v>361000000</v>
      </c>
      <c r="AR187" s="17">
        <f>+AP187+AQ187</f>
        <v>1603000000</v>
      </c>
      <c r="AS187" s="17">
        <f>+AR187+AO187</f>
        <v>7389000000</v>
      </c>
      <c r="AT187" s="17">
        <v>5290000000</v>
      </c>
      <c r="AU187" s="15" t="s">
        <v>404</v>
      </c>
      <c r="AV187" s="15" t="s">
        <v>404</v>
      </c>
      <c r="BG187" s="15"/>
      <c r="BM187" s="17"/>
      <c r="BN187" s="17"/>
      <c r="BO187" s="17"/>
      <c r="BP187" s="17"/>
      <c r="BQ187" s="17"/>
      <c r="BW187" s="17"/>
    </row>
    <row r="188" spans="1:75" hidden="1" x14ac:dyDescent="0.25">
      <c r="A188" s="15" t="s">
        <v>397</v>
      </c>
      <c r="B188" s="15" t="s">
        <v>30</v>
      </c>
      <c r="C188" s="15">
        <v>2009</v>
      </c>
      <c r="D188" s="15" t="s">
        <v>398</v>
      </c>
      <c r="E188" s="15">
        <v>700</v>
      </c>
      <c r="F188" s="15">
        <v>14090208</v>
      </c>
      <c r="G188" s="15" t="s">
        <v>88</v>
      </c>
      <c r="H188" s="15" t="s">
        <v>77</v>
      </c>
      <c r="I188" s="15" t="s">
        <v>405</v>
      </c>
      <c r="J188" s="15" t="s">
        <v>406</v>
      </c>
      <c r="K188" s="15" t="s">
        <v>92</v>
      </c>
      <c r="L188" s="15" t="s">
        <v>48</v>
      </c>
      <c r="M188" s="15" t="s">
        <v>407</v>
      </c>
      <c r="N188" s="15" t="s">
        <v>37</v>
      </c>
      <c r="O188" s="15"/>
      <c r="P188" s="15"/>
      <c r="Q188" s="15"/>
      <c r="R188" s="15"/>
      <c r="S188" s="15"/>
      <c r="T188" s="15"/>
      <c r="U188" s="15"/>
      <c r="V188" s="15"/>
      <c r="W188" s="15"/>
      <c r="X188" s="15"/>
      <c r="Y188" s="17">
        <v>363638</v>
      </c>
      <c r="Z188" s="17">
        <v>11684</v>
      </c>
      <c r="AA188" s="17">
        <v>747</v>
      </c>
      <c r="AB188" s="17">
        <v>12431</v>
      </c>
      <c r="AC188" s="17">
        <v>376069</v>
      </c>
      <c r="AD188" s="17">
        <v>692</v>
      </c>
      <c r="AE188" s="51">
        <f t="shared" si="10"/>
        <v>25.807851807439608</v>
      </c>
      <c r="AF188" s="51">
        <f t="shared" si="11"/>
        <v>0.88224389590274332</v>
      </c>
      <c r="AG188" s="51">
        <f t="shared" si="12"/>
        <v>26.690095703342351</v>
      </c>
      <c r="AH188" s="51">
        <f t="shared" si="13"/>
        <v>4.9112120985013136E-2</v>
      </c>
      <c r="AI188" s="17">
        <v>843296</v>
      </c>
      <c r="AJ188" s="17">
        <v>204504</v>
      </c>
      <c r="AK188" s="17">
        <v>49147</v>
      </c>
      <c r="AL188" s="17">
        <v>253651</v>
      </c>
      <c r="AM188" s="17">
        <v>1096947</v>
      </c>
      <c r="AN188" s="17">
        <v>372765</v>
      </c>
      <c r="BG188" s="15"/>
      <c r="BM188" s="17"/>
      <c r="BN188" s="17"/>
      <c r="BO188" s="17"/>
      <c r="BP188" s="17"/>
      <c r="BQ188" s="17"/>
      <c r="BW188" s="17"/>
    </row>
    <row r="189" spans="1:75" hidden="1" x14ac:dyDescent="0.25">
      <c r="A189" s="15" t="s">
        <v>408</v>
      </c>
      <c r="B189" s="15" t="s">
        <v>30</v>
      </c>
      <c r="C189" s="15">
        <v>2016</v>
      </c>
      <c r="D189" s="15" t="s">
        <v>409</v>
      </c>
      <c r="E189" s="15">
        <v>1400</v>
      </c>
      <c r="F189" s="15">
        <v>23439189</v>
      </c>
      <c r="G189" s="15" t="s">
        <v>88</v>
      </c>
      <c r="H189" s="15" t="s">
        <v>89</v>
      </c>
      <c r="I189" s="15" t="s">
        <v>1587</v>
      </c>
      <c r="J189" s="15" t="s">
        <v>410</v>
      </c>
      <c r="K189" s="15" t="s">
        <v>724</v>
      </c>
      <c r="L189" s="15" t="s">
        <v>35</v>
      </c>
      <c r="M189" s="15" t="s">
        <v>36</v>
      </c>
      <c r="N189" s="15" t="s">
        <v>37</v>
      </c>
      <c r="O189" s="15"/>
      <c r="P189" s="15"/>
      <c r="Q189" s="15"/>
      <c r="R189" s="15"/>
      <c r="S189" s="15"/>
      <c r="T189" s="15" t="s">
        <v>411</v>
      </c>
      <c r="U189" s="15" t="s">
        <v>412</v>
      </c>
      <c r="V189" s="15" t="s">
        <v>413</v>
      </c>
      <c r="W189" s="15" t="s">
        <v>414</v>
      </c>
      <c r="X189" s="15" t="s">
        <v>296</v>
      </c>
      <c r="Y189" s="17">
        <v>161094</v>
      </c>
      <c r="Z189" s="17">
        <v>39205</v>
      </c>
      <c r="AA189" s="17">
        <v>2689</v>
      </c>
      <c r="AB189" s="17">
        <v>41894</v>
      </c>
      <c r="AC189" s="17">
        <v>202988</v>
      </c>
      <c r="AD189" s="17">
        <v>431</v>
      </c>
      <c r="AE189" s="51">
        <f t="shared" si="10"/>
        <v>6.8728487150301998</v>
      </c>
      <c r="AF189" s="51">
        <f t="shared" si="11"/>
        <v>1.7873485298488783</v>
      </c>
      <c r="AG189" s="51">
        <f t="shared" si="12"/>
        <v>8.6601972448790789</v>
      </c>
      <c r="AH189" s="51">
        <f t="shared" si="13"/>
        <v>1.8388008219908974E-2</v>
      </c>
      <c r="AI189" s="17">
        <v>165456</v>
      </c>
      <c r="AJ189" s="17">
        <v>52345</v>
      </c>
      <c r="AK189" s="17">
        <v>24293</v>
      </c>
      <c r="AL189" s="17">
        <v>76638</v>
      </c>
      <c r="AM189" s="17">
        <v>242094</v>
      </c>
      <c r="AN189" s="17">
        <v>174235</v>
      </c>
      <c r="AU189" s="15" t="s">
        <v>415</v>
      </c>
      <c r="AV189" s="15" t="s">
        <v>415</v>
      </c>
      <c r="BG189" s="15"/>
      <c r="BL189" s="15" t="s">
        <v>416</v>
      </c>
      <c r="BM189" s="17">
        <v>44154</v>
      </c>
      <c r="BN189" s="17">
        <v>9398</v>
      </c>
      <c r="BO189" s="17">
        <f>BN189+BM189</f>
        <v>53552</v>
      </c>
      <c r="BP189" s="17"/>
      <c r="BQ189" s="17"/>
      <c r="BW189" s="17"/>
    </row>
    <row r="190" spans="1:75" hidden="1" x14ac:dyDescent="0.25">
      <c r="A190" s="15" t="s">
        <v>418</v>
      </c>
      <c r="B190" s="15" t="s">
        <v>30</v>
      </c>
      <c r="C190" s="15">
        <v>2017</v>
      </c>
      <c r="D190" s="15" t="s">
        <v>419</v>
      </c>
      <c r="E190" s="15">
        <v>42870</v>
      </c>
      <c r="F190" s="15">
        <v>36708083</v>
      </c>
      <c r="G190" s="15" t="s">
        <v>109</v>
      </c>
      <c r="H190" s="15" t="s">
        <v>300</v>
      </c>
      <c r="I190" s="15" t="s">
        <v>420</v>
      </c>
      <c r="J190" s="15" t="s">
        <v>1588</v>
      </c>
      <c r="K190" s="15" t="s">
        <v>46</v>
      </c>
      <c r="L190" s="15" t="s">
        <v>421</v>
      </c>
      <c r="M190" s="15" t="s">
        <v>422</v>
      </c>
      <c r="N190" s="15" t="s">
        <v>1084</v>
      </c>
      <c r="O190" s="15"/>
      <c r="P190" s="15"/>
      <c r="Q190" s="15"/>
      <c r="R190" s="15"/>
      <c r="S190" s="15"/>
      <c r="T190" s="15"/>
      <c r="U190" s="15"/>
      <c r="V190" s="15"/>
      <c r="W190" s="15"/>
      <c r="X190" s="15"/>
      <c r="Y190" s="17">
        <v>634063</v>
      </c>
      <c r="Z190" s="17">
        <v>518706</v>
      </c>
      <c r="AA190" s="17">
        <v>21926</v>
      </c>
      <c r="AB190" s="17">
        <v>540632</v>
      </c>
      <c r="AC190" s="17">
        <v>1174695</v>
      </c>
      <c r="AD190" s="17">
        <v>2939</v>
      </c>
      <c r="AE190" s="51">
        <f t="shared" si="10"/>
        <v>17.273116659347206</v>
      </c>
      <c r="AF190" s="51">
        <f t="shared" si="11"/>
        <v>14.727873422319549</v>
      </c>
      <c r="AG190" s="51">
        <f t="shared" si="12"/>
        <v>32.000990081666757</v>
      </c>
      <c r="AH190" s="51">
        <f t="shared" si="13"/>
        <v>8.0064110130730615E-2</v>
      </c>
      <c r="AI190" s="17">
        <f>8295800*0.55</f>
        <v>4562690</v>
      </c>
      <c r="AJ190" s="17">
        <f>8295800*0.45</f>
        <v>3733110</v>
      </c>
      <c r="AK190" s="17">
        <v>2371400</v>
      </c>
      <c r="AL190" s="17">
        <f>+AJ190+AK190</f>
        <v>6104510</v>
      </c>
      <c r="AM190" s="17">
        <f>+AL190+AI190</f>
        <v>10667200</v>
      </c>
      <c r="AN190" s="17">
        <v>1228300</v>
      </c>
      <c r="BG190" s="15"/>
      <c r="BL190" s="15" t="s">
        <v>424</v>
      </c>
      <c r="BM190" s="17"/>
      <c r="BN190" s="17">
        <f>0.157*(Z190+AA190)</f>
        <v>84879.224000000002</v>
      </c>
      <c r="BO190" s="17"/>
      <c r="BP190" s="17"/>
      <c r="BQ190" s="17"/>
      <c r="BS190" s="49" t="s">
        <v>1589</v>
      </c>
      <c r="BW190" s="17"/>
    </row>
    <row r="191" spans="1:75" hidden="1" x14ac:dyDescent="0.25">
      <c r="A191" s="15" t="s">
        <v>418</v>
      </c>
      <c r="B191" s="15" t="s">
        <v>30</v>
      </c>
      <c r="C191" s="15">
        <v>2015</v>
      </c>
      <c r="D191" s="15" t="s">
        <v>419</v>
      </c>
      <c r="E191" s="15">
        <v>47460</v>
      </c>
      <c r="F191" s="15">
        <v>36264604</v>
      </c>
      <c r="G191" s="15" t="s">
        <v>109</v>
      </c>
      <c r="H191" s="15" t="s">
        <v>300</v>
      </c>
      <c r="I191" s="15" t="s">
        <v>420</v>
      </c>
      <c r="J191" s="15" t="s">
        <v>1588</v>
      </c>
      <c r="K191" s="15" t="s">
        <v>46</v>
      </c>
      <c r="L191" s="15" t="s">
        <v>421</v>
      </c>
      <c r="M191" s="15" t="s">
        <v>422</v>
      </c>
      <c r="N191" s="15" t="s">
        <v>1084</v>
      </c>
      <c r="O191" s="15"/>
      <c r="P191" s="15"/>
      <c r="Q191" s="15"/>
      <c r="R191" s="15"/>
      <c r="S191" s="15"/>
      <c r="T191" s="15"/>
      <c r="U191" s="15"/>
      <c r="V191" s="15"/>
      <c r="W191" s="15"/>
      <c r="X191" s="15"/>
      <c r="Y191" s="17">
        <v>632460</v>
      </c>
      <c r="Z191" s="17">
        <f>1143630-Y191</f>
        <v>511170</v>
      </c>
      <c r="AA191" s="17">
        <f>14284+7131</f>
        <v>21415</v>
      </c>
      <c r="AB191" s="17">
        <f>+Z191+AA191</f>
        <v>532585</v>
      </c>
      <c r="AC191" s="17">
        <f>+Y191+AB191</f>
        <v>1165045</v>
      </c>
      <c r="AD191" s="17">
        <v>2933</v>
      </c>
      <c r="AE191" s="51">
        <f t="shared" si="10"/>
        <v>17.440146320086662</v>
      </c>
      <c r="AF191" s="51">
        <f t="shared" si="11"/>
        <v>14.686083432759943</v>
      </c>
      <c r="AG191" s="51">
        <f t="shared" si="12"/>
        <v>32.126229752846605</v>
      </c>
      <c r="AH191" s="51">
        <f t="shared" si="13"/>
        <v>8.087776168740185E-2</v>
      </c>
      <c r="AI191" s="17">
        <f>8168000*0.553</f>
        <v>4516904</v>
      </c>
      <c r="AJ191" s="17">
        <f>8168000*(1-0.553)</f>
        <v>3651095.9999999995</v>
      </c>
      <c r="AK191" s="17">
        <v>2292900</v>
      </c>
      <c r="AL191" s="17">
        <f>+AK191+AJ191</f>
        <v>5943996</v>
      </c>
      <c r="AM191" s="17">
        <f>+AI191+AL191</f>
        <v>10460900</v>
      </c>
      <c r="AN191" s="17">
        <v>1130000</v>
      </c>
      <c r="BG191" s="15"/>
      <c r="BL191" s="15" t="s">
        <v>424</v>
      </c>
      <c r="BM191" s="17"/>
      <c r="BN191" s="17">
        <f>0.157*(Z191+AA191)</f>
        <v>83615.845000000001</v>
      </c>
      <c r="BO191" s="17"/>
      <c r="BP191" s="17"/>
      <c r="BQ191" s="17"/>
      <c r="BS191" s="49" t="s">
        <v>1589</v>
      </c>
      <c r="BW191" s="17"/>
    </row>
    <row r="192" spans="1:75" hidden="1" x14ac:dyDescent="0.25">
      <c r="A192" s="15" t="s">
        <v>418</v>
      </c>
      <c r="B192" s="15" t="s">
        <v>30</v>
      </c>
      <c r="C192" s="15">
        <v>2012</v>
      </c>
      <c r="D192" s="15" t="s">
        <v>419</v>
      </c>
      <c r="E192" s="15">
        <v>50900</v>
      </c>
      <c r="F192" s="15">
        <v>35832513</v>
      </c>
      <c r="G192" s="15" t="s">
        <v>109</v>
      </c>
      <c r="H192" s="15" t="s">
        <v>300</v>
      </c>
      <c r="I192" s="15" t="s">
        <v>420</v>
      </c>
      <c r="J192" s="15" t="s">
        <v>1588</v>
      </c>
      <c r="K192" s="15" t="s">
        <v>46</v>
      </c>
      <c r="L192" s="15" t="s">
        <v>421</v>
      </c>
      <c r="M192" s="15" t="s">
        <v>422</v>
      </c>
      <c r="N192" s="15" t="s">
        <v>1084</v>
      </c>
      <c r="O192" s="15"/>
      <c r="P192" s="15"/>
      <c r="Q192" s="15"/>
      <c r="R192" s="15"/>
      <c r="S192" s="15"/>
      <c r="T192" s="15"/>
      <c r="U192" s="15"/>
      <c r="V192" s="15"/>
      <c r="W192" s="15"/>
      <c r="X192" s="15"/>
      <c r="Y192" s="17">
        <v>610178</v>
      </c>
      <c r="Z192" s="17">
        <f>219771+138031+91026+28797</f>
        <v>477625</v>
      </c>
      <c r="AA192" s="17">
        <f>12619+5550</f>
        <v>18169</v>
      </c>
      <c r="AB192" s="17">
        <f>+Z192+AA192</f>
        <v>495794</v>
      </c>
      <c r="AC192" s="17">
        <f>+Y192+AB192</f>
        <v>1105972</v>
      </c>
      <c r="AD192" s="17">
        <v>1568</v>
      </c>
      <c r="AE192" s="51">
        <f t="shared" si="10"/>
        <v>17.028613092249486</v>
      </c>
      <c r="AF192" s="51">
        <f t="shared" si="11"/>
        <v>13.836428385583785</v>
      </c>
      <c r="AG192" s="51">
        <f t="shared" si="12"/>
        <v>30.865041477833273</v>
      </c>
      <c r="AH192" s="51">
        <f t="shared" si="13"/>
        <v>4.3759141313923472E-2</v>
      </c>
      <c r="AK192" s="17">
        <v>2247780</v>
      </c>
      <c r="AM192" s="17">
        <v>9993484</v>
      </c>
      <c r="AN192" s="17">
        <v>1121025</v>
      </c>
      <c r="BG192" s="15"/>
      <c r="BM192" s="17"/>
      <c r="BN192" s="17">
        <f>0.135*(Z192+AA192)</f>
        <v>66932.19</v>
      </c>
      <c r="BO192" s="17"/>
      <c r="BP192" s="17"/>
      <c r="BQ192" s="17"/>
      <c r="BS192" s="49" t="s">
        <v>1589</v>
      </c>
      <c r="BW192" s="17"/>
    </row>
    <row r="193" spans="1:75" hidden="1" x14ac:dyDescent="0.25">
      <c r="A193" s="15" t="s">
        <v>427</v>
      </c>
      <c r="B193" s="15" t="s">
        <v>30</v>
      </c>
      <c r="C193" s="15">
        <v>2015</v>
      </c>
      <c r="D193" s="15" t="s">
        <v>428</v>
      </c>
      <c r="E193" s="15">
        <v>14270</v>
      </c>
      <c r="F193" s="15">
        <v>17762681</v>
      </c>
      <c r="G193" s="15" t="s">
        <v>109</v>
      </c>
      <c r="H193" s="15" t="s">
        <v>110</v>
      </c>
      <c r="I193" s="15" t="s">
        <v>429</v>
      </c>
      <c r="J193" s="15" t="s">
        <v>430</v>
      </c>
      <c r="K193" s="15"/>
      <c r="L193" s="15"/>
      <c r="M193" s="15"/>
      <c r="N193" s="15"/>
      <c r="O193" s="15"/>
      <c r="P193" s="15"/>
      <c r="Q193" s="15"/>
      <c r="R193" s="15"/>
      <c r="S193" s="15"/>
      <c r="T193" s="15" t="s">
        <v>1590</v>
      </c>
      <c r="U193" s="15" t="s">
        <v>1596</v>
      </c>
      <c r="V193" s="15" t="s">
        <v>1602</v>
      </c>
      <c r="W193" s="15" t="s">
        <v>1608</v>
      </c>
      <c r="X193" s="15" t="s">
        <v>1614</v>
      </c>
      <c r="Y193" s="17">
        <v>683204</v>
      </c>
      <c r="Z193" s="17">
        <v>191507</v>
      </c>
      <c r="AA193" s="17">
        <v>28446</v>
      </c>
      <c r="AB193" s="17">
        <v>219953</v>
      </c>
      <c r="AC193" s="17">
        <v>903157</v>
      </c>
      <c r="AD193" s="17">
        <v>14172</v>
      </c>
      <c r="AE193" s="51">
        <f t="shared" si="10"/>
        <v>38.462887443624076</v>
      </c>
      <c r="AF193" s="51">
        <f t="shared" si="11"/>
        <v>12.382871707260858</v>
      </c>
      <c r="AG193" s="51">
        <f t="shared" si="12"/>
        <v>50.84575915088493</v>
      </c>
      <c r="AH193" s="51">
        <f t="shared" si="13"/>
        <v>0.79785253138307211</v>
      </c>
      <c r="AI193" s="17">
        <v>565267</v>
      </c>
      <c r="AJ193" s="17">
        <v>1799797</v>
      </c>
      <c r="AK193" s="17">
        <v>1453014</v>
      </c>
      <c r="AL193" s="17">
        <f t="shared" ref="AL193:AL198" si="14">+AK193+AJ193</f>
        <v>3252811</v>
      </c>
      <c r="AM193" s="17">
        <f t="shared" ref="AM193:AM198" si="15">+AL193+AI193</f>
        <v>3818078</v>
      </c>
      <c r="AN193" s="17">
        <v>4476986</v>
      </c>
      <c r="AO193" s="17">
        <v>385364587</v>
      </c>
      <c r="AU193" s="15" t="s">
        <v>430</v>
      </c>
      <c r="AV193" s="15" t="s">
        <v>430</v>
      </c>
      <c r="BG193" s="15"/>
      <c r="BM193" s="17"/>
      <c r="BN193" s="17"/>
      <c r="BO193" s="17"/>
      <c r="BP193" s="17"/>
      <c r="BQ193" s="17"/>
      <c r="BS193" s="15" t="s">
        <v>1615</v>
      </c>
      <c r="BW193" s="17"/>
    </row>
    <row r="194" spans="1:75" hidden="1" x14ac:dyDescent="0.25">
      <c r="A194" s="15" t="s">
        <v>427</v>
      </c>
      <c r="B194" s="15" t="s">
        <v>30</v>
      </c>
      <c r="C194" s="15">
        <v>2014</v>
      </c>
      <c r="D194" s="15" t="s">
        <v>428</v>
      </c>
      <c r="E194" s="15">
        <v>15140</v>
      </c>
      <c r="F194" s="15">
        <v>17613798</v>
      </c>
      <c r="G194" s="15" t="s">
        <v>109</v>
      </c>
      <c r="H194" s="15" t="s">
        <v>110</v>
      </c>
      <c r="I194" s="15" t="s">
        <v>429</v>
      </c>
      <c r="J194" s="15" t="s">
        <v>430</v>
      </c>
      <c r="K194" s="15"/>
      <c r="L194" s="15"/>
      <c r="M194" s="15"/>
      <c r="N194" s="15"/>
      <c r="O194" s="15"/>
      <c r="P194" s="15"/>
      <c r="Q194" s="15"/>
      <c r="R194" s="15"/>
      <c r="S194" s="15"/>
      <c r="T194" s="15" t="s">
        <v>1591</v>
      </c>
      <c r="U194" s="15" t="s">
        <v>1597</v>
      </c>
      <c r="V194" s="15" t="s">
        <v>1603</v>
      </c>
      <c r="W194" s="15" t="s">
        <v>1609</v>
      </c>
      <c r="X194" s="15" t="s">
        <v>1614</v>
      </c>
      <c r="Y194" s="17">
        <v>673026</v>
      </c>
      <c r="Z194" s="17">
        <v>186190</v>
      </c>
      <c r="AA194" s="17">
        <v>28037</v>
      </c>
      <c r="AB194" s="17">
        <v>214227</v>
      </c>
      <c r="AC194" s="17">
        <v>887253</v>
      </c>
      <c r="AD194" s="17">
        <v>14153</v>
      </c>
      <c r="AE194" s="51">
        <f t="shared" si="10"/>
        <v>38.210157741107281</v>
      </c>
      <c r="AF194" s="51">
        <f t="shared" si="11"/>
        <v>12.162453549200462</v>
      </c>
      <c r="AG194" s="51">
        <f t="shared" si="12"/>
        <v>50.372611290307745</v>
      </c>
      <c r="AH194" s="51">
        <f t="shared" si="13"/>
        <v>0.80351778758902537</v>
      </c>
      <c r="AI194" s="17">
        <v>565593</v>
      </c>
      <c r="AJ194" s="17">
        <v>1780340</v>
      </c>
      <c r="AK194" s="17">
        <v>1433060</v>
      </c>
      <c r="AL194" s="17">
        <f t="shared" si="14"/>
        <v>3213400</v>
      </c>
      <c r="AM194" s="17">
        <f t="shared" si="15"/>
        <v>3778993</v>
      </c>
      <c r="AN194" s="17">
        <v>4551409</v>
      </c>
      <c r="AO194" s="17">
        <v>375767737</v>
      </c>
      <c r="AU194" s="15" t="s">
        <v>430</v>
      </c>
      <c r="AV194" s="15" t="s">
        <v>430</v>
      </c>
      <c r="BG194" s="15"/>
      <c r="BM194" s="17"/>
      <c r="BN194" s="17"/>
      <c r="BO194" s="17"/>
      <c r="BP194" s="17"/>
      <c r="BQ194" s="17"/>
      <c r="BS194" s="15" t="s">
        <v>1615</v>
      </c>
      <c r="BW194" s="17"/>
    </row>
    <row r="195" spans="1:75" hidden="1" x14ac:dyDescent="0.25">
      <c r="A195" s="15" t="s">
        <v>427</v>
      </c>
      <c r="B195" s="15" t="s">
        <v>30</v>
      </c>
      <c r="C195" s="15">
        <v>2013</v>
      </c>
      <c r="D195" s="15" t="s">
        <v>428</v>
      </c>
      <c r="E195" s="15">
        <v>15360</v>
      </c>
      <c r="F195" s="15">
        <v>17462982</v>
      </c>
      <c r="G195" s="15" t="s">
        <v>109</v>
      </c>
      <c r="H195" s="15" t="s">
        <v>110</v>
      </c>
      <c r="I195" s="15" t="s">
        <v>429</v>
      </c>
      <c r="J195" s="15" t="s">
        <v>430</v>
      </c>
      <c r="K195" s="15"/>
      <c r="L195" s="15"/>
      <c r="M195" s="15"/>
      <c r="N195" s="15"/>
      <c r="O195" s="15"/>
      <c r="P195" s="15"/>
      <c r="Q195" s="15"/>
      <c r="R195" s="15"/>
      <c r="S195" s="15"/>
      <c r="T195" s="15" t="s">
        <v>1592</v>
      </c>
      <c r="U195" s="15" t="s">
        <v>1598</v>
      </c>
      <c r="V195" s="15" t="s">
        <v>1604</v>
      </c>
      <c r="W195" s="15" t="s">
        <v>1610</v>
      </c>
      <c r="X195" s="15" t="s">
        <v>1614</v>
      </c>
      <c r="Y195" s="17">
        <v>651383</v>
      </c>
      <c r="Z195" s="17">
        <v>181231</v>
      </c>
      <c r="AA195" s="17">
        <v>27127</v>
      </c>
      <c r="AB195" s="17">
        <v>208358</v>
      </c>
      <c r="AC195" s="17">
        <v>859741</v>
      </c>
      <c r="AD195" s="17">
        <v>13415</v>
      </c>
      <c r="AE195" s="51">
        <f t="shared" ref="AE195:AE204" si="16">IF(ISERROR((Y195/$F195)*1000),"",IF((Y195/$F195)*1000=0,"",(Y195/$F195)*1000))</f>
        <v>37.300788605290897</v>
      </c>
      <c r="AF195" s="51">
        <f t="shared" ref="AF195:AF204" si="17">IF(ISERROR((AB195/$F195)*1000),"",IF((AB195/$F195)*1000=0,"",(AB195/$F195)*1000))</f>
        <v>11.931410110827578</v>
      </c>
      <c r="AG195" s="51">
        <f t="shared" ref="AG195:AG204" si="18">IF(ISERROR((AC195/$F195)*1000),"",IF((AC195/$F195)*1000=0,"",(AC195/$F195)*1000))</f>
        <v>49.232198716118475</v>
      </c>
      <c r="AH195" s="51">
        <f t="shared" ref="AH195:AH204" si="19">IF(ISERROR((AD195/$F195)*1000),"",IF((AD195/$F195)*1000=0,"",(AD195/$F195)*1000))</f>
        <v>0.76819640540200973</v>
      </c>
      <c r="AI195" s="17">
        <v>546677</v>
      </c>
      <c r="AJ195" s="17">
        <v>1755111</v>
      </c>
      <c r="AK195" s="17">
        <v>1433324</v>
      </c>
      <c r="AL195" s="17">
        <f t="shared" si="14"/>
        <v>3188435</v>
      </c>
      <c r="AM195" s="17">
        <f t="shared" si="15"/>
        <v>3735112</v>
      </c>
      <c r="AN195" s="17">
        <v>4511036</v>
      </c>
      <c r="AO195" s="17">
        <v>365573567</v>
      </c>
      <c r="AU195" s="15" t="s">
        <v>430</v>
      </c>
      <c r="AV195" s="15" t="s">
        <v>430</v>
      </c>
      <c r="BG195" s="15"/>
      <c r="BM195" s="17"/>
      <c r="BN195" s="17"/>
      <c r="BO195" s="17"/>
      <c r="BP195" s="17"/>
      <c r="BQ195" s="17"/>
      <c r="BS195" s="15" t="s">
        <v>1615</v>
      </c>
      <c r="BW195" s="17"/>
    </row>
    <row r="196" spans="1:75" hidden="1" x14ac:dyDescent="0.25">
      <c r="A196" s="15" t="s">
        <v>427</v>
      </c>
      <c r="B196" s="15" t="s">
        <v>30</v>
      </c>
      <c r="C196" s="15">
        <v>2012</v>
      </c>
      <c r="D196" s="15" t="s">
        <v>428</v>
      </c>
      <c r="E196" s="15">
        <v>14410</v>
      </c>
      <c r="F196" s="15">
        <v>17309746</v>
      </c>
      <c r="G196" s="15" t="s">
        <v>109</v>
      </c>
      <c r="H196" s="15" t="s">
        <v>110</v>
      </c>
      <c r="I196" s="15" t="s">
        <v>429</v>
      </c>
      <c r="J196" s="15" t="s">
        <v>430</v>
      </c>
      <c r="K196" s="15"/>
      <c r="L196" s="15"/>
      <c r="M196" s="15"/>
      <c r="N196" s="15"/>
      <c r="O196" s="15"/>
      <c r="P196" s="15"/>
      <c r="Q196" s="15"/>
      <c r="R196" s="15"/>
      <c r="S196" s="15"/>
      <c r="T196" s="15" t="s">
        <v>1593</v>
      </c>
      <c r="U196" s="15" t="s">
        <v>1599</v>
      </c>
      <c r="V196" s="15" t="s">
        <v>1605</v>
      </c>
      <c r="W196" s="15" t="s">
        <v>1611</v>
      </c>
      <c r="X196" s="15" t="s">
        <v>1614</v>
      </c>
      <c r="Y196" s="17">
        <v>640841</v>
      </c>
      <c r="Z196" s="17">
        <v>172413</v>
      </c>
      <c r="AA196" s="17">
        <v>25937</v>
      </c>
      <c r="AB196" s="17">
        <v>198350</v>
      </c>
      <c r="AC196" s="17">
        <v>839191</v>
      </c>
      <c r="AD196" s="17">
        <v>12826</v>
      </c>
      <c r="AE196" s="51">
        <f t="shared" si="16"/>
        <v>37.021975943494489</v>
      </c>
      <c r="AF196" s="51">
        <f t="shared" si="17"/>
        <v>11.458862539057476</v>
      </c>
      <c r="AG196" s="51">
        <f t="shared" si="18"/>
        <v>48.480838482551967</v>
      </c>
      <c r="AH196" s="51">
        <f t="shared" si="19"/>
        <v>0.74096985594127152</v>
      </c>
      <c r="AI196" s="17">
        <v>552285</v>
      </c>
      <c r="AJ196" s="17">
        <v>1734076</v>
      </c>
      <c r="AK196" s="17">
        <v>1465784</v>
      </c>
      <c r="AL196" s="17">
        <f t="shared" si="14"/>
        <v>3199860</v>
      </c>
      <c r="AM196" s="17">
        <f t="shared" si="15"/>
        <v>3752145</v>
      </c>
      <c r="AN196" s="17">
        <v>4383548</v>
      </c>
      <c r="AO196" s="17">
        <v>353086419</v>
      </c>
      <c r="AU196" s="15" t="s">
        <v>430</v>
      </c>
      <c r="AV196" s="15" t="s">
        <v>430</v>
      </c>
      <c r="BG196" s="15"/>
      <c r="BM196" s="17"/>
      <c r="BN196" s="17"/>
      <c r="BO196" s="17"/>
      <c r="BP196" s="17"/>
      <c r="BQ196" s="17"/>
      <c r="BS196" s="15" t="s">
        <v>1615</v>
      </c>
      <c r="BW196" s="17"/>
    </row>
    <row r="197" spans="1:75" hidden="1" x14ac:dyDescent="0.25">
      <c r="A197" s="15" t="s">
        <v>427</v>
      </c>
      <c r="B197" s="15" t="s">
        <v>30</v>
      </c>
      <c r="C197" s="15">
        <v>2011</v>
      </c>
      <c r="D197" s="15" t="s">
        <v>428</v>
      </c>
      <c r="E197" s="15">
        <v>12380</v>
      </c>
      <c r="F197" s="15">
        <v>17153357</v>
      </c>
      <c r="G197" s="15" t="s">
        <v>109</v>
      </c>
      <c r="H197" s="15" t="s">
        <v>110</v>
      </c>
      <c r="I197" s="15" t="s">
        <v>429</v>
      </c>
      <c r="J197" s="15" t="s">
        <v>430</v>
      </c>
      <c r="K197" s="15"/>
      <c r="L197" s="15"/>
      <c r="M197" s="15"/>
      <c r="N197" s="15"/>
      <c r="O197" s="15"/>
      <c r="P197" s="15"/>
      <c r="Q197" s="15"/>
      <c r="R197" s="15"/>
      <c r="S197" s="15"/>
      <c r="T197" s="15" t="s">
        <v>1594</v>
      </c>
      <c r="U197" s="15" t="s">
        <v>1600</v>
      </c>
      <c r="V197" s="15" t="s">
        <v>1606</v>
      </c>
      <c r="W197" s="15" t="s">
        <v>1612</v>
      </c>
      <c r="X197" s="15" t="s">
        <v>1614</v>
      </c>
      <c r="Y197" s="17">
        <v>629221</v>
      </c>
      <c r="Z197" s="17">
        <v>161624</v>
      </c>
      <c r="AA197" s="17">
        <v>24035</v>
      </c>
      <c r="AB197" s="17">
        <v>185659</v>
      </c>
      <c r="AC197" s="17">
        <v>814880</v>
      </c>
      <c r="AD197" s="17">
        <v>12158</v>
      </c>
      <c r="AE197" s="51">
        <f t="shared" si="16"/>
        <v>36.682090858366678</v>
      </c>
      <c r="AF197" s="51">
        <f t="shared" si="17"/>
        <v>10.823479042615391</v>
      </c>
      <c r="AG197" s="51">
        <f t="shared" si="18"/>
        <v>47.505569900982067</v>
      </c>
      <c r="AH197" s="51">
        <f t="shared" si="19"/>
        <v>0.70878254326543777</v>
      </c>
      <c r="AI197" s="17">
        <v>534532</v>
      </c>
      <c r="AJ197" s="17">
        <v>1669656</v>
      </c>
      <c r="AK197" s="17">
        <v>1425879</v>
      </c>
      <c r="AL197" s="17">
        <f t="shared" si="14"/>
        <v>3095535</v>
      </c>
      <c r="AM197" s="17">
        <f t="shared" si="15"/>
        <v>3630067</v>
      </c>
      <c r="AN197" s="17">
        <v>4105713</v>
      </c>
      <c r="AO197" s="17">
        <v>338640532</v>
      </c>
      <c r="AU197" s="15" t="s">
        <v>430</v>
      </c>
      <c r="AV197" s="15" t="s">
        <v>430</v>
      </c>
      <c r="BG197" s="15"/>
      <c r="BM197" s="17"/>
      <c r="BN197" s="17"/>
      <c r="BO197" s="17"/>
      <c r="BP197" s="17"/>
      <c r="BQ197" s="17"/>
      <c r="BS197" s="15" t="s">
        <v>1615</v>
      </c>
      <c r="BW197" s="17"/>
    </row>
    <row r="198" spans="1:75" hidden="1" x14ac:dyDescent="0.25">
      <c r="A198" s="15" t="s">
        <v>427</v>
      </c>
      <c r="B198" s="15" t="s">
        <v>30</v>
      </c>
      <c r="C198" s="15">
        <v>2010</v>
      </c>
      <c r="D198" s="15" t="s">
        <v>428</v>
      </c>
      <c r="E198" s="15">
        <v>10780</v>
      </c>
      <c r="F198" s="15">
        <v>16993354</v>
      </c>
      <c r="G198" s="15" t="s">
        <v>109</v>
      </c>
      <c r="H198" s="15" t="s">
        <v>110</v>
      </c>
      <c r="I198" s="15" t="s">
        <v>429</v>
      </c>
      <c r="J198" s="15" t="s">
        <v>430</v>
      </c>
      <c r="K198" s="15"/>
      <c r="L198" s="15"/>
      <c r="M198" s="15"/>
      <c r="N198" s="15"/>
      <c r="O198" s="15"/>
      <c r="P198" s="15"/>
      <c r="Q198" s="15"/>
      <c r="R198" s="15"/>
      <c r="S198" s="15"/>
      <c r="T198" s="15" t="s">
        <v>1595</v>
      </c>
      <c r="U198" s="15" t="s">
        <v>1601</v>
      </c>
      <c r="V198" s="15" t="s">
        <v>1607</v>
      </c>
      <c r="W198" s="15" t="s">
        <v>1613</v>
      </c>
      <c r="X198" s="15" t="s">
        <v>1614</v>
      </c>
      <c r="Y198" s="17">
        <v>618964</v>
      </c>
      <c r="Z198" s="17">
        <v>149541</v>
      </c>
      <c r="AA198" s="17">
        <v>22218</v>
      </c>
      <c r="AB198" s="17">
        <v>171759</v>
      </c>
      <c r="AC198" s="17">
        <v>790723</v>
      </c>
      <c r="AD198" s="17">
        <v>11221</v>
      </c>
      <c r="AE198" s="51">
        <f t="shared" si="16"/>
        <v>36.423886655924427</v>
      </c>
      <c r="AF198" s="51">
        <f t="shared" si="17"/>
        <v>10.107421995681371</v>
      </c>
      <c r="AG198" s="51">
        <f t="shared" si="18"/>
        <v>46.531308651605798</v>
      </c>
      <c r="AH198" s="51">
        <f t="shared" si="19"/>
        <v>0.66031696862196831</v>
      </c>
      <c r="AI198" s="17">
        <v>618964</v>
      </c>
      <c r="AJ198" s="17">
        <v>1598723</v>
      </c>
      <c r="AK198" s="17">
        <v>1291864</v>
      </c>
      <c r="AL198" s="17">
        <f t="shared" si="14"/>
        <v>2890587</v>
      </c>
      <c r="AM198" s="17">
        <f t="shared" si="15"/>
        <v>3509551</v>
      </c>
      <c r="AN198" s="17">
        <v>3630099</v>
      </c>
      <c r="AO198" s="17">
        <v>324226947</v>
      </c>
      <c r="AU198" s="15" t="s">
        <v>430</v>
      </c>
      <c r="AV198" s="15" t="s">
        <v>430</v>
      </c>
      <c r="BG198" s="15"/>
      <c r="BM198" s="17"/>
      <c r="BN198" s="17"/>
      <c r="BO198" s="17"/>
      <c r="BP198" s="17"/>
      <c r="BQ198" s="17"/>
      <c r="BS198" s="15" t="s">
        <v>1615</v>
      </c>
      <c r="BW198" s="17"/>
    </row>
    <row r="199" spans="1:75" hidden="1" x14ac:dyDescent="0.25">
      <c r="A199" s="15" t="s">
        <v>427</v>
      </c>
      <c r="B199" s="15" t="s">
        <v>52</v>
      </c>
      <c r="C199" s="15">
        <v>2015</v>
      </c>
      <c r="D199" s="15" t="s">
        <v>428</v>
      </c>
      <c r="E199" s="15">
        <v>14270</v>
      </c>
      <c r="F199" s="15">
        <v>17762681</v>
      </c>
      <c r="G199" s="15" t="s">
        <v>109</v>
      </c>
      <c r="H199" s="15" t="s">
        <v>110</v>
      </c>
      <c r="I199" s="15" t="s">
        <v>431</v>
      </c>
      <c r="J199" s="15" t="s">
        <v>432</v>
      </c>
      <c r="K199" s="15"/>
      <c r="L199" s="15"/>
      <c r="M199" s="15"/>
      <c r="N199" s="15"/>
      <c r="O199" s="15"/>
      <c r="P199" s="15"/>
      <c r="Q199" s="15"/>
      <c r="R199" s="15"/>
      <c r="S199" s="15"/>
      <c r="T199" s="15" t="s">
        <v>1590</v>
      </c>
      <c r="U199" s="15" t="s">
        <v>1596</v>
      </c>
      <c r="V199" s="15" t="s">
        <v>1602</v>
      </c>
      <c r="W199" s="15" t="s">
        <v>1608</v>
      </c>
      <c r="X199" s="15" t="s">
        <v>1614</v>
      </c>
      <c r="Y199" s="17">
        <v>683204</v>
      </c>
      <c r="Z199" s="17">
        <v>191507</v>
      </c>
      <c r="AA199" s="17">
        <v>28446</v>
      </c>
      <c r="AB199" s="17">
        <f>+Z199+AA199</f>
        <v>219953</v>
      </c>
      <c r="AC199" s="17">
        <f>+AB199+Y199</f>
        <v>903157</v>
      </c>
      <c r="AD199" s="17">
        <v>14172</v>
      </c>
      <c r="AE199" s="51">
        <f t="shared" si="16"/>
        <v>38.462887443624076</v>
      </c>
      <c r="AF199" s="51">
        <f t="shared" si="17"/>
        <v>12.382871707260858</v>
      </c>
      <c r="AG199" s="51">
        <f t="shared" si="18"/>
        <v>50.84575915088493</v>
      </c>
      <c r="AH199" s="51">
        <f t="shared" si="19"/>
        <v>0.79785253138307211</v>
      </c>
      <c r="BE199" s="16">
        <v>15763000000000</v>
      </c>
      <c r="BF199" s="42">
        <v>0.18</v>
      </c>
      <c r="BK199" s="21">
        <v>5.8999999999999997E-2</v>
      </c>
      <c r="BM199" s="17"/>
      <c r="BN199" s="17"/>
      <c r="BO199" s="17"/>
      <c r="BP199" s="17"/>
      <c r="BQ199" s="17"/>
      <c r="BS199" s="15" t="s">
        <v>1615</v>
      </c>
      <c r="BW199" s="17"/>
    </row>
    <row r="200" spans="1:75" hidden="1" x14ac:dyDescent="0.25">
      <c r="A200" s="15" t="s">
        <v>427</v>
      </c>
      <c r="B200" s="15" t="s">
        <v>52</v>
      </c>
      <c r="C200" s="15">
        <v>2014</v>
      </c>
      <c r="D200" s="15" t="s">
        <v>428</v>
      </c>
      <c r="E200" s="15">
        <v>15140</v>
      </c>
      <c r="F200" s="15">
        <v>17613798</v>
      </c>
      <c r="G200" s="15" t="s">
        <v>109</v>
      </c>
      <c r="H200" s="15" t="s">
        <v>110</v>
      </c>
      <c r="I200" s="15" t="s">
        <v>431</v>
      </c>
      <c r="J200" s="15" t="s">
        <v>432</v>
      </c>
      <c r="K200" s="15"/>
      <c r="L200" s="15"/>
      <c r="M200" s="15"/>
      <c r="N200" s="15"/>
      <c r="O200" s="15"/>
      <c r="P200" s="15"/>
      <c r="Q200" s="15"/>
      <c r="R200" s="15"/>
      <c r="S200" s="15"/>
      <c r="T200" s="15" t="s">
        <v>1591</v>
      </c>
      <c r="U200" s="15" t="s">
        <v>1597</v>
      </c>
      <c r="V200" s="15" t="s">
        <v>1603</v>
      </c>
      <c r="W200" s="15" t="s">
        <v>1609</v>
      </c>
      <c r="X200" s="15" t="s">
        <v>1614</v>
      </c>
      <c r="AE200" s="51" t="str">
        <f t="shared" si="16"/>
        <v/>
      </c>
      <c r="AF200" s="51" t="str">
        <f t="shared" si="17"/>
        <v/>
      </c>
      <c r="AG200" s="51" t="str">
        <f t="shared" si="18"/>
        <v/>
      </c>
      <c r="AH200" s="51" t="str">
        <f t="shared" si="19"/>
        <v/>
      </c>
      <c r="BE200" s="16">
        <v>13745000000000</v>
      </c>
      <c r="BF200" s="42">
        <v>0.16900000000000001</v>
      </c>
      <c r="BK200" s="21">
        <v>6.0999999999999999E-2</v>
      </c>
      <c r="BM200" s="17"/>
      <c r="BN200" s="17"/>
      <c r="BO200" s="17"/>
      <c r="BP200" s="17"/>
      <c r="BQ200" s="17"/>
      <c r="BS200" s="15" t="s">
        <v>1615</v>
      </c>
      <c r="BW200" s="17"/>
    </row>
    <row r="201" spans="1:75" hidden="1" x14ac:dyDescent="0.25">
      <c r="A201" s="15" t="s">
        <v>427</v>
      </c>
      <c r="B201" s="15" t="s">
        <v>52</v>
      </c>
      <c r="C201" s="15">
        <v>2013</v>
      </c>
      <c r="D201" s="15" t="s">
        <v>428</v>
      </c>
      <c r="E201" s="15">
        <v>15360</v>
      </c>
      <c r="F201" s="15">
        <v>17462982</v>
      </c>
      <c r="G201" s="15" t="s">
        <v>109</v>
      </c>
      <c r="H201" s="15" t="s">
        <v>110</v>
      </c>
      <c r="I201" s="15" t="s">
        <v>431</v>
      </c>
      <c r="J201" s="15" t="s">
        <v>432</v>
      </c>
      <c r="K201" s="15"/>
      <c r="L201" s="15"/>
      <c r="M201" s="15"/>
      <c r="N201" s="15"/>
      <c r="O201" s="15"/>
      <c r="P201" s="15"/>
      <c r="Q201" s="15"/>
      <c r="R201" s="15"/>
      <c r="S201" s="15"/>
      <c r="T201" s="15" t="s">
        <v>1592</v>
      </c>
      <c r="U201" s="15" t="s">
        <v>1598</v>
      </c>
      <c r="V201" s="15" t="s">
        <v>1604</v>
      </c>
      <c r="W201" s="15" t="s">
        <v>1610</v>
      </c>
      <c r="X201" s="15" t="s">
        <v>1614</v>
      </c>
      <c r="AE201" s="51" t="str">
        <f t="shared" si="16"/>
        <v/>
      </c>
      <c r="AF201" s="51" t="str">
        <f t="shared" si="17"/>
        <v/>
      </c>
      <c r="AG201" s="51" t="str">
        <f t="shared" si="18"/>
        <v/>
      </c>
      <c r="AH201" s="51" t="str">
        <f t="shared" si="19"/>
        <v/>
      </c>
      <c r="BE201" s="16">
        <v>11775000000000</v>
      </c>
      <c r="BF201" s="42">
        <v>0.17899999999999999</v>
      </c>
      <c r="BK201" s="21">
        <v>6.0999999999999999E-2</v>
      </c>
      <c r="BM201" s="17"/>
      <c r="BN201" s="17"/>
      <c r="BO201" s="17"/>
      <c r="BP201" s="17"/>
      <c r="BQ201" s="17"/>
      <c r="BS201" s="15" t="s">
        <v>1615</v>
      </c>
      <c r="BW201" s="17"/>
    </row>
    <row r="202" spans="1:75" hidden="1" x14ac:dyDescent="0.25">
      <c r="A202" s="15" t="s">
        <v>427</v>
      </c>
      <c r="B202" s="15" t="s">
        <v>52</v>
      </c>
      <c r="C202" s="15">
        <v>2012</v>
      </c>
      <c r="D202" s="15" t="s">
        <v>428</v>
      </c>
      <c r="E202" s="15">
        <v>14410</v>
      </c>
      <c r="F202" s="15">
        <v>17309746</v>
      </c>
      <c r="G202" s="15" t="s">
        <v>109</v>
      </c>
      <c r="H202" s="15" t="s">
        <v>110</v>
      </c>
      <c r="I202" s="15" t="s">
        <v>431</v>
      </c>
      <c r="J202" s="15" t="s">
        <v>432</v>
      </c>
      <c r="K202" s="15"/>
      <c r="L202" s="15"/>
      <c r="M202" s="15"/>
      <c r="N202" s="15"/>
      <c r="O202" s="15"/>
      <c r="P202" s="15"/>
      <c r="Q202" s="15"/>
      <c r="R202" s="15"/>
      <c r="S202" s="15"/>
      <c r="T202" s="15" t="s">
        <v>1593</v>
      </c>
      <c r="U202" s="15" t="s">
        <v>1599</v>
      </c>
      <c r="V202" s="15" t="s">
        <v>1605</v>
      </c>
      <c r="W202" s="15" t="s">
        <v>1611</v>
      </c>
      <c r="X202" s="15" t="s">
        <v>1614</v>
      </c>
      <c r="AE202" s="51" t="str">
        <f t="shared" si="16"/>
        <v/>
      </c>
      <c r="AF202" s="51" t="str">
        <f t="shared" si="17"/>
        <v/>
      </c>
      <c r="AG202" s="51" t="str">
        <f t="shared" si="18"/>
        <v/>
      </c>
      <c r="AH202" s="51" t="str">
        <f t="shared" si="19"/>
        <v/>
      </c>
      <c r="BE202" s="16">
        <v>11542000000000</v>
      </c>
      <c r="BF202" s="42">
        <v>0.17699999999999999</v>
      </c>
      <c r="BK202" s="21">
        <v>5.3999999999999999E-2</v>
      </c>
      <c r="BM202" s="17"/>
      <c r="BN202" s="17"/>
      <c r="BO202" s="17"/>
      <c r="BP202" s="17"/>
      <c r="BQ202" s="17"/>
      <c r="BS202" s="15" t="s">
        <v>1615</v>
      </c>
      <c r="BW202" s="17"/>
    </row>
    <row r="203" spans="1:75" hidden="1" x14ac:dyDescent="0.25">
      <c r="A203" s="15" t="s">
        <v>427</v>
      </c>
      <c r="B203" s="15" t="s">
        <v>52</v>
      </c>
      <c r="C203" s="15">
        <v>2011</v>
      </c>
      <c r="D203" s="15" t="s">
        <v>428</v>
      </c>
      <c r="E203" s="15">
        <v>12380</v>
      </c>
      <c r="F203" s="15">
        <v>17153357</v>
      </c>
      <c r="G203" s="15" t="s">
        <v>109</v>
      </c>
      <c r="H203" s="15" t="s">
        <v>110</v>
      </c>
      <c r="I203" s="15" t="s">
        <v>431</v>
      </c>
      <c r="J203" s="15" t="s">
        <v>432</v>
      </c>
      <c r="K203" s="15"/>
      <c r="L203" s="15"/>
      <c r="M203" s="15"/>
      <c r="N203" s="15"/>
      <c r="O203" s="15"/>
      <c r="P203" s="15"/>
      <c r="Q203" s="15"/>
      <c r="R203" s="15"/>
      <c r="S203" s="15"/>
      <c r="T203" s="15" t="s">
        <v>1594</v>
      </c>
      <c r="U203" s="15" t="s">
        <v>1600</v>
      </c>
      <c r="V203" s="15" t="s">
        <v>1606</v>
      </c>
      <c r="W203" s="15" t="s">
        <v>1612</v>
      </c>
      <c r="X203" s="15" t="s">
        <v>1614</v>
      </c>
      <c r="AE203" s="51" t="str">
        <f t="shared" si="16"/>
        <v/>
      </c>
      <c r="AF203" s="51" t="str">
        <f t="shared" si="17"/>
        <v/>
      </c>
      <c r="AG203" s="51" t="str">
        <f t="shared" si="18"/>
        <v/>
      </c>
      <c r="AH203" s="51" t="str">
        <f t="shared" si="19"/>
        <v/>
      </c>
      <c r="BE203" s="16">
        <v>10139000000000</v>
      </c>
      <c r="BF203" s="42">
        <v>0.193</v>
      </c>
      <c r="BK203" s="21">
        <v>5.5E-2</v>
      </c>
      <c r="BM203" s="17"/>
      <c r="BN203" s="17"/>
      <c r="BO203" s="17"/>
      <c r="BP203" s="17"/>
      <c r="BQ203" s="17"/>
      <c r="BS203" s="15" t="s">
        <v>1615</v>
      </c>
      <c r="BW203" s="17"/>
    </row>
    <row r="204" spans="1:75" hidden="1" x14ac:dyDescent="0.25">
      <c r="A204" s="15" t="s">
        <v>427</v>
      </c>
      <c r="B204" s="15" t="s">
        <v>52</v>
      </c>
      <c r="C204" s="15">
        <v>2010</v>
      </c>
      <c r="D204" s="15" t="s">
        <v>428</v>
      </c>
      <c r="E204" s="15">
        <v>10780</v>
      </c>
      <c r="F204" s="15">
        <v>16993354</v>
      </c>
      <c r="G204" s="15" t="s">
        <v>109</v>
      </c>
      <c r="H204" s="15" t="s">
        <v>110</v>
      </c>
      <c r="I204" s="15" t="s">
        <v>431</v>
      </c>
      <c r="J204" s="15" t="s">
        <v>432</v>
      </c>
      <c r="K204" s="15"/>
      <c r="L204" s="15"/>
      <c r="M204" s="15"/>
      <c r="N204" s="15"/>
      <c r="O204" s="15"/>
      <c r="P204" s="15"/>
      <c r="Q204" s="15"/>
      <c r="R204" s="15"/>
      <c r="S204" s="15"/>
      <c r="T204" s="15" t="s">
        <v>1595</v>
      </c>
      <c r="U204" s="15" t="s">
        <v>1601</v>
      </c>
      <c r="V204" s="15" t="s">
        <v>1607</v>
      </c>
      <c r="W204" s="15" t="s">
        <v>1613</v>
      </c>
      <c r="X204" s="15" t="s">
        <v>1614</v>
      </c>
      <c r="AE204" s="51" t="str">
        <f t="shared" si="16"/>
        <v/>
      </c>
      <c r="AF204" s="51" t="str">
        <f t="shared" si="17"/>
        <v/>
      </c>
      <c r="AG204" s="51" t="str">
        <f t="shared" si="18"/>
        <v/>
      </c>
      <c r="AH204" s="51" t="str">
        <f t="shared" si="19"/>
        <v/>
      </c>
      <c r="BE204" s="16">
        <v>9268000000000</v>
      </c>
      <c r="BF204" s="42">
        <v>0.17499999999999999</v>
      </c>
      <c r="BK204" s="21">
        <v>6.0999999999999999E-2</v>
      </c>
      <c r="BM204" s="17"/>
      <c r="BN204" s="17"/>
      <c r="BO204" s="17"/>
      <c r="BP204" s="17"/>
      <c r="BQ204" s="17"/>
      <c r="BS204" s="15" t="s">
        <v>1615</v>
      </c>
      <c r="BW204" s="17"/>
    </row>
    <row r="205" spans="1:75" hidden="1" x14ac:dyDescent="0.25">
      <c r="A205" s="15" t="s">
        <v>433</v>
      </c>
      <c r="B205" s="15" t="s">
        <v>30</v>
      </c>
      <c r="C205" s="15">
        <v>2017</v>
      </c>
      <c r="D205" s="15" t="s">
        <v>434</v>
      </c>
      <c r="E205" s="17">
        <v>8690</v>
      </c>
      <c r="F205" s="17">
        <v>1386395000</v>
      </c>
      <c r="G205" s="15" t="s">
        <v>42</v>
      </c>
      <c r="H205" s="15" t="s">
        <v>77</v>
      </c>
      <c r="I205" s="15" t="s">
        <v>1880</v>
      </c>
      <c r="J205" s="15" t="s">
        <v>1878</v>
      </c>
      <c r="K205" s="15" t="s">
        <v>435</v>
      </c>
      <c r="L205" s="15" t="s">
        <v>436</v>
      </c>
      <c r="M205" s="15" t="s">
        <v>437</v>
      </c>
      <c r="N205" s="15" t="s">
        <v>438</v>
      </c>
      <c r="O205" s="15" t="s">
        <v>439</v>
      </c>
      <c r="P205" s="15" t="s">
        <v>440</v>
      </c>
      <c r="Q205" s="15" t="s">
        <v>441</v>
      </c>
      <c r="R205" s="15" t="s">
        <v>442</v>
      </c>
      <c r="S205" s="15" t="s">
        <v>434</v>
      </c>
      <c r="T205" s="15" t="s">
        <v>443</v>
      </c>
      <c r="U205" s="15" t="s">
        <v>444</v>
      </c>
      <c r="V205" s="15" t="s">
        <v>445</v>
      </c>
      <c r="W205" s="15" t="s">
        <v>446</v>
      </c>
      <c r="X205" s="15" t="s">
        <v>447</v>
      </c>
      <c r="Y205" s="15"/>
      <c r="Z205" s="15"/>
      <c r="AA205" s="15"/>
      <c r="AB205" s="15"/>
      <c r="AC205" s="17">
        <v>23280000</v>
      </c>
      <c r="AD205" s="15"/>
      <c r="BG205" s="15"/>
      <c r="BM205" s="17"/>
      <c r="BN205" s="17"/>
      <c r="BO205" s="17"/>
      <c r="BP205" s="17"/>
      <c r="BQ205" s="17"/>
      <c r="BW205" s="15" t="s">
        <v>1879</v>
      </c>
    </row>
    <row r="206" spans="1:75" hidden="1" x14ac:dyDescent="0.25">
      <c r="A206" s="15" t="s">
        <v>433</v>
      </c>
      <c r="B206" s="15" t="s">
        <v>30</v>
      </c>
      <c r="C206" s="15">
        <v>2015</v>
      </c>
      <c r="D206" s="15" t="s">
        <v>434</v>
      </c>
      <c r="E206" s="17">
        <v>7950</v>
      </c>
      <c r="F206" s="17">
        <v>1371220000</v>
      </c>
      <c r="G206" s="15" t="s">
        <v>42</v>
      </c>
      <c r="H206" s="15" t="s">
        <v>77</v>
      </c>
      <c r="I206" s="15" t="s">
        <v>1880</v>
      </c>
      <c r="J206" s="15" t="s">
        <v>1878</v>
      </c>
      <c r="K206" s="15" t="s">
        <v>435</v>
      </c>
      <c r="L206" s="15" t="s">
        <v>436</v>
      </c>
      <c r="M206" s="15" t="s">
        <v>437</v>
      </c>
      <c r="N206" s="15" t="s">
        <v>438</v>
      </c>
      <c r="O206" s="15" t="s">
        <v>439</v>
      </c>
      <c r="P206" s="15" t="s">
        <v>440</v>
      </c>
      <c r="Q206" s="15" t="s">
        <v>441</v>
      </c>
      <c r="R206" s="15" t="s">
        <v>442</v>
      </c>
      <c r="S206" s="15" t="s">
        <v>434</v>
      </c>
      <c r="T206" s="15" t="s">
        <v>443</v>
      </c>
      <c r="U206" s="15" t="s">
        <v>444</v>
      </c>
      <c r="V206" s="15" t="s">
        <v>445</v>
      </c>
      <c r="W206" s="15" t="s">
        <v>446</v>
      </c>
      <c r="X206" s="15" t="s">
        <v>447</v>
      </c>
      <c r="Y206" s="15"/>
      <c r="Z206" s="15"/>
      <c r="AA206" s="15"/>
      <c r="AB206" s="15"/>
      <c r="AC206" s="17">
        <v>20000000</v>
      </c>
      <c r="AD206" s="15"/>
      <c r="AE206" s="51" t="str">
        <f t="shared" ref="AE206:AE237" si="20">IF(ISERROR((Y206/$F206)*1000),"",IF((Y206/$F206)*1000=0,"",(Y206/$F206)*1000))</f>
        <v/>
      </c>
      <c r="AF206" s="51" t="str">
        <f t="shared" ref="AF206:AF237" si="21">IF(ISERROR((AB206/$F206)*1000),"",IF((AB206/$F206)*1000=0,"",(AB206/$F206)*1000))</f>
        <v/>
      </c>
      <c r="AG206" s="51">
        <f t="shared" ref="AG206:AG237" si="22">IF(ISERROR((AC206/$F206)*1000),"",IF((AC206/$F206)*1000=0,"",(AC206/$F206)*1000))</f>
        <v>14.585551552631964</v>
      </c>
      <c r="AH206" s="51" t="str">
        <f t="shared" ref="AH206:AH237" si="23">IF(ISERROR((AD206/$F206)*1000),"",IF((AD206/$F206)*1000=0,"",(AD206/$F206)*1000))</f>
        <v/>
      </c>
      <c r="AM206" s="17">
        <v>54000000</v>
      </c>
      <c r="BG206" s="15"/>
      <c r="BM206" s="17"/>
      <c r="BN206" s="17"/>
      <c r="BO206" s="17"/>
      <c r="BP206" s="17"/>
      <c r="BQ206" s="17"/>
      <c r="BW206" s="15" t="s">
        <v>1879</v>
      </c>
    </row>
    <row r="207" spans="1:75" hidden="1" x14ac:dyDescent="0.25">
      <c r="A207" s="15" t="s">
        <v>433</v>
      </c>
      <c r="B207" s="15" t="s">
        <v>52</v>
      </c>
      <c r="C207" s="15">
        <v>2015</v>
      </c>
      <c r="D207" s="15" t="s">
        <v>434</v>
      </c>
      <c r="E207" s="17">
        <v>7950</v>
      </c>
      <c r="F207" s="17">
        <v>1371220000</v>
      </c>
      <c r="G207" s="15" t="s">
        <v>42</v>
      </c>
      <c r="H207" s="15" t="s">
        <v>77</v>
      </c>
      <c r="I207" s="15" t="s">
        <v>1616</v>
      </c>
      <c r="J207" s="15" t="s">
        <v>432</v>
      </c>
      <c r="K207" s="15" t="s">
        <v>435</v>
      </c>
      <c r="L207" s="15" t="s">
        <v>436</v>
      </c>
      <c r="M207" s="15" t="s">
        <v>437</v>
      </c>
      <c r="N207" s="15" t="s">
        <v>438</v>
      </c>
      <c r="O207" s="15" t="s">
        <v>439</v>
      </c>
      <c r="P207" s="15" t="s">
        <v>440</v>
      </c>
      <c r="Q207" s="15" t="s">
        <v>441</v>
      </c>
      <c r="R207" s="15" t="s">
        <v>442</v>
      </c>
      <c r="S207" s="15" t="s">
        <v>434</v>
      </c>
      <c r="T207" s="15" t="s">
        <v>443</v>
      </c>
      <c r="U207" s="15" t="s">
        <v>444</v>
      </c>
      <c r="V207" s="15" t="s">
        <v>445</v>
      </c>
      <c r="W207" s="15" t="s">
        <v>446</v>
      </c>
      <c r="X207" s="15" t="s">
        <v>447</v>
      </c>
      <c r="Y207" s="15"/>
      <c r="Z207" s="15"/>
      <c r="AA207" s="15"/>
      <c r="AB207" s="15"/>
      <c r="AC207" s="15"/>
      <c r="AD207" s="15"/>
      <c r="AE207" s="51" t="str">
        <f t="shared" si="20"/>
        <v/>
      </c>
      <c r="AF207" s="51" t="str">
        <f t="shared" si="21"/>
        <v/>
      </c>
      <c r="AG207" s="51" t="str">
        <f t="shared" si="22"/>
        <v/>
      </c>
      <c r="AH207" s="51" t="str">
        <f t="shared" si="23"/>
        <v/>
      </c>
      <c r="BE207" s="16">
        <v>35300300000000</v>
      </c>
      <c r="BF207" s="42">
        <v>0.65500000000000003</v>
      </c>
      <c r="BK207" s="21">
        <v>2.5899999999999999E-2</v>
      </c>
      <c r="BM207" s="17"/>
      <c r="BN207" s="17"/>
      <c r="BO207" s="17"/>
      <c r="BP207" s="17"/>
      <c r="BQ207" s="17"/>
    </row>
    <row r="208" spans="1:75" hidden="1" x14ac:dyDescent="0.25">
      <c r="A208" s="15" t="s">
        <v>433</v>
      </c>
      <c r="B208" s="15" t="s">
        <v>52</v>
      </c>
      <c r="C208" s="15">
        <v>2014</v>
      </c>
      <c r="D208" s="15" t="s">
        <v>434</v>
      </c>
      <c r="E208" s="17">
        <v>7520</v>
      </c>
      <c r="F208" s="17">
        <v>1364270000</v>
      </c>
      <c r="G208" s="15" t="s">
        <v>42</v>
      </c>
      <c r="H208" s="15" t="s">
        <v>77</v>
      </c>
      <c r="I208" s="15" t="s">
        <v>1616</v>
      </c>
      <c r="J208" s="15" t="s">
        <v>432</v>
      </c>
      <c r="K208" s="15" t="s">
        <v>435</v>
      </c>
      <c r="L208" s="15" t="s">
        <v>436</v>
      </c>
      <c r="M208" s="15" t="s">
        <v>437</v>
      </c>
      <c r="N208" s="15" t="s">
        <v>438</v>
      </c>
      <c r="O208" s="15" t="s">
        <v>439</v>
      </c>
      <c r="P208" s="15" t="s">
        <v>440</v>
      </c>
      <c r="Q208" s="15" t="s">
        <v>441</v>
      </c>
      <c r="R208" s="15" t="s">
        <v>442</v>
      </c>
      <c r="S208" s="15" t="s">
        <v>434</v>
      </c>
      <c r="T208" s="15" t="s">
        <v>443</v>
      </c>
      <c r="U208" s="15" t="s">
        <v>444</v>
      </c>
      <c r="V208" s="15" t="s">
        <v>445</v>
      </c>
      <c r="W208" s="15" t="s">
        <v>446</v>
      </c>
      <c r="X208" s="15" t="s">
        <v>447</v>
      </c>
      <c r="Y208" s="15"/>
      <c r="Z208" s="15"/>
      <c r="AA208" s="15"/>
      <c r="AB208" s="15"/>
      <c r="AC208" s="15"/>
      <c r="AD208" s="15"/>
      <c r="AE208" s="51" t="str">
        <f t="shared" si="20"/>
        <v/>
      </c>
      <c r="AF208" s="51" t="str">
        <f t="shared" si="21"/>
        <v/>
      </c>
      <c r="AG208" s="51" t="str">
        <f t="shared" si="22"/>
        <v/>
      </c>
      <c r="AH208" s="51" t="str">
        <f t="shared" si="23"/>
        <v/>
      </c>
      <c r="BE208" s="16">
        <v>33301800000000</v>
      </c>
      <c r="BF208" s="42">
        <v>0.63839999999999997</v>
      </c>
      <c r="BK208" s="21">
        <v>1.9699999999999999E-2</v>
      </c>
      <c r="BM208" s="17"/>
      <c r="BN208" s="17"/>
      <c r="BO208" s="17"/>
      <c r="BP208" s="17"/>
      <c r="BQ208" s="17"/>
    </row>
    <row r="209" spans="1:75" hidden="1" x14ac:dyDescent="0.25">
      <c r="A209" s="15" t="s">
        <v>433</v>
      </c>
      <c r="B209" s="15" t="s">
        <v>52</v>
      </c>
      <c r="C209" s="15">
        <v>2013</v>
      </c>
      <c r="D209" s="15" t="s">
        <v>434</v>
      </c>
      <c r="E209" s="15">
        <v>6800</v>
      </c>
      <c r="F209" s="15">
        <v>1357380000</v>
      </c>
      <c r="G209" s="15" t="s">
        <v>42</v>
      </c>
      <c r="H209" s="15" t="s">
        <v>77</v>
      </c>
      <c r="I209" s="15" t="s">
        <v>1616</v>
      </c>
      <c r="J209" s="15" t="s">
        <v>432</v>
      </c>
      <c r="K209" s="15" t="s">
        <v>435</v>
      </c>
      <c r="L209" s="15" t="s">
        <v>436</v>
      </c>
      <c r="M209" s="15" t="s">
        <v>437</v>
      </c>
      <c r="N209" s="15" t="s">
        <v>438</v>
      </c>
      <c r="O209" s="15" t="s">
        <v>439</v>
      </c>
      <c r="P209" s="15" t="s">
        <v>440</v>
      </c>
      <c r="Q209" s="15" t="s">
        <v>441</v>
      </c>
      <c r="R209" s="15" t="s">
        <v>442</v>
      </c>
      <c r="S209" s="15" t="s">
        <v>434</v>
      </c>
      <c r="T209" s="15" t="s">
        <v>443</v>
      </c>
      <c r="U209" s="15" t="s">
        <v>444</v>
      </c>
      <c r="V209" s="15" t="s">
        <v>445</v>
      </c>
      <c r="W209" s="15" t="s">
        <v>446</v>
      </c>
      <c r="X209" s="15" t="s">
        <v>447</v>
      </c>
      <c r="Y209" s="15"/>
      <c r="Z209" s="15"/>
      <c r="AA209" s="15"/>
      <c r="AB209" s="15"/>
      <c r="AC209" s="15"/>
      <c r="AD209" s="15"/>
      <c r="AE209" s="51" t="str">
        <f t="shared" si="20"/>
        <v/>
      </c>
      <c r="AF209" s="51" t="str">
        <f t="shared" si="21"/>
        <v/>
      </c>
      <c r="AG209" s="51" t="str">
        <f t="shared" si="22"/>
        <v/>
      </c>
      <c r="AH209" s="51" t="str">
        <f t="shared" si="23"/>
        <v/>
      </c>
      <c r="BE209" s="16">
        <v>28584800000000</v>
      </c>
      <c r="BF209" s="42">
        <v>0.64939999999999998</v>
      </c>
      <c r="BK209" s="21">
        <v>1.66E-2</v>
      </c>
      <c r="BM209" s="17"/>
      <c r="BN209" s="17"/>
      <c r="BO209" s="17"/>
      <c r="BP209" s="17"/>
      <c r="BQ209" s="17"/>
    </row>
    <row r="210" spans="1:75" hidden="1" x14ac:dyDescent="0.25">
      <c r="A210" s="15" t="s">
        <v>448</v>
      </c>
      <c r="B210" s="15" t="s">
        <v>30</v>
      </c>
      <c r="C210" s="15">
        <v>2017</v>
      </c>
      <c r="D210" s="15" t="s">
        <v>449</v>
      </c>
      <c r="E210" s="15">
        <v>5830</v>
      </c>
      <c r="F210" s="15">
        <v>49065615</v>
      </c>
      <c r="G210" s="15" t="s">
        <v>42</v>
      </c>
      <c r="H210" s="15" t="s">
        <v>110</v>
      </c>
      <c r="I210" s="15" t="s">
        <v>450</v>
      </c>
      <c r="J210" s="15" t="s">
        <v>451</v>
      </c>
      <c r="K210" s="15" t="s">
        <v>98</v>
      </c>
      <c r="L210" s="15" t="s">
        <v>402</v>
      </c>
      <c r="M210" s="15" t="s">
        <v>452</v>
      </c>
      <c r="N210" s="15" t="s">
        <v>101</v>
      </c>
      <c r="O210" s="15" t="s">
        <v>1958</v>
      </c>
      <c r="P210" s="15" t="s">
        <v>1959</v>
      </c>
      <c r="Q210" s="15" t="s">
        <v>1960</v>
      </c>
      <c r="R210" s="15" t="s">
        <v>1961</v>
      </c>
      <c r="S210" s="15" t="s">
        <v>453</v>
      </c>
      <c r="T210" s="15"/>
      <c r="U210" s="15"/>
      <c r="V210" s="15"/>
      <c r="W210" s="15"/>
      <c r="X210" s="15" t="s">
        <v>453</v>
      </c>
      <c r="Y210" s="17">
        <v>1425029.7000000002</v>
      </c>
      <c r="Z210" s="17">
        <v>82743.66</v>
      </c>
      <c r="AA210" s="17">
        <v>19919.77</v>
      </c>
      <c r="AB210" s="17">
        <v>102663.43000000001</v>
      </c>
      <c r="AC210" s="17">
        <v>1527693.1300000001</v>
      </c>
      <c r="AD210" s="17">
        <v>4596.87</v>
      </c>
      <c r="AE210" s="51">
        <f t="shared" si="20"/>
        <v>29.043347362506314</v>
      </c>
      <c r="AF210" s="51">
        <f t="shared" si="21"/>
        <v>2.0923701863310997</v>
      </c>
      <c r="AG210" s="51">
        <f t="shared" si="22"/>
        <v>31.135717548837409</v>
      </c>
      <c r="AH210" s="51">
        <f t="shared" si="23"/>
        <v>9.3688217298407442E-2</v>
      </c>
      <c r="BG210" s="15"/>
      <c r="BM210" s="17"/>
      <c r="BN210" s="17"/>
      <c r="BO210" s="17"/>
      <c r="BP210" s="17"/>
      <c r="BQ210" s="17"/>
      <c r="BS210" s="15" t="s">
        <v>454</v>
      </c>
      <c r="BU210" s="15" t="s">
        <v>455</v>
      </c>
      <c r="BW210" s="17"/>
    </row>
    <row r="211" spans="1:75" hidden="1" x14ac:dyDescent="0.25">
      <c r="A211" s="15" t="s">
        <v>448</v>
      </c>
      <c r="B211" s="15" t="s">
        <v>30</v>
      </c>
      <c r="C211" s="15">
        <v>2015</v>
      </c>
      <c r="D211" s="15" t="s">
        <v>449</v>
      </c>
      <c r="E211" s="15">
        <v>7130</v>
      </c>
      <c r="F211" s="15">
        <v>48228697</v>
      </c>
      <c r="G211" s="15" t="s">
        <v>42</v>
      </c>
      <c r="H211" s="15" t="s">
        <v>110</v>
      </c>
      <c r="I211" s="15" t="s">
        <v>456</v>
      </c>
      <c r="J211" s="15" t="s">
        <v>457</v>
      </c>
      <c r="K211" s="15" t="s">
        <v>98</v>
      </c>
      <c r="L211" s="15" t="s">
        <v>402</v>
      </c>
      <c r="M211" s="15" t="s">
        <v>452</v>
      </c>
      <c r="N211" s="15" t="s">
        <v>101</v>
      </c>
      <c r="O211" s="15" t="s">
        <v>2012</v>
      </c>
      <c r="P211" s="15" t="s">
        <v>2011</v>
      </c>
      <c r="Q211" s="15" t="s">
        <v>2010</v>
      </c>
      <c r="R211" s="15" t="s">
        <v>2009</v>
      </c>
      <c r="S211" s="15" t="s">
        <v>453</v>
      </c>
      <c r="T211" s="15"/>
      <c r="U211" s="15"/>
      <c r="V211" s="15"/>
      <c r="W211" s="15"/>
      <c r="X211" s="15" t="s">
        <v>453</v>
      </c>
      <c r="Y211" s="17">
        <v>1273017</v>
      </c>
      <c r="Z211" s="17">
        <v>79926</v>
      </c>
      <c r="AA211" s="17">
        <v>19980</v>
      </c>
      <c r="AB211" s="17">
        <v>99906</v>
      </c>
      <c r="AC211" s="17">
        <v>1372923</v>
      </c>
      <c r="AD211" s="17">
        <v>6361</v>
      </c>
      <c r="AE211" s="51">
        <f t="shared" si="20"/>
        <v>26.395425943188968</v>
      </c>
      <c r="AF211" s="51">
        <f t="shared" si="21"/>
        <v>2.0715052699847973</v>
      </c>
      <c r="AG211" s="51">
        <f t="shared" si="22"/>
        <v>28.466931213173769</v>
      </c>
      <c r="AH211" s="51">
        <f t="shared" si="23"/>
        <v>0.13189242910709364</v>
      </c>
      <c r="BG211" s="15"/>
      <c r="BM211" s="17"/>
      <c r="BN211" s="17"/>
      <c r="BO211" s="17"/>
      <c r="BP211" s="17"/>
      <c r="BQ211" s="17"/>
      <c r="BU211" s="15" t="s">
        <v>455</v>
      </c>
      <c r="BW211" s="17"/>
    </row>
    <row r="212" spans="1:75" hidden="1" x14ac:dyDescent="0.25">
      <c r="A212" s="15" t="s">
        <v>448</v>
      </c>
      <c r="B212" s="15" t="s">
        <v>52</v>
      </c>
      <c r="C212" s="15">
        <v>2018</v>
      </c>
      <c r="D212" s="15" t="s">
        <v>449</v>
      </c>
      <c r="E212" s="15">
        <v>5830</v>
      </c>
      <c r="F212" s="15">
        <v>49065615</v>
      </c>
      <c r="G212" s="15" t="s">
        <v>42</v>
      </c>
      <c r="H212" s="15" t="s">
        <v>110</v>
      </c>
      <c r="I212" s="15" t="s">
        <v>456</v>
      </c>
      <c r="J212" s="15" t="s">
        <v>458</v>
      </c>
      <c r="K212" s="15" t="s">
        <v>98</v>
      </c>
      <c r="L212" s="15" t="s">
        <v>402</v>
      </c>
      <c r="M212" s="15" t="s">
        <v>452</v>
      </c>
      <c r="N212" s="15" t="s">
        <v>101</v>
      </c>
      <c r="O212" s="15" t="s">
        <v>1962</v>
      </c>
      <c r="P212" s="15" t="s">
        <v>1963</v>
      </c>
      <c r="Q212" s="15" t="s">
        <v>1964</v>
      </c>
      <c r="R212" s="15" t="s">
        <v>1965</v>
      </c>
      <c r="S212" s="15" t="s">
        <v>453</v>
      </c>
      <c r="T212" s="15"/>
      <c r="U212" s="15"/>
      <c r="V212" s="15"/>
      <c r="W212" s="15"/>
      <c r="X212" s="15" t="s">
        <v>453</v>
      </c>
      <c r="AE212" s="51" t="str">
        <f t="shared" si="20"/>
        <v/>
      </c>
      <c r="AF212" s="51" t="str">
        <f t="shared" si="21"/>
        <v/>
      </c>
      <c r="AG212" s="51" t="str">
        <f t="shared" si="22"/>
        <v/>
      </c>
      <c r="AH212" s="51" t="str">
        <f t="shared" si="23"/>
        <v/>
      </c>
      <c r="AW212" s="16">
        <v>12231251712443</v>
      </c>
      <c r="AX212" s="42">
        <v>4.9000000000000002E-2</v>
      </c>
      <c r="BC212" s="16">
        <v>29394664947845</v>
      </c>
      <c r="BD212" s="42">
        <v>0.11899999999999999</v>
      </c>
      <c r="BE212" s="16">
        <v>41625916660287</v>
      </c>
      <c r="BF212" s="42">
        <v>0.16800000000000001</v>
      </c>
      <c r="BI212" s="21">
        <v>9.0652867094217257E-2</v>
      </c>
      <c r="BJ212" s="21">
        <v>7.18949324624438E-2</v>
      </c>
      <c r="BK212" s="21">
        <v>7.7406715469150608E-2</v>
      </c>
      <c r="BM212" s="17"/>
      <c r="BN212" s="17"/>
      <c r="BO212" s="17"/>
      <c r="BP212" s="17"/>
      <c r="BQ212" s="17"/>
      <c r="BS212" s="15" t="s">
        <v>459</v>
      </c>
      <c r="BT212" s="15" t="s">
        <v>460</v>
      </c>
      <c r="BU212" s="15" t="s">
        <v>455</v>
      </c>
      <c r="BW212" s="17"/>
    </row>
    <row r="213" spans="1:75" hidden="1" x14ac:dyDescent="0.25">
      <c r="A213" s="15" t="s">
        <v>448</v>
      </c>
      <c r="B213" s="15" t="s">
        <v>52</v>
      </c>
      <c r="C213" s="15">
        <v>2017</v>
      </c>
      <c r="D213" s="15" t="s">
        <v>449</v>
      </c>
      <c r="E213" s="15">
        <v>5830</v>
      </c>
      <c r="F213" s="15">
        <v>49065615</v>
      </c>
      <c r="G213" s="15" t="s">
        <v>42</v>
      </c>
      <c r="H213" s="15" t="s">
        <v>110</v>
      </c>
      <c r="I213" s="15" t="s">
        <v>461</v>
      </c>
      <c r="J213" s="15" t="s">
        <v>458</v>
      </c>
      <c r="K213" s="15" t="s">
        <v>98</v>
      </c>
      <c r="L213" s="15" t="s">
        <v>402</v>
      </c>
      <c r="M213" s="15" t="s">
        <v>452</v>
      </c>
      <c r="N213" s="15" t="s">
        <v>101</v>
      </c>
      <c r="O213" s="15" t="s">
        <v>1958</v>
      </c>
      <c r="P213" s="15" t="s">
        <v>1959</v>
      </c>
      <c r="Q213" s="15" t="s">
        <v>1960</v>
      </c>
      <c r="R213" s="15" t="s">
        <v>1961</v>
      </c>
      <c r="S213" s="15" t="s">
        <v>453</v>
      </c>
      <c r="T213" s="15"/>
      <c r="U213" s="15"/>
      <c r="V213" s="15"/>
      <c r="W213" s="15"/>
      <c r="X213" s="15" t="s">
        <v>453</v>
      </c>
      <c r="AE213" s="51" t="str">
        <f t="shared" si="20"/>
        <v/>
      </c>
      <c r="AF213" s="51" t="str">
        <f t="shared" si="21"/>
        <v/>
      </c>
      <c r="AG213" s="51" t="str">
        <f t="shared" si="22"/>
        <v/>
      </c>
      <c r="AH213" s="51" t="str">
        <f t="shared" si="23"/>
        <v/>
      </c>
      <c r="AW213" s="16">
        <v>12236386425552</v>
      </c>
      <c r="AX213" s="42">
        <v>5.0999999999999997E-2</v>
      </c>
      <c r="BC213" s="16">
        <v>29930503098582</v>
      </c>
      <c r="BD213" s="42">
        <v>0.125</v>
      </c>
      <c r="BE213" s="16">
        <v>42166889524134</v>
      </c>
      <c r="BF213" s="42">
        <v>0.17599999999999999</v>
      </c>
      <c r="BI213" s="21">
        <v>7.4718828552381045E-2</v>
      </c>
      <c r="BJ213" s="21">
        <v>6.4754257133329149E-2</v>
      </c>
      <c r="BK213" s="21">
        <v>6.7645870620227339E-2</v>
      </c>
      <c r="BM213" s="17"/>
      <c r="BN213" s="17"/>
      <c r="BO213" s="17"/>
      <c r="BP213" s="17"/>
      <c r="BQ213" s="17"/>
      <c r="BS213" s="15" t="s">
        <v>459</v>
      </c>
      <c r="BT213" s="15" t="s">
        <v>460</v>
      </c>
      <c r="BU213" s="15" t="s">
        <v>455</v>
      </c>
      <c r="BW213" s="17"/>
    </row>
    <row r="214" spans="1:75" hidden="1" x14ac:dyDescent="0.25">
      <c r="A214" s="15" t="s">
        <v>448</v>
      </c>
      <c r="B214" s="15" t="s">
        <v>52</v>
      </c>
      <c r="C214" s="15">
        <v>2016</v>
      </c>
      <c r="D214" s="15" t="s">
        <v>449</v>
      </c>
      <c r="E214" s="15">
        <v>6350</v>
      </c>
      <c r="F214" s="15">
        <v>48653419</v>
      </c>
      <c r="G214" s="15" t="s">
        <v>42</v>
      </c>
      <c r="H214" s="15" t="s">
        <v>110</v>
      </c>
      <c r="I214" s="15" t="s">
        <v>461</v>
      </c>
      <c r="J214" s="15" t="s">
        <v>458</v>
      </c>
      <c r="K214" s="15" t="s">
        <v>98</v>
      </c>
      <c r="L214" s="15" t="s">
        <v>402</v>
      </c>
      <c r="M214" s="15" t="s">
        <v>452</v>
      </c>
      <c r="N214" s="15" t="s">
        <v>101</v>
      </c>
      <c r="O214" s="15" t="s">
        <v>1966</v>
      </c>
      <c r="P214" s="15" t="s">
        <v>1967</v>
      </c>
      <c r="Q214" s="15" t="s">
        <v>1968</v>
      </c>
      <c r="R214" s="15" t="s">
        <v>1969</v>
      </c>
      <c r="S214" s="15" t="s">
        <v>453</v>
      </c>
      <c r="T214" s="15"/>
      <c r="U214" s="15"/>
      <c r="V214" s="15"/>
      <c r="W214" s="15"/>
      <c r="X214" s="15" t="s">
        <v>453</v>
      </c>
      <c r="AE214" s="51" t="str">
        <f t="shared" si="20"/>
        <v/>
      </c>
      <c r="AF214" s="51" t="str">
        <f t="shared" si="21"/>
        <v/>
      </c>
      <c r="AG214" s="51" t="str">
        <f t="shared" si="22"/>
        <v/>
      </c>
      <c r="AH214" s="51" t="str">
        <f t="shared" si="23"/>
        <v/>
      </c>
      <c r="AW214" s="16">
        <v>12851513276887</v>
      </c>
      <c r="AX214" s="42">
        <v>5.5300000000000002E-2</v>
      </c>
      <c r="BC214" s="16">
        <v>30112731039722</v>
      </c>
      <c r="BD214" s="42">
        <v>0.12959999999999999</v>
      </c>
      <c r="BE214" s="16">
        <v>42964244316608</v>
      </c>
      <c r="BF214" s="42">
        <v>0.18490000000000001</v>
      </c>
      <c r="BI214" s="21">
        <v>5.5117372999999997E-2</v>
      </c>
      <c r="BJ214" s="21">
        <v>4.3444415399378267E-2</v>
      </c>
      <c r="BK214" s="21">
        <v>4.693604364871902E-2</v>
      </c>
      <c r="BM214" s="17"/>
      <c r="BN214" s="17"/>
      <c r="BO214" s="17"/>
      <c r="BP214" s="17"/>
      <c r="BQ214" s="17"/>
      <c r="BS214" s="15" t="s">
        <v>459</v>
      </c>
      <c r="BT214" s="15" t="s">
        <v>460</v>
      </c>
      <c r="BU214" s="15" t="s">
        <v>455</v>
      </c>
      <c r="BW214" s="17"/>
    </row>
    <row r="215" spans="1:75" hidden="1" x14ac:dyDescent="0.25">
      <c r="A215" s="15" t="s">
        <v>448</v>
      </c>
      <c r="B215" s="15" t="s">
        <v>52</v>
      </c>
      <c r="C215" s="15">
        <v>2015</v>
      </c>
      <c r="D215" s="15" t="s">
        <v>449</v>
      </c>
      <c r="E215" s="15">
        <v>7130</v>
      </c>
      <c r="F215" s="15">
        <v>48228697</v>
      </c>
      <c r="G215" s="15" t="s">
        <v>42</v>
      </c>
      <c r="H215" s="15" t="s">
        <v>110</v>
      </c>
      <c r="I215" s="15" t="s">
        <v>461</v>
      </c>
      <c r="J215" s="15" t="s">
        <v>458</v>
      </c>
      <c r="K215" s="15" t="s">
        <v>98</v>
      </c>
      <c r="L215" s="15" t="s">
        <v>402</v>
      </c>
      <c r="M215" s="15" t="s">
        <v>452</v>
      </c>
      <c r="N215" s="15" t="s">
        <v>101</v>
      </c>
      <c r="O215" s="15" t="s">
        <v>2012</v>
      </c>
      <c r="P215" s="15" t="s">
        <v>2011</v>
      </c>
      <c r="Q215" s="15" t="s">
        <v>2010</v>
      </c>
      <c r="R215" s="15" t="s">
        <v>2009</v>
      </c>
      <c r="S215" s="15" t="s">
        <v>453</v>
      </c>
      <c r="T215" s="15"/>
      <c r="U215" s="15"/>
      <c r="V215" s="15"/>
      <c r="W215" s="15"/>
      <c r="X215" s="15" t="s">
        <v>453</v>
      </c>
      <c r="AE215" s="51" t="str">
        <f t="shared" si="20"/>
        <v/>
      </c>
      <c r="AF215" s="51" t="str">
        <f t="shared" si="21"/>
        <v/>
      </c>
      <c r="AG215" s="51" t="str">
        <f t="shared" si="22"/>
        <v/>
      </c>
      <c r="AH215" s="51" t="str">
        <f t="shared" si="23"/>
        <v/>
      </c>
      <c r="AW215" s="16">
        <v>11618172271237</v>
      </c>
      <c r="AX215" s="42">
        <v>5.6899999999999999E-2</v>
      </c>
      <c r="BC215" s="16">
        <v>27673185853544</v>
      </c>
      <c r="BD215" s="42">
        <v>0.13550000000000001</v>
      </c>
      <c r="BE215" s="16">
        <v>39291358124781</v>
      </c>
      <c r="BF215" s="42">
        <v>0.1923</v>
      </c>
      <c r="BI215" s="21">
        <v>5.4274898131497121E-2</v>
      </c>
      <c r="BJ215" s="21">
        <v>3.7245016164169191E-2</v>
      </c>
      <c r="BK215" s="21">
        <v>4.2280629894468458E-2</v>
      </c>
      <c r="BM215" s="17"/>
      <c r="BN215" s="17"/>
      <c r="BO215" s="17"/>
      <c r="BP215" s="17"/>
      <c r="BQ215" s="17"/>
      <c r="BS215" s="15" t="s">
        <v>459</v>
      </c>
      <c r="BT215" s="15" t="s">
        <v>460</v>
      </c>
      <c r="BU215" s="15" t="s">
        <v>455</v>
      </c>
      <c r="BW215" s="17"/>
    </row>
    <row r="216" spans="1:75" hidden="1" x14ac:dyDescent="0.25">
      <c r="A216" s="15" t="s">
        <v>448</v>
      </c>
      <c r="B216" s="15" t="s">
        <v>142</v>
      </c>
      <c r="C216" s="15">
        <v>2016</v>
      </c>
      <c r="D216" s="15" t="s">
        <v>449</v>
      </c>
      <c r="E216" s="15">
        <v>6350</v>
      </c>
      <c r="F216" s="15">
        <v>49065615</v>
      </c>
      <c r="G216" s="15" t="s">
        <v>42</v>
      </c>
      <c r="H216" s="15" t="s">
        <v>110</v>
      </c>
      <c r="I216" s="15" t="s">
        <v>461</v>
      </c>
      <c r="J216" s="15" t="s">
        <v>462</v>
      </c>
      <c r="K216" s="15" t="s">
        <v>98</v>
      </c>
      <c r="L216" s="15" t="s">
        <v>402</v>
      </c>
      <c r="M216" s="15" t="s">
        <v>452</v>
      </c>
      <c r="N216" s="15" t="s">
        <v>101</v>
      </c>
      <c r="O216" s="15" t="s">
        <v>1966</v>
      </c>
      <c r="P216" s="15" t="s">
        <v>1967</v>
      </c>
      <c r="Q216" s="15" t="s">
        <v>1968</v>
      </c>
      <c r="R216" s="15" t="s">
        <v>1969</v>
      </c>
      <c r="S216" s="15" t="s">
        <v>453</v>
      </c>
      <c r="T216" s="15"/>
      <c r="U216" s="15"/>
      <c r="V216" s="15"/>
      <c r="W216" s="15"/>
      <c r="X216" s="15" t="s">
        <v>453</v>
      </c>
      <c r="AE216" s="51" t="str">
        <f t="shared" si="20"/>
        <v/>
      </c>
      <c r="AF216" s="51" t="str">
        <f t="shared" si="21"/>
        <v/>
      </c>
      <c r="AG216" s="51" t="str">
        <f t="shared" si="22"/>
        <v/>
      </c>
      <c r="AH216" s="51" t="str">
        <f t="shared" si="23"/>
        <v/>
      </c>
      <c r="AR216" s="15"/>
      <c r="BG216" s="15"/>
      <c r="BK216" s="21">
        <v>3.1199999999999999E-2</v>
      </c>
      <c r="BM216" s="17"/>
      <c r="BN216" s="17"/>
      <c r="BO216" s="17"/>
      <c r="BP216" s="17"/>
      <c r="BQ216" s="17"/>
      <c r="BS216" s="15" t="s">
        <v>463</v>
      </c>
      <c r="BT216" s="15" t="s">
        <v>464</v>
      </c>
      <c r="BU216" s="15" t="s">
        <v>455</v>
      </c>
      <c r="BW216" s="17"/>
    </row>
    <row r="217" spans="1:75" hidden="1" x14ac:dyDescent="0.25">
      <c r="A217" s="15" t="s">
        <v>448</v>
      </c>
      <c r="B217" s="15" t="s">
        <v>142</v>
      </c>
      <c r="C217" s="15">
        <v>2015</v>
      </c>
      <c r="D217" s="15" t="s">
        <v>449</v>
      </c>
      <c r="E217" s="15">
        <v>7130</v>
      </c>
      <c r="F217" s="15">
        <v>48228697</v>
      </c>
      <c r="G217" s="15" t="s">
        <v>42</v>
      </c>
      <c r="H217" s="15" t="s">
        <v>110</v>
      </c>
      <c r="I217" s="15" t="s">
        <v>465</v>
      </c>
      <c r="J217" s="15" t="s">
        <v>432</v>
      </c>
      <c r="K217" s="15" t="s">
        <v>98</v>
      </c>
      <c r="L217" s="15" t="s">
        <v>402</v>
      </c>
      <c r="M217" s="15" t="s">
        <v>452</v>
      </c>
      <c r="N217" s="15" t="s">
        <v>101</v>
      </c>
      <c r="O217" s="15" t="s">
        <v>2012</v>
      </c>
      <c r="P217" s="15" t="s">
        <v>2011</v>
      </c>
      <c r="Q217" s="15" t="s">
        <v>2010</v>
      </c>
      <c r="R217" s="15" t="s">
        <v>2009</v>
      </c>
      <c r="S217" s="15" t="s">
        <v>453</v>
      </c>
      <c r="T217" s="15"/>
      <c r="U217" s="15"/>
      <c r="V217" s="15"/>
      <c r="W217" s="15"/>
      <c r="X217" s="15" t="s">
        <v>453</v>
      </c>
      <c r="AE217" s="51" t="str">
        <f t="shared" si="20"/>
        <v/>
      </c>
      <c r="AF217" s="51" t="str">
        <f t="shared" si="21"/>
        <v/>
      </c>
      <c r="AG217" s="51" t="str">
        <f t="shared" si="22"/>
        <v/>
      </c>
      <c r="AH217" s="51" t="str">
        <f t="shared" si="23"/>
        <v/>
      </c>
      <c r="AR217" s="15"/>
      <c r="BG217" s="15"/>
      <c r="BK217" s="21">
        <v>2.2499999999999999E-2</v>
      </c>
      <c r="BM217" s="17"/>
      <c r="BN217" s="17"/>
      <c r="BO217" s="17"/>
      <c r="BP217" s="17"/>
      <c r="BQ217" s="17"/>
      <c r="BU217" s="15" t="s">
        <v>455</v>
      </c>
      <c r="BW217" s="17"/>
    </row>
    <row r="218" spans="1:75" hidden="1" x14ac:dyDescent="0.25">
      <c r="A218" s="15" t="s">
        <v>448</v>
      </c>
      <c r="B218" s="15" t="s">
        <v>142</v>
      </c>
      <c r="C218" s="15">
        <v>2014</v>
      </c>
      <c r="D218" s="15" t="s">
        <v>449</v>
      </c>
      <c r="E218" s="15">
        <v>7970</v>
      </c>
      <c r="F218" s="15">
        <v>47791911</v>
      </c>
      <c r="G218" s="15" t="s">
        <v>42</v>
      </c>
      <c r="H218" s="15" t="s">
        <v>110</v>
      </c>
      <c r="I218" s="15" t="s">
        <v>465</v>
      </c>
      <c r="J218" s="15" t="s">
        <v>432</v>
      </c>
      <c r="K218" s="15" t="s">
        <v>98</v>
      </c>
      <c r="L218" s="15" t="s">
        <v>402</v>
      </c>
      <c r="M218" s="15" t="s">
        <v>452</v>
      </c>
      <c r="N218" s="15" t="s">
        <v>101</v>
      </c>
      <c r="O218" s="15" t="s">
        <v>2008</v>
      </c>
      <c r="P218" s="15" t="s">
        <v>2007</v>
      </c>
      <c r="Q218" s="15" t="s">
        <v>2006</v>
      </c>
      <c r="R218" s="15" t="s">
        <v>2005</v>
      </c>
      <c r="S218" s="15" t="s">
        <v>453</v>
      </c>
      <c r="T218" s="15"/>
      <c r="U218" s="15"/>
      <c r="V218" s="15"/>
      <c r="W218" s="15"/>
      <c r="X218" s="15" t="s">
        <v>453</v>
      </c>
      <c r="AE218" s="51" t="str">
        <f t="shared" si="20"/>
        <v/>
      </c>
      <c r="AF218" s="51" t="str">
        <f t="shared" si="21"/>
        <v/>
      </c>
      <c r="AG218" s="51" t="str">
        <f t="shared" si="22"/>
        <v/>
      </c>
      <c r="AH218" s="51" t="str">
        <f t="shared" si="23"/>
        <v/>
      </c>
      <c r="BG218" s="15"/>
      <c r="BK218" s="21">
        <v>2.4500000000000001E-2</v>
      </c>
      <c r="BM218" s="17"/>
      <c r="BN218" s="17"/>
      <c r="BO218" s="17"/>
      <c r="BP218" s="17"/>
      <c r="BQ218" s="17"/>
      <c r="BU218" s="15" t="s">
        <v>455</v>
      </c>
      <c r="BW218" s="17"/>
    </row>
    <row r="219" spans="1:75" hidden="1" x14ac:dyDescent="0.25">
      <c r="A219" s="15" t="s">
        <v>448</v>
      </c>
      <c r="B219" s="15" t="s">
        <v>142</v>
      </c>
      <c r="C219" s="15">
        <v>2013</v>
      </c>
      <c r="D219" s="15" t="s">
        <v>449</v>
      </c>
      <c r="E219" s="15">
        <v>7760</v>
      </c>
      <c r="F219" s="15">
        <v>47342981</v>
      </c>
      <c r="G219" s="15" t="s">
        <v>42</v>
      </c>
      <c r="H219" s="15" t="s">
        <v>110</v>
      </c>
      <c r="I219" s="15" t="s">
        <v>465</v>
      </c>
      <c r="J219" s="15" t="s">
        <v>432</v>
      </c>
      <c r="K219" s="15" t="s">
        <v>98</v>
      </c>
      <c r="L219" s="15" t="s">
        <v>402</v>
      </c>
      <c r="M219" s="15" t="s">
        <v>452</v>
      </c>
      <c r="N219" s="15" t="s">
        <v>101</v>
      </c>
      <c r="O219" s="15" t="s">
        <v>2004</v>
      </c>
      <c r="P219" s="15" t="s">
        <v>2003</v>
      </c>
      <c r="Q219" s="15" t="s">
        <v>2002</v>
      </c>
      <c r="R219" s="15" t="s">
        <v>2001</v>
      </c>
      <c r="S219" s="15" t="s">
        <v>453</v>
      </c>
      <c r="T219" s="15"/>
      <c r="U219" s="15"/>
      <c r="V219" s="15"/>
      <c r="W219" s="15"/>
      <c r="X219" s="15" t="s">
        <v>453</v>
      </c>
      <c r="AE219" s="51" t="str">
        <f t="shared" si="20"/>
        <v/>
      </c>
      <c r="AF219" s="51" t="str">
        <f t="shared" si="21"/>
        <v/>
      </c>
      <c r="AG219" s="51" t="str">
        <f t="shared" si="22"/>
        <v/>
      </c>
      <c r="AH219" s="51" t="str">
        <f t="shared" si="23"/>
        <v/>
      </c>
      <c r="BG219" s="15"/>
      <c r="BK219" s="21">
        <v>1.9900000000000001E-2</v>
      </c>
      <c r="BM219" s="17"/>
      <c r="BN219" s="17"/>
      <c r="BO219" s="17"/>
      <c r="BP219" s="17"/>
      <c r="BQ219" s="17"/>
      <c r="BU219" s="15" t="s">
        <v>455</v>
      </c>
      <c r="BW219" s="17"/>
    </row>
    <row r="220" spans="1:75" hidden="1" x14ac:dyDescent="0.25">
      <c r="A220" s="15" t="s">
        <v>448</v>
      </c>
      <c r="B220" s="15" t="s">
        <v>142</v>
      </c>
      <c r="C220" s="15">
        <v>2012</v>
      </c>
      <c r="D220" s="15" t="s">
        <v>449</v>
      </c>
      <c r="E220" s="15">
        <v>7140</v>
      </c>
      <c r="F220" s="15">
        <v>46881475</v>
      </c>
      <c r="G220" s="15" t="s">
        <v>42</v>
      </c>
      <c r="H220" s="15" t="s">
        <v>110</v>
      </c>
      <c r="I220" s="15" t="s">
        <v>465</v>
      </c>
      <c r="J220" s="15" t="s">
        <v>432</v>
      </c>
      <c r="K220" s="15" t="s">
        <v>98</v>
      </c>
      <c r="L220" s="15" t="s">
        <v>402</v>
      </c>
      <c r="M220" s="15" t="s">
        <v>452</v>
      </c>
      <c r="N220" s="15" t="s">
        <v>101</v>
      </c>
      <c r="O220" s="15" t="s">
        <v>2000</v>
      </c>
      <c r="P220" s="15" t="s">
        <v>1999</v>
      </c>
      <c r="Q220" s="15" t="s">
        <v>1998</v>
      </c>
      <c r="R220" s="15" t="s">
        <v>1997</v>
      </c>
      <c r="S220" s="15" t="s">
        <v>453</v>
      </c>
      <c r="T220" s="15"/>
      <c r="U220" s="15"/>
      <c r="V220" s="15"/>
      <c r="W220" s="15"/>
      <c r="X220" s="15" t="s">
        <v>453</v>
      </c>
      <c r="AE220" s="51" t="str">
        <f t="shared" si="20"/>
        <v/>
      </c>
      <c r="AF220" s="51" t="str">
        <f t="shared" si="21"/>
        <v/>
      </c>
      <c r="AG220" s="51" t="str">
        <f t="shared" si="22"/>
        <v/>
      </c>
      <c r="AH220" s="51" t="str">
        <f t="shared" si="23"/>
        <v/>
      </c>
      <c r="BG220" s="15"/>
      <c r="BK220" s="21">
        <v>1.8100000000000002E-2</v>
      </c>
      <c r="BM220" s="17"/>
      <c r="BN220" s="17"/>
      <c r="BO220" s="17"/>
      <c r="BP220" s="17"/>
      <c r="BQ220" s="17"/>
      <c r="BU220" s="15" t="s">
        <v>455</v>
      </c>
      <c r="BW220" s="17"/>
    </row>
    <row r="221" spans="1:75" hidden="1" x14ac:dyDescent="0.25">
      <c r="A221" s="15" t="s">
        <v>448</v>
      </c>
      <c r="B221" s="15" t="s">
        <v>142</v>
      </c>
      <c r="C221" s="15">
        <v>2011</v>
      </c>
      <c r="D221" s="15" t="s">
        <v>449</v>
      </c>
      <c r="E221" s="15">
        <v>6180</v>
      </c>
      <c r="F221" s="15">
        <v>46406646</v>
      </c>
      <c r="G221" s="15" t="s">
        <v>42</v>
      </c>
      <c r="H221" s="15" t="s">
        <v>110</v>
      </c>
      <c r="I221" s="15" t="s">
        <v>465</v>
      </c>
      <c r="J221" s="15" t="s">
        <v>432</v>
      </c>
      <c r="K221" s="15" t="s">
        <v>98</v>
      </c>
      <c r="L221" s="15" t="s">
        <v>402</v>
      </c>
      <c r="M221" s="15" t="s">
        <v>452</v>
      </c>
      <c r="N221" s="15" t="s">
        <v>101</v>
      </c>
      <c r="O221" s="15" t="s">
        <v>1996</v>
      </c>
      <c r="P221" s="15" t="s">
        <v>1995</v>
      </c>
      <c r="Q221" s="15" t="s">
        <v>1994</v>
      </c>
      <c r="R221" s="15" t="s">
        <v>1993</v>
      </c>
      <c r="S221" s="15" t="s">
        <v>453</v>
      </c>
      <c r="T221" s="15"/>
      <c r="U221" s="15"/>
      <c r="V221" s="15"/>
      <c r="W221" s="15"/>
      <c r="X221" s="15" t="s">
        <v>453</v>
      </c>
      <c r="AE221" s="51" t="str">
        <f t="shared" si="20"/>
        <v/>
      </c>
      <c r="AF221" s="51" t="str">
        <f t="shared" si="21"/>
        <v/>
      </c>
      <c r="AG221" s="51" t="str">
        <f t="shared" si="22"/>
        <v/>
      </c>
      <c r="AH221" s="51" t="str">
        <f t="shared" si="23"/>
        <v/>
      </c>
      <c r="BG221" s="15"/>
      <c r="BK221" s="21">
        <v>1.7600000000000001E-2</v>
      </c>
      <c r="BM221" s="17"/>
      <c r="BN221" s="17"/>
      <c r="BO221" s="17"/>
      <c r="BP221" s="17"/>
      <c r="BQ221" s="17"/>
      <c r="BU221" s="15" t="s">
        <v>455</v>
      </c>
      <c r="BW221" s="17"/>
    </row>
    <row r="222" spans="1:75" hidden="1" x14ac:dyDescent="0.25">
      <c r="A222" s="15" t="s">
        <v>448</v>
      </c>
      <c r="B222" s="15" t="s">
        <v>142</v>
      </c>
      <c r="C222" s="15">
        <v>2010</v>
      </c>
      <c r="D222" s="15" t="s">
        <v>449</v>
      </c>
      <c r="E222" s="15">
        <v>5540</v>
      </c>
      <c r="F222" s="15">
        <v>45918097</v>
      </c>
      <c r="G222" s="15" t="s">
        <v>42</v>
      </c>
      <c r="H222" s="15" t="s">
        <v>110</v>
      </c>
      <c r="I222" s="15" t="s">
        <v>465</v>
      </c>
      <c r="J222" s="15" t="s">
        <v>432</v>
      </c>
      <c r="K222" s="15" t="s">
        <v>98</v>
      </c>
      <c r="L222" s="15" t="s">
        <v>402</v>
      </c>
      <c r="M222" s="15" t="s">
        <v>452</v>
      </c>
      <c r="N222" s="15" t="s">
        <v>101</v>
      </c>
      <c r="O222" s="15" t="s">
        <v>1992</v>
      </c>
      <c r="P222" s="15" t="s">
        <v>1991</v>
      </c>
      <c r="Q222" s="15" t="s">
        <v>1990</v>
      </c>
      <c r="R222" s="15" t="s">
        <v>1989</v>
      </c>
      <c r="S222" s="15" t="s">
        <v>453</v>
      </c>
      <c r="T222" s="15"/>
      <c r="U222" s="15"/>
      <c r="V222" s="15"/>
      <c r="W222" s="15"/>
      <c r="X222" s="15" t="s">
        <v>453</v>
      </c>
      <c r="AE222" s="51" t="str">
        <f t="shared" si="20"/>
        <v/>
      </c>
      <c r="AF222" s="51" t="str">
        <f t="shared" si="21"/>
        <v/>
      </c>
      <c r="AG222" s="51" t="str">
        <f t="shared" si="22"/>
        <v/>
      </c>
      <c r="AH222" s="51" t="str">
        <f t="shared" si="23"/>
        <v/>
      </c>
      <c r="BG222" s="15"/>
      <c r="BK222" s="21">
        <v>3.6799999999999999E-2</v>
      </c>
      <c r="BM222" s="17"/>
      <c r="BN222" s="17"/>
      <c r="BO222" s="17"/>
      <c r="BP222" s="17"/>
      <c r="BQ222" s="17"/>
      <c r="BU222" s="15" t="s">
        <v>455</v>
      </c>
      <c r="BW222" s="17"/>
    </row>
    <row r="223" spans="1:75" hidden="1" x14ac:dyDescent="0.25">
      <c r="A223" s="15" t="s">
        <v>448</v>
      </c>
      <c r="B223" s="15" t="s">
        <v>142</v>
      </c>
      <c r="C223" s="15">
        <v>2009</v>
      </c>
      <c r="D223" s="15" t="s">
        <v>449</v>
      </c>
      <c r="E223" s="15">
        <v>5090</v>
      </c>
      <c r="F223" s="15">
        <v>45416181</v>
      </c>
      <c r="G223" s="15" t="s">
        <v>42</v>
      </c>
      <c r="H223" s="15" t="s">
        <v>110</v>
      </c>
      <c r="I223" s="15" t="s">
        <v>465</v>
      </c>
      <c r="J223" s="15" t="s">
        <v>432</v>
      </c>
      <c r="K223" s="15" t="s">
        <v>98</v>
      </c>
      <c r="L223" s="15" t="s">
        <v>402</v>
      </c>
      <c r="M223" s="15" t="s">
        <v>452</v>
      </c>
      <c r="N223" s="15" t="s">
        <v>101</v>
      </c>
      <c r="O223" s="15" t="s">
        <v>1988</v>
      </c>
      <c r="P223" s="15" t="s">
        <v>1987</v>
      </c>
      <c r="Q223" s="15" t="s">
        <v>1986</v>
      </c>
      <c r="R223" s="15" t="s">
        <v>1985</v>
      </c>
      <c r="S223" s="15" t="s">
        <v>453</v>
      </c>
      <c r="T223" s="15"/>
      <c r="U223" s="15"/>
      <c r="V223" s="15"/>
      <c r="W223" s="15"/>
      <c r="X223" s="15" t="s">
        <v>453</v>
      </c>
      <c r="AE223" s="51" t="str">
        <f t="shared" si="20"/>
        <v/>
      </c>
      <c r="AF223" s="51" t="str">
        <f t="shared" si="21"/>
        <v/>
      </c>
      <c r="AG223" s="51" t="str">
        <f t="shared" si="22"/>
        <v/>
      </c>
      <c r="AH223" s="51" t="str">
        <f t="shared" si="23"/>
        <v/>
      </c>
      <c r="BG223" s="15"/>
      <c r="BK223" s="21">
        <v>5.0500000000000003E-2</v>
      </c>
      <c r="BM223" s="17"/>
      <c r="BN223" s="17"/>
      <c r="BO223" s="17"/>
      <c r="BP223" s="17"/>
      <c r="BQ223" s="17"/>
      <c r="BU223" s="15" t="s">
        <v>455</v>
      </c>
      <c r="BW223" s="17"/>
    </row>
    <row r="224" spans="1:75" hidden="1" x14ac:dyDescent="0.25">
      <c r="A224" s="15" t="s">
        <v>448</v>
      </c>
      <c r="B224" s="15" t="s">
        <v>142</v>
      </c>
      <c r="C224" s="15">
        <v>2008</v>
      </c>
      <c r="D224" s="15" t="s">
        <v>449</v>
      </c>
      <c r="E224" s="15">
        <v>4660</v>
      </c>
      <c r="F224" s="15">
        <v>44901544</v>
      </c>
      <c r="G224" s="15" t="s">
        <v>42</v>
      </c>
      <c r="H224" s="15" t="s">
        <v>110</v>
      </c>
      <c r="I224" s="15" t="s">
        <v>465</v>
      </c>
      <c r="J224" s="15" t="s">
        <v>432</v>
      </c>
      <c r="K224" s="15" t="s">
        <v>98</v>
      </c>
      <c r="L224" s="15" t="s">
        <v>402</v>
      </c>
      <c r="M224" s="15" t="s">
        <v>452</v>
      </c>
      <c r="N224" s="15" t="s">
        <v>101</v>
      </c>
      <c r="O224" s="15" t="s">
        <v>1984</v>
      </c>
      <c r="P224" s="15" t="s">
        <v>1983</v>
      </c>
      <c r="Q224" s="15" t="s">
        <v>1982</v>
      </c>
      <c r="R224" s="15" t="s">
        <v>1981</v>
      </c>
      <c r="S224" s="15" t="s">
        <v>453</v>
      </c>
      <c r="T224" s="15"/>
      <c r="U224" s="15"/>
      <c r="V224" s="15"/>
      <c r="W224" s="15"/>
      <c r="X224" s="15" t="s">
        <v>453</v>
      </c>
      <c r="AE224" s="51" t="str">
        <f t="shared" si="20"/>
        <v/>
      </c>
      <c r="AF224" s="51" t="str">
        <f t="shared" si="21"/>
        <v/>
      </c>
      <c r="AG224" s="51" t="str">
        <f t="shared" si="22"/>
        <v/>
      </c>
      <c r="AH224" s="51" t="str">
        <f t="shared" si="23"/>
        <v/>
      </c>
      <c r="BG224" s="15"/>
      <c r="BK224" s="21">
        <v>3.6600000000000001E-2</v>
      </c>
      <c r="BM224" s="17"/>
      <c r="BN224" s="17"/>
      <c r="BO224" s="17"/>
      <c r="BP224" s="17"/>
      <c r="BQ224" s="17"/>
      <c r="BU224" s="15" t="s">
        <v>455</v>
      </c>
      <c r="BW224" s="17"/>
    </row>
    <row r="225" spans="1:75" ht="15.75" hidden="1" customHeight="1" x14ac:dyDescent="0.25">
      <c r="A225" s="15" t="s">
        <v>448</v>
      </c>
      <c r="B225" s="15" t="s">
        <v>142</v>
      </c>
      <c r="C225" s="15">
        <v>2007</v>
      </c>
      <c r="D225" s="15" t="s">
        <v>449</v>
      </c>
      <c r="E225" s="15">
        <v>4070</v>
      </c>
      <c r="F225" s="15">
        <v>44374572</v>
      </c>
      <c r="G225" s="15" t="s">
        <v>42</v>
      </c>
      <c r="H225" s="15" t="s">
        <v>110</v>
      </c>
      <c r="I225" s="15" t="s">
        <v>465</v>
      </c>
      <c r="J225" s="15" t="s">
        <v>432</v>
      </c>
      <c r="K225" s="15" t="s">
        <v>98</v>
      </c>
      <c r="L225" s="15" t="s">
        <v>402</v>
      </c>
      <c r="M225" s="15" t="s">
        <v>452</v>
      </c>
      <c r="N225" s="15" t="s">
        <v>101</v>
      </c>
      <c r="O225" s="15" t="s">
        <v>1980</v>
      </c>
      <c r="P225" s="15" t="s">
        <v>1979</v>
      </c>
      <c r="Q225" s="15" t="s">
        <v>1978</v>
      </c>
      <c r="R225" s="15" t="s">
        <v>1977</v>
      </c>
      <c r="S225" s="15" t="s">
        <v>453</v>
      </c>
      <c r="T225" s="15"/>
      <c r="U225" s="15"/>
      <c r="V225" s="15"/>
      <c r="W225" s="15"/>
      <c r="X225" s="15" t="s">
        <v>453</v>
      </c>
      <c r="AE225" s="51" t="str">
        <f t="shared" si="20"/>
        <v/>
      </c>
      <c r="AF225" s="51" t="str">
        <f t="shared" si="21"/>
        <v/>
      </c>
      <c r="AG225" s="51" t="str">
        <f t="shared" si="22"/>
        <v/>
      </c>
      <c r="AH225" s="51" t="str">
        <f t="shared" si="23"/>
        <v/>
      </c>
      <c r="BG225" s="15"/>
      <c r="BK225" s="21">
        <v>2.52E-2</v>
      </c>
      <c r="BM225" s="17"/>
      <c r="BN225" s="17"/>
      <c r="BO225" s="17"/>
      <c r="BP225" s="17"/>
      <c r="BQ225" s="17"/>
      <c r="BU225" s="15" t="s">
        <v>455</v>
      </c>
      <c r="BW225" s="17"/>
    </row>
    <row r="226" spans="1:75" hidden="1" x14ac:dyDescent="0.25">
      <c r="A226" s="15" t="s">
        <v>448</v>
      </c>
      <c r="B226" s="15" t="s">
        <v>142</v>
      </c>
      <c r="C226" s="15">
        <v>2006</v>
      </c>
      <c r="D226" s="15" t="s">
        <v>449</v>
      </c>
      <c r="E226" s="15">
        <v>3430</v>
      </c>
      <c r="F226" s="15">
        <v>43835722</v>
      </c>
      <c r="G226" s="15" t="s">
        <v>42</v>
      </c>
      <c r="H226" s="15" t="s">
        <v>110</v>
      </c>
      <c r="I226" s="15" t="s">
        <v>465</v>
      </c>
      <c r="J226" s="15" t="s">
        <v>432</v>
      </c>
      <c r="K226" s="15" t="s">
        <v>98</v>
      </c>
      <c r="L226" s="15" t="s">
        <v>402</v>
      </c>
      <c r="M226" s="15" t="s">
        <v>452</v>
      </c>
      <c r="N226" s="15" t="s">
        <v>101</v>
      </c>
      <c r="O226" s="15" t="s">
        <v>1976</v>
      </c>
      <c r="P226" s="15" t="s">
        <v>1975</v>
      </c>
      <c r="Q226" s="15" t="s">
        <v>1974</v>
      </c>
      <c r="R226" s="15" t="s">
        <v>1973</v>
      </c>
      <c r="S226" s="15" t="s">
        <v>453</v>
      </c>
      <c r="T226" s="15"/>
      <c r="U226" s="15"/>
      <c r="V226" s="15"/>
      <c r="W226" s="15"/>
      <c r="X226" s="15" t="s">
        <v>453</v>
      </c>
      <c r="AE226" s="51" t="str">
        <f t="shared" si="20"/>
        <v/>
      </c>
      <c r="AF226" s="51" t="str">
        <f t="shared" si="21"/>
        <v/>
      </c>
      <c r="AG226" s="51" t="str">
        <f t="shared" si="22"/>
        <v/>
      </c>
      <c r="AH226" s="51" t="str">
        <f t="shared" si="23"/>
        <v/>
      </c>
      <c r="BG226" s="15"/>
      <c r="BK226" s="21">
        <v>2.52E-2</v>
      </c>
      <c r="BM226" s="17"/>
      <c r="BN226" s="17"/>
      <c r="BO226" s="17"/>
      <c r="BP226" s="17"/>
      <c r="BQ226" s="17"/>
      <c r="BU226" s="15" t="s">
        <v>455</v>
      </c>
      <c r="BW226" s="17"/>
    </row>
    <row r="227" spans="1:75" hidden="1" x14ac:dyDescent="0.25">
      <c r="A227" s="15" t="s">
        <v>448</v>
      </c>
      <c r="B227" s="15" t="s">
        <v>142</v>
      </c>
      <c r="C227" s="15">
        <v>2005</v>
      </c>
      <c r="D227" s="15" t="s">
        <v>449</v>
      </c>
      <c r="E227" s="15">
        <v>2920</v>
      </c>
      <c r="F227" s="15">
        <v>43285634</v>
      </c>
      <c r="G227" s="15" t="s">
        <v>42</v>
      </c>
      <c r="H227" s="15" t="s">
        <v>110</v>
      </c>
      <c r="I227" s="15" t="s">
        <v>465</v>
      </c>
      <c r="J227" s="15" t="s">
        <v>432</v>
      </c>
      <c r="K227" s="15" t="s">
        <v>98</v>
      </c>
      <c r="L227" s="15" t="s">
        <v>402</v>
      </c>
      <c r="M227" s="15" t="s">
        <v>452</v>
      </c>
      <c r="N227" s="15" t="s">
        <v>101</v>
      </c>
      <c r="O227" s="15" t="s">
        <v>1972</v>
      </c>
      <c r="P227" s="15" t="s">
        <v>1971</v>
      </c>
      <c r="Q227" s="15" t="s">
        <v>1970</v>
      </c>
      <c r="R227" s="15" t="s">
        <v>1861</v>
      </c>
      <c r="S227" s="15" t="s">
        <v>453</v>
      </c>
      <c r="T227" s="15"/>
      <c r="U227" s="15"/>
      <c r="V227" s="15"/>
      <c r="W227" s="15"/>
      <c r="X227" s="15" t="s">
        <v>453</v>
      </c>
      <c r="AE227" s="51" t="str">
        <f t="shared" si="20"/>
        <v/>
      </c>
      <c r="AF227" s="51" t="str">
        <f t="shared" si="21"/>
        <v/>
      </c>
      <c r="AG227" s="51" t="str">
        <f t="shared" si="22"/>
        <v/>
      </c>
      <c r="AH227" s="51" t="str">
        <f t="shared" si="23"/>
        <v/>
      </c>
      <c r="BG227" s="15"/>
      <c r="BK227" s="21">
        <v>2.52E-2</v>
      </c>
      <c r="BM227" s="17"/>
      <c r="BN227" s="17"/>
      <c r="BO227" s="17"/>
      <c r="BP227" s="17"/>
      <c r="BQ227" s="17"/>
      <c r="BU227" s="15" t="s">
        <v>455</v>
      </c>
      <c r="BW227" s="17"/>
    </row>
    <row r="228" spans="1:75" hidden="1" x14ac:dyDescent="0.25">
      <c r="A228" s="15" t="s">
        <v>448</v>
      </c>
      <c r="B228" s="15" t="s">
        <v>150</v>
      </c>
      <c r="C228" s="15">
        <v>2005</v>
      </c>
      <c r="D228" s="15" t="s">
        <v>449</v>
      </c>
      <c r="E228" s="15">
        <v>2920</v>
      </c>
      <c r="F228" s="15">
        <v>43285634</v>
      </c>
      <c r="G228" s="15" t="s">
        <v>42</v>
      </c>
      <c r="H228" s="15" t="s">
        <v>110</v>
      </c>
      <c r="I228" s="15" t="s">
        <v>465</v>
      </c>
      <c r="J228" s="15" t="s">
        <v>466</v>
      </c>
      <c r="K228" s="15" t="s">
        <v>98</v>
      </c>
      <c r="L228" s="15" t="s">
        <v>402</v>
      </c>
      <c r="M228" s="15" t="s">
        <v>452</v>
      </c>
      <c r="N228" s="15" t="s">
        <v>101</v>
      </c>
      <c r="O228" s="15" t="s">
        <v>1972</v>
      </c>
      <c r="P228" s="15" t="s">
        <v>1971</v>
      </c>
      <c r="Q228" s="15" t="s">
        <v>1970</v>
      </c>
      <c r="R228" s="15" t="s">
        <v>1861</v>
      </c>
      <c r="S228" s="15" t="s">
        <v>453</v>
      </c>
      <c r="T228" s="15"/>
      <c r="U228" s="15"/>
      <c r="V228" s="15"/>
      <c r="W228" s="15"/>
      <c r="X228" s="15" t="s">
        <v>453</v>
      </c>
      <c r="Y228" s="17">
        <v>1336051</v>
      </c>
      <c r="Z228" s="17">
        <v>46200</v>
      </c>
      <c r="AA228" s="17">
        <v>7447</v>
      </c>
      <c r="AB228" s="17">
        <v>53647</v>
      </c>
      <c r="AC228" s="17">
        <v>1389698</v>
      </c>
      <c r="AD228" s="17">
        <v>1844</v>
      </c>
      <c r="AE228" s="51">
        <f t="shared" si="20"/>
        <v>30.865921936132438</v>
      </c>
      <c r="AF228" s="51">
        <f t="shared" si="21"/>
        <v>1.2393719357327653</v>
      </c>
      <c r="AG228" s="51">
        <f t="shared" si="22"/>
        <v>32.1052938718652</v>
      </c>
      <c r="AH228" s="51">
        <f t="shared" si="23"/>
        <v>4.260073908123882E-2</v>
      </c>
      <c r="AU228" s="15" t="s">
        <v>467</v>
      </c>
      <c r="AV228" s="15" t="s">
        <v>468</v>
      </c>
      <c r="BG228" s="15"/>
      <c r="BM228" s="17"/>
      <c r="BN228" s="17"/>
      <c r="BO228" s="17"/>
      <c r="BP228" s="17">
        <v>1093133</v>
      </c>
      <c r="BQ228" s="17"/>
      <c r="BS228" s="15" t="s">
        <v>469</v>
      </c>
      <c r="BT228" s="15" t="s">
        <v>463</v>
      </c>
      <c r="BU228" s="15" t="s">
        <v>455</v>
      </c>
      <c r="BV228" s="15" t="s">
        <v>470</v>
      </c>
      <c r="BW228" s="17"/>
    </row>
    <row r="229" spans="1:75" hidden="1" x14ac:dyDescent="0.25">
      <c r="A229" s="15" t="s">
        <v>474</v>
      </c>
      <c r="B229" s="15" t="s">
        <v>30</v>
      </c>
      <c r="C229" s="15">
        <v>2017</v>
      </c>
      <c r="D229" s="15" t="s">
        <v>475</v>
      </c>
      <c r="E229" s="15">
        <v>11040</v>
      </c>
      <c r="F229" s="15">
        <v>4905769</v>
      </c>
      <c r="G229" s="15" t="s">
        <v>42</v>
      </c>
      <c r="H229" s="15" t="s">
        <v>110</v>
      </c>
      <c r="I229" s="15" t="s">
        <v>476</v>
      </c>
      <c r="J229" s="15" t="s">
        <v>477</v>
      </c>
      <c r="K229" s="15" t="s">
        <v>34</v>
      </c>
      <c r="L229" s="15" t="s">
        <v>478</v>
      </c>
      <c r="M229" s="15" t="s">
        <v>479</v>
      </c>
      <c r="N229" s="15" t="s">
        <v>37</v>
      </c>
      <c r="O229" s="15"/>
      <c r="P229" s="15"/>
      <c r="Q229" s="15"/>
      <c r="R229" s="15"/>
      <c r="S229" s="15"/>
      <c r="T229" s="15"/>
      <c r="U229" s="15"/>
      <c r="V229" s="15"/>
      <c r="W229" s="15"/>
      <c r="X229" s="15"/>
      <c r="Y229" s="17">
        <v>24080</v>
      </c>
      <c r="Z229" s="17">
        <v>9374</v>
      </c>
      <c r="AA229" s="17">
        <v>2191</v>
      </c>
      <c r="AB229" s="17">
        <v>11565</v>
      </c>
      <c r="AC229" s="17">
        <v>35645</v>
      </c>
      <c r="AD229" s="17">
        <v>1067</v>
      </c>
      <c r="AE229" s="51">
        <f t="shared" si="20"/>
        <v>4.908506698949747</v>
      </c>
      <c r="AF229" s="51">
        <f t="shared" si="21"/>
        <v>2.3574285703220026</v>
      </c>
      <c r="AG229" s="51">
        <f t="shared" si="22"/>
        <v>7.2659352692717496</v>
      </c>
      <c r="AH229" s="51">
        <f t="shared" si="23"/>
        <v>0.21749903022339617</v>
      </c>
      <c r="AI229" s="17">
        <v>54134</v>
      </c>
      <c r="AJ229" s="17">
        <v>125193</v>
      </c>
      <c r="AK229" s="17">
        <v>120441</v>
      </c>
      <c r="AL229" s="17">
        <v>245634</v>
      </c>
      <c r="AM229" s="17">
        <v>299768</v>
      </c>
      <c r="AN229" s="17">
        <v>425856</v>
      </c>
      <c r="BG229" s="15"/>
      <c r="BM229" s="17"/>
      <c r="BN229" s="17"/>
      <c r="BO229" s="17"/>
      <c r="BP229" s="17"/>
      <c r="BQ229" s="17"/>
      <c r="BS229" s="15" t="s">
        <v>480</v>
      </c>
      <c r="BT229" s="15" t="s">
        <v>481</v>
      </c>
      <c r="BU229" s="15" t="s">
        <v>482</v>
      </c>
      <c r="BW229" s="17"/>
    </row>
    <row r="230" spans="1:75" hidden="1" x14ac:dyDescent="0.25">
      <c r="A230" s="15" t="s">
        <v>474</v>
      </c>
      <c r="B230" s="15" t="s">
        <v>30</v>
      </c>
      <c r="C230" s="15">
        <v>2016</v>
      </c>
      <c r="D230" s="15" t="s">
        <v>475</v>
      </c>
      <c r="E230" s="15">
        <v>10830</v>
      </c>
      <c r="F230" s="15">
        <v>4905769</v>
      </c>
      <c r="G230" s="15" t="s">
        <v>42</v>
      </c>
      <c r="H230" s="15" t="s">
        <v>110</v>
      </c>
      <c r="I230" s="15" t="s">
        <v>476</v>
      </c>
      <c r="J230" s="15" t="s">
        <v>477</v>
      </c>
      <c r="K230" s="15" t="s">
        <v>34</v>
      </c>
      <c r="L230" s="15" t="s">
        <v>478</v>
      </c>
      <c r="M230" s="15" t="s">
        <v>479</v>
      </c>
      <c r="N230" s="15" t="s">
        <v>37</v>
      </c>
      <c r="O230" s="15"/>
      <c r="P230" s="15"/>
      <c r="Q230" s="15"/>
      <c r="R230" s="15"/>
      <c r="S230" s="15"/>
      <c r="T230" s="15"/>
      <c r="U230" s="15"/>
      <c r="V230" s="15"/>
      <c r="W230" s="15"/>
      <c r="X230" s="15"/>
      <c r="Y230" s="17">
        <v>23677</v>
      </c>
      <c r="Z230" s="17">
        <v>9326</v>
      </c>
      <c r="AA230" s="17">
        <v>2178</v>
      </c>
      <c r="AB230" s="17">
        <v>11504</v>
      </c>
      <c r="AC230" s="17">
        <v>35181</v>
      </c>
      <c r="AD230" s="17">
        <v>1081</v>
      </c>
      <c r="AE230" s="51">
        <f t="shared" si="20"/>
        <v>4.8263585179000481</v>
      </c>
      <c r="AF230" s="51">
        <f t="shared" si="21"/>
        <v>2.3449942302623707</v>
      </c>
      <c r="AG230" s="51">
        <f t="shared" si="22"/>
        <v>7.1713527481624189</v>
      </c>
      <c r="AH230" s="51">
        <f t="shared" si="23"/>
        <v>0.22035281318790184</v>
      </c>
      <c r="AI230" s="17">
        <v>52921</v>
      </c>
      <c r="AJ230" s="17">
        <v>125360</v>
      </c>
      <c r="AK230" s="17">
        <v>119874</v>
      </c>
      <c r="AL230" s="17">
        <v>245234</v>
      </c>
      <c r="AM230" s="17">
        <v>298155</v>
      </c>
      <c r="AN230" s="17">
        <v>410392</v>
      </c>
      <c r="BG230" s="15"/>
      <c r="BM230" s="17"/>
      <c r="BN230" s="17"/>
      <c r="BO230" s="17"/>
      <c r="BP230" s="17"/>
      <c r="BQ230" s="17"/>
      <c r="BW230" s="17"/>
    </row>
    <row r="231" spans="1:75" hidden="1" x14ac:dyDescent="0.25">
      <c r="A231" s="15" t="s">
        <v>474</v>
      </c>
      <c r="B231" s="15" t="s">
        <v>30</v>
      </c>
      <c r="C231" s="15">
        <v>2015</v>
      </c>
      <c r="D231" s="15" t="s">
        <v>475</v>
      </c>
      <c r="E231" s="15">
        <v>10500</v>
      </c>
      <c r="F231" s="15">
        <v>4807852</v>
      </c>
      <c r="G231" s="15" t="s">
        <v>42</v>
      </c>
      <c r="H231" s="15" t="s">
        <v>110</v>
      </c>
      <c r="I231" s="15" t="s">
        <v>476</v>
      </c>
      <c r="J231" s="15" t="s">
        <v>477</v>
      </c>
      <c r="K231" s="15" t="s">
        <v>34</v>
      </c>
      <c r="L231" s="15" t="s">
        <v>478</v>
      </c>
      <c r="M231" s="15" t="s">
        <v>479</v>
      </c>
      <c r="N231" s="15" t="s">
        <v>37</v>
      </c>
      <c r="O231" s="15"/>
      <c r="P231" s="15"/>
      <c r="Q231" s="15"/>
      <c r="R231" s="15"/>
      <c r="S231" s="15"/>
      <c r="T231" s="15"/>
      <c r="U231" s="15"/>
      <c r="V231" s="15"/>
      <c r="W231" s="15"/>
      <c r="X231" s="15"/>
      <c r="Y231" s="17">
        <v>24750</v>
      </c>
      <c r="Z231" s="17">
        <v>9541</v>
      </c>
      <c r="AA231" s="17">
        <v>2212</v>
      </c>
      <c r="AB231" s="17">
        <v>11753</v>
      </c>
      <c r="AC231" s="17">
        <v>36503</v>
      </c>
      <c r="AD231" s="17">
        <v>1066</v>
      </c>
      <c r="AE231" s="51">
        <f t="shared" si="20"/>
        <v>5.1478290097116126</v>
      </c>
      <c r="AF231" s="51">
        <f t="shared" si="21"/>
        <v>2.4445428020662869</v>
      </c>
      <c r="AG231" s="51">
        <f t="shared" si="22"/>
        <v>7.5923718117779</v>
      </c>
      <c r="AH231" s="51">
        <f t="shared" si="23"/>
        <v>0.22172063532737696</v>
      </c>
      <c r="AI231" s="17">
        <v>54381</v>
      </c>
      <c r="AJ231" s="17">
        <v>129271</v>
      </c>
      <c r="AK231" s="17">
        <v>120861</v>
      </c>
      <c r="AL231" s="17">
        <v>250132</v>
      </c>
      <c r="AM231" s="17">
        <v>304513</v>
      </c>
      <c r="AN231" s="17">
        <v>401936</v>
      </c>
      <c r="BG231" s="15"/>
      <c r="BM231" s="17"/>
      <c r="BN231" s="17"/>
      <c r="BO231" s="17"/>
      <c r="BP231" s="17"/>
      <c r="BQ231" s="17"/>
      <c r="BW231" s="17"/>
    </row>
    <row r="232" spans="1:75" hidden="1" x14ac:dyDescent="0.25">
      <c r="A232" s="15" t="s">
        <v>474</v>
      </c>
      <c r="B232" s="15" t="s">
        <v>30</v>
      </c>
      <c r="C232" s="15">
        <v>2014</v>
      </c>
      <c r="D232" s="15" t="s">
        <v>475</v>
      </c>
      <c r="E232" s="15">
        <v>10200</v>
      </c>
      <c r="F232" s="15">
        <v>4757575</v>
      </c>
      <c r="G232" s="15" t="s">
        <v>42</v>
      </c>
      <c r="H232" s="15" t="s">
        <v>110</v>
      </c>
      <c r="I232" s="15" t="s">
        <v>476</v>
      </c>
      <c r="J232" s="15" t="s">
        <v>477</v>
      </c>
      <c r="K232" s="15" t="s">
        <v>34</v>
      </c>
      <c r="L232" s="15" t="s">
        <v>478</v>
      </c>
      <c r="M232" s="15" t="s">
        <v>479</v>
      </c>
      <c r="N232" s="15" t="s">
        <v>37</v>
      </c>
      <c r="O232" s="15"/>
      <c r="P232" s="15"/>
      <c r="Q232" s="15"/>
      <c r="R232" s="15"/>
      <c r="S232" s="15"/>
      <c r="T232" s="15"/>
      <c r="U232" s="15"/>
      <c r="V232" s="15"/>
      <c r="W232" s="15"/>
      <c r="X232" s="15"/>
      <c r="Y232" s="17">
        <v>27203</v>
      </c>
      <c r="Z232" s="17">
        <v>9919</v>
      </c>
      <c r="AA232" s="17">
        <v>2339</v>
      </c>
      <c r="AB232" s="17">
        <v>12258</v>
      </c>
      <c r="AC232" s="17">
        <v>39461</v>
      </c>
      <c r="AD232" s="17">
        <v>1088</v>
      </c>
      <c r="AE232" s="51">
        <f t="shared" si="20"/>
        <v>5.7178289359600214</v>
      </c>
      <c r="AF232" s="51">
        <f t="shared" si="21"/>
        <v>2.5765227032679463</v>
      </c>
      <c r="AG232" s="51">
        <f t="shared" si="22"/>
        <v>8.2943516392279673</v>
      </c>
      <c r="AH232" s="51">
        <f t="shared" si="23"/>
        <v>0.22868793450444819</v>
      </c>
      <c r="AI232" s="17">
        <v>54381</v>
      </c>
      <c r="AJ232" s="17">
        <v>129271</v>
      </c>
      <c r="AK232" s="17">
        <v>120861</v>
      </c>
      <c r="AL232" s="17">
        <v>250132</v>
      </c>
      <c r="AM232" s="17">
        <v>304513</v>
      </c>
      <c r="AN232" s="17">
        <v>401936</v>
      </c>
      <c r="BG232" s="15"/>
      <c r="BM232" s="17"/>
      <c r="BN232" s="17"/>
      <c r="BO232" s="17"/>
      <c r="BP232" s="17"/>
      <c r="BQ232" s="17"/>
      <c r="BW232" s="17"/>
    </row>
    <row r="233" spans="1:75" hidden="1" x14ac:dyDescent="0.25">
      <c r="A233" s="15" t="s">
        <v>474</v>
      </c>
      <c r="B233" s="15" t="s">
        <v>30</v>
      </c>
      <c r="C233" s="15">
        <v>2013</v>
      </c>
      <c r="D233" s="15" t="s">
        <v>475</v>
      </c>
      <c r="E233" s="15">
        <v>9810</v>
      </c>
      <c r="F233" s="15">
        <v>4706401</v>
      </c>
      <c r="G233" s="15" t="s">
        <v>42</v>
      </c>
      <c r="H233" s="15" t="s">
        <v>110</v>
      </c>
      <c r="I233" s="15" t="s">
        <v>476</v>
      </c>
      <c r="J233" s="15" t="s">
        <v>477</v>
      </c>
      <c r="K233" s="15" t="s">
        <v>34</v>
      </c>
      <c r="L233" s="15" t="s">
        <v>478</v>
      </c>
      <c r="M233" s="15" t="s">
        <v>479</v>
      </c>
      <c r="N233" s="15" t="s">
        <v>37</v>
      </c>
      <c r="O233" s="15"/>
      <c r="P233" s="15"/>
      <c r="Q233" s="15"/>
      <c r="R233" s="15"/>
      <c r="S233" s="15"/>
      <c r="T233" s="15"/>
      <c r="U233" s="15"/>
      <c r="V233" s="15"/>
      <c r="W233" s="15"/>
      <c r="X233" s="15"/>
      <c r="Y233" s="17">
        <v>28689</v>
      </c>
      <c r="Z233" s="17">
        <v>10042</v>
      </c>
      <c r="AA233" s="17">
        <v>2337</v>
      </c>
      <c r="AB233" s="17">
        <v>12379</v>
      </c>
      <c r="AC233" s="17">
        <v>41068</v>
      </c>
      <c r="AD233" s="17">
        <v>1129</v>
      </c>
      <c r="AE233" s="51">
        <f t="shared" si="20"/>
        <v>6.0957406731810577</v>
      </c>
      <c r="AF233" s="51">
        <f t="shared" si="21"/>
        <v>2.6302476138348601</v>
      </c>
      <c r="AG233" s="51">
        <f t="shared" si="22"/>
        <v>8.725988287015916</v>
      </c>
      <c r="AH233" s="51">
        <f t="shared" si="23"/>
        <v>0.23988606155744061</v>
      </c>
      <c r="AI233" s="17">
        <v>61261</v>
      </c>
      <c r="AJ233" s="17">
        <v>134539</v>
      </c>
      <c r="AK233" s="17">
        <v>126042</v>
      </c>
      <c r="AL233" s="17">
        <v>260581</v>
      </c>
      <c r="AM233" s="17">
        <v>321842</v>
      </c>
      <c r="AN233" s="17">
        <v>411751</v>
      </c>
      <c r="BG233" s="15"/>
      <c r="BM233" s="17"/>
      <c r="BN233" s="17"/>
      <c r="BO233" s="17"/>
      <c r="BP233" s="17"/>
      <c r="BQ233" s="17"/>
      <c r="BW233" s="17"/>
    </row>
    <row r="234" spans="1:75" hidden="1" x14ac:dyDescent="0.25">
      <c r="A234" s="15" t="s">
        <v>474</v>
      </c>
      <c r="B234" s="15" t="s">
        <v>30</v>
      </c>
      <c r="C234" s="15">
        <v>2012</v>
      </c>
      <c r="D234" s="15" t="s">
        <v>475</v>
      </c>
      <c r="E234" s="15">
        <v>9210</v>
      </c>
      <c r="F234" s="15">
        <v>4654122</v>
      </c>
      <c r="G234" s="15" t="s">
        <v>42</v>
      </c>
      <c r="H234" s="15" t="s">
        <v>110</v>
      </c>
      <c r="I234" s="15" t="s">
        <v>476</v>
      </c>
      <c r="J234" s="15" t="s">
        <v>477</v>
      </c>
      <c r="K234" s="15" t="s">
        <v>34</v>
      </c>
      <c r="L234" s="15" t="s">
        <v>478</v>
      </c>
      <c r="M234" s="15" t="s">
        <v>479</v>
      </c>
      <c r="N234" s="15" t="s">
        <v>37</v>
      </c>
      <c r="O234" s="15"/>
      <c r="P234" s="15"/>
      <c r="Q234" s="15"/>
      <c r="R234" s="15"/>
      <c r="S234" s="15"/>
      <c r="T234" s="15"/>
      <c r="U234" s="15"/>
      <c r="V234" s="15"/>
      <c r="W234" s="15"/>
      <c r="X234" s="15"/>
      <c r="Y234" s="17">
        <v>31799</v>
      </c>
      <c r="Z234" s="17">
        <v>10871</v>
      </c>
      <c r="AA234" s="17">
        <v>2444</v>
      </c>
      <c r="AB234" s="17">
        <v>13315</v>
      </c>
      <c r="AC234" s="17">
        <v>45114</v>
      </c>
      <c r="AD234" s="17">
        <v>1134</v>
      </c>
      <c r="AE234" s="51">
        <f t="shared" si="20"/>
        <v>6.8324379979725505</v>
      </c>
      <c r="AF234" s="51">
        <f t="shared" si="21"/>
        <v>2.8609048065349381</v>
      </c>
      <c r="AG234" s="51">
        <f t="shared" si="22"/>
        <v>9.6933428045074894</v>
      </c>
      <c r="AH234" s="51">
        <f t="shared" si="23"/>
        <v>0.24365497939246114</v>
      </c>
      <c r="AI234" s="17">
        <v>68037</v>
      </c>
      <c r="AJ234" s="17">
        <v>145945</v>
      </c>
      <c r="AK234" s="17">
        <v>130757</v>
      </c>
      <c r="AL234" s="17">
        <v>276702</v>
      </c>
      <c r="AM234" s="17">
        <v>344739</v>
      </c>
      <c r="AN234" s="17">
        <v>425653</v>
      </c>
      <c r="BG234" s="15"/>
      <c r="BM234" s="17"/>
      <c r="BN234" s="17"/>
      <c r="BO234" s="17"/>
      <c r="BP234" s="17"/>
      <c r="BQ234" s="17"/>
      <c r="BW234" s="17"/>
    </row>
    <row r="235" spans="1:75" hidden="1" x14ac:dyDescent="0.25">
      <c r="A235" s="15" t="s">
        <v>474</v>
      </c>
      <c r="B235" s="15" t="s">
        <v>30</v>
      </c>
      <c r="C235" s="15">
        <v>2011</v>
      </c>
      <c r="D235" s="15" t="s">
        <v>475</v>
      </c>
      <c r="E235" s="15">
        <v>8060</v>
      </c>
      <c r="F235" s="15">
        <v>4600474</v>
      </c>
      <c r="G235" s="15" t="s">
        <v>42</v>
      </c>
      <c r="H235" s="15" t="s">
        <v>110</v>
      </c>
      <c r="I235" s="15" t="s">
        <v>476</v>
      </c>
      <c r="J235" s="15" t="s">
        <v>477</v>
      </c>
      <c r="K235" s="15" t="s">
        <v>34</v>
      </c>
      <c r="L235" s="15" t="s">
        <v>478</v>
      </c>
      <c r="M235" s="15" t="s">
        <v>479</v>
      </c>
      <c r="N235" s="15" t="s">
        <v>37</v>
      </c>
      <c r="O235" s="15"/>
      <c r="P235" s="15"/>
      <c r="Q235" s="15"/>
      <c r="R235" s="15"/>
      <c r="S235" s="15"/>
      <c r="T235" s="15"/>
      <c r="U235" s="15"/>
      <c r="V235" s="15"/>
      <c r="W235" s="15"/>
      <c r="X235" s="15"/>
      <c r="Y235" s="17">
        <v>29419</v>
      </c>
      <c r="Z235" s="17">
        <v>8088</v>
      </c>
      <c r="AA235" s="17">
        <v>1762</v>
      </c>
      <c r="AB235" s="17">
        <v>9850</v>
      </c>
      <c r="AC235" s="17">
        <v>39269</v>
      </c>
      <c r="AD235" s="17">
        <v>1000</v>
      </c>
      <c r="AE235" s="51">
        <f t="shared" si="20"/>
        <v>6.3947758426631696</v>
      </c>
      <c r="AF235" s="51">
        <f t="shared" si="21"/>
        <v>2.1410837231120099</v>
      </c>
      <c r="AG235" s="51">
        <f t="shared" si="22"/>
        <v>8.5358595657751781</v>
      </c>
      <c r="AH235" s="51">
        <f t="shared" si="23"/>
        <v>0.2173689058996964</v>
      </c>
      <c r="AI235" s="17">
        <v>63975</v>
      </c>
      <c r="AJ235" s="17">
        <v>103242</v>
      </c>
      <c r="AK235" s="17">
        <v>95856</v>
      </c>
      <c r="AL235" s="17">
        <v>199098</v>
      </c>
      <c r="AM235" s="17">
        <v>263073</v>
      </c>
      <c r="AN235" s="17">
        <v>378365</v>
      </c>
      <c r="BG235" s="15"/>
      <c r="BM235" s="17"/>
      <c r="BN235" s="17"/>
      <c r="BO235" s="17"/>
      <c r="BP235" s="17"/>
      <c r="BQ235" s="17"/>
      <c r="BW235" s="17"/>
    </row>
    <row r="236" spans="1:75" hidden="1" x14ac:dyDescent="0.25">
      <c r="A236" s="15" t="s">
        <v>474</v>
      </c>
      <c r="B236" s="15" t="s">
        <v>30</v>
      </c>
      <c r="C236" s="15">
        <v>2010</v>
      </c>
      <c r="D236" s="15" t="s">
        <v>475</v>
      </c>
      <c r="E236" s="15">
        <v>7230</v>
      </c>
      <c r="F236" s="15">
        <v>4545280</v>
      </c>
      <c r="G236" s="15" t="s">
        <v>42</v>
      </c>
      <c r="H236" s="15" t="s">
        <v>110</v>
      </c>
      <c r="I236" s="15" t="s">
        <v>476</v>
      </c>
      <c r="J236" s="15" t="s">
        <v>477</v>
      </c>
      <c r="K236" s="15" t="s">
        <v>34</v>
      </c>
      <c r="L236" s="15" t="s">
        <v>478</v>
      </c>
      <c r="M236" s="15" t="s">
        <v>479</v>
      </c>
      <c r="N236" s="15" t="s">
        <v>37</v>
      </c>
      <c r="O236" s="15"/>
      <c r="P236" s="15"/>
      <c r="Q236" s="15"/>
      <c r="R236" s="15"/>
      <c r="S236" s="15"/>
      <c r="T236" s="15"/>
      <c r="U236" s="15"/>
      <c r="V236" s="15"/>
      <c r="W236" s="15"/>
      <c r="X236" s="15"/>
      <c r="Y236" s="17">
        <v>30568</v>
      </c>
      <c r="Z236" s="17">
        <v>7673</v>
      </c>
      <c r="AA236" s="17">
        <v>1711</v>
      </c>
      <c r="AB236" s="17">
        <v>9384</v>
      </c>
      <c r="AC236" s="17">
        <v>39952</v>
      </c>
      <c r="AD236" s="17">
        <v>975</v>
      </c>
      <c r="AE236" s="51">
        <f t="shared" si="20"/>
        <v>6.7252182483807381</v>
      </c>
      <c r="AF236" s="51">
        <f t="shared" si="21"/>
        <v>2.0645592790763163</v>
      </c>
      <c r="AG236" s="51">
        <f t="shared" si="22"/>
        <v>8.7897775274570549</v>
      </c>
      <c r="AH236" s="51">
        <f t="shared" si="23"/>
        <v>0.21450823711630526</v>
      </c>
      <c r="AI236" s="17">
        <v>67363</v>
      </c>
      <c r="AJ236" s="17">
        <v>98610</v>
      </c>
      <c r="AK236" s="17">
        <v>93517</v>
      </c>
      <c r="AL236" s="17">
        <v>192127</v>
      </c>
      <c r="AM236" s="17">
        <v>259490</v>
      </c>
      <c r="AN236" s="17">
        <v>358407</v>
      </c>
      <c r="BG236" s="15"/>
      <c r="BM236" s="17"/>
      <c r="BN236" s="17"/>
      <c r="BO236" s="17"/>
      <c r="BP236" s="17"/>
      <c r="BQ236" s="17"/>
      <c r="BW236" s="17"/>
    </row>
    <row r="237" spans="1:75" hidden="1" x14ac:dyDescent="0.25">
      <c r="A237" s="15" t="s">
        <v>483</v>
      </c>
      <c r="B237" s="15" t="s">
        <v>30</v>
      </c>
      <c r="C237" s="15">
        <v>2012</v>
      </c>
      <c r="D237" s="15" t="s">
        <v>484</v>
      </c>
      <c r="E237" s="15">
        <v>1240</v>
      </c>
      <c r="F237" s="15">
        <v>21418603</v>
      </c>
      <c r="G237" s="15" t="s">
        <v>88</v>
      </c>
      <c r="H237" s="15" t="s">
        <v>89</v>
      </c>
      <c r="I237" s="15" t="s">
        <v>485</v>
      </c>
      <c r="J237" s="15" t="s">
        <v>486</v>
      </c>
      <c r="K237" s="15"/>
      <c r="L237" s="15"/>
      <c r="M237" s="15"/>
      <c r="N237" s="15"/>
      <c r="O237" s="15"/>
      <c r="P237" s="15"/>
      <c r="Q237" s="15"/>
      <c r="R237" s="15"/>
      <c r="S237" s="15"/>
      <c r="T237" s="15"/>
      <c r="U237" s="15" t="s">
        <v>487</v>
      </c>
      <c r="V237" s="15" t="s">
        <v>488</v>
      </c>
      <c r="W237" s="15" t="s">
        <v>417</v>
      </c>
      <c r="X237" s="15" t="s">
        <v>296</v>
      </c>
      <c r="AA237" s="17">
        <v>2765</v>
      </c>
      <c r="AC237" s="17">
        <v>12164</v>
      </c>
      <c r="AD237" s="17">
        <v>1147</v>
      </c>
      <c r="AE237" s="51" t="str">
        <f t="shared" si="20"/>
        <v/>
      </c>
      <c r="AF237" s="51" t="str">
        <f t="shared" si="21"/>
        <v/>
      </c>
      <c r="AG237" s="51">
        <f t="shared" si="22"/>
        <v>0.567917524779744</v>
      </c>
      <c r="AH237" s="51">
        <f t="shared" si="23"/>
        <v>5.355157850397619E-2</v>
      </c>
      <c r="BG237" s="15"/>
      <c r="BM237" s="17"/>
      <c r="BN237" s="17"/>
      <c r="BO237" s="17"/>
      <c r="BP237" s="17"/>
      <c r="BQ237" s="17"/>
      <c r="BW237" s="17" t="s">
        <v>490</v>
      </c>
    </row>
    <row r="238" spans="1:75" hidden="1" x14ac:dyDescent="0.25">
      <c r="A238" s="15" t="s">
        <v>483</v>
      </c>
      <c r="B238" s="15" t="s">
        <v>52</v>
      </c>
      <c r="C238" s="15">
        <v>2012</v>
      </c>
      <c r="D238" s="15" t="s">
        <v>484</v>
      </c>
      <c r="E238" s="15">
        <v>1240</v>
      </c>
      <c r="F238" s="15">
        <v>21418603</v>
      </c>
      <c r="G238" s="15" t="s">
        <v>88</v>
      </c>
      <c r="H238" s="15" t="s">
        <v>89</v>
      </c>
      <c r="I238" s="15" t="s">
        <v>491</v>
      </c>
      <c r="J238" s="15" t="s">
        <v>492</v>
      </c>
      <c r="K238" s="15" t="s">
        <v>61</v>
      </c>
      <c r="L238" s="15" t="s">
        <v>493</v>
      </c>
      <c r="M238" s="15" t="s">
        <v>494</v>
      </c>
      <c r="N238" s="15" t="s">
        <v>101</v>
      </c>
      <c r="O238" s="15"/>
      <c r="P238" s="15"/>
      <c r="Q238" s="15"/>
      <c r="R238" s="15"/>
      <c r="S238" s="15"/>
      <c r="T238" s="15" t="s">
        <v>495</v>
      </c>
      <c r="U238" s="15" t="s">
        <v>496</v>
      </c>
      <c r="V238" s="15" t="s">
        <v>488</v>
      </c>
      <c r="W238" s="15" t="s">
        <v>497</v>
      </c>
      <c r="X238" s="15" t="s">
        <v>296</v>
      </c>
      <c r="AE238" s="51" t="str">
        <f t="shared" ref="AE238:AE269" si="24">IF(ISERROR((Y238/$F238)*1000),"",IF((Y238/$F238)*1000=0,"",(Y238/$F238)*1000))</f>
        <v/>
      </c>
      <c r="AF238" s="51" t="str">
        <f t="shared" ref="AF238:AF269" si="25">IF(ISERROR((AB238/$F238)*1000),"",IF((AB238/$F238)*1000=0,"",(AB238/$F238)*1000))</f>
        <v/>
      </c>
      <c r="AG238" s="51" t="str">
        <f t="shared" ref="AG238:AG269" si="26">IF(ISERROR((AC238/$F238)*1000),"",IF((AC238/$F238)*1000=0,"",(AC238/$F238)*1000))</f>
        <v/>
      </c>
      <c r="AH238" s="51" t="str">
        <f t="shared" ref="AH238:AH269" si="27">IF(ISERROR((AD238/$F238)*1000),"",IF((AD238/$F238)*1000=0,"",(AD238/$F238)*1000))</f>
        <v/>
      </c>
      <c r="BG238" s="15"/>
      <c r="BM238" s="17"/>
      <c r="BN238" s="17"/>
      <c r="BO238" s="17"/>
      <c r="BP238" s="17"/>
      <c r="BQ238" s="17"/>
      <c r="BW238" s="17"/>
    </row>
    <row r="239" spans="1:75" hidden="1" x14ac:dyDescent="0.25">
      <c r="A239" s="15" t="s">
        <v>498</v>
      </c>
      <c r="B239" s="15" t="s">
        <v>30</v>
      </c>
      <c r="C239" s="15">
        <v>2016</v>
      </c>
      <c r="D239" s="15" t="s">
        <v>499</v>
      </c>
      <c r="E239" s="15">
        <v>12290</v>
      </c>
      <c r="F239" s="15">
        <v>4125700</v>
      </c>
      <c r="G239" s="15" t="s">
        <v>109</v>
      </c>
      <c r="H239" s="15" t="s">
        <v>43</v>
      </c>
      <c r="I239" s="15" t="s">
        <v>188</v>
      </c>
      <c r="J239" s="15" t="s">
        <v>500</v>
      </c>
      <c r="K239" s="15" t="s">
        <v>190</v>
      </c>
      <c r="L239" s="15" t="s">
        <v>48</v>
      </c>
      <c r="M239" s="15" t="s">
        <v>62</v>
      </c>
      <c r="N239" s="15" t="s">
        <v>63</v>
      </c>
      <c r="O239" s="15"/>
      <c r="P239" s="15"/>
      <c r="Q239" s="15"/>
      <c r="R239" s="15"/>
      <c r="S239" s="15"/>
      <c r="T239" s="15"/>
      <c r="U239" s="15"/>
      <c r="V239" s="15"/>
      <c r="W239" s="15"/>
      <c r="X239" s="15"/>
      <c r="Y239" s="17">
        <v>134460</v>
      </c>
      <c r="Z239" s="17">
        <v>10836</v>
      </c>
      <c r="AA239" s="17">
        <v>1795</v>
      </c>
      <c r="AB239" s="17">
        <v>12631</v>
      </c>
      <c r="AC239" s="17">
        <v>147091</v>
      </c>
      <c r="AD239" s="17">
        <v>390</v>
      </c>
      <c r="AE239" s="51">
        <f t="shared" si="24"/>
        <v>32.590833070751636</v>
      </c>
      <c r="AF239" s="51">
        <f t="shared" si="25"/>
        <v>3.061541071818116</v>
      </c>
      <c r="AG239" s="51">
        <f t="shared" si="26"/>
        <v>35.652374142569748</v>
      </c>
      <c r="AH239" s="51">
        <f t="shared" si="27"/>
        <v>9.4529413190488895E-2</v>
      </c>
      <c r="AI239" s="17">
        <v>299791</v>
      </c>
      <c r="AJ239" s="17">
        <v>206870</v>
      </c>
      <c r="AK239" s="17">
        <v>185646</v>
      </c>
      <c r="AL239" s="17">
        <v>392516</v>
      </c>
      <c r="AM239" s="17">
        <v>692307</v>
      </c>
      <c r="AN239" s="17">
        <v>305028</v>
      </c>
      <c r="BG239" s="15"/>
      <c r="BM239" s="17"/>
      <c r="BN239" s="17"/>
      <c r="BO239" s="17"/>
      <c r="BP239" s="17"/>
      <c r="BQ239" s="17"/>
      <c r="BW239" s="17"/>
    </row>
    <row r="240" spans="1:75" ht="15.6" hidden="1" customHeight="1" x14ac:dyDescent="0.25">
      <c r="A240" s="15" t="s">
        <v>498</v>
      </c>
      <c r="B240" s="15" t="s">
        <v>30</v>
      </c>
      <c r="C240" s="15">
        <v>2015</v>
      </c>
      <c r="D240" s="15" t="s">
        <v>499</v>
      </c>
      <c r="E240" s="15">
        <v>12950</v>
      </c>
      <c r="F240" s="15">
        <v>4203604</v>
      </c>
      <c r="G240" s="15" t="s">
        <v>109</v>
      </c>
      <c r="H240" s="15" t="s">
        <v>43</v>
      </c>
      <c r="I240" s="15" t="s">
        <v>188</v>
      </c>
      <c r="J240" s="15" t="s">
        <v>500</v>
      </c>
      <c r="K240" s="15" t="s">
        <v>190</v>
      </c>
      <c r="L240" s="15" t="s">
        <v>48</v>
      </c>
      <c r="M240" s="15" t="s">
        <v>62</v>
      </c>
      <c r="N240" s="15" t="s">
        <v>63</v>
      </c>
      <c r="O240" s="15"/>
      <c r="P240" s="15"/>
      <c r="Q240" s="15"/>
      <c r="R240" s="15"/>
      <c r="S240" s="15"/>
      <c r="T240" s="15"/>
      <c r="U240" s="15"/>
      <c r="V240" s="15"/>
      <c r="W240" s="15"/>
      <c r="X240" s="15"/>
      <c r="Y240" s="17">
        <v>134007</v>
      </c>
      <c r="Z240" s="17">
        <v>10450</v>
      </c>
      <c r="AA240" s="17">
        <v>1799</v>
      </c>
      <c r="AB240" s="17">
        <v>12249</v>
      </c>
      <c r="AC240" s="17">
        <v>146256</v>
      </c>
      <c r="AD240" s="17">
        <v>381</v>
      </c>
      <c r="AE240" s="51">
        <f t="shared" si="24"/>
        <v>31.879073290443156</v>
      </c>
      <c r="AF240" s="51">
        <f t="shared" si="25"/>
        <v>2.9139281435644269</v>
      </c>
      <c r="AG240" s="51">
        <f t="shared" si="26"/>
        <v>34.793001434007579</v>
      </c>
      <c r="AH240" s="51">
        <f t="shared" si="27"/>
        <v>9.0636510955836941E-2</v>
      </c>
      <c r="AI240" s="17">
        <v>302932</v>
      </c>
      <c r="AJ240" s="17">
        <v>199378</v>
      </c>
      <c r="AK240" s="17">
        <v>185223</v>
      </c>
      <c r="AL240" s="17">
        <v>384601</v>
      </c>
      <c r="AM240" s="17">
        <v>687533</v>
      </c>
      <c r="AN240" s="17">
        <v>302065</v>
      </c>
      <c r="BG240" s="15"/>
      <c r="BM240" s="17"/>
      <c r="BN240" s="17"/>
      <c r="BO240" s="17"/>
      <c r="BP240" s="17"/>
      <c r="BQ240" s="17"/>
      <c r="BW240" s="17"/>
    </row>
    <row r="241" spans="1:75" hidden="1" x14ac:dyDescent="0.25">
      <c r="A241" s="15" t="s">
        <v>498</v>
      </c>
      <c r="B241" s="15" t="s">
        <v>30</v>
      </c>
      <c r="C241" s="15">
        <v>2014</v>
      </c>
      <c r="D241" s="15" t="s">
        <v>499</v>
      </c>
      <c r="E241" s="15">
        <v>13280</v>
      </c>
      <c r="F241" s="15">
        <v>4238389</v>
      </c>
      <c r="G241" s="15" t="s">
        <v>109</v>
      </c>
      <c r="H241" s="15" t="s">
        <v>43</v>
      </c>
      <c r="I241" s="15" t="s">
        <v>188</v>
      </c>
      <c r="J241" s="15" t="s">
        <v>500</v>
      </c>
      <c r="K241" s="15" t="s">
        <v>190</v>
      </c>
      <c r="L241" s="15" t="s">
        <v>48</v>
      </c>
      <c r="M241" s="15" t="s">
        <v>62</v>
      </c>
      <c r="N241" s="15" t="s">
        <v>63</v>
      </c>
      <c r="O241" s="15"/>
      <c r="P241" s="15"/>
      <c r="Q241" s="15"/>
      <c r="R241" s="15"/>
      <c r="S241" s="15"/>
      <c r="T241" s="15"/>
      <c r="U241" s="15"/>
      <c r="V241" s="15"/>
      <c r="W241" s="15"/>
      <c r="X241" s="15"/>
      <c r="Y241" s="17">
        <v>135116</v>
      </c>
      <c r="Z241" s="17">
        <v>10141</v>
      </c>
      <c r="AA241" s="17">
        <v>1756</v>
      </c>
      <c r="AB241" s="17">
        <v>11897</v>
      </c>
      <c r="AC241" s="17">
        <v>147013</v>
      </c>
      <c r="AD241" s="17">
        <v>378</v>
      </c>
      <c r="AE241" s="51">
        <f t="shared" si="24"/>
        <v>31.879093683944536</v>
      </c>
      <c r="AF241" s="51">
        <f t="shared" si="25"/>
        <v>2.8069627398523354</v>
      </c>
      <c r="AG241" s="51">
        <f t="shared" si="26"/>
        <v>34.68605642379687</v>
      </c>
      <c r="AH241" s="51">
        <f t="shared" si="27"/>
        <v>8.9184829424576173E-2</v>
      </c>
      <c r="AK241" s="17">
        <v>181077</v>
      </c>
      <c r="BG241" s="15"/>
      <c r="BM241" s="17"/>
      <c r="BN241" s="17"/>
      <c r="BO241" s="17"/>
      <c r="BP241" s="17"/>
      <c r="BQ241" s="17"/>
      <c r="BW241" s="17"/>
    </row>
    <row r="242" spans="1:75" hidden="1" x14ac:dyDescent="0.25">
      <c r="A242" s="15" t="s">
        <v>498</v>
      </c>
      <c r="B242" s="15" t="s">
        <v>30</v>
      </c>
      <c r="C242" s="15">
        <v>2013</v>
      </c>
      <c r="D242" s="15" t="s">
        <v>499</v>
      </c>
      <c r="E242" s="15">
        <v>13540</v>
      </c>
      <c r="F242" s="15">
        <v>4255689</v>
      </c>
      <c r="G242" s="15" t="s">
        <v>109</v>
      </c>
      <c r="H242" s="15" t="s">
        <v>43</v>
      </c>
      <c r="I242" s="15" t="s">
        <v>188</v>
      </c>
      <c r="J242" s="15" t="s">
        <v>500</v>
      </c>
      <c r="K242" s="15" t="s">
        <v>190</v>
      </c>
      <c r="L242" s="15" t="s">
        <v>48</v>
      </c>
      <c r="M242" s="15" t="s">
        <v>62</v>
      </c>
      <c r="N242" s="15" t="s">
        <v>63</v>
      </c>
      <c r="O242" s="15"/>
      <c r="P242" s="15"/>
      <c r="Q242" s="15"/>
      <c r="R242" s="15"/>
      <c r="S242" s="15"/>
      <c r="T242" s="15"/>
      <c r="U242" s="15"/>
      <c r="V242" s="15"/>
      <c r="W242" s="15"/>
      <c r="X242" s="15"/>
      <c r="Y242" s="17">
        <v>134255</v>
      </c>
      <c r="Z242" s="17">
        <v>10181</v>
      </c>
      <c r="AA242" s="17">
        <v>1787</v>
      </c>
      <c r="AB242" s="17">
        <v>11968</v>
      </c>
      <c r="AC242" s="17">
        <v>146223</v>
      </c>
      <c r="AD242" s="17">
        <v>404</v>
      </c>
      <c r="AE242" s="51">
        <f t="shared" si="24"/>
        <v>31.5471830765829</v>
      </c>
      <c r="AF242" s="51">
        <f t="shared" si="25"/>
        <v>2.8122355745450385</v>
      </c>
      <c r="AG242" s="51">
        <f t="shared" si="26"/>
        <v>34.359418651127939</v>
      </c>
      <c r="AH242" s="51">
        <f t="shared" si="27"/>
        <v>9.4931749007035049E-2</v>
      </c>
      <c r="AI242" s="17">
        <v>300388</v>
      </c>
      <c r="AJ242" s="17">
        <v>193170</v>
      </c>
      <c r="AK242" s="17">
        <v>184427</v>
      </c>
      <c r="AL242" s="17">
        <v>377597</v>
      </c>
      <c r="AM242" s="17">
        <v>677985</v>
      </c>
      <c r="AN242" s="17">
        <v>318646</v>
      </c>
      <c r="BG242" s="15"/>
      <c r="BM242" s="17"/>
      <c r="BN242" s="17"/>
      <c r="BO242" s="17"/>
      <c r="BP242" s="17"/>
      <c r="BQ242" s="17"/>
      <c r="BW242" s="17"/>
    </row>
    <row r="243" spans="1:75" hidden="1" x14ac:dyDescent="0.25">
      <c r="A243" s="15" t="s">
        <v>498</v>
      </c>
      <c r="B243" s="15" t="s">
        <v>30</v>
      </c>
      <c r="C243" s="15">
        <v>2012</v>
      </c>
      <c r="D243" s="15" t="s">
        <v>499</v>
      </c>
      <c r="E243" s="15">
        <v>13480</v>
      </c>
      <c r="F243" s="15">
        <v>4267558</v>
      </c>
      <c r="G243" s="15" t="s">
        <v>109</v>
      </c>
      <c r="H243" s="15" t="s">
        <v>43</v>
      </c>
      <c r="I243" s="15" t="s">
        <v>188</v>
      </c>
      <c r="J243" s="15" t="s">
        <v>500</v>
      </c>
      <c r="K243" s="15" t="s">
        <v>190</v>
      </c>
      <c r="L243" s="15" t="s">
        <v>48</v>
      </c>
      <c r="M243" s="15" t="s">
        <v>62</v>
      </c>
      <c r="N243" s="15" t="s">
        <v>63</v>
      </c>
      <c r="O243" s="15"/>
      <c r="P243" s="15"/>
      <c r="Q243" s="15"/>
      <c r="R243" s="15"/>
      <c r="S243" s="15"/>
      <c r="T243" s="15"/>
      <c r="U243" s="15"/>
      <c r="V243" s="15"/>
      <c r="W243" s="15"/>
      <c r="X243" s="15"/>
      <c r="Y243" s="17">
        <v>136119</v>
      </c>
      <c r="Z243" s="17">
        <v>10212</v>
      </c>
      <c r="AA243" s="17">
        <v>1840</v>
      </c>
      <c r="AB243" s="17">
        <v>12052</v>
      </c>
      <c r="AC243" s="17">
        <v>148171</v>
      </c>
      <c r="AD243" s="17">
        <v>402</v>
      </c>
      <c r="AE243" s="51">
        <f t="shared" si="24"/>
        <v>31.896227303764825</v>
      </c>
      <c r="AF243" s="51">
        <f t="shared" si="25"/>
        <v>2.8240975283757126</v>
      </c>
      <c r="AG243" s="51">
        <f t="shared" si="26"/>
        <v>34.720324832140534</v>
      </c>
      <c r="AH243" s="51">
        <f t="shared" si="27"/>
        <v>9.4199071225276834E-2</v>
      </c>
      <c r="AI243" s="17">
        <v>303447</v>
      </c>
      <c r="AJ243" s="17">
        <v>192650</v>
      </c>
      <c r="AK243" s="17">
        <v>188676</v>
      </c>
      <c r="AL243" s="17">
        <v>381326</v>
      </c>
      <c r="AM243" s="17">
        <v>684773</v>
      </c>
      <c r="AN243" s="17">
        <v>318132</v>
      </c>
      <c r="BG243" s="15"/>
      <c r="BM243" s="17"/>
      <c r="BN243" s="17"/>
      <c r="BO243" s="17"/>
      <c r="BP243" s="17"/>
      <c r="BQ243" s="17"/>
      <c r="BW243" s="17"/>
    </row>
    <row r="244" spans="1:75" hidden="1" x14ac:dyDescent="0.25">
      <c r="A244" s="15" t="s">
        <v>505</v>
      </c>
      <c r="B244" s="15" t="s">
        <v>30</v>
      </c>
      <c r="C244" s="15">
        <v>2016</v>
      </c>
      <c r="D244" s="15" t="s">
        <v>506</v>
      </c>
      <c r="E244" s="15">
        <v>24320</v>
      </c>
      <c r="F244" s="15">
        <v>1179551</v>
      </c>
      <c r="G244" s="15" t="s">
        <v>109</v>
      </c>
      <c r="H244" s="15" t="s">
        <v>43</v>
      </c>
      <c r="I244" s="15" t="s">
        <v>507</v>
      </c>
      <c r="J244" s="15" t="s">
        <v>508</v>
      </c>
      <c r="K244" s="15" t="s">
        <v>190</v>
      </c>
      <c r="L244" s="15" t="s">
        <v>48</v>
      </c>
      <c r="M244" s="15" t="s">
        <v>62</v>
      </c>
      <c r="N244" s="15" t="s">
        <v>63</v>
      </c>
      <c r="O244" s="15"/>
      <c r="P244" s="15"/>
      <c r="Q244" s="15"/>
      <c r="R244" s="15"/>
      <c r="S244" s="15"/>
      <c r="T244" s="15"/>
      <c r="U244" s="15"/>
      <c r="V244" s="15"/>
      <c r="W244" s="15"/>
      <c r="X244" s="15"/>
      <c r="Y244" s="17">
        <v>45706</v>
      </c>
      <c r="Z244" s="17">
        <v>2762</v>
      </c>
      <c r="AA244" s="17">
        <v>447</v>
      </c>
      <c r="AB244" s="17">
        <v>3209</v>
      </c>
      <c r="AC244" s="17">
        <v>48915</v>
      </c>
      <c r="AD244" s="17">
        <v>63</v>
      </c>
      <c r="AE244" s="51">
        <f t="shared" si="24"/>
        <v>38.74864249193125</v>
      </c>
      <c r="AF244" s="51">
        <f t="shared" si="25"/>
        <v>2.7205267088917733</v>
      </c>
      <c r="AG244" s="51">
        <f t="shared" si="26"/>
        <v>41.469169200823025</v>
      </c>
      <c r="AH244" s="51">
        <f t="shared" si="27"/>
        <v>5.3410153524519076E-2</v>
      </c>
      <c r="AI244" s="17">
        <v>84532</v>
      </c>
      <c r="AJ244" s="17">
        <v>53335</v>
      </c>
      <c r="AK244" s="17">
        <v>45288</v>
      </c>
      <c r="AL244" s="17">
        <v>98623</v>
      </c>
      <c r="AM244" s="17">
        <f t="shared" ref="AM244:AM252" si="28">+AL244+AI244</f>
        <v>183155</v>
      </c>
      <c r="AN244" s="17">
        <v>37566</v>
      </c>
      <c r="AO244" s="17">
        <v>2100000000</v>
      </c>
      <c r="AP244" s="17">
        <v>1900000000</v>
      </c>
      <c r="AQ244" s="17">
        <v>1700000000</v>
      </c>
      <c r="AR244" s="17">
        <v>3600000000</v>
      </c>
      <c r="AS244" s="17">
        <v>5700000000</v>
      </c>
      <c r="AT244" s="17">
        <v>2200000000</v>
      </c>
      <c r="BG244" s="15"/>
      <c r="BM244" s="17"/>
      <c r="BN244" s="17"/>
      <c r="BO244" s="17"/>
      <c r="BP244" s="17"/>
      <c r="BQ244" s="17"/>
      <c r="BW244" s="17"/>
    </row>
    <row r="245" spans="1:75" hidden="1" x14ac:dyDescent="0.25">
      <c r="A245" s="15" t="s">
        <v>505</v>
      </c>
      <c r="B245" s="15" t="s">
        <v>30</v>
      </c>
      <c r="C245" s="15">
        <v>2015</v>
      </c>
      <c r="D245" s="15" t="s">
        <v>506</v>
      </c>
      <c r="E245" s="15">
        <v>26210</v>
      </c>
      <c r="F245" s="15">
        <v>1160985</v>
      </c>
      <c r="G245" s="15" t="s">
        <v>109</v>
      </c>
      <c r="H245" s="15" t="s">
        <v>43</v>
      </c>
      <c r="I245" s="15" t="s">
        <v>507</v>
      </c>
      <c r="J245" s="15" t="s">
        <v>508</v>
      </c>
      <c r="K245" s="15" t="s">
        <v>190</v>
      </c>
      <c r="L245" s="15" t="s">
        <v>48</v>
      </c>
      <c r="M245" s="15" t="s">
        <v>62</v>
      </c>
      <c r="N245" s="15" t="s">
        <v>63</v>
      </c>
      <c r="O245" s="15"/>
      <c r="P245" s="15"/>
      <c r="Q245" s="15"/>
      <c r="R245" s="15"/>
      <c r="S245" s="15"/>
      <c r="T245" s="15"/>
      <c r="U245" s="15"/>
      <c r="V245" s="15"/>
      <c r="W245" s="15"/>
      <c r="X245" s="15"/>
      <c r="Y245" s="17">
        <v>43499</v>
      </c>
      <c r="Z245" s="17">
        <v>2566</v>
      </c>
      <c r="AA245" s="17">
        <v>454</v>
      </c>
      <c r="AB245" s="17">
        <v>3020</v>
      </c>
      <c r="AC245" s="17">
        <v>46519</v>
      </c>
      <c r="AD245" s="17">
        <v>58</v>
      </c>
      <c r="AE245" s="51">
        <f t="shared" si="24"/>
        <v>37.467323005895857</v>
      </c>
      <c r="AF245" s="51">
        <f t="shared" si="25"/>
        <v>2.6012394647648334</v>
      </c>
      <c r="AG245" s="51">
        <f t="shared" si="26"/>
        <v>40.068562470660687</v>
      </c>
      <c r="AH245" s="51">
        <f t="shared" si="27"/>
        <v>4.9957579124622627E-2</v>
      </c>
      <c r="AI245" s="17">
        <v>78192</v>
      </c>
      <c r="AJ245" s="17">
        <v>48525</v>
      </c>
      <c r="AK245" s="17">
        <v>44525</v>
      </c>
      <c r="AL245" s="17">
        <f t="shared" ref="AL245:AL252" si="29">+AJ245+AK245</f>
        <v>93050</v>
      </c>
      <c r="AM245" s="17">
        <f t="shared" si="28"/>
        <v>171242</v>
      </c>
      <c r="AN245" s="17">
        <v>34250</v>
      </c>
      <c r="AO245" s="17">
        <v>1700000000</v>
      </c>
      <c r="AP245" s="17">
        <v>1900000000</v>
      </c>
      <c r="AQ245" s="17">
        <v>1600000000</v>
      </c>
      <c r="AR245" s="17">
        <v>3500000000</v>
      </c>
      <c r="AS245" s="17">
        <v>5100000000</v>
      </c>
      <c r="AT245" s="17">
        <v>2000000000</v>
      </c>
      <c r="BG245" s="15"/>
      <c r="BM245" s="17"/>
      <c r="BN245" s="17"/>
      <c r="BO245" s="17"/>
      <c r="BP245" s="17"/>
      <c r="BQ245" s="17"/>
      <c r="BW245" s="17"/>
    </row>
    <row r="246" spans="1:75" hidden="1" x14ac:dyDescent="0.25">
      <c r="A246" s="15" t="s">
        <v>505</v>
      </c>
      <c r="B246" s="15" t="s">
        <v>30</v>
      </c>
      <c r="C246" s="15">
        <v>2014</v>
      </c>
      <c r="D246" s="15" t="s">
        <v>506</v>
      </c>
      <c r="E246" s="15">
        <v>26560</v>
      </c>
      <c r="F246" s="15">
        <v>1152309</v>
      </c>
      <c r="G246" s="15" t="s">
        <v>109</v>
      </c>
      <c r="H246" s="15" t="s">
        <v>43</v>
      </c>
      <c r="I246" s="15" t="s">
        <v>507</v>
      </c>
      <c r="J246" s="15" t="s">
        <v>508</v>
      </c>
      <c r="K246" s="15" t="s">
        <v>190</v>
      </c>
      <c r="L246" s="15" t="s">
        <v>48</v>
      </c>
      <c r="M246" s="15" t="s">
        <v>62</v>
      </c>
      <c r="N246" s="15" t="s">
        <v>63</v>
      </c>
      <c r="O246" s="15"/>
      <c r="P246" s="15"/>
      <c r="Q246" s="15"/>
      <c r="R246" s="15"/>
      <c r="S246" s="15"/>
      <c r="T246" s="15"/>
      <c r="U246" s="15"/>
      <c r="V246" s="15"/>
      <c r="W246" s="15"/>
      <c r="X246" s="15"/>
      <c r="Y246" s="17">
        <v>39306</v>
      </c>
      <c r="Z246" s="17">
        <v>3107</v>
      </c>
      <c r="AA246" s="17">
        <v>522</v>
      </c>
      <c r="AB246" s="17">
        <v>3629</v>
      </c>
      <c r="AC246" s="17">
        <v>42935</v>
      </c>
      <c r="AD246" s="17">
        <v>67</v>
      </c>
      <c r="AE246" s="51">
        <f t="shared" si="24"/>
        <v>34.110642197535554</v>
      </c>
      <c r="AF246" s="51">
        <f t="shared" si="25"/>
        <v>3.149328869252952</v>
      </c>
      <c r="AG246" s="51">
        <f t="shared" si="26"/>
        <v>37.259971066788509</v>
      </c>
      <c r="AH246" s="51">
        <f t="shared" si="27"/>
        <v>5.8144126271685803E-2</v>
      </c>
      <c r="AI246" s="17">
        <v>71358</v>
      </c>
      <c r="AJ246" s="17">
        <v>52513</v>
      </c>
      <c r="AK246" s="17">
        <v>47240</v>
      </c>
      <c r="AL246" s="17">
        <f t="shared" si="29"/>
        <v>99753</v>
      </c>
      <c r="AM246" s="17">
        <f t="shared" si="28"/>
        <v>171111</v>
      </c>
      <c r="AN246" s="17">
        <v>35707</v>
      </c>
      <c r="AO246" s="17">
        <v>2000000000</v>
      </c>
      <c r="AP246" s="17">
        <v>2000000000</v>
      </c>
      <c r="AQ246" s="17">
        <v>2000000000</v>
      </c>
      <c r="AR246" s="17">
        <v>4000000000</v>
      </c>
      <c r="AS246" s="17">
        <v>5000000000</v>
      </c>
      <c r="AT246" s="17">
        <v>2000000000</v>
      </c>
      <c r="BG246" s="15"/>
      <c r="BM246" s="17"/>
      <c r="BN246" s="17"/>
      <c r="BO246" s="17"/>
      <c r="BP246" s="17"/>
      <c r="BQ246" s="17"/>
      <c r="BW246" s="17"/>
    </row>
    <row r="247" spans="1:75" hidden="1" x14ac:dyDescent="0.25">
      <c r="A247" s="15" t="s">
        <v>505</v>
      </c>
      <c r="B247" s="15" t="s">
        <v>30</v>
      </c>
      <c r="C247" s="15">
        <v>2013</v>
      </c>
      <c r="D247" s="15" t="s">
        <v>506</v>
      </c>
      <c r="E247" s="15">
        <v>27050</v>
      </c>
      <c r="F247" s="15">
        <v>1143896</v>
      </c>
      <c r="G247" s="15" t="s">
        <v>109</v>
      </c>
      <c r="H247" s="15" t="s">
        <v>43</v>
      </c>
      <c r="I247" s="15" t="s">
        <v>507</v>
      </c>
      <c r="J247" s="15" t="s">
        <v>508</v>
      </c>
      <c r="K247" s="15" t="s">
        <v>190</v>
      </c>
      <c r="L247" s="15" t="s">
        <v>48</v>
      </c>
      <c r="M247" s="15" t="s">
        <v>62</v>
      </c>
      <c r="N247" s="15" t="s">
        <v>63</v>
      </c>
      <c r="O247" s="15"/>
      <c r="P247" s="15"/>
      <c r="Q247" s="15"/>
      <c r="R247" s="15"/>
      <c r="S247" s="15"/>
      <c r="T247" s="15"/>
      <c r="U247" s="15"/>
      <c r="V247" s="15"/>
      <c r="W247" s="15"/>
      <c r="X247" s="15"/>
      <c r="Y247" s="17">
        <v>37637</v>
      </c>
      <c r="Z247" s="17">
        <v>2726</v>
      </c>
      <c r="AA247" s="17">
        <v>439</v>
      </c>
      <c r="AB247" s="17">
        <v>3165</v>
      </c>
      <c r="AC247" s="17">
        <v>40802</v>
      </c>
      <c r="AD247" s="17">
        <v>79</v>
      </c>
      <c r="AE247" s="51">
        <f t="shared" si="24"/>
        <v>32.902466657808048</v>
      </c>
      <c r="AF247" s="51">
        <f t="shared" si="25"/>
        <v>2.7668599243287848</v>
      </c>
      <c r="AG247" s="51">
        <f t="shared" si="26"/>
        <v>35.66932658213684</v>
      </c>
      <c r="AH247" s="51">
        <f t="shared" si="27"/>
        <v>6.9062222439802229E-2</v>
      </c>
      <c r="AI247" s="17">
        <v>78399</v>
      </c>
      <c r="AJ247" s="17">
        <v>50417</v>
      </c>
      <c r="AK247" s="17">
        <v>41673</v>
      </c>
      <c r="AL247" s="17">
        <f t="shared" si="29"/>
        <v>92090</v>
      </c>
      <c r="AM247" s="17">
        <f t="shared" si="28"/>
        <v>170489</v>
      </c>
      <c r="AN247" s="17">
        <v>39388</v>
      </c>
      <c r="AO247" s="17">
        <v>2000000000</v>
      </c>
      <c r="AP247" s="17">
        <v>2000000000</v>
      </c>
      <c r="AQ247" s="17">
        <v>2000000000</v>
      </c>
      <c r="AR247" s="17">
        <v>4000000000</v>
      </c>
      <c r="AS247" s="17">
        <v>6000000000</v>
      </c>
      <c r="AT247" s="17">
        <v>2000000000</v>
      </c>
      <c r="BG247" s="15"/>
      <c r="BM247" s="17"/>
      <c r="BN247" s="17"/>
      <c r="BO247" s="17"/>
      <c r="BP247" s="17"/>
      <c r="BQ247" s="17"/>
      <c r="BW247" s="17"/>
    </row>
    <row r="248" spans="1:75" hidden="1" x14ac:dyDescent="0.25">
      <c r="A248" s="15" t="s">
        <v>505</v>
      </c>
      <c r="B248" s="15" t="s">
        <v>30</v>
      </c>
      <c r="C248" s="15">
        <v>2012</v>
      </c>
      <c r="D248" s="15" t="s">
        <v>506</v>
      </c>
      <c r="E248" s="15">
        <v>28950</v>
      </c>
      <c r="F248" s="15">
        <v>1135062</v>
      </c>
      <c r="G248" s="15" t="s">
        <v>109</v>
      </c>
      <c r="H248" s="15" t="s">
        <v>43</v>
      </c>
      <c r="I248" s="15" t="s">
        <v>507</v>
      </c>
      <c r="J248" s="15" t="s">
        <v>508</v>
      </c>
      <c r="K248" s="15" t="s">
        <v>190</v>
      </c>
      <c r="L248" s="15" t="s">
        <v>48</v>
      </c>
      <c r="M248" s="15" t="s">
        <v>62</v>
      </c>
      <c r="N248" s="15" t="s">
        <v>63</v>
      </c>
      <c r="O248" s="15"/>
      <c r="P248" s="15"/>
      <c r="Q248" s="15"/>
      <c r="R248" s="15"/>
      <c r="S248" s="15"/>
      <c r="T248" s="15"/>
      <c r="U248" s="15"/>
      <c r="V248" s="15"/>
      <c r="W248" s="15"/>
      <c r="X248" s="15"/>
      <c r="Y248" s="17">
        <v>43156</v>
      </c>
      <c r="Z248" s="17">
        <v>2815</v>
      </c>
      <c r="AA248" s="17">
        <v>512</v>
      </c>
      <c r="AB248" s="17">
        <v>3327</v>
      </c>
      <c r="AC248" s="17">
        <v>46483</v>
      </c>
      <c r="AD248" s="17">
        <v>85</v>
      </c>
      <c r="AE248" s="51">
        <f t="shared" si="24"/>
        <v>38.020830580179762</v>
      </c>
      <c r="AF248" s="51">
        <f t="shared" si="25"/>
        <v>2.9311174191365756</v>
      </c>
      <c r="AG248" s="51">
        <f t="shared" si="26"/>
        <v>40.951947999316332</v>
      </c>
      <c r="AH248" s="51">
        <f t="shared" si="27"/>
        <v>7.4885777164595407E-2</v>
      </c>
      <c r="AI248" s="17">
        <v>91315</v>
      </c>
      <c r="AJ248" s="17">
        <v>53701</v>
      </c>
      <c r="AK248" s="17">
        <v>48952</v>
      </c>
      <c r="AL248" s="17">
        <f t="shared" si="29"/>
        <v>102653</v>
      </c>
      <c r="AM248" s="17">
        <f t="shared" si="28"/>
        <v>193968</v>
      </c>
      <c r="AN248" s="17">
        <v>45141</v>
      </c>
      <c r="AO248" s="17">
        <v>2000000000</v>
      </c>
      <c r="AP248" s="17">
        <v>2000000000</v>
      </c>
      <c r="AQ248" s="17">
        <v>2000000000</v>
      </c>
      <c r="AR248" s="17">
        <v>4000000000</v>
      </c>
      <c r="AS248" s="17">
        <v>7000000000</v>
      </c>
      <c r="AT248" s="17">
        <v>2000000000</v>
      </c>
      <c r="BG248" s="15"/>
      <c r="BM248" s="17"/>
      <c r="BN248" s="17"/>
      <c r="BO248" s="17"/>
      <c r="BP248" s="17"/>
      <c r="BQ248" s="17"/>
      <c r="BW248" s="17"/>
    </row>
    <row r="249" spans="1:75" ht="13.5" hidden="1" customHeight="1" x14ac:dyDescent="0.25">
      <c r="A249" s="15" t="s">
        <v>509</v>
      </c>
      <c r="B249" s="15" t="s">
        <v>30</v>
      </c>
      <c r="C249" s="15">
        <v>2016</v>
      </c>
      <c r="D249" s="15" t="s">
        <v>510</v>
      </c>
      <c r="E249" s="15">
        <v>17630</v>
      </c>
      <c r="F249" s="15">
        <v>10591323</v>
      </c>
      <c r="G249" s="15" t="s">
        <v>109</v>
      </c>
      <c r="H249" s="15" t="s">
        <v>43</v>
      </c>
      <c r="I249" s="15" t="s">
        <v>188</v>
      </c>
      <c r="J249" s="15" t="s">
        <v>500</v>
      </c>
      <c r="K249" s="15" t="s">
        <v>190</v>
      </c>
      <c r="L249" s="15" t="s">
        <v>48</v>
      </c>
      <c r="M249" s="15" t="s">
        <v>62</v>
      </c>
      <c r="N249" s="15" t="s">
        <v>63</v>
      </c>
      <c r="O249" s="15"/>
      <c r="P249" s="15"/>
      <c r="Q249" s="15"/>
      <c r="R249" s="15"/>
      <c r="S249" s="15"/>
      <c r="T249" s="15"/>
      <c r="U249" s="15"/>
      <c r="V249" s="15"/>
      <c r="W249" s="15"/>
      <c r="X249" s="15"/>
      <c r="Y249" s="17">
        <v>978289</v>
      </c>
      <c r="Z249" s="17">
        <v>31849</v>
      </c>
      <c r="AA249" s="17">
        <v>6758</v>
      </c>
      <c r="AB249" s="17">
        <v>38607</v>
      </c>
      <c r="AC249" s="17">
        <v>1016896</v>
      </c>
      <c r="AD249" s="17">
        <v>1577</v>
      </c>
      <c r="AE249" s="51">
        <f t="shared" si="24"/>
        <v>92.367025347069486</v>
      </c>
      <c r="AF249" s="51">
        <f t="shared" si="25"/>
        <v>3.6451536791012793</v>
      </c>
      <c r="AG249" s="51">
        <f t="shared" si="26"/>
        <v>96.01217902617077</v>
      </c>
      <c r="AH249" s="51">
        <f t="shared" si="27"/>
        <v>0.14889546848868646</v>
      </c>
      <c r="AI249" s="17">
        <v>1134528</v>
      </c>
      <c r="AJ249" s="17">
        <v>634490</v>
      </c>
      <c r="AK249" s="17">
        <v>696211</v>
      </c>
      <c r="AL249" s="17">
        <f t="shared" si="29"/>
        <v>1330701</v>
      </c>
      <c r="AM249" s="17">
        <f t="shared" si="28"/>
        <v>2465229</v>
      </c>
      <c r="AN249" s="17">
        <v>1196643</v>
      </c>
      <c r="BG249" s="15"/>
      <c r="BM249" s="17"/>
      <c r="BN249" s="17"/>
      <c r="BO249" s="17"/>
      <c r="BP249" s="17"/>
      <c r="BQ249" s="17"/>
      <c r="BW249" s="17"/>
    </row>
    <row r="250" spans="1:75" hidden="1" x14ac:dyDescent="0.25">
      <c r="A250" s="15" t="s">
        <v>509</v>
      </c>
      <c r="B250" s="15" t="s">
        <v>30</v>
      </c>
      <c r="C250" s="15">
        <v>2015</v>
      </c>
      <c r="D250" s="15" t="s">
        <v>510</v>
      </c>
      <c r="E250" s="15">
        <v>18250</v>
      </c>
      <c r="F250" s="15">
        <v>10546059</v>
      </c>
      <c r="G250" s="15" t="s">
        <v>109</v>
      </c>
      <c r="H250" s="15" t="s">
        <v>43</v>
      </c>
      <c r="I250" s="15" t="s">
        <v>188</v>
      </c>
      <c r="J250" s="15" t="s">
        <v>500</v>
      </c>
      <c r="K250" s="15" t="s">
        <v>190</v>
      </c>
      <c r="L250" s="15" t="s">
        <v>48</v>
      </c>
      <c r="M250" s="15" t="s">
        <v>62</v>
      </c>
      <c r="N250" s="15" t="s">
        <v>63</v>
      </c>
      <c r="O250" s="15"/>
      <c r="P250" s="15"/>
      <c r="Q250" s="15"/>
      <c r="R250" s="15"/>
      <c r="S250" s="15"/>
      <c r="T250" s="15"/>
      <c r="U250" s="15"/>
      <c r="V250" s="15"/>
      <c r="W250" s="15"/>
      <c r="X250" s="15"/>
      <c r="Y250" s="17">
        <v>961287</v>
      </c>
      <c r="Z250" s="17">
        <v>31574</v>
      </c>
      <c r="AA250" s="17">
        <v>6629</v>
      </c>
      <c r="AB250" s="17">
        <v>38203</v>
      </c>
      <c r="AC250" s="17">
        <v>999490</v>
      </c>
      <c r="AD250" s="17">
        <v>1558</v>
      </c>
      <c r="AE250" s="51">
        <f t="shared" si="24"/>
        <v>91.151301163780701</v>
      </c>
      <c r="AF250" s="51">
        <f t="shared" si="25"/>
        <v>3.6224906384460773</v>
      </c>
      <c r="AG250" s="51">
        <f t="shared" si="26"/>
        <v>94.773791802226782</v>
      </c>
      <c r="AH250" s="51">
        <f t="shared" si="27"/>
        <v>0.14773291141268982</v>
      </c>
      <c r="AI250" s="17">
        <v>1122543</v>
      </c>
      <c r="AJ250" s="17">
        <v>628299</v>
      </c>
      <c r="AK250" s="17">
        <v>678432</v>
      </c>
      <c r="AL250" s="17">
        <f t="shared" si="29"/>
        <v>1306731</v>
      </c>
      <c r="AM250" s="17">
        <f t="shared" si="28"/>
        <v>2429274</v>
      </c>
      <c r="AN250" s="17">
        <v>1162623</v>
      </c>
      <c r="BG250" s="15"/>
      <c r="BM250" s="17"/>
      <c r="BN250" s="17"/>
      <c r="BO250" s="17"/>
      <c r="BP250" s="17"/>
      <c r="BQ250" s="17"/>
      <c r="BW250" s="17"/>
    </row>
    <row r="251" spans="1:75" hidden="1" x14ac:dyDescent="0.25">
      <c r="A251" s="15" t="s">
        <v>509</v>
      </c>
      <c r="B251" s="15" t="s">
        <v>30</v>
      </c>
      <c r="C251" s="15">
        <v>2014</v>
      </c>
      <c r="D251" s="15" t="s">
        <v>510</v>
      </c>
      <c r="E251" s="15">
        <v>18790</v>
      </c>
      <c r="F251" s="15">
        <v>10525347</v>
      </c>
      <c r="G251" s="15" t="s">
        <v>109</v>
      </c>
      <c r="H251" s="15" t="s">
        <v>43</v>
      </c>
      <c r="I251" s="15" t="s">
        <v>188</v>
      </c>
      <c r="J251" s="15" t="s">
        <v>500</v>
      </c>
      <c r="K251" s="15" t="s">
        <v>190</v>
      </c>
      <c r="L251" s="15" t="s">
        <v>48</v>
      </c>
      <c r="M251" s="15" t="s">
        <v>62</v>
      </c>
      <c r="N251" s="15" t="s">
        <v>63</v>
      </c>
      <c r="O251" s="15"/>
      <c r="P251" s="15"/>
      <c r="Q251" s="15"/>
      <c r="R251" s="15"/>
      <c r="S251" s="15"/>
      <c r="T251" s="15"/>
      <c r="U251" s="15"/>
      <c r="V251" s="15"/>
      <c r="W251" s="15"/>
      <c r="X251" s="15"/>
      <c r="Y251" s="17">
        <v>956420</v>
      </c>
      <c r="Z251" s="17">
        <v>31321</v>
      </c>
      <c r="AA251" s="17">
        <v>6550</v>
      </c>
      <c r="AB251" s="17">
        <v>37871</v>
      </c>
      <c r="AC251" s="17">
        <v>994291</v>
      </c>
      <c r="AD251" s="17">
        <v>1463</v>
      </c>
      <c r="AE251" s="51">
        <f t="shared" si="24"/>
        <v>90.868263060590792</v>
      </c>
      <c r="AF251" s="51">
        <f t="shared" si="25"/>
        <v>3.5980761489383677</v>
      </c>
      <c r="AG251" s="51">
        <f t="shared" si="26"/>
        <v>94.466339209529153</v>
      </c>
      <c r="AH251" s="51">
        <f t="shared" si="27"/>
        <v>0.13899779266184764</v>
      </c>
      <c r="AI251" s="17">
        <v>1116441</v>
      </c>
      <c r="AJ251" s="17">
        <v>620086</v>
      </c>
      <c r="AK251" s="17">
        <v>673997</v>
      </c>
      <c r="AL251" s="17">
        <f t="shared" si="29"/>
        <v>1294083</v>
      </c>
      <c r="AM251" s="17">
        <f t="shared" si="28"/>
        <v>2410524</v>
      </c>
      <c r="AN251" s="17">
        <v>1104560</v>
      </c>
      <c r="BG251" s="15"/>
      <c r="BM251" s="17"/>
      <c r="BN251" s="17"/>
      <c r="BO251" s="17"/>
      <c r="BP251" s="17"/>
      <c r="BQ251" s="17"/>
      <c r="BW251" s="17"/>
    </row>
    <row r="252" spans="1:75" hidden="1" x14ac:dyDescent="0.25">
      <c r="A252" s="15" t="s">
        <v>509</v>
      </c>
      <c r="B252" s="15" t="s">
        <v>30</v>
      </c>
      <c r="C252" s="15">
        <v>2013</v>
      </c>
      <c r="D252" s="15" t="s">
        <v>510</v>
      </c>
      <c r="E252" s="15">
        <v>19270</v>
      </c>
      <c r="F252" s="15">
        <v>10514272</v>
      </c>
      <c r="G252" s="15" t="s">
        <v>109</v>
      </c>
      <c r="H252" s="15" t="s">
        <v>43</v>
      </c>
      <c r="I252" s="15" t="s">
        <v>188</v>
      </c>
      <c r="J252" s="15" t="s">
        <v>500</v>
      </c>
      <c r="K252" s="15" t="s">
        <v>190</v>
      </c>
      <c r="L252" s="15" t="s">
        <v>48</v>
      </c>
      <c r="M252" s="15" t="s">
        <v>62</v>
      </c>
      <c r="N252" s="15" t="s">
        <v>63</v>
      </c>
      <c r="O252" s="15"/>
      <c r="P252" s="15"/>
      <c r="Q252" s="15"/>
      <c r="R252" s="15"/>
      <c r="S252" s="15"/>
      <c r="T252" s="15"/>
      <c r="U252" s="15"/>
      <c r="V252" s="15"/>
      <c r="W252" s="15"/>
      <c r="X252" s="15"/>
      <c r="Y252" s="17">
        <v>949260</v>
      </c>
      <c r="Z252" s="17">
        <v>31474</v>
      </c>
      <c r="AA252" s="17">
        <v>6565</v>
      </c>
      <c r="AB252" s="17">
        <v>38039</v>
      </c>
      <c r="AC252" s="17">
        <v>987299</v>
      </c>
      <c r="AD252" s="17">
        <v>1447</v>
      </c>
      <c r="AE252" s="51">
        <f t="shared" si="24"/>
        <v>90.282998195215043</v>
      </c>
      <c r="AF252" s="51">
        <f t="shared" si="25"/>
        <v>3.6178443928405124</v>
      </c>
      <c r="AG252" s="51">
        <f t="shared" si="26"/>
        <v>93.900842588055554</v>
      </c>
      <c r="AH252" s="51">
        <f t="shared" si="27"/>
        <v>0.13762246211625492</v>
      </c>
      <c r="AI252" s="17">
        <v>1111100</v>
      </c>
      <c r="AJ252" s="17">
        <v>629061</v>
      </c>
      <c r="AK252" s="17">
        <v>672568</v>
      </c>
      <c r="AL252" s="17">
        <f t="shared" si="29"/>
        <v>1301629</v>
      </c>
      <c r="AM252" s="17">
        <f t="shared" si="28"/>
        <v>2412729</v>
      </c>
      <c r="AN252" s="17">
        <v>1073973</v>
      </c>
      <c r="BG252" s="15"/>
      <c r="BM252" s="17"/>
      <c r="BN252" s="17"/>
      <c r="BO252" s="17"/>
      <c r="BP252" s="17"/>
      <c r="BQ252" s="17"/>
      <c r="BW252" s="17"/>
    </row>
    <row r="253" spans="1:75" hidden="1" x14ac:dyDescent="0.25">
      <c r="A253" s="15" t="s">
        <v>511</v>
      </c>
      <c r="B253" s="15" t="s">
        <v>30</v>
      </c>
      <c r="C253" s="15">
        <v>2016</v>
      </c>
      <c r="D253" s="15" t="s">
        <v>512</v>
      </c>
      <c r="E253" s="15">
        <v>56990</v>
      </c>
      <c r="F253" s="15">
        <v>5728010</v>
      </c>
      <c r="G253" s="15" t="s">
        <v>109</v>
      </c>
      <c r="H253" s="15" t="s">
        <v>43</v>
      </c>
      <c r="I253" s="15" t="s">
        <v>188</v>
      </c>
      <c r="J253" s="15" t="s">
        <v>500</v>
      </c>
      <c r="K253" s="15" t="s">
        <v>190</v>
      </c>
      <c r="L253" s="15" t="s">
        <v>48</v>
      </c>
      <c r="M253" s="15" t="s">
        <v>62</v>
      </c>
      <c r="N253" s="15" t="s">
        <v>63</v>
      </c>
      <c r="O253" s="15"/>
      <c r="P253" s="15"/>
      <c r="Q253" s="15"/>
      <c r="R253" s="15"/>
      <c r="S253" s="15"/>
      <c r="T253" s="15"/>
      <c r="U253" s="15"/>
      <c r="V253" s="15"/>
      <c r="W253" s="15"/>
      <c r="X253" s="15"/>
      <c r="Y253" s="17">
        <v>194104</v>
      </c>
      <c r="Z253" s="17">
        <v>11515</v>
      </c>
      <c r="AA253" s="17">
        <v>3714</v>
      </c>
      <c r="AB253" s="17">
        <v>15229</v>
      </c>
      <c r="AC253" s="17">
        <v>209333</v>
      </c>
      <c r="AD253" s="17">
        <v>652</v>
      </c>
      <c r="AE253" s="51">
        <f t="shared" si="24"/>
        <v>33.886812348442135</v>
      </c>
      <c r="AF253" s="51">
        <f t="shared" si="25"/>
        <v>2.6586894925113609</v>
      </c>
      <c r="AG253" s="51">
        <f t="shared" si="26"/>
        <v>36.545501840953492</v>
      </c>
      <c r="AH253" s="51">
        <f t="shared" si="27"/>
        <v>0.11382661692280566</v>
      </c>
      <c r="AI253" s="17">
        <v>343768</v>
      </c>
      <c r="AO253" s="17">
        <v>27890500000</v>
      </c>
      <c r="BG253" s="15"/>
      <c r="BM253" s="17"/>
      <c r="BN253" s="17"/>
      <c r="BO253" s="17"/>
      <c r="BP253" s="17"/>
      <c r="BQ253" s="17"/>
      <c r="BW253" s="17"/>
    </row>
    <row r="254" spans="1:75" hidden="1" x14ac:dyDescent="0.25">
      <c r="A254" s="15" t="s">
        <v>511</v>
      </c>
      <c r="B254" s="15" t="s">
        <v>30</v>
      </c>
      <c r="C254" s="15">
        <v>2015</v>
      </c>
      <c r="D254" s="15" t="s">
        <v>512</v>
      </c>
      <c r="E254" s="15">
        <v>60170</v>
      </c>
      <c r="F254" s="15">
        <v>5683483</v>
      </c>
      <c r="G254" s="15" t="s">
        <v>109</v>
      </c>
      <c r="H254" s="15" t="s">
        <v>43</v>
      </c>
      <c r="I254" s="15" t="s">
        <v>188</v>
      </c>
      <c r="J254" s="15" t="s">
        <v>500</v>
      </c>
      <c r="K254" s="15" t="s">
        <v>190</v>
      </c>
      <c r="L254" s="15" t="s">
        <v>48</v>
      </c>
      <c r="M254" s="15" t="s">
        <v>62</v>
      </c>
      <c r="N254" s="15" t="s">
        <v>63</v>
      </c>
      <c r="O254" s="15"/>
      <c r="P254" s="15"/>
      <c r="Q254" s="15"/>
      <c r="R254" s="15"/>
      <c r="S254" s="15"/>
      <c r="T254" s="15"/>
      <c r="U254" s="15"/>
      <c r="V254" s="15"/>
      <c r="W254" s="15"/>
      <c r="X254" s="15"/>
      <c r="Y254" s="17">
        <v>187367</v>
      </c>
      <c r="Z254" s="17">
        <v>10967</v>
      </c>
      <c r="AA254" s="17">
        <v>3616</v>
      </c>
      <c r="AB254" s="17">
        <v>14583</v>
      </c>
      <c r="AC254" s="17">
        <v>201950</v>
      </c>
      <c r="AD254" s="17">
        <v>678</v>
      </c>
      <c r="AE254" s="51">
        <f t="shared" si="24"/>
        <v>32.966932425063995</v>
      </c>
      <c r="AF254" s="51">
        <f t="shared" si="25"/>
        <v>2.5658561836113525</v>
      </c>
      <c r="AG254" s="51">
        <f t="shared" si="26"/>
        <v>35.532788608675347</v>
      </c>
      <c r="AH254" s="51">
        <f t="shared" si="27"/>
        <v>0.11929304618312397</v>
      </c>
      <c r="AI254" s="17">
        <v>336684</v>
      </c>
      <c r="AK254" s="17">
        <v>354491</v>
      </c>
      <c r="AN254" s="17">
        <v>595198</v>
      </c>
      <c r="AO254" s="17">
        <v>29699600000</v>
      </c>
      <c r="AQ254" s="17">
        <v>26513200000</v>
      </c>
      <c r="AT254" s="17">
        <v>53349300000</v>
      </c>
      <c r="BG254" s="15"/>
      <c r="BM254" s="17"/>
      <c r="BN254" s="17"/>
      <c r="BO254" s="17"/>
      <c r="BP254" s="17"/>
      <c r="BQ254" s="17"/>
      <c r="BW254" s="17"/>
    </row>
    <row r="255" spans="1:75" hidden="1" x14ac:dyDescent="0.25">
      <c r="A255" s="15" t="s">
        <v>511</v>
      </c>
      <c r="B255" s="15" t="s">
        <v>30</v>
      </c>
      <c r="C255" s="15">
        <v>2014</v>
      </c>
      <c r="D255" s="15" t="s">
        <v>512</v>
      </c>
      <c r="E255" s="15">
        <v>63670</v>
      </c>
      <c r="F255" s="15">
        <v>5643475</v>
      </c>
      <c r="G255" s="15" t="s">
        <v>109</v>
      </c>
      <c r="H255" s="15" t="s">
        <v>43</v>
      </c>
      <c r="I255" s="15" t="s">
        <v>188</v>
      </c>
      <c r="J255" s="15" t="s">
        <v>500</v>
      </c>
      <c r="K255" s="15" t="s">
        <v>190</v>
      </c>
      <c r="L255" s="15" t="s">
        <v>48</v>
      </c>
      <c r="M255" s="15" t="s">
        <v>62</v>
      </c>
      <c r="N255" s="15" t="s">
        <v>63</v>
      </c>
      <c r="O255" s="15"/>
      <c r="P255" s="15"/>
      <c r="Q255" s="15"/>
      <c r="R255" s="15"/>
      <c r="S255" s="15"/>
      <c r="T255" s="15"/>
      <c r="U255" s="15"/>
      <c r="V255" s="15"/>
      <c r="W255" s="15"/>
      <c r="X255" s="15"/>
      <c r="Y255" s="17">
        <v>189669</v>
      </c>
      <c r="Z255" s="17">
        <v>10715</v>
      </c>
      <c r="AA255" s="17">
        <v>3525</v>
      </c>
      <c r="AB255" s="17">
        <v>14240</v>
      </c>
      <c r="AC255" s="17">
        <v>203909</v>
      </c>
      <c r="AD255" s="17">
        <v>652</v>
      </c>
      <c r="AE255" s="51">
        <f t="shared" si="24"/>
        <v>33.608547924815831</v>
      </c>
      <c r="AF255" s="51">
        <f t="shared" si="25"/>
        <v>2.5232680219191188</v>
      </c>
      <c r="AG255" s="51">
        <f t="shared" si="26"/>
        <v>36.131815946734946</v>
      </c>
      <c r="AH255" s="51">
        <f t="shared" si="27"/>
        <v>0.11553165381258887</v>
      </c>
      <c r="AK255" s="17">
        <v>345165</v>
      </c>
      <c r="AN255" s="17">
        <v>581782</v>
      </c>
      <c r="AQ255" s="17">
        <v>24062500000</v>
      </c>
      <c r="AT255" s="17">
        <v>49820300000</v>
      </c>
      <c r="BG255" s="15"/>
      <c r="BM255" s="17"/>
      <c r="BN255" s="17"/>
      <c r="BO255" s="17"/>
      <c r="BP255" s="17"/>
      <c r="BQ255" s="17"/>
      <c r="BW255" s="17"/>
    </row>
    <row r="256" spans="1:75" hidden="1" x14ac:dyDescent="0.25">
      <c r="A256" s="15" t="s">
        <v>511</v>
      </c>
      <c r="B256" s="15" t="s">
        <v>30</v>
      </c>
      <c r="C256" s="15">
        <v>2013</v>
      </c>
      <c r="D256" s="15" t="s">
        <v>512</v>
      </c>
      <c r="E256" s="15">
        <v>63200</v>
      </c>
      <c r="F256" s="15">
        <v>5614932</v>
      </c>
      <c r="G256" s="15" t="s">
        <v>109</v>
      </c>
      <c r="H256" s="15" t="s">
        <v>43</v>
      </c>
      <c r="I256" s="15" t="s">
        <v>188</v>
      </c>
      <c r="J256" s="15" t="s">
        <v>500</v>
      </c>
      <c r="K256" s="15" t="s">
        <v>190</v>
      </c>
      <c r="L256" s="15" t="s">
        <v>48</v>
      </c>
      <c r="M256" s="15" t="s">
        <v>62</v>
      </c>
      <c r="N256" s="15" t="s">
        <v>63</v>
      </c>
      <c r="O256" s="15"/>
      <c r="P256" s="15"/>
      <c r="Q256" s="15"/>
      <c r="R256" s="15"/>
      <c r="S256" s="15"/>
      <c r="T256" s="15"/>
      <c r="U256" s="15"/>
      <c r="V256" s="15"/>
      <c r="W256" s="15"/>
      <c r="X256" s="15"/>
      <c r="Y256" s="17">
        <v>188682</v>
      </c>
      <c r="Z256" s="17">
        <v>10553</v>
      </c>
      <c r="AA256" s="17">
        <v>3422</v>
      </c>
      <c r="AB256" s="17">
        <v>13975</v>
      </c>
      <c r="AC256" s="17">
        <v>202657</v>
      </c>
      <c r="AD256" s="17">
        <v>624</v>
      </c>
      <c r="AE256" s="51">
        <f t="shared" si="24"/>
        <v>33.603612652833547</v>
      </c>
      <c r="AF256" s="51">
        <f t="shared" si="25"/>
        <v>2.4888992422348126</v>
      </c>
      <c r="AG256" s="51">
        <f t="shared" si="26"/>
        <v>36.09251189506837</v>
      </c>
      <c r="AH256" s="51">
        <f t="shared" si="27"/>
        <v>0.1111322452346707</v>
      </c>
      <c r="BC256" s="17">
        <v>8900535000</v>
      </c>
      <c r="BG256" s="15"/>
      <c r="BM256" s="17"/>
      <c r="BN256" s="17"/>
      <c r="BO256" s="17"/>
      <c r="BP256" s="17"/>
      <c r="BQ256" s="17"/>
      <c r="BW256" s="17"/>
    </row>
    <row r="257" spans="1:75" hidden="1" x14ac:dyDescent="0.25">
      <c r="A257" s="15" t="s">
        <v>511</v>
      </c>
      <c r="B257" s="15" t="s">
        <v>30</v>
      </c>
      <c r="C257" s="15">
        <v>2012</v>
      </c>
      <c r="D257" s="15" t="s">
        <v>512</v>
      </c>
      <c r="E257" s="15">
        <v>61650</v>
      </c>
      <c r="F257" s="15">
        <v>5591572</v>
      </c>
      <c r="G257" s="15" t="s">
        <v>109</v>
      </c>
      <c r="H257" s="15" t="s">
        <v>43</v>
      </c>
      <c r="I257" s="15" t="s">
        <v>188</v>
      </c>
      <c r="J257" s="15" t="s">
        <v>500</v>
      </c>
      <c r="K257" s="15" t="s">
        <v>190</v>
      </c>
      <c r="L257" s="15" t="s">
        <v>48</v>
      </c>
      <c r="M257" s="15" t="s">
        <v>62</v>
      </c>
      <c r="N257" s="15" t="s">
        <v>63</v>
      </c>
      <c r="O257" s="15"/>
      <c r="P257" s="15"/>
      <c r="Q257" s="15"/>
      <c r="R257" s="15"/>
      <c r="S257" s="15"/>
      <c r="T257" s="15"/>
      <c r="U257" s="15"/>
      <c r="V257" s="15"/>
      <c r="W257" s="15"/>
      <c r="X257" s="15"/>
      <c r="Y257" s="17">
        <v>190761</v>
      </c>
      <c r="Z257" s="17">
        <v>10535</v>
      </c>
      <c r="AA257" s="17">
        <v>3394</v>
      </c>
      <c r="AB257" s="17">
        <v>13929</v>
      </c>
      <c r="AC257" s="17">
        <v>204690</v>
      </c>
      <c r="AD257" s="17">
        <v>640</v>
      </c>
      <c r="AE257" s="51">
        <f t="shared" si="24"/>
        <v>34.115808577623604</v>
      </c>
      <c r="AF257" s="51">
        <f t="shared" si="25"/>
        <v>2.4910704896583642</v>
      </c>
      <c r="AG257" s="51">
        <f t="shared" si="26"/>
        <v>36.606879067281973</v>
      </c>
      <c r="AH257" s="51">
        <f t="shared" si="27"/>
        <v>0.1144579735358858</v>
      </c>
      <c r="AN257" s="17">
        <v>560511</v>
      </c>
      <c r="AT257" s="17">
        <v>44979700000</v>
      </c>
      <c r="BC257" s="17">
        <v>7240160000</v>
      </c>
      <c r="BG257" s="15"/>
      <c r="BM257" s="17"/>
      <c r="BN257" s="17"/>
      <c r="BO257" s="17"/>
      <c r="BP257" s="17"/>
      <c r="BQ257" s="17"/>
      <c r="BW257" s="17"/>
    </row>
    <row r="258" spans="1:75" hidden="1" x14ac:dyDescent="0.25">
      <c r="A258" s="15" t="s">
        <v>514</v>
      </c>
      <c r="B258" s="15" t="s">
        <v>30</v>
      </c>
      <c r="C258" s="15">
        <v>2016</v>
      </c>
      <c r="D258" s="15" t="s">
        <v>1840</v>
      </c>
      <c r="E258" s="15">
        <v>7110</v>
      </c>
      <c r="F258" s="15">
        <v>73925</v>
      </c>
      <c r="G258" s="15" t="s">
        <v>42</v>
      </c>
      <c r="H258" s="15" t="s">
        <v>110</v>
      </c>
      <c r="I258" s="15" t="s">
        <v>1842</v>
      </c>
      <c r="J258" s="15" t="s">
        <v>1841</v>
      </c>
      <c r="K258" s="15" t="s">
        <v>241</v>
      </c>
      <c r="L258" s="15" t="s">
        <v>1843</v>
      </c>
      <c r="M258" s="15" t="s">
        <v>1844</v>
      </c>
      <c r="N258" s="15" t="s">
        <v>244</v>
      </c>
      <c r="O258" s="15" t="s">
        <v>1845</v>
      </c>
      <c r="P258" s="15" t="s">
        <v>1846</v>
      </c>
      <c r="Q258" s="15" t="s">
        <v>1847</v>
      </c>
      <c r="R258" s="15" t="s">
        <v>1848</v>
      </c>
      <c r="S258" s="15" t="s">
        <v>102</v>
      </c>
      <c r="T258" s="15" t="s">
        <v>277</v>
      </c>
      <c r="U258" s="15" t="s">
        <v>1849</v>
      </c>
      <c r="V258" s="15" t="s">
        <v>1850</v>
      </c>
      <c r="W258" s="15" t="s">
        <v>1851</v>
      </c>
      <c r="X258" s="15" t="s">
        <v>102</v>
      </c>
      <c r="AE258" s="51" t="str">
        <f t="shared" si="24"/>
        <v/>
      </c>
      <c r="AF258" s="51" t="str">
        <f t="shared" si="25"/>
        <v/>
      </c>
      <c r="AG258" s="51" t="str">
        <f t="shared" si="26"/>
        <v/>
      </c>
      <c r="AH258" s="51" t="str">
        <f t="shared" si="27"/>
        <v/>
      </c>
      <c r="BG258" s="15"/>
      <c r="BM258" s="17"/>
      <c r="BN258" s="17"/>
      <c r="BO258" s="17"/>
      <c r="BP258" s="17"/>
      <c r="BQ258" s="17"/>
      <c r="BW258" s="17"/>
    </row>
    <row r="259" spans="1:75" hidden="1" x14ac:dyDescent="0.25">
      <c r="A259" s="15" t="s">
        <v>515</v>
      </c>
      <c r="B259" s="15" t="s">
        <v>30</v>
      </c>
      <c r="C259" s="15">
        <v>2016</v>
      </c>
      <c r="D259" s="15" t="s">
        <v>516</v>
      </c>
      <c r="E259" s="15">
        <v>6390</v>
      </c>
      <c r="F259" s="15">
        <v>10766998</v>
      </c>
      <c r="G259" s="15" t="s">
        <v>42</v>
      </c>
      <c r="H259" s="15" t="s">
        <v>110</v>
      </c>
      <c r="I259" s="15" t="s">
        <v>517</v>
      </c>
      <c r="J259" s="15" t="s">
        <v>518</v>
      </c>
      <c r="K259" s="15" t="s">
        <v>92</v>
      </c>
      <c r="L259" s="15" t="s">
        <v>48</v>
      </c>
      <c r="M259" s="15" t="s">
        <v>407</v>
      </c>
      <c r="N259" s="15" t="s">
        <v>37</v>
      </c>
      <c r="O259" s="15"/>
      <c r="P259" s="15"/>
      <c r="Q259" s="15"/>
      <c r="R259" s="15"/>
      <c r="S259" s="15"/>
      <c r="T259" s="15"/>
      <c r="U259" s="15"/>
      <c r="V259" s="15"/>
      <c r="W259" s="15"/>
      <c r="X259" s="15"/>
      <c r="Y259" s="17">
        <v>52059</v>
      </c>
      <c r="Z259" s="17">
        <v>14438</v>
      </c>
      <c r="AA259" s="17">
        <v>1769</v>
      </c>
      <c r="AB259" s="17">
        <v>16207</v>
      </c>
      <c r="AC259" s="17">
        <v>68266</v>
      </c>
      <c r="AD259" s="17">
        <v>2021</v>
      </c>
      <c r="AE259" s="51">
        <f t="shared" si="24"/>
        <v>4.8350524445161041</v>
      </c>
      <c r="AF259" s="51">
        <f t="shared" si="25"/>
        <v>1.505247795160731</v>
      </c>
      <c r="AG259" s="51">
        <f t="shared" si="26"/>
        <v>6.3403002396768349</v>
      </c>
      <c r="AH259" s="51">
        <f t="shared" si="27"/>
        <v>0.18770320195099879</v>
      </c>
      <c r="AU259" s="15" t="s">
        <v>519</v>
      </c>
      <c r="AV259" s="15" t="s">
        <v>520</v>
      </c>
      <c r="BG259" s="15"/>
      <c r="BM259" s="17"/>
      <c r="BN259" s="17"/>
      <c r="BO259" s="17"/>
      <c r="BP259" s="17"/>
      <c r="BQ259" s="17"/>
      <c r="BS259" s="15" t="s">
        <v>521</v>
      </c>
      <c r="BT259" s="15" t="s">
        <v>522</v>
      </c>
      <c r="BU259" s="15" t="s">
        <v>523</v>
      </c>
      <c r="BV259" s="15" t="s">
        <v>524</v>
      </c>
      <c r="BW259" s="17"/>
    </row>
    <row r="260" spans="1:75" hidden="1" x14ac:dyDescent="0.25">
      <c r="A260" s="15" t="s">
        <v>515</v>
      </c>
      <c r="B260" s="15" t="s">
        <v>30</v>
      </c>
      <c r="C260" s="15">
        <v>2013</v>
      </c>
      <c r="D260" s="15" t="s">
        <v>516</v>
      </c>
      <c r="E260" s="15">
        <v>5820</v>
      </c>
      <c r="F260" s="15">
        <v>10281296</v>
      </c>
      <c r="G260" s="15" t="s">
        <v>42</v>
      </c>
      <c r="H260" s="15" t="s">
        <v>110</v>
      </c>
      <c r="I260" s="15" t="s">
        <v>517</v>
      </c>
      <c r="J260" s="15" t="s">
        <v>518</v>
      </c>
      <c r="K260" s="15" t="s">
        <v>92</v>
      </c>
      <c r="L260" s="15" t="s">
        <v>48</v>
      </c>
      <c r="M260" s="15" t="s">
        <v>407</v>
      </c>
      <c r="N260" s="15" t="s">
        <v>37</v>
      </c>
      <c r="O260" s="15"/>
      <c r="P260" s="15"/>
      <c r="Q260" s="15"/>
      <c r="R260" s="15"/>
      <c r="S260" s="15"/>
      <c r="T260" s="15"/>
      <c r="U260" s="15"/>
      <c r="V260" s="15"/>
      <c r="W260" s="15"/>
      <c r="X260" s="15"/>
      <c r="Y260" s="17">
        <v>32876</v>
      </c>
      <c r="Z260" s="17">
        <v>10560</v>
      </c>
      <c r="AA260" s="17">
        <v>942</v>
      </c>
      <c r="AB260" s="17">
        <v>11502</v>
      </c>
      <c r="AC260" s="17">
        <v>44378</v>
      </c>
      <c r="AD260" s="17">
        <v>2182</v>
      </c>
      <c r="AE260" s="51">
        <f t="shared" si="24"/>
        <v>3.1976513466784735</v>
      </c>
      <c r="AF260" s="51">
        <f t="shared" si="25"/>
        <v>1.1187305569258972</v>
      </c>
      <c r="AG260" s="51">
        <f t="shared" si="26"/>
        <v>4.3163819036043707</v>
      </c>
      <c r="AH260" s="51">
        <f t="shared" si="27"/>
        <v>0.21223005348742027</v>
      </c>
      <c r="BG260" s="15"/>
      <c r="BM260" s="17"/>
      <c r="BN260" s="17"/>
      <c r="BO260" s="17"/>
      <c r="BP260" s="17"/>
      <c r="BQ260" s="17"/>
      <c r="BW260" s="17"/>
    </row>
    <row r="261" spans="1:75" hidden="1" x14ac:dyDescent="0.25">
      <c r="A261" s="15" t="s">
        <v>515</v>
      </c>
      <c r="B261" s="15" t="s">
        <v>30</v>
      </c>
      <c r="C261" s="15">
        <v>2012</v>
      </c>
      <c r="D261" s="15" t="s">
        <v>516</v>
      </c>
      <c r="E261" s="15">
        <v>5650</v>
      </c>
      <c r="F261" s="15">
        <v>10154950</v>
      </c>
      <c r="G261" s="15" t="s">
        <v>42</v>
      </c>
      <c r="H261" s="15" t="s">
        <v>110</v>
      </c>
      <c r="I261" s="15" t="s">
        <v>517</v>
      </c>
      <c r="J261" s="15" t="s">
        <v>518</v>
      </c>
      <c r="K261" s="15" t="s">
        <v>92</v>
      </c>
      <c r="L261" s="15" t="s">
        <v>48</v>
      </c>
      <c r="M261" s="15" t="s">
        <v>407</v>
      </c>
      <c r="N261" s="15" t="s">
        <v>37</v>
      </c>
      <c r="O261" s="15"/>
      <c r="P261" s="15"/>
      <c r="Q261" s="15"/>
      <c r="R261" s="15"/>
      <c r="S261" s="15"/>
      <c r="T261" s="15"/>
      <c r="U261" s="15"/>
      <c r="V261" s="15"/>
      <c r="W261" s="15"/>
      <c r="X261" s="15"/>
      <c r="Y261" s="17">
        <v>32448</v>
      </c>
      <c r="Z261" s="17">
        <v>10803</v>
      </c>
      <c r="AA261" s="17">
        <v>1412</v>
      </c>
      <c r="AB261" s="17">
        <v>12215</v>
      </c>
      <c r="AC261" s="17">
        <v>44663</v>
      </c>
      <c r="AD261" s="17">
        <v>1727</v>
      </c>
      <c r="AE261" s="51">
        <f t="shared" si="24"/>
        <v>3.1952889969916147</v>
      </c>
      <c r="AF261" s="51">
        <f t="shared" si="25"/>
        <v>1.2028616585999932</v>
      </c>
      <c r="AG261" s="51">
        <f t="shared" si="26"/>
        <v>4.3981506555916079</v>
      </c>
      <c r="AH261" s="51">
        <f t="shared" si="27"/>
        <v>0.17006484522326551</v>
      </c>
      <c r="BG261" s="15"/>
      <c r="BM261" s="17"/>
      <c r="BN261" s="17"/>
      <c r="BO261" s="17"/>
      <c r="BP261" s="17"/>
      <c r="BQ261" s="17"/>
      <c r="BW261" s="17"/>
    </row>
    <row r="262" spans="1:75" hidden="1" x14ac:dyDescent="0.25">
      <c r="A262" s="15" t="s">
        <v>515</v>
      </c>
      <c r="B262" s="15" t="s">
        <v>30</v>
      </c>
      <c r="C262" s="15">
        <v>2011</v>
      </c>
      <c r="D262" s="15" t="s">
        <v>516</v>
      </c>
      <c r="E262" s="15">
        <v>5410</v>
      </c>
      <c r="F262" s="15">
        <v>10027095</v>
      </c>
      <c r="G262" s="15" t="s">
        <v>42</v>
      </c>
      <c r="H262" s="15" t="s">
        <v>110</v>
      </c>
      <c r="I262" s="15" t="s">
        <v>517</v>
      </c>
      <c r="J262" s="15" t="s">
        <v>518</v>
      </c>
      <c r="K262" s="15" t="s">
        <v>92</v>
      </c>
      <c r="L262" s="15" t="s">
        <v>48</v>
      </c>
      <c r="M262" s="15" t="s">
        <v>407</v>
      </c>
      <c r="N262" s="15" t="s">
        <v>37</v>
      </c>
      <c r="O262" s="15"/>
      <c r="P262" s="15"/>
      <c r="Q262" s="15"/>
      <c r="R262" s="15"/>
      <c r="S262" s="15"/>
      <c r="T262" s="15"/>
      <c r="U262" s="15"/>
      <c r="V262" s="15"/>
      <c r="W262" s="15"/>
      <c r="X262" s="15"/>
      <c r="Y262" s="17">
        <v>27490</v>
      </c>
      <c r="Z262" s="17">
        <v>8497</v>
      </c>
      <c r="AA262" s="17">
        <v>1080</v>
      </c>
      <c r="AB262" s="17">
        <v>9577</v>
      </c>
      <c r="AC262" s="17">
        <v>37067</v>
      </c>
      <c r="AD262" s="17">
        <v>1136</v>
      </c>
      <c r="AE262" s="51">
        <f t="shared" si="24"/>
        <v>2.7415717114478322</v>
      </c>
      <c r="AF262" s="51">
        <f t="shared" si="25"/>
        <v>0.95511212370083265</v>
      </c>
      <c r="AG262" s="51">
        <f t="shared" si="26"/>
        <v>3.6966838351486646</v>
      </c>
      <c r="AH262" s="51">
        <f t="shared" si="27"/>
        <v>0.1132930325283644</v>
      </c>
      <c r="BG262" s="15"/>
      <c r="BM262" s="17"/>
      <c r="BN262" s="17"/>
      <c r="BO262" s="17"/>
      <c r="BP262" s="17"/>
      <c r="BQ262" s="17"/>
      <c r="BW262" s="17"/>
    </row>
    <row r="263" spans="1:75" ht="15.6" hidden="1" customHeight="1" x14ac:dyDescent="0.25">
      <c r="A263" s="15" t="s">
        <v>515</v>
      </c>
      <c r="B263" s="15" t="s">
        <v>30</v>
      </c>
      <c r="C263" s="15">
        <v>2010</v>
      </c>
      <c r="D263" s="15" t="s">
        <v>516</v>
      </c>
      <c r="E263" s="15">
        <v>5230</v>
      </c>
      <c r="F263" s="15">
        <v>9897985</v>
      </c>
      <c r="G263" s="15" t="s">
        <v>42</v>
      </c>
      <c r="H263" s="15" t="s">
        <v>110</v>
      </c>
      <c r="I263" s="15" t="s">
        <v>517</v>
      </c>
      <c r="J263" s="15" t="s">
        <v>518</v>
      </c>
      <c r="K263" s="15" t="s">
        <v>92</v>
      </c>
      <c r="L263" s="15" t="s">
        <v>48</v>
      </c>
      <c r="M263" s="15" t="s">
        <v>407</v>
      </c>
      <c r="N263" s="15" t="s">
        <v>37</v>
      </c>
      <c r="O263" s="15"/>
      <c r="P263" s="15"/>
      <c r="Q263" s="15"/>
      <c r="R263" s="15"/>
      <c r="S263" s="15"/>
      <c r="T263" s="15"/>
      <c r="U263" s="15"/>
      <c r="V263" s="15"/>
      <c r="W263" s="15"/>
      <c r="X263" s="15"/>
      <c r="Y263" s="17">
        <v>25578</v>
      </c>
      <c r="Z263" s="17">
        <v>8453</v>
      </c>
      <c r="AA263" s="17">
        <v>1169</v>
      </c>
      <c r="AB263" s="17">
        <v>9622</v>
      </c>
      <c r="AC263" s="17">
        <v>35200</v>
      </c>
      <c r="AD263" s="17">
        <v>1245</v>
      </c>
      <c r="AE263" s="51">
        <f t="shared" si="24"/>
        <v>2.5841623320302061</v>
      </c>
      <c r="AF263" s="51">
        <f t="shared" si="25"/>
        <v>0.97211705210707022</v>
      </c>
      <c r="AG263" s="51">
        <f t="shared" si="26"/>
        <v>3.5562793841372766</v>
      </c>
      <c r="AH263" s="51">
        <f t="shared" si="27"/>
        <v>0.12578317708099174</v>
      </c>
      <c r="BG263" s="15"/>
      <c r="BM263" s="17"/>
      <c r="BN263" s="17"/>
      <c r="BO263" s="17"/>
      <c r="BP263" s="17"/>
      <c r="BQ263" s="17"/>
      <c r="BW263" s="17"/>
    </row>
    <row r="264" spans="1:75" hidden="1" x14ac:dyDescent="0.25">
      <c r="A264" s="15" t="s">
        <v>515</v>
      </c>
      <c r="B264" s="15" t="s">
        <v>30</v>
      </c>
      <c r="C264" s="15">
        <v>2009</v>
      </c>
      <c r="D264" s="15" t="s">
        <v>516</v>
      </c>
      <c r="E264" s="15">
        <v>4850</v>
      </c>
      <c r="F264" s="15">
        <v>9767758</v>
      </c>
      <c r="G264" s="15" t="s">
        <v>42</v>
      </c>
      <c r="H264" s="15" t="s">
        <v>110</v>
      </c>
      <c r="I264" s="15" t="s">
        <v>517</v>
      </c>
      <c r="J264" s="15" t="s">
        <v>518</v>
      </c>
      <c r="K264" s="15" t="s">
        <v>92</v>
      </c>
      <c r="L264" s="15" t="s">
        <v>48</v>
      </c>
      <c r="M264" s="15" t="s">
        <v>407</v>
      </c>
      <c r="N264" s="15" t="s">
        <v>37</v>
      </c>
      <c r="O264" s="15"/>
      <c r="P264" s="15"/>
      <c r="Q264" s="15"/>
      <c r="R264" s="15"/>
      <c r="S264" s="15"/>
      <c r="T264" s="15"/>
      <c r="U264" s="15"/>
      <c r="V264" s="15"/>
      <c r="W264" s="15"/>
      <c r="X264" s="15"/>
      <c r="Y264" s="17">
        <v>17225</v>
      </c>
      <c r="Z264" s="17">
        <v>6452</v>
      </c>
      <c r="AA264" s="17">
        <v>1035</v>
      </c>
      <c r="AB264" s="17">
        <v>7487</v>
      </c>
      <c r="AC264" s="17">
        <v>24712</v>
      </c>
      <c r="AD264" s="17">
        <v>1192</v>
      </c>
      <c r="AE264" s="51">
        <f t="shared" si="24"/>
        <v>1.7634548276073179</v>
      </c>
      <c r="AF264" s="51">
        <f t="shared" si="25"/>
        <v>0.76650138138147972</v>
      </c>
      <c r="AG264" s="51">
        <f t="shared" si="26"/>
        <v>2.5299562089887977</v>
      </c>
      <c r="AH264" s="51">
        <f t="shared" si="27"/>
        <v>0.12203414539958914</v>
      </c>
      <c r="BG264" s="15"/>
      <c r="BM264" s="17"/>
      <c r="BN264" s="17"/>
      <c r="BO264" s="17"/>
      <c r="BP264" s="17"/>
      <c r="BQ264" s="17"/>
      <c r="BW264" s="17"/>
    </row>
    <row r="265" spans="1:75" hidden="1" x14ac:dyDescent="0.25">
      <c r="A265" s="15" t="s">
        <v>515</v>
      </c>
      <c r="B265" s="15" t="s">
        <v>52</v>
      </c>
      <c r="C265" s="15">
        <v>2018</v>
      </c>
      <c r="D265" s="15" t="s">
        <v>516</v>
      </c>
      <c r="E265" s="15">
        <v>6630</v>
      </c>
      <c r="F265" s="15">
        <v>10766998</v>
      </c>
      <c r="G265" s="15" t="s">
        <v>42</v>
      </c>
      <c r="H265" s="15" t="s">
        <v>110</v>
      </c>
      <c r="I265" s="15" t="s">
        <v>525</v>
      </c>
      <c r="J265" s="15" t="s">
        <v>526</v>
      </c>
      <c r="K265" s="15" t="s">
        <v>61</v>
      </c>
      <c r="L265" s="15" t="s">
        <v>165</v>
      </c>
      <c r="M265" s="15" t="s">
        <v>527</v>
      </c>
      <c r="N265" s="15" t="s">
        <v>528</v>
      </c>
      <c r="O265" s="15" t="s">
        <v>113</v>
      </c>
      <c r="P265" s="15" t="s">
        <v>529</v>
      </c>
      <c r="Q265" s="15" t="s">
        <v>530</v>
      </c>
      <c r="R265" s="15" t="s">
        <v>531</v>
      </c>
      <c r="S265" s="15" t="s">
        <v>532</v>
      </c>
      <c r="T265" s="15" t="s">
        <v>533</v>
      </c>
      <c r="U265" s="15" t="s">
        <v>534</v>
      </c>
      <c r="V265" s="15" t="s">
        <v>535</v>
      </c>
      <c r="W265" s="15" t="s">
        <v>536</v>
      </c>
      <c r="X265" s="15" t="s">
        <v>532</v>
      </c>
      <c r="AE265" s="51" t="str">
        <f t="shared" si="24"/>
        <v/>
      </c>
      <c r="AF265" s="51" t="str">
        <f t="shared" si="25"/>
        <v/>
      </c>
      <c r="AG265" s="51" t="str">
        <f t="shared" si="26"/>
        <v/>
      </c>
      <c r="AH265" s="51" t="str">
        <f t="shared" si="27"/>
        <v/>
      </c>
      <c r="BG265" s="15"/>
      <c r="BM265" s="17"/>
      <c r="BN265" s="17"/>
      <c r="BO265" s="17"/>
      <c r="BP265" s="17"/>
      <c r="BQ265" s="17"/>
      <c r="BW265" s="17"/>
    </row>
    <row r="266" spans="1:75" hidden="1" x14ac:dyDescent="0.25">
      <c r="A266" s="15" t="s">
        <v>537</v>
      </c>
      <c r="B266" s="15" t="s">
        <v>30</v>
      </c>
      <c r="C266" s="15">
        <v>2016</v>
      </c>
      <c r="D266" s="15" t="s">
        <v>538</v>
      </c>
      <c r="E266" s="15">
        <v>5800</v>
      </c>
      <c r="F266" s="15">
        <v>16624858</v>
      </c>
      <c r="G266" s="15" t="s">
        <v>42</v>
      </c>
      <c r="H266" s="15" t="s">
        <v>110</v>
      </c>
      <c r="I266" s="15" t="s">
        <v>539</v>
      </c>
      <c r="J266" s="15" t="s">
        <v>540</v>
      </c>
      <c r="K266" s="15" t="s">
        <v>92</v>
      </c>
      <c r="L266" s="15" t="s">
        <v>48</v>
      </c>
      <c r="M266" s="15" t="s">
        <v>541</v>
      </c>
      <c r="N266" s="15" t="s">
        <v>184</v>
      </c>
      <c r="O266" s="15"/>
      <c r="P266" s="15"/>
      <c r="Q266" s="15"/>
      <c r="R266" s="15"/>
      <c r="S266" s="15"/>
      <c r="T266" s="15" t="s">
        <v>542</v>
      </c>
      <c r="U266" s="15" t="s">
        <v>221</v>
      </c>
      <c r="V266" s="15" t="s">
        <v>222</v>
      </c>
      <c r="W266" s="15" t="s">
        <v>543</v>
      </c>
      <c r="X266" s="15" t="s">
        <v>102</v>
      </c>
      <c r="Y266" s="17">
        <v>763636</v>
      </c>
      <c r="Z266" s="17">
        <v>63400</v>
      </c>
      <c r="AA266" s="17">
        <v>12846</v>
      </c>
      <c r="AB266" s="17">
        <v>76246</v>
      </c>
      <c r="AC266" s="17">
        <v>839882</v>
      </c>
      <c r="AD266" s="17">
        <v>3863</v>
      </c>
      <c r="AE266" s="51">
        <f t="shared" si="24"/>
        <v>45.933384814474806</v>
      </c>
      <c r="AF266" s="51">
        <f t="shared" si="25"/>
        <v>4.5862647368176015</v>
      </c>
      <c r="AG266" s="51">
        <f t="shared" si="26"/>
        <v>50.51964955129241</v>
      </c>
      <c r="AH266" s="51">
        <f t="shared" si="27"/>
        <v>0.23236288694916973</v>
      </c>
      <c r="AI266" s="17">
        <v>727273</v>
      </c>
      <c r="AJ266" s="17">
        <v>577529</v>
      </c>
      <c r="AK266" s="17">
        <v>512767</v>
      </c>
      <c r="AL266" s="17">
        <v>1090296</v>
      </c>
      <c r="AM266" s="17">
        <v>1817569</v>
      </c>
      <c r="AN266" s="17">
        <v>1119985</v>
      </c>
      <c r="AO266" s="17">
        <v>1161511361</v>
      </c>
      <c r="AP266" s="17">
        <v>15627076463</v>
      </c>
      <c r="AQ266" s="17">
        <v>21678118725</v>
      </c>
      <c r="AR266" s="17">
        <v>37305195188</v>
      </c>
      <c r="AS266" s="17">
        <v>38466706549</v>
      </c>
      <c r="AT266" s="17">
        <v>101439511609</v>
      </c>
      <c r="BG266" s="15"/>
      <c r="BM266" s="17"/>
      <c r="BN266" s="17"/>
      <c r="BO266" s="17"/>
      <c r="BP266" s="17"/>
      <c r="BQ266" s="17"/>
      <c r="BS266" s="15" t="s">
        <v>544</v>
      </c>
      <c r="BW266" s="17"/>
    </row>
    <row r="267" spans="1:75" hidden="1" x14ac:dyDescent="0.25">
      <c r="A267" s="15" t="s">
        <v>537</v>
      </c>
      <c r="B267" s="15" t="s">
        <v>30</v>
      </c>
      <c r="C267" s="15">
        <v>2015</v>
      </c>
      <c r="D267" s="15" t="s">
        <v>538</v>
      </c>
      <c r="E267" s="15">
        <v>6000</v>
      </c>
      <c r="F267" s="15">
        <v>16144368</v>
      </c>
      <c r="G267" s="15" t="s">
        <v>42</v>
      </c>
      <c r="H267" s="15" t="s">
        <v>110</v>
      </c>
      <c r="I267" s="15" t="s">
        <v>539</v>
      </c>
      <c r="J267" s="15" t="s">
        <v>540</v>
      </c>
      <c r="K267" s="15" t="s">
        <v>92</v>
      </c>
      <c r="L267" s="15" t="s">
        <v>48</v>
      </c>
      <c r="M267" s="15" t="s">
        <v>541</v>
      </c>
      <c r="N267" s="15" t="s">
        <v>184</v>
      </c>
      <c r="O267" s="15"/>
      <c r="P267" s="15"/>
      <c r="Q267" s="15"/>
      <c r="R267" s="15"/>
      <c r="S267" s="15"/>
      <c r="T267" s="15" t="s">
        <v>542</v>
      </c>
      <c r="U267" s="15" t="s">
        <v>221</v>
      </c>
      <c r="V267" s="15" t="s">
        <v>222</v>
      </c>
      <c r="W267" s="15" t="s">
        <v>543</v>
      </c>
      <c r="X267" s="15" t="s">
        <v>102</v>
      </c>
      <c r="Y267" s="17">
        <v>774613</v>
      </c>
      <c r="Z267" s="17">
        <v>66360</v>
      </c>
      <c r="AA267" s="17">
        <v>13767</v>
      </c>
      <c r="AB267" s="17">
        <v>80127</v>
      </c>
      <c r="AC267" s="17">
        <v>854740</v>
      </c>
      <c r="AD267" s="17">
        <v>4095</v>
      </c>
      <c r="AE267" s="51">
        <f t="shared" si="24"/>
        <v>47.98038548179774</v>
      </c>
      <c r="AF267" s="51">
        <f t="shared" si="25"/>
        <v>4.9631549528603411</v>
      </c>
      <c r="AG267" s="51">
        <f t="shared" si="26"/>
        <v>52.943540434658075</v>
      </c>
      <c r="AH267" s="51">
        <f t="shared" si="27"/>
        <v>0.25364882663725208</v>
      </c>
      <c r="AI267" s="17">
        <v>748969</v>
      </c>
      <c r="AJ267" s="17">
        <v>609967</v>
      </c>
      <c r="AK267" s="17">
        <v>536027</v>
      </c>
      <c r="AL267" s="17">
        <v>1145994</v>
      </c>
      <c r="AM267" s="17">
        <v>1894963</v>
      </c>
      <c r="AN267" s="17">
        <v>1197757</v>
      </c>
      <c r="AO267" s="17">
        <v>1122331781</v>
      </c>
      <c r="AP267" s="17">
        <v>16565738087</v>
      </c>
      <c r="AQ267" s="17">
        <v>23513446144</v>
      </c>
      <c r="AR267" s="17">
        <v>40079184231</v>
      </c>
      <c r="AS267" s="17">
        <v>41201516012</v>
      </c>
      <c r="AT267" s="17">
        <v>110163242019</v>
      </c>
      <c r="BG267" s="15"/>
      <c r="BM267" s="17"/>
      <c r="BN267" s="17"/>
      <c r="BO267" s="17"/>
      <c r="BP267" s="17"/>
      <c r="BQ267" s="17"/>
      <c r="BW267" s="17"/>
    </row>
    <row r="268" spans="1:75" hidden="1" x14ac:dyDescent="0.25">
      <c r="A268" s="15" t="s">
        <v>537</v>
      </c>
      <c r="B268" s="15" t="s">
        <v>30</v>
      </c>
      <c r="C268" s="15">
        <v>2014</v>
      </c>
      <c r="D268" s="15" t="s">
        <v>538</v>
      </c>
      <c r="E268" s="15">
        <v>6130</v>
      </c>
      <c r="F268" s="15">
        <v>15903112</v>
      </c>
      <c r="G268" s="15" t="s">
        <v>42</v>
      </c>
      <c r="H268" s="15" t="s">
        <v>110</v>
      </c>
      <c r="I268" s="15" t="s">
        <v>539</v>
      </c>
      <c r="J268" s="15" t="s">
        <v>540</v>
      </c>
      <c r="K268" s="15" t="s">
        <v>92</v>
      </c>
      <c r="L268" s="15" t="s">
        <v>48</v>
      </c>
      <c r="M268" s="15" t="s">
        <v>541</v>
      </c>
      <c r="N268" s="15" t="s">
        <v>184</v>
      </c>
      <c r="O268" s="15"/>
      <c r="P268" s="15"/>
      <c r="Q268" s="15"/>
      <c r="R268" s="15"/>
      <c r="S268" s="15"/>
      <c r="T268" s="15" t="s">
        <v>542</v>
      </c>
      <c r="U268" s="15" t="s">
        <v>221</v>
      </c>
      <c r="V268" s="15" t="s">
        <v>222</v>
      </c>
      <c r="W268" s="15" t="s">
        <v>543</v>
      </c>
      <c r="X268" s="15" t="s">
        <v>102</v>
      </c>
      <c r="Y268" s="17">
        <v>774117</v>
      </c>
      <c r="Z268" s="17">
        <v>68280</v>
      </c>
      <c r="AA268" s="17">
        <v>13891</v>
      </c>
      <c r="AB268" s="17">
        <v>82171</v>
      </c>
      <c r="AC268" s="17">
        <v>856288</v>
      </c>
      <c r="AD268" s="17">
        <v>4106</v>
      </c>
      <c r="AE268" s="51">
        <f t="shared" si="24"/>
        <v>48.677076536969622</v>
      </c>
      <c r="AF268" s="51">
        <f t="shared" si="25"/>
        <v>5.1669761239183876</v>
      </c>
      <c r="AG268" s="51">
        <f t="shared" si="26"/>
        <v>53.844052660888011</v>
      </c>
      <c r="AH268" s="51">
        <f t="shared" si="27"/>
        <v>0.25818846022086744</v>
      </c>
      <c r="AI268" s="17">
        <v>752476</v>
      </c>
      <c r="AJ268" s="17">
        <v>626113</v>
      </c>
      <c r="AK268" s="17">
        <v>536975</v>
      </c>
      <c r="AL268" s="17">
        <v>1163088</v>
      </c>
      <c r="AM268" s="17">
        <v>1915564</v>
      </c>
      <c r="AN268" s="17">
        <v>1174470</v>
      </c>
      <c r="AO268" s="17">
        <v>1132815420</v>
      </c>
      <c r="AP268" s="17">
        <v>16941245240</v>
      </c>
      <c r="AQ268" s="17">
        <v>24171380585</v>
      </c>
      <c r="AR268" s="17">
        <v>41112625825</v>
      </c>
      <c r="AS268" s="17">
        <v>42245441245</v>
      </c>
      <c r="AT268" s="17">
        <v>120541309098</v>
      </c>
      <c r="BG268" s="15"/>
      <c r="BM268" s="17"/>
      <c r="BN268" s="17"/>
      <c r="BO268" s="17"/>
      <c r="BP268" s="17"/>
      <c r="BQ268" s="17"/>
      <c r="BW268" s="17"/>
    </row>
    <row r="269" spans="1:75" hidden="1" x14ac:dyDescent="0.25">
      <c r="A269" s="15" t="s">
        <v>537</v>
      </c>
      <c r="B269" s="15" t="s">
        <v>30</v>
      </c>
      <c r="C269" s="15">
        <v>2013</v>
      </c>
      <c r="D269" s="15" t="s">
        <v>538</v>
      </c>
      <c r="E269" s="15">
        <v>5830</v>
      </c>
      <c r="F269" s="15">
        <v>15661547</v>
      </c>
      <c r="G269" s="15" t="s">
        <v>42</v>
      </c>
      <c r="H269" s="15" t="s">
        <v>110</v>
      </c>
      <c r="I269" s="15" t="s">
        <v>539</v>
      </c>
      <c r="J269" s="15" t="s">
        <v>540</v>
      </c>
      <c r="K269" s="15" t="s">
        <v>92</v>
      </c>
      <c r="L269" s="15" t="s">
        <v>48</v>
      </c>
      <c r="M269" s="15" t="s">
        <v>541</v>
      </c>
      <c r="N269" s="15" t="s">
        <v>184</v>
      </c>
      <c r="O269" s="15"/>
      <c r="P269" s="15"/>
      <c r="Q269" s="15"/>
      <c r="R269" s="15"/>
      <c r="S269" s="15"/>
      <c r="T269" s="15" t="s">
        <v>542</v>
      </c>
      <c r="U269" s="15" t="s">
        <v>221</v>
      </c>
      <c r="V269" s="15" t="s">
        <v>222</v>
      </c>
      <c r="W269" s="15" t="s">
        <v>543</v>
      </c>
      <c r="X269" s="15" t="s">
        <v>102</v>
      </c>
      <c r="Y269" s="17">
        <v>744829</v>
      </c>
      <c r="Z269" s="17">
        <v>65200</v>
      </c>
      <c r="AA269" s="17">
        <v>12941</v>
      </c>
      <c r="AB269" s="17">
        <v>78141</v>
      </c>
      <c r="AC269" s="17">
        <v>822970</v>
      </c>
      <c r="AD269" s="17">
        <v>3834</v>
      </c>
      <c r="AE269" s="51">
        <f t="shared" si="24"/>
        <v>47.55781788350793</v>
      </c>
      <c r="AF269" s="51">
        <f t="shared" si="25"/>
        <v>4.9893538614033464</v>
      </c>
      <c r="AG269" s="51">
        <f t="shared" si="26"/>
        <v>52.547171744911275</v>
      </c>
      <c r="AH269" s="51">
        <f t="shared" si="27"/>
        <v>0.24480340288223124</v>
      </c>
      <c r="AI269" s="17">
        <v>723246</v>
      </c>
      <c r="AJ269" s="17">
        <v>611922</v>
      </c>
      <c r="AK269" s="17">
        <v>512644</v>
      </c>
      <c r="AL269" s="17">
        <v>1124566</v>
      </c>
      <c r="AM269" s="17">
        <v>1847812</v>
      </c>
      <c r="AN269" s="17">
        <v>1093970</v>
      </c>
      <c r="AO269" s="17">
        <v>1038285040</v>
      </c>
      <c r="AP269" s="17">
        <v>15756707543</v>
      </c>
      <c r="AQ269" s="17">
        <v>22564060886</v>
      </c>
      <c r="AR269" s="17">
        <v>38320768429</v>
      </c>
      <c r="AS269" s="17">
        <v>39359053469</v>
      </c>
      <c r="AT269" s="17">
        <v>112659144365</v>
      </c>
      <c r="BG269" s="15"/>
      <c r="BM269" s="17"/>
      <c r="BN269" s="17"/>
      <c r="BO269" s="17"/>
      <c r="BP269" s="17"/>
      <c r="BQ269" s="17"/>
      <c r="BW269" s="17"/>
    </row>
    <row r="270" spans="1:75" hidden="1" x14ac:dyDescent="0.25">
      <c r="A270" s="15" t="s">
        <v>537</v>
      </c>
      <c r="B270" s="15" t="s">
        <v>30</v>
      </c>
      <c r="C270" s="15">
        <v>2012</v>
      </c>
      <c r="D270" s="15" t="s">
        <v>538</v>
      </c>
      <c r="E270" s="15">
        <v>5410</v>
      </c>
      <c r="F270" s="15">
        <v>15419666</v>
      </c>
      <c r="G270" s="15" t="s">
        <v>42</v>
      </c>
      <c r="H270" s="15" t="s">
        <v>110</v>
      </c>
      <c r="I270" s="15" t="s">
        <v>539</v>
      </c>
      <c r="J270" s="15" t="s">
        <v>540</v>
      </c>
      <c r="K270" s="15" t="s">
        <v>92</v>
      </c>
      <c r="L270" s="15" t="s">
        <v>48</v>
      </c>
      <c r="M270" s="15" t="s">
        <v>541</v>
      </c>
      <c r="N270" s="15" t="s">
        <v>184</v>
      </c>
      <c r="O270" s="15"/>
      <c r="P270" s="15"/>
      <c r="Q270" s="15"/>
      <c r="R270" s="15"/>
      <c r="S270" s="15"/>
      <c r="T270" s="15" t="s">
        <v>542</v>
      </c>
      <c r="U270" s="15" t="s">
        <v>221</v>
      </c>
      <c r="V270" s="15" t="s">
        <v>222</v>
      </c>
      <c r="W270" s="15" t="s">
        <v>543</v>
      </c>
      <c r="X270" s="15" t="s">
        <v>102</v>
      </c>
      <c r="Y270" s="17">
        <v>671037</v>
      </c>
      <c r="Z270" s="17">
        <v>63328</v>
      </c>
      <c r="AA270" s="17">
        <v>11993</v>
      </c>
      <c r="AB270" s="17">
        <v>75321</v>
      </c>
      <c r="AC270" s="17">
        <v>746358</v>
      </c>
      <c r="AD270" s="17">
        <v>3554</v>
      </c>
      <c r="AE270" s="51">
        <f t="shared" ref="AE270:AE301" si="30">IF(ISERROR((Y270/$F270)*1000),"",IF((Y270/$F270)*1000=0,"",(Y270/$F270)*1000))</f>
        <v>43.518257788463124</v>
      </c>
      <c r="AF270" s="51">
        <f t="shared" ref="AF270:AF301" si="31">IF(ISERROR((AB270/$F270)*1000),"",IF((AB270/$F270)*1000=0,"",(AB270/$F270)*1000))</f>
        <v>4.8847361544666397</v>
      </c>
      <c r="AG270" s="51">
        <f t="shared" ref="AG270:AG301" si="32">IF(ISERROR((AC270/$F270)*1000),"",IF((AC270/$F270)*1000=0,"",(AC270/$F270)*1000))</f>
        <v>48.402993942929761</v>
      </c>
      <c r="AH270" s="51">
        <f t="shared" ref="AH270:AH301" si="33">IF(ISERROR((AD270/$F270)*1000),"",IF((AD270/$F270)*1000=0,"",(AD270/$F270)*1000))</f>
        <v>0.2304848885831898</v>
      </c>
      <c r="AI270" s="17">
        <v>657419</v>
      </c>
      <c r="AJ270" s="17">
        <v>601314</v>
      </c>
      <c r="AK270" s="17">
        <v>487210</v>
      </c>
      <c r="AL270" s="17">
        <v>1088524</v>
      </c>
      <c r="AM270" s="17">
        <v>1745943</v>
      </c>
      <c r="AN270" s="17">
        <v>981441</v>
      </c>
      <c r="AO270" s="17">
        <v>1001256841</v>
      </c>
      <c r="AP270" s="17">
        <v>14809280256</v>
      </c>
      <c r="AQ270" s="17">
        <v>20611719547</v>
      </c>
      <c r="AR270" s="17">
        <v>35420999803</v>
      </c>
      <c r="AS270" s="17">
        <v>36422256644</v>
      </c>
      <c r="AT270" s="17">
        <v>103295874985</v>
      </c>
      <c r="BG270" s="15"/>
      <c r="BM270" s="17"/>
      <c r="BN270" s="17"/>
      <c r="BO270" s="17"/>
      <c r="BP270" s="17"/>
      <c r="BQ270" s="17"/>
      <c r="BW270" s="17"/>
    </row>
    <row r="271" spans="1:75" hidden="1" x14ac:dyDescent="0.25">
      <c r="A271" s="15" t="s">
        <v>545</v>
      </c>
      <c r="B271" s="15" t="s">
        <v>30</v>
      </c>
      <c r="C271" s="15">
        <v>2017</v>
      </c>
      <c r="D271" s="15" t="s">
        <v>546</v>
      </c>
      <c r="E271" s="15">
        <v>3010</v>
      </c>
      <c r="F271" s="15">
        <v>97553151</v>
      </c>
      <c r="G271" s="15" t="s">
        <v>88</v>
      </c>
      <c r="H271" s="15" t="s">
        <v>58</v>
      </c>
      <c r="I271" s="15" t="s">
        <v>1638</v>
      </c>
      <c r="J271" s="15" t="s">
        <v>1637</v>
      </c>
      <c r="K271" s="15" t="s">
        <v>46</v>
      </c>
      <c r="L271" s="15" t="s">
        <v>647</v>
      </c>
      <c r="M271" s="15" t="s">
        <v>407</v>
      </c>
      <c r="N271" s="15" t="s">
        <v>310</v>
      </c>
      <c r="O271" s="15"/>
      <c r="P271" s="15"/>
      <c r="Q271" s="15"/>
      <c r="R271" s="15"/>
      <c r="S271" s="15"/>
      <c r="T271" s="15"/>
      <c r="U271" s="15"/>
      <c r="V271" s="15"/>
      <c r="W271" s="15"/>
      <c r="X271" s="15"/>
      <c r="Y271" s="17">
        <v>3431649</v>
      </c>
      <c r="Z271" s="17">
        <v>421386</v>
      </c>
      <c r="AA271" s="17">
        <v>8311</v>
      </c>
      <c r="AB271" s="17">
        <f>+Z271+AA271</f>
        <v>429697</v>
      </c>
      <c r="AC271" s="17">
        <f>+Y271+AB271</f>
        <v>3861346</v>
      </c>
      <c r="AD271" s="17">
        <v>3040</v>
      </c>
      <c r="AE271" s="51">
        <f t="shared" si="30"/>
        <v>35.17722354247686</v>
      </c>
      <c r="AF271" s="51">
        <f t="shared" si="31"/>
        <v>4.4047475206618385</v>
      </c>
      <c r="AG271" s="51">
        <f t="shared" si="32"/>
        <v>39.581971063138695</v>
      </c>
      <c r="AH271" s="51">
        <f t="shared" si="33"/>
        <v>3.1162499302559689E-2</v>
      </c>
      <c r="AI271" s="17">
        <v>6770117</v>
      </c>
      <c r="AJ271" s="17">
        <v>4120229</v>
      </c>
      <c r="AK271" s="17">
        <v>547348</v>
      </c>
      <c r="AL271" s="17">
        <f>+AJ271+AK271</f>
        <v>4667577</v>
      </c>
      <c r="AM271" s="17">
        <f>+AL271+AI271</f>
        <v>11437694</v>
      </c>
      <c r="AN271" s="17">
        <v>1407891</v>
      </c>
      <c r="BG271" s="15"/>
      <c r="BM271" s="17"/>
      <c r="BN271" s="17"/>
      <c r="BO271" s="17"/>
      <c r="BP271" s="17"/>
      <c r="BQ271" s="17"/>
      <c r="BS271" s="15" t="s">
        <v>1639</v>
      </c>
      <c r="BW271" s="17"/>
    </row>
    <row r="272" spans="1:75" hidden="1" x14ac:dyDescent="0.25">
      <c r="A272" s="15" t="s">
        <v>548</v>
      </c>
      <c r="B272" s="15" t="s">
        <v>30</v>
      </c>
      <c r="C272" s="15">
        <v>2007</v>
      </c>
      <c r="D272" s="15" t="s">
        <v>549</v>
      </c>
      <c r="E272" s="15">
        <v>3200</v>
      </c>
      <c r="F272" s="15">
        <v>6083475</v>
      </c>
      <c r="G272" s="15" t="s">
        <v>88</v>
      </c>
      <c r="H272" s="15" t="s">
        <v>110</v>
      </c>
      <c r="I272" s="15" t="s">
        <v>550</v>
      </c>
      <c r="J272" s="15" t="s">
        <v>551</v>
      </c>
      <c r="K272" s="15" t="s">
        <v>98</v>
      </c>
      <c r="L272" s="15" t="s">
        <v>402</v>
      </c>
      <c r="M272" s="15" t="s">
        <v>372</v>
      </c>
      <c r="N272" s="15" t="s">
        <v>37</v>
      </c>
      <c r="O272" s="15"/>
      <c r="P272" s="15"/>
      <c r="Q272" s="15"/>
      <c r="R272" s="15"/>
      <c r="S272" s="15"/>
      <c r="T272" s="15" t="s">
        <v>542</v>
      </c>
      <c r="U272" s="15" t="s">
        <v>221</v>
      </c>
      <c r="V272" s="15" t="s">
        <v>552</v>
      </c>
      <c r="W272" s="15" t="s">
        <v>553</v>
      </c>
      <c r="X272" s="15" t="s">
        <v>102</v>
      </c>
      <c r="Y272" s="17">
        <v>155712</v>
      </c>
      <c r="Z272" s="17">
        <v>5153</v>
      </c>
      <c r="AA272" s="17">
        <v>575</v>
      </c>
      <c r="AB272" s="17">
        <v>5728</v>
      </c>
      <c r="AC272" s="17">
        <v>161440</v>
      </c>
      <c r="AD272" s="17">
        <v>494</v>
      </c>
      <c r="AE272" s="51">
        <f t="shared" si="30"/>
        <v>25.595897081848776</v>
      </c>
      <c r="AF272" s="51">
        <f t="shared" si="31"/>
        <v>0.94156711419049144</v>
      </c>
      <c r="AG272" s="51">
        <f t="shared" si="32"/>
        <v>26.53746419603927</v>
      </c>
      <c r="AH272" s="51">
        <f t="shared" si="33"/>
        <v>8.1203588409584984E-2</v>
      </c>
      <c r="AI272" s="17">
        <v>322382</v>
      </c>
      <c r="AJ272" s="17">
        <v>106731</v>
      </c>
      <c r="AK272" s="17">
        <v>40551</v>
      </c>
      <c r="AL272" s="17">
        <v>147282</v>
      </c>
      <c r="AM272" s="17">
        <v>469664</v>
      </c>
      <c r="AN272" s="17">
        <v>93839</v>
      </c>
      <c r="AU272" s="15" t="s">
        <v>551</v>
      </c>
      <c r="AV272" s="15" t="s">
        <v>551</v>
      </c>
      <c r="BG272" s="15"/>
      <c r="BM272" s="17"/>
      <c r="BN272" s="17"/>
      <c r="BO272" s="17"/>
      <c r="BP272" s="17"/>
      <c r="BQ272" s="17"/>
      <c r="BW272" s="17"/>
    </row>
    <row r="273" spans="1:75" hidden="1" x14ac:dyDescent="0.25">
      <c r="A273" s="15" t="s">
        <v>556</v>
      </c>
      <c r="B273" s="15" t="s">
        <v>30</v>
      </c>
      <c r="C273" s="15">
        <v>2017</v>
      </c>
      <c r="D273" s="15" t="s">
        <v>557</v>
      </c>
      <c r="E273" s="15">
        <v>18670</v>
      </c>
      <c r="F273" s="15">
        <v>1317384</v>
      </c>
      <c r="G273" s="15" t="s">
        <v>109</v>
      </c>
      <c r="H273" s="15" t="s">
        <v>43</v>
      </c>
      <c r="I273" s="15" t="s">
        <v>507</v>
      </c>
      <c r="J273" s="15" t="s">
        <v>193</v>
      </c>
      <c r="K273" s="15" t="s">
        <v>61</v>
      </c>
      <c r="L273" s="15" t="s">
        <v>48</v>
      </c>
      <c r="M273" s="15" t="s">
        <v>62</v>
      </c>
      <c r="N273" s="15" t="s">
        <v>63</v>
      </c>
      <c r="O273" s="15"/>
      <c r="P273" s="15"/>
      <c r="Q273" s="15"/>
      <c r="R273" s="15"/>
      <c r="S273" s="15"/>
      <c r="T273" s="15"/>
      <c r="U273" s="15"/>
      <c r="V273" s="15"/>
      <c r="W273" s="15"/>
      <c r="X273" s="15"/>
      <c r="Y273" s="17">
        <v>67080</v>
      </c>
      <c r="Z273" s="17">
        <v>5501</v>
      </c>
      <c r="AA273" s="17">
        <v>1077</v>
      </c>
      <c r="AB273" s="17">
        <v>6578</v>
      </c>
      <c r="AC273" s="17">
        <v>73658</v>
      </c>
      <c r="AD273" s="17">
        <v>181</v>
      </c>
      <c r="AE273" s="51">
        <f t="shared" si="30"/>
        <v>50.91909420487876</v>
      </c>
      <c r="AF273" s="51">
        <f t="shared" si="31"/>
        <v>4.9932290053621422</v>
      </c>
      <c r="AG273" s="51">
        <f t="shared" si="32"/>
        <v>55.912323210240899</v>
      </c>
      <c r="AH273" s="51">
        <f t="shared" si="33"/>
        <v>0.13739350105967585</v>
      </c>
      <c r="AI273" s="17">
        <v>138685</v>
      </c>
      <c r="AJ273" s="17">
        <v>106106</v>
      </c>
      <c r="AK273" s="17">
        <v>101122</v>
      </c>
      <c r="AL273" s="17">
        <f t="shared" ref="AL273:AL278" si="34">+AJ273+AK273</f>
        <v>207228</v>
      </c>
      <c r="AM273" s="17">
        <f>+AI273+AL273</f>
        <v>345913</v>
      </c>
      <c r="AN273" s="17">
        <v>98372</v>
      </c>
      <c r="AO273" s="17">
        <v>3300000000</v>
      </c>
      <c r="AP273" s="17">
        <v>2800000000</v>
      </c>
      <c r="AQ273" s="17">
        <v>3000000000</v>
      </c>
      <c r="AR273" s="17">
        <f>+AP273+AQ273</f>
        <v>5800000000</v>
      </c>
      <c r="AS273" s="17">
        <f>+AR273+AO273</f>
        <v>9100000000</v>
      </c>
      <c r="AT273" s="17">
        <v>2900000000</v>
      </c>
      <c r="BG273" s="15"/>
      <c r="BM273" s="17"/>
      <c r="BN273" s="17"/>
      <c r="BO273" s="17"/>
      <c r="BP273" s="17"/>
      <c r="BQ273" s="17"/>
      <c r="BW273" s="17"/>
    </row>
    <row r="274" spans="1:75" hidden="1" x14ac:dyDescent="0.25">
      <c r="A274" s="15" t="s">
        <v>556</v>
      </c>
      <c r="B274" s="15" t="s">
        <v>30</v>
      </c>
      <c r="C274" s="15">
        <v>2016</v>
      </c>
      <c r="D274" s="15" t="s">
        <v>557</v>
      </c>
      <c r="E274" s="15">
        <v>17830</v>
      </c>
      <c r="F274" s="15">
        <v>1315480</v>
      </c>
      <c r="G274" s="15" t="s">
        <v>109</v>
      </c>
      <c r="H274" s="15" t="s">
        <v>43</v>
      </c>
      <c r="I274" s="15" t="s">
        <v>507</v>
      </c>
      <c r="J274" s="15" t="s">
        <v>193</v>
      </c>
      <c r="K274" s="15" t="s">
        <v>61</v>
      </c>
      <c r="L274" s="15" t="s">
        <v>48</v>
      </c>
      <c r="M274" s="15" t="s">
        <v>62</v>
      </c>
      <c r="N274" s="15" t="s">
        <v>63</v>
      </c>
      <c r="O274" s="15"/>
      <c r="P274" s="15"/>
      <c r="Q274" s="15"/>
      <c r="R274" s="15"/>
      <c r="S274" s="15"/>
      <c r="T274" s="15"/>
      <c r="U274" s="15"/>
      <c r="V274" s="15"/>
      <c r="W274" s="15"/>
      <c r="X274" s="15"/>
      <c r="Y274" s="17">
        <v>62493</v>
      </c>
      <c r="Z274" s="17">
        <v>5313</v>
      </c>
      <c r="AA274" s="17">
        <v>1047</v>
      </c>
      <c r="AB274" s="17">
        <v>6360</v>
      </c>
      <c r="AC274" s="17">
        <v>68853</v>
      </c>
      <c r="AD274" s="17">
        <v>172</v>
      </c>
      <c r="AE274" s="51">
        <f t="shared" si="30"/>
        <v>47.505853376714199</v>
      </c>
      <c r="AF274" s="51">
        <f t="shared" si="31"/>
        <v>4.8347371301730169</v>
      </c>
      <c r="AG274" s="51">
        <f t="shared" si="32"/>
        <v>52.340590506887217</v>
      </c>
      <c r="AH274" s="51">
        <f t="shared" si="33"/>
        <v>0.13075075257700611</v>
      </c>
      <c r="AI274" s="17">
        <v>127177</v>
      </c>
      <c r="AJ274" s="17">
        <v>100932</v>
      </c>
      <c r="AK274" s="17">
        <v>97155</v>
      </c>
      <c r="AL274" s="17">
        <f t="shared" si="34"/>
        <v>198087</v>
      </c>
      <c r="AM274" s="17">
        <f>+AI274+AL274</f>
        <v>325264</v>
      </c>
      <c r="AN274" s="17">
        <v>91918</v>
      </c>
      <c r="AO274" s="17">
        <v>2800000000</v>
      </c>
      <c r="AP274" s="17">
        <v>2500000000</v>
      </c>
      <c r="AQ274" s="17">
        <v>2800000000</v>
      </c>
      <c r="AR274" s="17">
        <f>+AP274+AQ274</f>
        <v>5300000000</v>
      </c>
      <c r="AS274" s="17">
        <f>+AR274+AO274</f>
        <v>8100000000</v>
      </c>
      <c r="AT274" s="17">
        <v>2600000000</v>
      </c>
      <c r="BG274" s="15"/>
      <c r="BM274" s="17"/>
      <c r="BN274" s="17"/>
      <c r="BO274" s="17"/>
      <c r="BP274" s="17"/>
      <c r="BQ274" s="17"/>
      <c r="BW274" s="17"/>
    </row>
    <row r="275" spans="1:75" hidden="1" x14ac:dyDescent="0.25">
      <c r="A275" s="15" t="s">
        <v>556</v>
      </c>
      <c r="B275" s="15" t="s">
        <v>30</v>
      </c>
      <c r="C275" s="15">
        <v>2015</v>
      </c>
      <c r="D275" s="15" t="s">
        <v>557</v>
      </c>
      <c r="E275" s="15">
        <v>18380</v>
      </c>
      <c r="F275" s="15">
        <v>1315407</v>
      </c>
      <c r="G275" s="15" t="s">
        <v>109</v>
      </c>
      <c r="H275" s="15" t="s">
        <v>43</v>
      </c>
      <c r="I275" s="15" t="s">
        <v>507</v>
      </c>
      <c r="J275" s="15" t="s">
        <v>193</v>
      </c>
      <c r="K275" s="15" t="s">
        <v>61</v>
      </c>
      <c r="L275" s="15" t="s">
        <v>48</v>
      </c>
      <c r="M275" s="15" t="s">
        <v>62</v>
      </c>
      <c r="N275" s="15" t="s">
        <v>63</v>
      </c>
      <c r="O275" s="15"/>
      <c r="P275" s="15"/>
      <c r="Q275" s="15"/>
      <c r="R275" s="15"/>
      <c r="S275" s="15"/>
      <c r="T275" s="15"/>
      <c r="U275" s="15"/>
      <c r="V275" s="15"/>
      <c r="W275" s="15"/>
      <c r="X275" s="15"/>
      <c r="Y275" s="17">
        <v>58323</v>
      </c>
      <c r="Z275" s="17">
        <v>5027</v>
      </c>
      <c r="AA275" s="17">
        <v>1020</v>
      </c>
      <c r="AB275" s="17">
        <v>6047</v>
      </c>
      <c r="AC275" s="17">
        <v>64370</v>
      </c>
      <c r="AD275" s="17">
        <v>169</v>
      </c>
      <c r="AE275" s="51">
        <f t="shared" si="30"/>
        <v>44.338368276890726</v>
      </c>
      <c r="AF275" s="51">
        <f t="shared" si="31"/>
        <v>4.5970562723172366</v>
      </c>
      <c r="AG275" s="51">
        <f t="shared" si="32"/>
        <v>48.935424549207966</v>
      </c>
      <c r="AH275" s="51">
        <f t="shared" si="33"/>
        <v>0.12847734579487566</v>
      </c>
      <c r="AI275" s="17">
        <v>129191</v>
      </c>
      <c r="AJ275" s="17">
        <v>99352</v>
      </c>
      <c r="AK275" s="17">
        <v>96861</v>
      </c>
      <c r="AL275" s="17">
        <f t="shared" si="34"/>
        <v>196213</v>
      </c>
      <c r="AM275" s="17">
        <f>+AI275+AL275</f>
        <v>325404</v>
      </c>
      <c r="AN275" s="17">
        <v>91907</v>
      </c>
      <c r="AO275" s="17">
        <v>2800000000</v>
      </c>
      <c r="AP275" s="17">
        <v>2300000000</v>
      </c>
      <c r="AQ275" s="17">
        <v>2640000000</v>
      </c>
      <c r="AR275" s="17">
        <f>+AP275+AQ275</f>
        <v>4940000000</v>
      </c>
      <c r="AS275" s="17">
        <f>+AR275+AO275</f>
        <v>7740000000</v>
      </c>
      <c r="AT275" s="17">
        <v>2600000000</v>
      </c>
      <c r="BG275" s="15"/>
      <c r="BM275" s="17"/>
      <c r="BN275" s="17"/>
      <c r="BO275" s="17"/>
      <c r="BP275" s="17"/>
      <c r="BQ275" s="17"/>
      <c r="BW275" s="17"/>
    </row>
    <row r="276" spans="1:75" hidden="1" x14ac:dyDescent="0.25">
      <c r="A276" s="15" t="s">
        <v>556</v>
      </c>
      <c r="B276" s="15" t="s">
        <v>30</v>
      </c>
      <c r="C276" s="15">
        <v>2014</v>
      </c>
      <c r="D276" s="15" t="s">
        <v>557</v>
      </c>
      <c r="E276" s="15">
        <v>18850</v>
      </c>
      <c r="F276" s="15">
        <v>1314545</v>
      </c>
      <c r="G276" s="15" t="s">
        <v>109</v>
      </c>
      <c r="H276" s="15" t="s">
        <v>43</v>
      </c>
      <c r="I276" s="15" t="s">
        <v>507</v>
      </c>
      <c r="J276" s="15" t="s">
        <v>193</v>
      </c>
      <c r="K276" s="15" t="s">
        <v>61</v>
      </c>
      <c r="L276" s="15" t="s">
        <v>48</v>
      </c>
      <c r="M276" s="15" t="s">
        <v>62</v>
      </c>
      <c r="N276" s="15" t="s">
        <v>63</v>
      </c>
      <c r="O276" s="15"/>
      <c r="P276" s="15"/>
      <c r="Q276" s="15"/>
      <c r="R276" s="15"/>
      <c r="S276" s="15"/>
      <c r="T276" s="15"/>
      <c r="U276" s="15"/>
      <c r="V276" s="15"/>
      <c r="W276" s="15"/>
      <c r="X276" s="15"/>
      <c r="Y276" s="17">
        <v>56690</v>
      </c>
      <c r="Z276" s="17">
        <v>4925</v>
      </c>
      <c r="AA276" s="17">
        <v>975</v>
      </c>
      <c r="AB276" s="17">
        <v>5900</v>
      </c>
      <c r="AC276" s="17">
        <v>62590</v>
      </c>
      <c r="AD276" s="17">
        <v>160</v>
      </c>
      <c r="AE276" s="51">
        <f t="shared" si="30"/>
        <v>43.125187802623721</v>
      </c>
      <c r="AF276" s="51">
        <f t="shared" si="31"/>
        <v>4.4882449821040744</v>
      </c>
      <c r="AG276" s="51">
        <f t="shared" si="32"/>
        <v>47.613432784727792</v>
      </c>
      <c r="AH276" s="51">
        <f t="shared" si="33"/>
        <v>0.12171511815875455</v>
      </c>
      <c r="AI276" s="17">
        <v>125114</v>
      </c>
      <c r="AJ276" s="17">
        <v>97833</v>
      </c>
      <c r="AK276" s="17">
        <v>92896</v>
      </c>
      <c r="AL276" s="17">
        <f t="shared" si="34"/>
        <v>190729</v>
      </c>
      <c r="AM276" s="17">
        <f>+AI276+AL276</f>
        <v>315843</v>
      </c>
      <c r="AN276" s="17">
        <v>88848</v>
      </c>
      <c r="AO276" s="17">
        <v>3000000000</v>
      </c>
      <c r="AP276" s="17">
        <v>2000000000</v>
      </c>
      <c r="AQ276" s="17">
        <v>3000000000</v>
      </c>
      <c r="AR276" s="17">
        <f>+AP276+AQ276</f>
        <v>5000000000</v>
      </c>
      <c r="AS276" s="17">
        <f>+AR276+AO276</f>
        <v>8000000000</v>
      </c>
      <c r="AT276" s="17">
        <v>2600000000</v>
      </c>
      <c r="BG276" s="15"/>
      <c r="BM276" s="17"/>
      <c r="BN276" s="17"/>
      <c r="BO276" s="17"/>
      <c r="BP276" s="17"/>
      <c r="BQ276" s="17"/>
      <c r="BW276" s="17"/>
    </row>
    <row r="277" spans="1:75" hidden="1" x14ac:dyDescent="0.25">
      <c r="A277" s="15" t="s">
        <v>556</v>
      </c>
      <c r="B277" s="15" t="s">
        <v>30</v>
      </c>
      <c r="C277" s="15">
        <v>2013</v>
      </c>
      <c r="D277" s="15" t="s">
        <v>557</v>
      </c>
      <c r="E277" s="15">
        <v>18280</v>
      </c>
      <c r="F277" s="15">
        <v>1317997</v>
      </c>
      <c r="G277" s="15" t="s">
        <v>109</v>
      </c>
      <c r="H277" s="15" t="s">
        <v>43</v>
      </c>
      <c r="I277" s="15" t="s">
        <v>507</v>
      </c>
      <c r="J277" s="15" t="s">
        <v>193</v>
      </c>
      <c r="K277" s="15" t="s">
        <v>61</v>
      </c>
      <c r="L277" s="15" t="s">
        <v>48</v>
      </c>
      <c r="M277" s="15" t="s">
        <v>62</v>
      </c>
      <c r="N277" s="15" t="s">
        <v>63</v>
      </c>
      <c r="O277" s="15"/>
      <c r="P277" s="15"/>
      <c r="Q277" s="15"/>
      <c r="R277" s="15"/>
      <c r="S277" s="15"/>
      <c r="T277" s="15"/>
      <c r="U277" s="15"/>
      <c r="V277" s="15"/>
      <c r="W277" s="15"/>
      <c r="X277" s="15"/>
      <c r="Y277" s="17">
        <v>54572</v>
      </c>
      <c r="Z277" s="17">
        <v>4824</v>
      </c>
      <c r="AA277" s="17">
        <v>982</v>
      </c>
      <c r="AB277" s="17">
        <v>5806</v>
      </c>
      <c r="AC277" s="17">
        <v>60378</v>
      </c>
      <c r="AD277" s="17">
        <v>151</v>
      </c>
      <c r="AE277" s="51">
        <f t="shared" si="30"/>
        <v>41.405253577967173</v>
      </c>
      <c r="AF277" s="51">
        <f t="shared" si="31"/>
        <v>4.4051693592625778</v>
      </c>
      <c r="AG277" s="51">
        <f t="shared" si="32"/>
        <v>45.810422937229745</v>
      </c>
      <c r="AH277" s="51">
        <f t="shared" si="33"/>
        <v>0.11456778733183763</v>
      </c>
      <c r="AI277" s="17">
        <v>123809</v>
      </c>
      <c r="AJ277" s="17">
        <v>97786</v>
      </c>
      <c r="AK277" s="17">
        <v>95077</v>
      </c>
      <c r="AL277" s="17">
        <f t="shared" si="34"/>
        <v>192863</v>
      </c>
      <c r="AM277" s="17">
        <f>+AI277+AL277</f>
        <v>316672</v>
      </c>
      <c r="AN277" s="17">
        <v>88576</v>
      </c>
      <c r="AO277" s="17">
        <v>2000000000</v>
      </c>
      <c r="AP277" s="17">
        <v>2000000000</v>
      </c>
      <c r="AQ277" s="17">
        <v>3000000000</v>
      </c>
      <c r="AR277" s="17">
        <f>+AP277+AQ277</f>
        <v>5000000000</v>
      </c>
      <c r="AS277" s="17">
        <f>+AR277+AO277</f>
        <v>7000000000</v>
      </c>
      <c r="AT277" s="17">
        <v>3000000000</v>
      </c>
      <c r="BG277" s="15"/>
      <c r="BM277" s="17"/>
      <c r="BN277" s="17"/>
      <c r="BO277" s="17"/>
      <c r="BP277" s="17"/>
      <c r="BQ277" s="17"/>
      <c r="BW277" s="17"/>
    </row>
    <row r="278" spans="1:75" x14ac:dyDescent="0.25">
      <c r="A278" s="15" t="s">
        <v>558</v>
      </c>
      <c r="B278" s="15" t="s">
        <v>30</v>
      </c>
      <c r="C278" s="15">
        <v>2017</v>
      </c>
      <c r="D278" s="15" t="s">
        <v>1617</v>
      </c>
      <c r="E278" s="15">
        <v>2960</v>
      </c>
      <c r="F278" s="15">
        <v>1367254</v>
      </c>
      <c r="G278" s="15" t="s">
        <v>88</v>
      </c>
      <c r="H278" s="15" t="s">
        <v>89</v>
      </c>
      <c r="I278" s="15" t="s">
        <v>1618</v>
      </c>
      <c r="J278" s="15" t="s">
        <v>1619</v>
      </c>
      <c r="K278" s="15" t="s">
        <v>559</v>
      </c>
      <c r="L278" s="15" t="s">
        <v>560</v>
      </c>
      <c r="M278" s="15" t="s">
        <v>402</v>
      </c>
      <c r="N278" s="15" t="s">
        <v>244</v>
      </c>
      <c r="O278" s="15" t="s">
        <v>277</v>
      </c>
      <c r="P278" s="15" t="s">
        <v>1620</v>
      </c>
      <c r="Q278" s="15" t="s">
        <v>1621</v>
      </c>
      <c r="R278" s="15" t="s">
        <v>543</v>
      </c>
      <c r="S278" s="15" t="s">
        <v>561</v>
      </c>
      <c r="T278" s="15" t="s">
        <v>1908</v>
      </c>
      <c r="U278" s="15" t="s">
        <v>1910</v>
      </c>
      <c r="V278" s="15" t="s">
        <v>1912</v>
      </c>
      <c r="W278" s="15" t="s">
        <v>255</v>
      </c>
      <c r="X278" s="15" t="s">
        <v>561</v>
      </c>
      <c r="Y278" s="17">
        <v>12336.48</v>
      </c>
      <c r="Z278" s="17">
        <f>+AA278</f>
        <v>685.36</v>
      </c>
      <c r="AA278" s="17">
        <v>685.36</v>
      </c>
      <c r="AB278" s="17">
        <f>+Z278+AA278</f>
        <v>1370.72</v>
      </c>
      <c r="AC278" s="17">
        <f>Y278+AB278</f>
        <v>13707.199999999999</v>
      </c>
      <c r="AE278" s="51">
        <f t="shared" si="30"/>
        <v>9.0228150731319854</v>
      </c>
      <c r="AF278" s="51">
        <f t="shared" si="31"/>
        <v>1.0025350081257762</v>
      </c>
      <c r="AG278" s="51">
        <f t="shared" si="32"/>
        <v>10.025350081257761</v>
      </c>
      <c r="AH278" s="51" t="str">
        <f t="shared" si="33"/>
        <v/>
      </c>
      <c r="AI278" s="17">
        <v>10500</v>
      </c>
      <c r="AJ278" s="17">
        <v>3900</v>
      </c>
      <c r="AK278" s="17">
        <v>600</v>
      </c>
      <c r="AL278" s="17">
        <f t="shared" si="34"/>
        <v>4500</v>
      </c>
      <c r="AM278" s="17">
        <f>AI278+AL278</f>
        <v>15000</v>
      </c>
      <c r="BG278" s="15"/>
      <c r="BM278" s="17">
        <v>4934</v>
      </c>
      <c r="BN278" s="17">
        <v>10219</v>
      </c>
      <c r="BO278" s="17">
        <f>BN278+BM278</f>
        <v>15153</v>
      </c>
      <c r="BP278" s="17"/>
      <c r="BQ278" s="17">
        <v>44518</v>
      </c>
      <c r="BR278" s="43">
        <v>0.75</v>
      </c>
      <c r="BW278" s="17"/>
    </row>
    <row r="279" spans="1:75" hidden="1" x14ac:dyDescent="0.25">
      <c r="A279" s="15" t="s">
        <v>563</v>
      </c>
      <c r="B279" s="15" t="s">
        <v>52</v>
      </c>
      <c r="C279" s="15">
        <v>2015</v>
      </c>
      <c r="D279" s="15" t="s">
        <v>564</v>
      </c>
      <c r="E279" s="15">
        <v>600</v>
      </c>
      <c r="F279" s="17">
        <v>99873033</v>
      </c>
      <c r="G279" s="15" t="s">
        <v>32</v>
      </c>
      <c r="H279" s="15" t="s">
        <v>89</v>
      </c>
      <c r="I279" s="15" t="s">
        <v>567</v>
      </c>
      <c r="J279" s="15" t="s">
        <v>568</v>
      </c>
      <c r="K279" s="15" t="s">
        <v>565</v>
      </c>
      <c r="L279" s="15" t="s">
        <v>566</v>
      </c>
      <c r="M279" s="15"/>
      <c r="N279" s="15"/>
      <c r="O279" s="15"/>
      <c r="P279" s="15"/>
      <c r="Q279" s="15"/>
      <c r="R279" s="15"/>
      <c r="S279" s="15"/>
      <c r="T279" s="15"/>
      <c r="U279" s="15"/>
      <c r="V279" s="15"/>
      <c r="W279" s="15"/>
      <c r="X279" s="15"/>
      <c r="AE279" s="51" t="str">
        <f t="shared" si="30"/>
        <v/>
      </c>
      <c r="AF279" s="51" t="str">
        <f t="shared" si="31"/>
        <v/>
      </c>
      <c r="AG279" s="51" t="str">
        <f t="shared" si="32"/>
        <v/>
      </c>
      <c r="AH279" s="51" t="str">
        <f t="shared" si="33"/>
        <v/>
      </c>
      <c r="BG279" s="15"/>
      <c r="BM279" s="17"/>
      <c r="BN279" s="17"/>
      <c r="BO279" s="17"/>
      <c r="BP279" s="17"/>
      <c r="BQ279" s="17"/>
      <c r="BW279" s="17"/>
    </row>
    <row r="280" spans="1:75" hidden="1" x14ac:dyDescent="0.25">
      <c r="A280" s="15" t="s">
        <v>563</v>
      </c>
      <c r="B280" s="15" t="s">
        <v>30</v>
      </c>
      <c r="C280" s="15">
        <v>2010</v>
      </c>
      <c r="D280" s="15" t="s">
        <v>564</v>
      </c>
      <c r="E280" s="17">
        <v>380</v>
      </c>
      <c r="F280" s="17">
        <v>87702670</v>
      </c>
      <c r="G280" s="15" t="s">
        <v>32</v>
      </c>
      <c r="H280" s="15" t="s">
        <v>89</v>
      </c>
      <c r="I280" s="15" t="s">
        <v>1622</v>
      </c>
      <c r="J280" s="15" t="s">
        <v>1623</v>
      </c>
      <c r="K280" s="15" t="s">
        <v>1740</v>
      </c>
      <c r="L280" s="15" t="s">
        <v>566</v>
      </c>
      <c r="M280" s="15" t="s">
        <v>1624</v>
      </c>
      <c r="N280" s="15"/>
      <c r="O280" s="15" t="s">
        <v>1741</v>
      </c>
      <c r="P280" s="15" t="s">
        <v>1625</v>
      </c>
      <c r="Q280" s="15" t="s">
        <v>1742</v>
      </c>
      <c r="R280" s="15" t="s">
        <v>1157</v>
      </c>
      <c r="S280" s="15" t="s">
        <v>1626</v>
      </c>
      <c r="T280" s="15"/>
      <c r="U280" s="15"/>
      <c r="V280" s="15"/>
      <c r="W280" s="15"/>
      <c r="X280" s="15" t="s">
        <v>1627</v>
      </c>
      <c r="AC280" s="17">
        <v>176543</v>
      </c>
      <c r="AE280" s="51" t="str">
        <f t="shared" si="30"/>
        <v/>
      </c>
      <c r="AF280" s="51" t="str">
        <f t="shared" si="31"/>
        <v/>
      </c>
      <c r="AG280" s="51">
        <f t="shared" si="32"/>
        <v>2.0129717829571212</v>
      </c>
      <c r="AH280" s="51" t="str">
        <f t="shared" si="33"/>
        <v/>
      </c>
      <c r="AM280" s="17">
        <v>666192</v>
      </c>
      <c r="BG280" s="15"/>
      <c r="BM280" s="17"/>
      <c r="BN280" s="17"/>
      <c r="BO280" s="17"/>
      <c r="BP280" s="17"/>
      <c r="BQ280" s="17"/>
      <c r="BW280" s="17" t="s">
        <v>1743</v>
      </c>
    </row>
    <row r="281" spans="1:75" hidden="1" x14ac:dyDescent="0.25">
      <c r="A281" s="15" t="s">
        <v>569</v>
      </c>
      <c r="B281" s="15" t="s">
        <v>30</v>
      </c>
      <c r="C281" s="15">
        <v>2014</v>
      </c>
      <c r="D281" s="15" t="s">
        <v>570</v>
      </c>
      <c r="E281" s="15">
        <v>4750</v>
      </c>
      <c r="F281" s="15">
        <v>885806</v>
      </c>
      <c r="G281" s="15" t="s">
        <v>42</v>
      </c>
      <c r="H281" s="15" t="s">
        <v>77</v>
      </c>
      <c r="I281" s="15" t="s">
        <v>1628</v>
      </c>
      <c r="J281" s="15" t="s">
        <v>1629</v>
      </c>
      <c r="K281" s="15" t="s">
        <v>571</v>
      </c>
      <c r="L281" s="15" t="s">
        <v>572</v>
      </c>
      <c r="M281" s="15" t="s">
        <v>573</v>
      </c>
      <c r="N281" s="15" t="s">
        <v>244</v>
      </c>
      <c r="O281" s="15"/>
      <c r="P281" s="15"/>
      <c r="Q281" s="15"/>
      <c r="R281" s="15"/>
      <c r="S281" s="15" t="s">
        <v>102</v>
      </c>
      <c r="T281" s="15" t="s">
        <v>574</v>
      </c>
      <c r="U281" s="15" t="s">
        <v>575</v>
      </c>
      <c r="V281" s="15" t="s">
        <v>282</v>
      </c>
      <c r="W281" s="15" t="s">
        <v>280</v>
      </c>
      <c r="X281" s="15"/>
      <c r="AB281" s="17">
        <v>4198</v>
      </c>
      <c r="AE281" s="51" t="str">
        <f t="shared" si="30"/>
        <v/>
      </c>
      <c r="AF281" s="51">
        <f t="shared" si="31"/>
        <v>4.739186684217537</v>
      </c>
      <c r="AG281" s="51" t="str">
        <f t="shared" si="32"/>
        <v/>
      </c>
      <c r="AH281" s="51" t="str">
        <f t="shared" si="33"/>
        <v/>
      </c>
      <c r="BG281" s="15"/>
      <c r="BM281" s="17"/>
      <c r="BN281" s="17"/>
      <c r="BO281" s="17"/>
      <c r="BP281" s="17"/>
      <c r="BQ281" s="17"/>
      <c r="BW281" s="17" t="s">
        <v>1630</v>
      </c>
    </row>
    <row r="282" spans="1:75" hidden="1" x14ac:dyDescent="0.25">
      <c r="A282" s="15" t="s">
        <v>576</v>
      </c>
      <c r="B282" s="15" t="s">
        <v>30</v>
      </c>
      <c r="C282" s="15">
        <v>2016</v>
      </c>
      <c r="D282" s="15" t="s">
        <v>577</v>
      </c>
      <c r="E282" s="15">
        <v>45620</v>
      </c>
      <c r="F282" s="15">
        <v>5495303</v>
      </c>
      <c r="G282" s="15" t="s">
        <v>109</v>
      </c>
      <c r="H282" s="15" t="s">
        <v>43</v>
      </c>
      <c r="I282" s="15" t="s">
        <v>188</v>
      </c>
      <c r="J282" s="15" t="s">
        <v>578</v>
      </c>
      <c r="K282" s="15" t="s">
        <v>190</v>
      </c>
      <c r="L282" s="15" t="s">
        <v>48</v>
      </c>
      <c r="M282" s="15" t="s">
        <v>62</v>
      </c>
      <c r="N282" s="15" t="s">
        <v>63</v>
      </c>
      <c r="O282" s="15"/>
      <c r="P282" s="15"/>
      <c r="Q282" s="15"/>
      <c r="R282" s="15"/>
      <c r="S282" s="15" t="s">
        <v>55</v>
      </c>
      <c r="T282" s="15"/>
      <c r="U282" s="15"/>
      <c r="V282" s="15"/>
      <c r="W282" s="15"/>
      <c r="X282" s="15"/>
      <c r="Y282" s="17">
        <v>208538</v>
      </c>
      <c r="Z282" s="17">
        <v>8912</v>
      </c>
      <c r="AA282" s="17">
        <v>2827</v>
      </c>
      <c r="AB282" s="17">
        <v>11739</v>
      </c>
      <c r="AC282" s="17">
        <v>220277</v>
      </c>
      <c r="AD282" s="17">
        <v>589</v>
      </c>
      <c r="AE282" s="51">
        <f t="shared" si="30"/>
        <v>37.948407940381081</v>
      </c>
      <c r="AF282" s="51">
        <f t="shared" si="31"/>
        <v>2.1361879408651352</v>
      </c>
      <c r="AG282" s="51">
        <f t="shared" si="32"/>
        <v>40.084595881246223</v>
      </c>
      <c r="AH282" s="51">
        <f t="shared" si="33"/>
        <v>0.10718244289714325</v>
      </c>
      <c r="AI282" s="17">
        <v>356766</v>
      </c>
      <c r="AJ282" s="17">
        <v>330594</v>
      </c>
      <c r="AK282" s="17">
        <v>275131</v>
      </c>
      <c r="AL282" s="17">
        <v>605725</v>
      </c>
      <c r="AM282" s="17">
        <v>962491</v>
      </c>
      <c r="AN282" s="17">
        <v>497573</v>
      </c>
      <c r="AO282" s="17">
        <v>18911600000</v>
      </c>
      <c r="AP282" s="17">
        <v>19006500000</v>
      </c>
      <c r="AQ282" s="17">
        <v>20307400000</v>
      </c>
      <c r="AR282" s="17">
        <v>39313900000</v>
      </c>
      <c r="AS282" s="17">
        <v>58225500000</v>
      </c>
      <c r="AT282" s="17">
        <v>37382600000</v>
      </c>
      <c r="AU282" s="15" t="s">
        <v>189</v>
      </c>
      <c r="AV282" s="15" t="s">
        <v>189</v>
      </c>
      <c r="BG282" s="15"/>
      <c r="BM282" s="17"/>
      <c r="BN282" s="17"/>
      <c r="BO282" s="17"/>
      <c r="BP282" s="17"/>
      <c r="BQ282" s="17"/>
      <c r="BW282" s="17"/>
    </row>
    <row r="283" spans="1:75" hidden="1" x14ac:dyDescent="0.25">
      <c r="A283" s="15" t="s">
        <v>576</v>
      </c>
      <c r="B283" s="15" t="s">
        <v>30</v>
      </c>
      <c r="C283" s="15">
        <v>2015</v>
      </c>
      <c r="D283" s="15" t="s">
        <v>577</v>
      </c>
      <c r="E283" s="15">
        <v>46630</v>
      </c>
      <c r="F283" s="15">
        <v>5479531</v>
      </c>
      <c r="G283" s="15" t="s">
        <v>109</v>
      </c>
      <c r="H283" s="15" t="s">
        <v>43</v>
      </c>
      <c r="I283" s="15" t="s">
        <v>188</v>
      </c>
      <c r="J283" s="15" t="s">
        <v>578</v>
      </c>
      <c r="K283" s="15" t="s">
        <v>190</v>
      </c>
      <c r="L283" s="15" t="s">
        <v>48</v>
      </c>
      <c r="M283" s="15" t="s">
        <v>62</v>
      </c>
      <c r="N283" s="15" t="s">
        <v>63</v>
      </c>
      <c r="O283" s="15"/>
      <c r="P283" s="15"/>
      <c r="Q283" s="15"/>
      <c r="R283" s="15"/>
      <c r="S283" s="15" t="s">
        <v>55</v>
      </c>
      <c r="T283" s="15"/>
      <c r="U283" s="15"/>
      <c r="V283" s="15"/>
      <c r="W283" s="15"/>
      <c r="X283" s="15"/>
      <c r="Y283" s="17">
        <v>209328</v>
      </c>
      <c r="Z283" s="17">
        <v>8726</v>
      </c>
      <c r="AA283" s="17">
        <v>2735</v>
      </c>
      <c r="AB283" s="17">
        <v>11461</v>
      </c>
      <c r="AC283" s="17">
        <v>220789</v>
      </c>
      <c r="AD283" s="17">
        <v>581</v>
      </c>
      <c r="AE283" s="51">
        <f t="shared" si="30"/>
        <v>38.201809607428082</v>
      </c>
      <c r="AF283" s="51">
        <f t="shared" si="31"/>
        <v>2.0916023652389231</v>
      </c>
      <c r="AG283" s="51">
        <f t="shared" si="32"/>
        <v>40.293411972667002</v>
      </c>
      <c r="AH283" s="51">
        <f t="shared" si="33"/>
        <v>0.10603097235876574</v>
      </c>
      <c r="AI283" s="17">
        <v>363187</v>
      </c>
      <c r="AJ283" s="17">
        <v>325343</v>
      </c>
      <c r="AK283" s="17">
        <v>265908</v>
      </c>
      <c r="AL283" s="17">
        <v>591251</v>
      </c>
      <c r="AM283" s="17">
        <v>954438</v>
      </c>
      <c r="AN283" s="17">
        <v>500179</v>
      </c>
      <c r="AO283" s="17">
        <v>17960400000</v>
      </c>
      <c r="AP283" s="17">
        <v>18015300000</v>
      </c>
      <c r="AQ283" s="17">
        <v>18528100000</v>
      </c>
      <c r="AR283" s="17">
        <v>36543400000</v>
      </c>
      <c r="AS283" s="17">
        <v>54503800000</v>
      </c>
      <c r="AT283" s="17">
        <v>35252300000</v>
      </c>
      <c r="AU283" s="15" t="s">
        <v>189</v>
      </c>
      <c r="AV283" s="15" t="s">
        <v>189</v>
      </c>
      <c r="BG283" s="15"/>
      <c r="BM283" s="17"/>
      <c r="BN283" s="17"/>
      <c r="BO283" s="17"/>
      <c r="BP283" s="17"/>
      <c r="BQ283" s="17"/>
      <c r="BW283" s="17"/>
    </row>
    <row r="284" spans="1:75" hidden="1" x14ac:dyDescent="0.25">
      <c r="A284" s="15" t="s">
        <v>576</v>
      </c>
      <c r="B284" s="15" t="s">
        <v>30</v>
      </c>
      <c r="C284" s="15">
        <v>2014</v>
      </c>
      <c r="D284" s="15" t="s">
        <v>577</v>
      </c>
      <c r="E284" s="15">
        <v>48990</v>
      </c>
      <c r="F284" s="15">
        <v>5461512</v>
      </c>
      <c r="G284" s="15" t="s">
        <v>109</v>
      </c>
      <c r="H284" s="15" t="s">
        <v>43</v>
      </c>
      <c r="I284" s="15" t="s">
        <v>188</v>
      </c>
      <c r="J284" s="15" t="s">
        <v>578</v>
      </c>
      <c r="K284" s="15" t="s">
        <v>190</v>
      </c>
      <c r="L284" s="15" t="s">
        <v>48</v>
      </c>
      <c r="M284" s="15" t="s">
        <v>62</v>
      </c>
      <c r="N284" s="15" t="s">
        <v>63</v>
      </c>
      <c r="O284" s="15"/>
      <c r="P284" s="15"/>
      <c r="Q284" s="15"/>
      <c r="R284" s="15"/>
      <c r="S284" s="15" t="s">
        <v>55</v>
      </c>
      <c r="T284" s="15"/>
      <c r="U284" s="15"/>
      <c r="V284" s="15"/>
      <c r="W284" s="15"/>
      <c r="X284" s="15" t="s">
        <v>55</v>
      </c>
      <c r="Y284" s="17">
        <v>209417</v>
      </c>
      <c r="Z284" s="17">
        <v>8631</v>
      </c>
      <c r="AA284" s="17">
        <v>2703</v>
      </c>
      <c r="AB284" s="17">
        <v>11334</v>
      </c>
      <c r="AC284" s="17">
        <v>220751</v>
      </c>
      <c r="AD284" s="17">
        <v>583</v>
      </c>
      <c r="AE284" s="51">
        <f t="shared" si="30"/>
        <v>38.344143526554554</v>
      </c>
      <c r="AF284" s="51">
        <f t="shared" si="31"/>
        <v>2.0752494913496484</v>
      </c>
      <c r="AG284" s="51">
        <f t="shared" si="32"/>
        <v>40.419393017904198</v>
      </c>
      <c r="AH284" s="51">
        <f t="shared" si="33"/>
        <v>0.10674699606995279</v>
      </c>
      <c r="AI284" s="17">
        <v>368557</v>
      </c>
      <c r="AJ284" s="17">
        <v>326055</v>
      </c>
      <c r="AK284" s="17">
        <v>263870</v>
      </c>
      <c r="AL284" s="17">
        <v>589925</v>
      </c>
      <c r="AM284" s="17">
        <v>958482</v>
      </c>
      <c r="AN284" s="17">
        <v>514596</v>
      </c>
      <c r="AO284" s="17">
        <v>17611500000</v>
      </c>
      <c r="AP284" s="17">
        <v>17508699999.999996</v>
      </c>
      <c r="AQ284" s="17">
        <v>17184800000</v>
      </c>
      <c r="AR284" s="17">
        <v>34693500000</v>
      </c>
      <c r="AS284" s="17">
        <v>52305000000</v>
      </c>
      <c r="AT284" s="17">
        <v>34834000000</v>
      </c>
      <c r="AU284" s="15" t="s">
        <v>189</v>
      </c>
      <c r="AV284" s="15" t="s">
        <v>189</v>
      </c>
      <c r="BG284" s="15"/>
      <c r="BM284" s="17"/>
      <c r="BN284" s="17"/>
      <c r="BO284" s="17"/>
      <c r="BP284" s="17"/>
      <c r="BQ284" s="17"/>
      <c r="BW284" s="17"/>
    </row>
    <row r="285" spans="1:75" hidden="1" x14ac:dyDescent="0.25">
      <c r="A285" s="15" t="s">
        <v>576</v>
      </c>
      <c r="B285" s="15" t="s">
        <v>30</v>
      </c>
      <c r="C285" s="15">
        <v>2013</v>
      </c>
      <c r="D285" s="15" t="s">
        <v>577</v>
      </c>
      <c r="E285" s="15">
        <v>49220</v>
      </c>
      <c r="F285" s="15">
        <v>5438972</v>
      </c>
      <c r="G285" s="15" t="s">
        <v>109</v>
      </c>
      <c r="H285" s="15" t="s">
        <v>43</v>
      </c>
      <c r="I285" s="15" t="s">
        <v>188</v>
      </c>
      <c r="J285" s="15" t="s">
        <v>578</v>
      </c>
      <c r="K285" s="15" t="s">
        <v>190</v>
      </c>
      <c r="L285" s="15" t="s">
        <v>48</v>
      </c>
      <c r="M285" s="15" t="s">
        <v>62</v>
      </c>
      <c r="N285" s="15" t="s">
        <v>63</v>
      </c>
      <c r="O285" s="15"/>
      <c r="P285" s="15"/>
      <c r="Q285" s="15"/>
      <c r="R285" s="15"/>
      <c r="S285" s="15" t="s">
        <v>55</v>
      </c>
      <c r="T285" s="15"/>
      <c r="U285" s="15"/>
      <c r="V285" s="15"/>
      <c r="W285" s="15"/>
      <c r="X285" s="15" t="s">
        <v>55</v>
      </c>
      <c r="Y285" s="17">
        <v>215998</v>
      </c>
      <c r="Z285" s="17">
        <v>7295</v>
      </c>
      <c r="AA285" s="17">
        <v>2320</v>
      </c>
      <c r="AB285" s="17">
        <v>9615</v>
      </c>
      <c r="AC285" s="17">
        <v>225613</v>
      </c>
      <c r="AD285" s="17">
        <v>529</v>
      </c>
      <c r="AE285" s="51">
        <f t="shared" si="30"/>
        <v>39.713019298499788</v>
      </c>
      <c r="AF285" s="51">
        <f t="shared" si="31"/>
        <v>1.7677972969892106</v>
      </c>
      <c r="AG285" s="51">
        <f t="shared" si="32"/>
        <v>41.480816595489003</v>
      </c>
      <c r="AH285" s="51">
        <f t="shared" si="33"/>
        <v>9.7261026532219685E-2</v>
      </c>
      <c r="AI285" s="17">
        <v>362979</v>
      </c>
      <c r="AJ285" s="17">
        <v>319150</v>
      </c>
      <c r="AK285" s="17">
        <v>262298</v>
      </c>
      <c r="AL285" s="17">
        <v>581448</v>
      </c>
      <c r="AM285" s="17">
        <v>944427</v>
      </c>
      <c r="AN285" s="17">
        <v>519889</v>
      </c>
      <c r="AO285" s="17">
        <v>19228000000</v>
      </c>
      <c r="AP285" s="17">
        <v>17064599999.999998</v>
      </c>
      <c r="AQ285" s="17">
        <v>16482700000</v>
      </c>
      <c r="AR285" s="17">
        <v>33547300000</v>
      </c>
      <c r="AS285" s="17">
        <v>52775300000</v>
      </c>
      <c r="AT285" s="17">
        <v>33569500000</v>
      </c>
      <c r="AU285" s="15" t="s">
        <v>189</v>
      </c>
      <c r="AV285" s="15" t="s">
        <v>189</v>
      </c>
      <c r="BG285" s="15"/>
      <c r="BM285" s="17"/>
      <c r="BN285" s="17"/>
      <c r="BO285" s="17"/>
      <c r="BP285" s="17"/>
      <c r="BQ285" s="17"/>
      <c r="BW285" s="17"/>
    </row>
    <row r="286" spans="1:75" hidden="1" x14ac:dyDescent="0.25">
      <c r="A286" s="15" t="s">
        <v>576</v>
      </c>
      <c r="B286" s="15" t="s">
        <v>30</v>
      </c>
      <c r="C286" s="15">
        <v>2012</v>
      </c>
      <c r="D286" s="15" t="s">
        <v>577</v>
      </c>
      <c r="E286" s="15">
        <v>48670</v>
      </c>
      <c r="F286" s="15">
        <v>5413971</v>
      </c>
      <c r="G286" s="15" t="s">
        <v>109</v>
      </c>
      <c r="H286" s="15" t="s">
        <v>43</v>
      </c>
      <c r="I286" s="15" t="s">
        <v>188</v>
      </c>
      <c r="J286" s="15" t="s">
        <v>578</v>
      </c>
      <c r="K286" s="15" t="s">
        <v>190</v>
      </c>
      <c r="L286" s="15" t="s">
        <v>48</v>
      </c>
      <c r="M286" s="15" t="s">
        <v>62</v>
      </c>
      <c r="N286" s="15" t="s">
        <v>63</v>
      </c>
      <c r="O286" s="15"/>
      <c r="P286" s="15"/>
      <c r="Q286" s="15"/>
      <c r="R286" s="15"/>
      <c r="S286" s="15" t="s">
        <v>55</v>
      </c>
      <c r="T286" s="15"/>
      <c r="U286" s="15"/>
      <c r="V286" s="15"/>
      <c r="W286" s="15"/>
      <c r="X286" s="15" t="s">
        <v>55</v>
      </c>
      <c r="Y286" s="17">
        <v>207774</v>
      </c>
      <c r="Z286" s="17">
        <v>8226</v>
      </c>
      <c r="AA286" s="17">
        <v>2595</v>
      </c>
      <c r="AB286" s="17">
        <v>10821</v>
      </c>
      <c r="AC286" s="17">
        <v>218595</v>
      </c>
      <c r="AD286" s="17">
        <v>605</v>
      </c>
      <c r="AE286" s="51">
        <f t="shared" si="30"/>
        <v>38.377375866993013</v>
      </c>
      <c r="AF286" s="51">
        <f t="shared" si="31"/>
        <v>1.9987177618794043</v>
      </c>
      <c r="AG286" s="51">
        <f t="shared" si="32"/>
        <v>40.376093628872411</v>
      </c>
      <c r="AH286" s="51">
        <f t="shared" si="33"/>
        <v>0.11174792033426112</v>
      </c>
      <c r="AI286" s="17">
        <v>356633</v>
      </c>
      <c r="AJ286" s="17">
        <v>305357</v>
      </c>
      <c r="AK286" s="17">
        <v>255857</v>
      </c>
      <c r="AL286" s="17">
        <v>561214</v>
      </c>
      <c r="AM286" s="17">
        <v>917847</v>
      </c>
      <c r="AN286" s="17">
        <v>539757</v>
      </c>
      <c r="AO286" s="17">
        <v>18473600000</v>
      </c>
      <c r="AP286" s="17">
        <v>17003400000.000002</v>
      </c>
      <c r="AQ286" s="17">
        <v>16324900000</v>
      </c>
      <c r="AR286" s="17">
        <v>33328300000</v>
      </c>
      <c r="AS286" s="17">
        <v>51801900000</v>
      </c>
      <c r="AT286" s="17">
        <v>35154900000</v>
      </c>
      <c r="AU286" s="15" t="s">
        <v>189</v>
      </c>
      <c r="AV286" s="15" t="s">
        <v>189</v>
      </c>
      <c r="BG286" s="15"/>
      <c r="BM286" s="17"/>
      <c r="BN286" s="17"/>
      <c r="BO286" s="17"/>
      <c r="BP286" s="17"/>
      <c r="BQ286" s="17"/>
      <c r="BW286" s="17"/>
    </row>
    <row r="287" spans="1:75" hidden="1" x14ac:dyDescent="0.25">
      <c r="A287" s="15" t="s">
        <v>579</v>
      </c>
      <c r="B287" s="15" t="s">
        <v>30</v>
      </c>
      <c r="C287" s="15">
        <v>2016</v>
      </c>
      <c r="D287" s="15" t="s">
        <v>580</v>
      </c>
      <c r="E287" s="15">
        <v>38780</v>
      </c>
      <c r="F287" s="15">
        <v>67118648</v>
      </c>
      <c r="G287" s="15" t="s">
        <v>109</v>
      </c>
      <c r="H287" s="15" t="s">
        <v>43</v>
      </c>
      <c r="I287" s="15" t="s">
        <v>188</v>
      </c>
      <c r="J287" s="15" t="s">
        <v>189</v>
      </c>
      <c r="K287" s="15" t="s">
        <v>190</v>
      </c>
      <c r="L287" s="15" t="s">
        <v>48</v>
      </c>
      <c r="M287" s="15" t="s">
        <v>62</v>
      </c>
      <c r="N287" s="15" t="s">
        <v>63</v>
      </c>
      <c r="O287" s="15"/>
      <c r="P287" s="15"/>
      <c r="Q287" s="15"/>
      <c r="R287" s="15"/>
      <c r="S287" s="15" t="s">
        <v>55</v>
      </c>
      <c r="T287" s="15"/>
      <c r="U287" s="15"/>
      <c r="V287" s="15"/>
      <c r="W287" s="15"/>
      <c r="X287" s="15" t="s">
        <v>55</v>
      </c>
      <c r="Y287" s="17">
        <v>2909125</v>
      </c>
      <c r="Z287" s="17">
        <v>125240</v>
      </c>
      <c r="AA287" s="17">
        <v>19657</v>
      </c>
      <c r="AB287" s="17">
        <v>144897</v>
      </c>
      <c r="AC287" s="17">
        <v>3054022</v>
      </c>
      <c r="AD287" s="17">
        <v>4199</v>
      </c>
      <c r="AE287" s="51">
        <f t="shared" si="30"/>
        <v>43.343021450610863</v>
      </c>
      <c r="AF287" s="51">
        <f t="shared" si="31"/>
        <v>2.1588188129176857</v>
      </c>
      <c r="AG287" s="51">
        <f t="shared" si="32"/>
        <v>45.50184026352855</v>
      </c>
      <c r="AH287" s="51">
        <f t="shared" si="33"/>
        <v>6.2560854920677186E-2</v>
      </c>
      <c r="AI287" s="17">
        <v>4681373</v>
      </c>
      <c r="AJ287" s="17">
        <v>2907593</v>
      </c>
      <c r="AK287" s="17">
        <v>2304725</v>
      </c>
      <c r="AL287" s="17">
        <v>5212318</v>
      </c>
      <c r="AM287" s="17">
        <v>9893691</v>
      </c>
      <c r="AN287" s="17">
        <v>5725748</v>
      </c>
      <c r="AO287" s="17">
        <v>216489400000</v>
      </c>
      <c r="AP287" s="17">
        <v>159994800000</v>
      </c>
      <c r="AQ287" s="17">
        <v>145473300000</v>
      </c>
      <c r="AR287" s="17">
        <v>305468100000</v>
      </c>
      <c r="AS287" s="17">
        <v>521957500000</v>
      </c>
      <c r="AT287" s="17">
        <v>419143500000</v>
      </c>
      <c r="AU287" s="15" t="s">
        <v>189</v>
      </c>
      <c r="AV287" s="15" t="s">
        <v>189</v>
      </c>
      <c r="BG287" s="15"/>
      <c r="BM287" s="17"/>
      <c r="BN287" s="17"/>
      <c r="BO287" s="17"/>
      <c r="BP287" s="17"/>
      <c r="BQ287" s="17"/>
      <c r="BW287" s="17"/>
    </row>
    <row r="288" spans="1:75" hidden="1" x14ac:dyDescent="0.25">
      <c r="A288" s="15" t="s">
        <v>579</v>
      </c>
      <c r="B288" s="15" t="s">
        <v>30</v>
      </c>
      <c r="C288" s="15">
        <v>2015</v>
      </c>
      <c r="D288" s="15" t="s">
        <v>580</v>
      </c>
      <c r="E288" s="15">
        <v>40730</v>
      </c>
      <c r="F288" s="15">
        <v>66593366</v>
      </c>
      <c r="G288" s="15" t="s">
        <v>109</v>
      </c>
      <c r="H288" s="15" t="s">
        <v>43</v>
      </c>
      <c r="I288" s="15" t="s">
        <v>188</v>
      </c>
      <c r="J288" s="15" t="s">
        <v>189</v>
      </c>
      <c r="K288" s="15" t="s">
        <v>190</v>
      </c>
      <c r="L288" s="15" t="s">
        <v>48</v>
      </c>
      <c r="M288" s="15" t="s">
        <v>62</v>
      </c>
      <c r="N288" s="15" t="s">
        <v>63</v>
      </c>
      <c r="O288" s="15"/>
      <c r="P288" s="15"/>
      <c r="Q288" s="15"/>
      <c r="R288" s="15"/>
      <c r="S288" s="15" t="s">
        <v>55</v>
      </c>
      <c r="T288" s="15"/>
      <c r="U288" s="15"/>
      <c r="V288" s="15"/>
      <c r="W288" s="15"/>
      <c r="X288" s="15" t="s">
        <v>55</v>
      </c>
      <c r="Y288" s="17">
        <v>2765282</v>
      </c>
      <c r="Z288" s="17">
        <v>119863</v>
      </c>
      <c r="AA288" s="17">
        <v>19472</v>
      </c>
      <c r="AB288" s="17">
        <v>139335</v>
      </c>
      <c r="AC288" s="17">
        <v>2904617</v>
      </c>
      <c r="AD288" s="17">
        <v>4196</v>
      </c>
      <c r="AE288" s="51">
        <f t="shared" si="30"/>
        <v>41.524887028536746</v>
      </c>
      <c r="AF288" s="51">
        <f t="shared" si="31"/>
        <v>2.0923255328466199</v>
      </c>
      <c r="AG288" s="51">
        <f t="shared" si="32"/>
        <v>43.617212561383369</v>
      </c>
      <c r="AH288" s="51">
        <f t="shared" si="33"/>
        <v>6.3009279332719118E-2</v>
      </c>
      <c r="AI288" s="17">
        <v>3917697</v>
      </c>
      <c r="AJ288" s="17">
        <v>2785905</v>
      </c>
      <c r="AK288" s="17">
        <v>2282651</v>
      </c>
      <c r="AL288" s="17">
        <v>5068556</v>
      </c>
      <c r="AM288" s="17">
        <v>8986253</v>
      </c>
      <c r="AN288" s="17">
        <v>5659547</v>
      </c>
      <c r="AO288" s="17">
        <v>209583100000</v>
      </c>
      <c r="AP288" s="17">
        <v>153917700000</v>
      </c>
      <c r="AQ288" s="17">
        <v>141590900000</v>
      </c>
      <c r="AR288" s="17">
        <v>295508600000</v>
      </c>
      <c r="AS288" s="17">
        <v>505091700000</v>
      </c>
      <c r="AT288" s="17">
        <v>411216000000</v>
      </c>
      <c r="AU288" s="15" t="s">
        <v>189</v>
      </c>
      <c r="AV288" s="15" t="s">
        <v>189</v>
      </c>
      <c r="BG288" s="15"/>
      <c r="BM288" s="17"/>
      <c r="BN288" s="17"/>
      <c r="BO288" s="17"/>
      <c r="BP288" s="17"/>
      <c r="BQ288" s="17"/>
      <c r="BW288" s="17"/>
    </row>
    <row r="289" spans="1:75" hidden="1" x14ac:dyDescent="0.25">
      <c r="A289" s="15" t="s">
        <v>579</v>
      </c>
      <c r="B289" s="15" t="s">
        <v>30</v>
      </c>
      <c r="C289" s="15">
        <v>2014</v>
      </c>
      <c r="D289" s="15" t="s">
        <v>580</v>
      </c>
      <c r="E289" s="15">
        <v>42960</v>
      </c>
      <c r="F289" s="15">
        <v>66316092</v>
      </c>
      <c r="G289" s="15" t="s">
        <v>109</v>
      </c>
      <c r="H289" s="15" t="s">
        <v>43</v>
      </c>
      <c r="I289" s="15" t="s">
        <v>188</v>
      </c>
      <c r="J289" s="15" t="s">
        <v>189</v>
      </c>
      <c r="K289" s="15" t="s">
        <v>190</v>
      </c>
      <c r="L289" s="15" t="s">
        <v>48</v>
      </c>
      <c r="M289" s="15" t="s">
        <v>62</v>
      </c>
      <c r="N289" s="15" t="s">
        <v>63</v>
      </c>
      <c r="O289" s="15"/>
      <c r="P289" s="15"/>
      <c r="Q289" s="15"/>
      <c r="R289" s="15"/>
      <c r="S289" s="15" t="s">
        <v>55</v>
      </c>
      <c r="T289" s="15"/>
      <c r="U289" s="15"/>
      <c r="V289" s="15"/>
      <c r="W289" s="15"/>
      <c r="X289" s="15" t="s">
        <v>55</v>
      </c>
      <c r="Y289" s="17">
        <v>3045323</v>
      </c>
      <c r="Z289" s="17">
        <v>45858</v>
      </c>
      <c r="AA289" s="17">
        <v>19324</v>
      </c>
      <c r="AB289" s="17">
        <v>65182</v>
      </c>
      <c r="AC289" s="17">
        <v>3110505</v>
      </c>
      <c r="AE289" s="51">
        <f t="shared" si="30"/>
        <v>45.921327812863282</v>
      </c>
      <c r="AF289" s="51">
        <f t="shared" si="31"/>
        <v>0.98289869071295699</v>
      </c>
      <c r="AG289" s="51">
        <f t="shared" si="32"/>
        <v>46.90422650357624</v>
      </c>
      <c r="AH289" s="51" t="str">
        <f t="shared" si="33"/>
        <v/>
      </c>
      <c r="AI289" s="17">
        <v>4855767</v>
      </c>
      <c r="AK289" s="17">
        <v>2213302</v>
      </c>
      <c r="AO289" s="17">
        <v>201714700000</v>
      </c>
      <c r="AQ289" s="17">
        <v>137640500000</v>
      </c>
      <c r="AU289" s="15" t="s">
        <v>189</v>
      </c>
      <c r="AV289" s="15" t="s">
        <v>189</v>
      </c>
      <c r="BG289" s="15"/>
      <c r="BM289" s="17"/>
      <c r="BN289" s="17"/>
      <c r="BO289" s="17"/>
      <c r="BP289" s="17"/>
      <c r="BQ289" s="17"/>
      <c r="BW289" s="17"/>
    </row>
    <row r="290" spans="1:75" hidden="1" x14ac:dyDescent="0.25">
      <c r="A290" s="15" t="s">
        <v>579</v>
      </c>
      <c r="B290" s="15" t="s">
        <v>30</v>
      </c>
      <c r="C290" s="15">
        <v>2013</v>
      </c>
      <c r="D290" s="15" t="s">
        <v>580</v>
      </c>
      <c r="E290" s="15">
        <v>43360</v>
      </c>
      <c r="F290" s="15">
        <v>65998660</v>
      </c>
      <c r="G290" s="15" t="s">
        <v>109</v>
      </c>
      <c r="H290" s="15" t="s">
        <v>43</v>
      </c>
      <c r="I290" s="15" t="s">
        <v>188</v>
      </c>
      <c r="J290" s="15" t="s">
        <v>189</v>
      </c>
      <c r="K290" s="15" t="s">
        <v>190</v>
      </c>
      <c r="L290" s="15" t="s">
        <v>48</v>
      </c>
      <c r="M290" s="15" t="s">
        <v>62</v>
      </c>
      <c r="N290" s="15" t="s">
        <v>63</v>
      </c>
      <c r="O290" s="15"/>
      <c r="P290" s="15"/>
      <c r="Q290" s="15"/>
      <c r="R290" s="15"/>
      <c r="S290" s="15" t="s">
        <v>55</v>
      </c>
      <c r="T290" s="15"/>
      <c r="U290" s="15"/>
      <c r="V290" s="15"/>
      <c r="W290" s="15"/>
      <c r="X290" s="15" t="s">
        <v>55</v>
      </c>
      <c r="Y290" s="17">
        <v>2870186</v>
      </c>
      <c r="Z290" s="17">
        <v>47096</v>
      </c>
      <c r="AA290" s="17">
        <v>19970</v>
      </c>
      <c r="AB290" s="17">
        <v>67066</v>
      </c>
      <c r="AC290" s="17">
        <v>2937252</v>
      </c>
      <c r="AE290" s="51">
        <f t="shared" si="30"/>
        <v>43.488549616007354</v>
      </c>
      <c r="AF290" s="51">
        <f t="shared" si="31"/>
        <v>1.016172146525399</v>
      </c>
      <c r="AG290" s="51">
        <f t="shared" si="32"/>
        <v>44.504721762532753</v>
      </c>
      <c r="AH290" s="51" t="str">
        <f t="shared" si="33"/>
        <v/>
      </c>
      <c r="AI290" s="17">
        <v>4505520</v>
      </c>
      <c r="AK290" s="17">
        <v>2307589</v>
      </c>
      <c r="AU290" s="15" t="s">
        <v>189</v>
      </c>
      <c r="AV290" s="15" t="s">
        <v>189</v>
      </c>
      <c r="BG290" s="15"/>
      <c r="BM290" s="17"/>
      <c r="BN290" s="17"/>
      <c r="BO290" s="17"/>
      <c r="BP290" s="17"/>
      <c r="BQ290" s="17"/>
      <c r="BW290" s="17"/>
    </row>
    <row r="291" spans="1:75" hidden="1" x14ac:dyDescent="0.25">
      <c r="A291" s="15" t="s">
        <v>579</v>
      </c>
      <c r="B291" s="15" t="s">
        <v>30</v>
      </c>
      <c r="C291" s="15">
        <v>2012</v>
      </c>
      <c r="D291" s="15" t="s">
        <v>580</v>
      </c>
      <c r="E291" s="15">
        <v>42970</v>
      </c>
      <c r="F291" s="15">
        <v>65659789</v>
      </c>
      <c r="G291" s="15" t="s">
        <v>109</v>
      </c>
      <c r="H291" s="15" t="s">
        <v>43</v>
      </c>
      <c r="I291" s="15" t="s">
        <v>188</v>
      </c>
      <c r="J291" s="15" t="s">
        <v>189</v>
      </c>
      <c r="K291" s="15" t="s">
        <v>190</v>
      </c>
      <c r="L291" s="15" t="s">
        <v>48</v>
      </c>
      <c r="M291" s="15" t="s">
        <v>62</v>
      </c>
      <c r="N291" s="15" t="s">
        <v>63</v>
      </c>
      <c r="O291" s="15"/>
      <c r="P291" s="15"/>
      <c r="Q291" s="15"/>
      <c r="R291" s="15"/>
      <c r="S291" s="15" t="s">
        <v>55</v>
      </c>
      <c r="T291" s="15"/>
      <c r="U291" s="15"/>
      <c r="V291" s="15"/>
      <c r="W291" s="15"/>
      <c r="X291" s="15" t="s">
        <v>55</v>
      </c>
      <c r="Y291" s="17">
        <v>2731649</v>
      </c>
      <c r="Z291" s="17">
        <v>48268</v>
      </c>
      <c r="AA291" s="17">
        <v>20255</v>
      </c>
      <c r="AB291" s="17">
        <v>68523</v>
      </c>
      <c r="AC291" s="17">
        <v>2800172</v>
      </c>
      <c r="AE291" s="51">
        <f t="shared" si="30"/>
        <v>41.603073077191887</v>
      </c>
      <c r="AF291" s="51">
        <f t="shared" si="31"/>
        <v>1.0436067651694709</v>
      </c>
      <c r="AG291" s="51">
        <f t="shared" si="32"/>
        <v>42.646679842361351</v>
      </c>
      <c r="AH291" s="51" t="str">
        <f t="shared" si="33"/>
        <v/>
      </c>
      <c r="AI291" s="17">
        <v>4515068</v>
      </c>
      <c r="AK291" s="17">
        <v>2370630</v>
      </c>
      <c r="AO291" s="17">
        <v>227321000000</v>
      </c>
      <c r="AQ291" s="17">
        <v>137731000000</v>
      </c>
      <c r="AU291" s="15" t="s">
        <v>189</v>
      </c>
      <c r="AV291" s="15" t="s">
        <v>189</v>
      </c>
      <c r="BG291" s="15"/>
      <c r="BM291" s="17"/>
      <c r="BN291" s="17"/>
      <c r="BO291" s="17"/>
      <c r="BP291" s="17"/>
      <c r="BQ291" s="17"/>
      <c r="BW291" s="17"/>
    </row>
    <row r="292" spans="1:75" hidden="1" x14ac:dyDescent="0.25">
      <c r="A292" s="15" t="s">
        <v>579</v>
      </c>
      <c r="B292" s="15" t="s">
        <v>52</v>
      </c>
      <c r="C292" s="15">
        <v>2016</v>
      </c>
      <c r="D292" s="15" t="s">
        <v>580</v>
      </c>
      <c r="E292" s="15">
        <v>38780</v>
      </c>
      <c r="F292" s="15">
        <v>67118648</v>
      </c>
      <c r="G292" s="15" t="s">
        <v>109</v>
      </c>
      <c r="H292" s="15" t="s">
        <v>43</v>
      </c>
      <c r="I292" s="15" t="s">
        <v>1631</v>
      </c>
      <c r="J292" s="15" t="s">
        <v>581</v>
      </c>
      <c r="K292" s="15" t="s">
        <v>190</v>
      </c>
      <c r="L292" s="15" t="s">
        <v>48</v>
      </c>
      <c r="M292" s="15" t="s">
        <v>62</v>
      </c>
      <c r="N292" s="15" t="s">
        <v>63</v>
      </c>
      <c r="O292" s="15"/>
      <c r="P292" s="15"/>
      <c r="Q292" s="15"/>
      <c r="R292" s="15"/>
      <c r="S292" s="15" t="s">
        <v>55</v>
      </c>
      <c r="T292" s="15"/>
      <c r="U292" s="15"/>
      <c r="V292" s="15"/>
      <c r="W292" s="15"/>
      <c r="X292" s="15" t="s">
        <v>55</v>
      </c>
      <c r="AE292" s="51" t="str">
        <f t="shared" si="30"/>
        <v/>
      </c>
      <c r="AF292" s="51" t="str">
        <f t="shared" si="31"/>
        <v/>
      </c>
      <c r="AG292" s="51" t="str">
        <f t="shared" si="32"/>
        <v/>
      </c>
      <c r="AH292" s="51" t="str">
        <f t="shared" si="33"/>
        <v/>
      </c>
      <c r="BE292" s="16">
        <v>233118000000</v>
      </c>
      <c r="BF292" s="42">
        <v>0.2064</v>
      </c>
      <c r="BK292" s="21">
        <v>3.9E-2</v>
      </c>
      <c r="BM292" s="17"/>
      <c r="BN292" s="17"/>
      <c r="BO292" s="17"/>
      <c r="BP292" s="17"/>
      <c r="BQ292" s="17"/>
      <c r="BW292" s="17"/>
    </row>
    <row r="293" spans="1:75" hidden="1" x14ac:dyDescent="0.25">
      <c r="A293" s="15" t="s">
        <v>579</v>
      </c>
      <c r="B293" s="15" t="s">
        <v>52</v>
      </c>
      <c r="C293" s="15">
        <v>2015</v>
      </c>
      <c r="D293" s="15" t="s">
        <v>580</v>
      </c>
      <c r="E293" s="15">
        <v>40730</v>
      </c>
      <c r="F293" s="15">
        <v>66593366</v>
      </c>
      <c r="G293" s="15" t="s">
        <v>109</v>
      </c>
      <c r="H293" s="15" t="s">
        <v>43</v>
      </c>
      <c r="I293" s="15" t="s">
        <v>1631</v>
      </c>
      <c r="J293" s="15" t="s">
        <v>581</v>
      </c>
      <c r="K293" s="15" t="s">
        <v>190</v>
      </c>
      <c r="L293" s="15" t="s">
        <v>48</v>
      </c>
      <c r="M293" s="15" t="s">
        <v>62</v>
      </c>
      <c r="N293" s="15" t="s">
        <v>63</v>
      </c>
      <c r="O293" s="15"/>
      <c r="P293" s="15"/>
      <c r="Q293" s="15"/>
      <c r="R293" s="15"/>
      <c r="S293" s="15" t="s">
        <v>55</v>
      </c>
      <c r="T293" s="15"/>
      <c r="U293" s="15"/>
      <c r="V293" s="15"/>
      <c r="W293" s="15"/>
      <c r="X293" s="15" t="s">
        <v>55</v>
      </c>
      <c r="Y293" s="17">
        <v>2660979</v>
      </c>
      <c r="Z293" s="17">
        <v>123146</v>
      </c>
      <c r="AA293" s="17">
        <v>19795</v>
      </c>
      <c r="AB293" s="17">
        <v>142941</v>
      </c>
      <c r="AC293" s="17">
        <v>2803920</v>
      </c>
      <c r="AD293" s="17">
        <v>4164</v>
      </c>
      <c r="AE293" s="51">
        <f t="shared" si="30"/>
        <v>39.958619902168635</v>
      </c>
      <c r="AF293" s="51">
        <f t="shared" si="31"/>
        <v>2.146475070805101</v>
      </c>
      <c r="AG293" s="51">
        <f t="shared" si="32"/>
        <v>42.105094972973731</v>
      </c>
      <c r="AH293" s="51">
        <f t="shared" si="33"/>
        <v>6.2528750986997714E-2</v>
      </c>
      <c r="BE293" s="16">
        <v>224355000000</v>
      </c>
      <c r="BF293" s="42">
        <v>0.20810000000000001</v>
      </c>
      <c r="BK293" s="21">
        <v>4.0500000000000001E-2</v>
      </c>
      <c r="BM293" s="17"/>
      <c r="BN293" s="17"/>
      <c r="BO293" s="17"/>
      <c r="BP293" s="17"/>
      <c r="BQ293" s="17"/>
      <c r="BW293" s="17" t="s">
        <v>582</v>
      </c>
    </row>
    <row r="294" spans="1:75" hidden="1" x14ac:dyDescent="0.25">
      <c r="A294" s="15" t="s">
        <v>579</v>
      </c>
      <c r="B294" s="15" t="s">
        <v>52</v>
      </c>
      <c r="C294" s="15">
        <v>2014</v>
      </c>
      <c r="D294" s="15" t="s">
        <v>580</v>
      </c>
      <c r="E294" s="15">
        <v>42960</v>
      </c>
      <c r="F294" s="15">
        <v>66316092</v>
      </c>
      <c r="G294" s="15" t="s">
        <v>109</v>
      </c>
      <c r="H294" s="15" t="s">
        <v>43</v>
      </c>
      <c r="I294" s="15" t="s">
        <v>1631</v>
      </c>
      <c r="J294" s="15" t="s">
        <v>581</v>
      </c>
      <c r="K294" s="15" t="s">
        <v>190</v>
      </c>
      <c r="L294" s="15" t="s">
        <v>48</v>
      </c>
      <c r="M294" s="15" t="s">
        <v>62</v>
      </c>
      <c r="N294" s="15" t="s">
        <v>63</v>
      </c>
      <c r="O294" s="15"/>
      <c r="P294" s="15"/>
      <c r="Q294" s="15"/>
      <c r="R294" s="15"/>
      <c r="S294" s="15" t="s">
        <v>55</v>
      </c>
      <c r="T294" s="15"/>
      <c r="U294" s="15"/>
      <c r="V294" s="15"/>
      <c r="W294" s="15"/>
      <c r="X294" s="15" t="s">
        <v>55</v>
      </c>
      <c r="AE294" s="51" t="str">
        <f t="shared" si="30"/>
        <v/>
      </c>
      <c r="AF294" s="51" t="str">
        <f t="shared" si="31"/>
        <v/>
      </c>
      <c r="AG294" s="51" t="str">
        <f t="shared" si="32"/>
        <v/>
      </c>
      <c r="AH294" s="51" t="str">
        <f t="shared" si="33"/>
        <v/>
      </c>
      <c r="BE294" s="16">
        <v>219364000000</v>
      </c>
      <c r="BF294" s="42">
        <v>0.21160000000000001</v>
      </c>
      <c r="BK294" s="21">
        <v>4.1399999999999999E-2</v>
      </c>
      <c r="BM294" s="17"/>
      <c r="BN294" s="17"/>
      <c r="BO294" s="17"/>
      <c r="BP294" s="17"/>
      <c r="BQ294" s="17"/>
      <c r="BW294" s="17"/>
    </row>
    <row r="295" spans="1:75" hidden="1" x14ac:dyDescent="0.25">
      <c r="A295" s="15" t="s">
        <v>579</v>
      </c>
      <c r="B295" s="15" t="s">
        <v>52</v>
      </c>
      <c r="C295" s="15">
        <v>2013</v>
      </c>
      <c r="D295" s="15" t="s">
        <v>580</v>
      </c>
      <c r="E295" s="15">
        <v>43360</v>
      </c>
      <c r="F295" s="15">
        <v>65998660</v>
      </c>
      <c r="G295" s="15" t="s">
        <v>109</v>
      </c>
      <c r="H295" s="15" t="s">
        <v>43</v>
      </c>
      <c r="I295" s="15" t="s">
        <v>1631</v>
      </c>
      <c r="J295" s="15" t="s">
        <v>581</v>
      </c>
      <c r="K295" s="15" t="s">
        <v>190</v>
      </c>
      <c r="L295" s="15" t="s">
        <v>48</v>
      </c>
      <c r="M295" s="15" t="s">
        <v>62</v>
      </c>
      <c r="N295" s="15" t="s">
        <v>63</v>
      </c>
      <c r="O295" s="15"/>
      <c r="P295" s="15"/>
      <c r="Q295" s="15"/>
      <c r="R295" s="15"/>
      <c r="S295" s="15" t="s">
        <v>55</v>
      </c>
      <c r="T295" s="15"/>
      <c r="U295" s="15"/>
      <c r="V295" s="15"/>
      <c r="W295" s="15"/>
      <c r="X295" s="15" t="s">
        <v>55</v>
      </c>
      <c r="AE295" s="51" t="str">
        <f t="shared" si="30"/>
        <v/>
      </c>
      <c r="AF295" s="51" t="str">
        <f t="shared" si="31"/>
        <v/>
      </c>
      <c r="AG295" s="51" t="str">
        <f t="shared" si="32"/>
        <v/>
      </c>
      <c r="AH295" s="51" t="str">
        <f t="shared" si="33"/>
        <v/>
      </c>
      <c r="BE295" s="16">
        <v>216664000000</v>
      </c>
      <c r="BF295" s="42">
        <v>0.2112</v>
      </c>
      <c r="BK295" s="21">
        <v>4.2500000000000003E-2</v>
      </c>
      <c r="BM295" s="17"/>
      <c r="BN295" s="17"/>
      <c r="BO295" s="17"/>
      <c r="BP295" s="17"/>
      <c r="BQ295" s="17"/>
      <c r="BW295" s="17"/>
    </row>
    <row r="296" spans="1:75" hidden="1" x14ac:dyDescent="0.25">
      <c r="A296" s="15" t="s">
        <v>579</v>
      </c>
      <c r="B296" s="15" t="s">
        <v>52</v>
      </c>
      <c r="C296" s="15">
        <v>2012</v>
      </c>
      <c r="D296" s="15" t="s">
        <v>580</v>
      </c>
      <c r="E296" s="15">
        <v>42970</v>
      </c>
      <c r="F296" s="15">
        <v>65659789</v>
      </c>
      <c r="G296" s="15" t="s">
        <v>109</v>
      </c>
      <c r="H296" s="15" t="s">
        <v>43</v>
      </c>
      <c r="I296" s="15" t="s">
        <v>1631</v>
      </c>
      <c r="J296" s="15" t="s">
        <v>581</v>
      </c>
      <c r="K296" s="15" t="s">
        <v>190</v>
      </c>
      <c r="L296" s="15" t="s">
        <v>48</v>
      </c>
      <c r="M296" s="15" t="s">
        <v>62</v>
      </c>
      <c r="N296" s="15" t="s">
        <v>63</v>
      </c>
      <c r="O296" s="15"/>
      <c r="P296" s="15"/>
      <c r="Q296" s="15"/>
      <c r="R296" s="15"/>
      <c r="S296" s="15" t="s">
        <v>55</v>
      </c>
      <c r="T296" s="15"/>
      <c r="U296" s="15"/>
      <c r="V296" s="15"/>
      <c r="W296" s="15"/>
      <c r="X296" s="15" t="s">
        <v>55</v>
      </c>
      <c r="AE296" s="51" t="str">
        <f t="shared" si="30"/>
        <v/>
      </c>
      <c r="AF296" s="51" t="str">
        <f t="shared" si="31"/>
        <v/>
      </c>
      <c r="AG296" s="51" t="str">
        <f t="shared" si="32"/>
        <v/>
      </c>
      <c r="AH296" s="51" t="str">
        <f t="shared" si="33"/>
        <v/>
      </c>
      <c r="BE296" s="16">
        <v>214141000000</v>
      </c>
      <c r="BF296" s="42">
        <v>0.21210000000000001</v>
      </c>
      <c r="BK296" s="21">
        <v>4.0599999999999997E-2</v>
      </c>
      <c r="BM296" s="17"/>
      <c r="BN296" s="17"/>
      <c r="BO296" s="17"/>
      <c r="BP296" s="17"/>
      <c r="BQ296" s="17"/>
      <c r="BW296" s="17"/>
    </row>
    <row r="297" spans="1:75" hidden="1" x14ac:dyDescent="0.25">
      <c r="A297" s="15" t="s">
        <v>579</v>
      </c>
      <c r="B297" s="15" t="s">
        <v>52</v>
      </c>
      <c r="C297" s="15">
        <v>2011</v>
      </c>
      <c r="D297" s="15" t="s">
        <v>580</v>
      </c>
      <c r="E297" s="15">
        <v>44190</v>
      </c>
      <c r="F297" s="15">
        <v>65342775</v>
      </c>
      <c r="G297" s="15" t="s">
        <v>109</v>
      </c>
      <c r="H297" s="15" t="s">
        <v>43</v>
      </c>
      <c r="I297" s="15" t="s">
        <v>1631</v>
      </c>
      <c r="J297" s="15" t="s">
        <v>581</v>
      </c>
      <c r="K297" s="15" t="s">
        <v>190</v>
      </c>
      <c r="L297" s="15" t="s">
        <v>48</v>
      </c>
      <c r="M297" s="15" t="s">
        <v>62</v>
      </c>
      <c r="N297" s="15" t="s">
        <v>63</v>
      </c>
      <c r="O297" s="15"/>
      <c r="P297" s="15"/>
      <c r="Q297" s="15"/>
      <c r="R297" s="15"/>
      <c r="S297" s="15" t="s">
        <v>55</v>
      </c>
      <c r="T297" s="15"/>
      <c r="U297" s="15"/>
      <c r="V297" s="15"/>
      <c r="W297" s="15"/>
      <c r="X297" s="15" t="s">
        <v>55</v>
      </c>
      <c r="AE297" s="51" t="str">
        <f t="shared" si="30"/>
        <v/>
      </c>
      <c r="AF297" s="51" t="str">
        <f t="shared" si="31"/>
        <v/>
      </c>
      <c r="AG297" s="51" t="str">
        <f t="shared" si="32"/>
        <v/>
      </c>
      <c r="AH297" s="51" t="str">
        <f t="shared" si="33"/>
        <v/>
      </c>
      <c r="BE297" s="16">
        <v>210331000000</v>
      </c>
      <c r="BF297" s="42">
        <v>0.2077</v>
      </c>
      <c r="BK297" s="21">
        <v>3.9600000000000003E-2</v>
      </c>
      <c r="BM297" s="17"/>
      <c r="BN297" s="17"/>
      <c r="BO297" s="17"/>
      <c r="BP297" s="17"/>
      <c r="BQ297" s="17"/>
      <c r="BW297" s="17"/>
    </row>
    <row r="298" spans="1:75" hidden="1" x14ac:dyDescent="0.25">
      <c r="A298" s="15" t="s">
        <v>583</v>
      </c>
      <c r="B298" s="15" t="s">
        <v>30</v>
      </c>
      <c r="C298" s="15">
        <v>2005</v>
      </c>
      <c r="D298" s="15" t="s">
        <v>584</v>
      </c>
      <c r="E298" s="15">
        <v>8040</v>
      </c>
      <c r="F298" s="15">
        <v>1930175</v>
      </c>
      <c r="G298" s="15" t="s">
        <v>42</v>
      </c>
      <c r="H298" s="15" t="s">
        <v>89</v>
      </c>
      <c r="I298" s="15" t="s">
        <v>1650</v>
      </c>
      <c r="J298" s="15" t="s">
        <v>585</v>
      </c>
      <c r="K298" s="15"/>
      <c r="L298" s="15"/>
      <c r="M298" s="15"/>
      <c r="N298" s="15"/>
      <c r="O298" s="15"/>
      <c r="P298" s="15"/>
      <c r="Q298" s="15"/>
      <c r="R298" s="15"/>
      <c r="S298" s="15"/>
      <c r="T298" s="15"/>
      <c r="U298" s="15"/>
      <c r="V298" s="15"/>
      <c r="W298" s="15"/>
      <c r="X298" s="15"/>
      <c r="AB298" s="17">
        <v>4000</v>
      </c>
      <c r="AE298" s="51" t="str">
        <f t="shared" si="30"/>
        <v/>
      </c>
      <c r="AF298" s="51">
        <f t="shared" si="31"/>
        <v>2.0723509526338288</v>
      </c>
      <c r="AG298" s="51" t="str">
        <f t="shared" si="32"/>
        <v/>
      </c>
      <c r="AH298" s="51" t="str">
        <f t="shared" si="33"/>
        <v/>
      </c>
      <c r="BG298" s="15"/>
      <c r="BM298" s="17"/>
      <c r="BN298" s="17"/>
      <c r="BO298" s="17"/>
      <c r="BP298" s="17"/>
      <c r="BQ298" s="17"/>
      <c r="BW298" s="17"/>
    </row>
    <row r="299" spans="1:75" hidden="1" x14ac:dyDescent="0.25">
      <c r="A299" s="15" t="s">
        <v>586</v>
      </c>
      <c r="B299" s="15" t="s">
        <v>30</v>
      </c>
      <c r="C299" s="15">
        <v>2016</v>
      </c>
      <c r="D299" s="15" t="s">
        <v>587</v>
      </c>
      <c r="E299" s="15">
        <v>430</v>
      </c>
      <c r="F299" s="15">
        <v>2100568</v>
      </c>
      <c r="G299" s="15" t="s">
        <v>32</v>
      </c>
      <c r="H299" s="15" t="s">
        <v>89</v>
      </c>
      <c r="I299" s="15" t="s">
        <v>588</v>
      </c>
      <c r="J299" s="15" t="s">
        <v>589</v>
      </c>
      <c r="K299" s="15"/>
      <c r="L299" s="15" t="s">
        <v>1651</v>
      </c>
      <c r="M299" s="15" t="s">
        <v>590</v>
      </c>
      <c r="N299" s="15"/>
      <c r="O299" s="15" t="s">
        <v>1202</v>
      </c>
      <c r="P299" s="15" t="s">
        <v>1652</v>
      </c>
      <c r="Q299" s="15" t="s">
        <v>1653</v>
      </c>
      <c r="R299" s="15"/>
      <c r="S299" s="15" t="s">
        <v>591</v>
      </c>
      <c r="T299" s="15"/>
      <c r="U299" s="15"/>
      <c r="V299" s="15"/>
      <c r="W299" s="15"/>
      <c r="X299" s="15"/>
      <c r="AE299" s="51" t="str">
        <f t="shared" si="30"/>
        <v/>
      </c>
      <c r="AF299" s="51" t="str">
        <f t="shared" si="31"/>
        <v/>
      </c>
      <c r="AG299" s="51" t="str">
        <f t="shared" si="32"/>
        <v/>
      </c>
      <c r="AH299" s="51" t="str">
        <f t="shared" si="33"/>
        <v/>
      </c>
      <c r="BG299" s="15"/>
      <c r="BM299" s="17"/>
      <c r="BN299" s="17"/>
      <c r="BO299" s="17"/>
      <c r="BP299" s="17"/>
      <c r="BQ299" s="17"/>
      <c r="BW299" s="17"/>
    </row>
    <row r="300" spans="1:75" hidden="1" x14ac:dyDescent="0.25">
      <c r="A300" s="15" t="s">
        <v>592</v>
      </c>
      <c r="B300" s="15" t="s">
        <v>30</v>
      </c>
      <c r="C300" s="15">
        <v>2017</v>
      </c>
      <c r="D300" s="15" t="s">
        <v>593</v>
      </c>
      <c r="E300" s="15">
        <v>3790</v>
      </c>
      <c r="F300" s="15">
        <v>3717100</v>
      </c>
      <c r="G300" s="15" t="s">
        <v>88</v>
      </c>
      <c r="H300" s="15" t="s">
        <v>43</v>
      </c>
      <c r="I300" s="15" t="s">
        <v>594</v>
      </c>
      <c r="J300" s="15" t="s">
        <v>595</v>
      </c>
      <c r="K300" s="15"/>
      <c r="L300" s="15" t="s">
        <v>493</v>
      </c>
      <c r="M300" s="15" t="s">
        <v>62</v>
      </c>
      <c r="N300" s="15" t="s">
        <v>63</v>
      </c>
      <c r="O300" s="15"/>
      <c r="P300" s="15"/>
      <c r="Q300" s="15"/>
      <c r="R300" s="15"/>
      <c r="S300" s="15"/>
      <c r="T300" s="15"/>
      <c r="U300" s="15" t="s">
        <v>596</v>
      </c>
      <c r="V300" s="15" t="s">
        <v>597</v>
      </c>
      <c r="W300" s="15" t="s">
        <v>598</v>
      </c>
      <c r="X300" s="15" t="s">
        <v>599</v>
      </c>
      <c r="AE300" s="51" t="str">
        <f t="shared" si="30"/>
        <v/>
      </c>
      <c r="AF300" s="51" t="str">
        <f t="shared" si="31"/>
        <v/>
      </c>
      <c r="AG300" s="51" t="str">
        <f t="shared" si="32"/>
        <v/>
      </c>
      <c r="AH300" s="51" t="str">
        <f t="shared" si="33"/>
        <v/>
      </c>
      <c r="AK300" s="17">
        <v>114710</v>
      </c>
      <c r="AM300" s="17">
        <v>222350</v>
      </c>
      <c r="AN300" s="17">
        <v>407526</v>
      </c>
      <c r="AV300" s="15" t="s">
        <v>595</v>
      </c>
      <c r="BG300" s="15"/>
      <c r="BM300" s="17"/>
      <c r="BN300" s="17"/>
      <c r="BO300" s="17"/>
      <c r="BP300" s="17"/>
      <c r="BQ300" s="17"/>
      <c r="BW300" s="17"/>
    </row>
    <row r="301" spans="1:75" hidden="1" x14ac:dyDescent="0.25">
      <c r="A301" s="15" t="s">
        <v>592</v>
      </c>
      <c r="B301" s="15" t="s">
        <v>30</v>
      </c>
      <c r="C301" s="15">
        <v>2016</v>
      </c>
      <c r="D301" s="15" t="s">
        <v>593</v>
      </c>
      <c r="E301" s="15">
        <v>3830</v>
      </c>
      <c r="F301" s="15">
        <v>3717100</v>
      </c>
      <c r="G301" s="15" t="s">
        <v>88</v>
      </c>
      <c r="H301" s="15" t="s">
        <v>43</v>
      </c>
      <c r="I301" s="15" t="s">
        <v>594</v>
      </c>
      <c r="J301" s="15" t="s">
        <v>595</v>
      </c>
      <c r="K301" s="15"/>
      <c r="L301" s="15" t="s">
        <v>600</v>
      </c>
      <c r="M301" s="15" t="s">
        <v>601</v>
      </c>
      <c r="N301" s="15" t="s">
        <v>37</v>
      </c>
      <c r="O301" s="15"/>
      <c r="P301" s="15"/>
      <c r="Q301" s="15"/>
      <c r="R301" s="15"/>
      <c r="S301" s="15"/>
      <c r="T301" s="15"/>
      <c r="U301" s="15" t="s">
        <v>602</v>
      </c>
      <c r="V301" s="15" t="s">
        <v>283</v>
      </c>
      <c r="W301" s="15" t="s">
        <v>284</v>
      </c>
      <c r="X301" s="15" t="s">
        <v>599</v>
      </c>
      <c r="AE301" s="51" t="str">
        <f t="shared" si="30"/>
        <v/>
      </c>
      <c r="AF301" s="51" t="str">
        <f t="shared" si="31"/>
        <v/>
      </c>
      <c r="AG301" s="51" t="str">
        <f t="shared" si="32"/>
        <v/>
      </c>
      <c r="AH301" s="51" t="str">
        <f t="shared" si="33"/>
        <v/>
      </c>
      <c r="AK301" s="17">
        <v>104211</v>
      </c>
      <c r="AM301" s="17">
        <v>232111</v>
      </c>
      <c r="AN301" s="17">
        <v>387958</v>
      </c>
      <c r="AQ301" s="17">
        <v>1870600000</v>
      </c>
      <c r="AS301" s="17">
        <v>3639300000</v>
      </c>
      <c r="AT301" s="17">
        <v>13133200000</v>
      </c>
      <c r="BG301" s="15"/>
      <c r="BM301" s="17"/>
      <c r="BN301" s="17"/>
      <c r="BO301" s="17"/>
      <c r="BP301" s="17"/>
      <c r="BQ301" s="17"/>
      <c r="BS301" s="15" t="s">
        <v>603</v>
      </c>
      <c r="BW301" s="17"/>
    </row>
    <row r="302" spans="1:75" hidden="1" x14ac:dyDescent="0.25">
      <c r="A302" s="15" t="s">
        <v>592</v>
      </c>
      <c r="B302" s="15" t="s">
        <v>30</v>
      </c>
      <c r="C302" s="15">
        <v>2015</v>
      </c>
      <c r="D302" s="15" t="s">
        <v>593</v>
      </c>
      <c r="E302" s="15">
        <v>4120</v>
      </c>
      <c r="F302" s="15">
        <v>3717100</v>
      </c>
      <c r="G302" s="15" t="s">
        <v>88</v>
      </c>
      <c r="H302" s="15" t="s">
        <v>43</v>
      </c>
      <c r="I302" s="15" t="s">
        <v>594</v>
      </c>
      <c r="J302" s="15" t="s">
        <v>595</v>
      </c>
      <c r="K302" s="15"/>
      <c r="L302" s="15" t="s">
        <v>600</v>
      </c>
      <c r="M302" s="15" t="s">
        <v>601</v>
      </c>
      <c r="N302" s="15" t="s">
        <v>37</v>
      </c>
      <c r="O302" s="15"/>
      <c r="P302" s="15"/>
      <c r="Q302" s="15"/>
      <c r="R302" s="15"/>
      <c r="S302" s="15"/>
      <c r="T302" s="15"/>
      <c r="U302" s="15" t="s">
        <v>602</v>
      </c>
      <c r="V302" s="15" t="s">
        <v>283</v>
      </c>
      <c r="W302" s="15" t="s">
        <v>284</v>
      </c>
      <c r="X302" s="15" t="s">
        <v>599</v>
      </c>
      <c r="AE302" s="51" t="str">
        <f t="shared" ref="AE302:AE316" si="35">IF(ISERROR((Y302/$F302)*1000),"",IF((Y302/$F302)*1000=0,"",(Y302/$F302)*1000))</f>
        <v/>
      </c>
      <c r="AF302" s="51" t="str">
        <f t="shared" ref="AF302:AF316" si="36">IF(ISERROR((AB302/$F302)*1000),"",IF((AB302/$F302)*1000=0,"",(AB302/$F302)*1000))</f>
        <v/>
      </c>
      <c r="AG302" s="51" t="str">
        <f t="shared" ref="AG302:AG316" si="37">IF(ISERROR((AC302/$F302)*1000),"",IF((AC302/$F302)*1000=0,"",(AC302/$F302)*1000))</f>
        <v/>
      </c>
      <c r="AH302" s="51" t="str">
        <f t="shared" ref="AH302:AH316" si="38">IF(ISERROR((AD302/$F302)*1000),"",IF((AD302/$F302)*1000=0,"",(AD302/$F302)*1000))</f>
        <v/>
      </c>
      <c r="AK302" s="17">
        <v>99262</v>
      </c>
      <c r="AM302" s="17">
        <v>228795</v>
      </c>
      <c r="AN302" s="17">
        <v>355689</v>
      </c>
      <c r="AQ302" s="17">
        <v>1533100000</v>
      </c>
      <c r="AS302" s="17">
        <v>3066400000</v>
      </c>
      <c r="AT302" s="17">
        <v>11694600000</v>
      </c>
      <c r="BG302" s="15"/>
      <c r="BM302" s="17"/>
      <c r="BN302" s="17"/>
      <c r="BO302" s="17"/>
      <c r="BP302" s="17"/>
      <c r="BQ302" s="17"/>
      <c r="BW302" s="17"/>
    </row>
    <row r="303" spans="1:75" hidden="1" x14ac:dyDescent="0.25">
      <c r="A303" s="15" t="s">
        <v>592</v>
      </c>
      <c r="B303" s="15" t="s">
        <v>30</v>
      </c>
      <c r="C303" s="15">
        <v>2014</v>
      </c>
      <c r="D303" s="15" t="s">
        <v>593</v>
      </c>
      <c r="E303" s="15">
        <v>4490</v>
      </c>
      <c r="F303" s="15">
        <v>3727000</v>
      </c>
      <c r="G303" s="15" t="s">
        <v>88</v>
      </c>
      <c r="H303" s="15" t="s">
        <v>43</v>
      </c>
      <c r="I303" s="15" t="s">
        <v>594</v>
      </c>
      <c r="J303" s="15" t="s">
        <v>595</v>
      </c>
      <c r="K303" s="15"/>
      <c r="L303" s="15" t="s">
        <v>600</v>
      </c>
      <c r="M303" s="15" t="s">
        <v>601</v>
      </c>
      <c r="N303" s="15" t="s">
        <v>37</v>
      </c>
      <c r="O303" s="15"/>
      <c r="P303" s="15"/>
      <c r="Q303" s="15"/>
      <c r="R303" s="15"/>
      <c r="S303" s="15"/>
      <c r="T303" s="15"/>
      <c r="U303" s="15" t="s">
        <v>602</v>
      </c>
      <c r="V303" s="15" t="s">
        <v>283</v>
      </c>
      <c r="W303" s="15" t="s">
        <v>284</v>
      </c>
      <c r="X303" s="15" t="s">
        <v>599</v>
      </c>
      <c r="AE303" s="51" t="str">
        <f t="shared" si="35"/>
        <v/>
      </c>
      <c r="AF303" s="51" t="str">
        <f t="shared" si="36"/>
        <v/>
      </c>
      <c r="AG303" s="51" t="str">
        <f t="shared" si="37"/>
        <v/>
      </c>
      <c r="AH303" s="51" t="str">
        <f t="shared" si="38"/>
        <v/>
      </c>
      <c r="AK303" s="17">
        <v>89382</v>
      </c>
      <c r="AM303" s="17">
        <v>233866</v>
      </c>
      <c r="AN303" s="17">
        <v>332036</v>
      </c>
      <c r="AQ303" s="17">
        <v>1355700000</v>
      </c>
      <c r="AS303" s="17">
        <v>2711100000</v>
      </c>
      <c r="AT303" s="17">
        <v>10138300000</v>
      </c>
      <c r="BG303" s="15"/>
      <c r="BM303" s="17"/>
      <c r="BN303" s="17"/>
      <c r="BO303" s="17"/>
      <c r="BP303" s="17"/>
      <c r="BQ303" s="17"/>
      <c r="BW303" s="17"/>
    </row>
    <row r="304" spans="1:75" hidden="1" x14ac:dyDescent="0.25">
      <c r="A304" s="15" t="s">
        <v>592</v>
      </c>
      <c r="B304" s="15" t="s">
        <v>30</v>
      </c>
      <c r="C304" s="15">
        <v>2013</v>
      </c>
      <c r="D304" s="15" t="s">
        <v>593</v>
      </c>
      <c r="E304" s="15">
        <v>4240</v>
      </c>
      <c r="F304" s="15">
        <v>3776000</v>
      </c>
      <c r="G304" s="15" t="s">
        <v>88</v>
      </c>
      <c r="H304" s="15" t="s">
        <v>43</v>
      </c>
      <c r="I304" s="15" t="s">
        <v>594</v>
      </c>
      <c r="J304" s="15" t="s">
        <v>595</v>
      </c>
      <c r="K304" s="15"/>
      <c r="L304" s="15" t="s">
        <v>600</v>
      </c>
      <c r="M304" s="15" t="s">
        <v>601</v>
      </c>
      <c r="N304" s="15" t="s">
        <v>37</v>
      </c>
      <c r="O304" s="15"/>
      <c r="P304" s="15"/>
      <c r="Q304" s="15"/>
      <c r="R304" s="15"/>
      <c r="S304" s="15"/>
      <c r="T304" s="15"/>
      <c r="U304" s="15" t="s">
        <v>602</v>
      </c>
      <c r="V304" s="15" t="s">
        <v>283</v>
      </c>
      <c r="W304" s="15" t="s">
        <v>284</v>
      </c>
      <c r="X304" s="15" t="s">
        <v>599</v>
      </c>
      <c r="AE304" s="51" t="str">
        <f t="shared" si="35"/>
        <v/>
      </c>
      <c r="AF304" s="51" t="str">
        <f t="shared" si="36"/>
        <v/>
      </c>
      <c r="AG304" s="51" t="str">
        <f t="shared" si="37"/>
        <v/>
      </c>
      <c r="AH304" s="51" t="str">
        <f t="shared" si="38"/>
        <v/>
      </c>
      <c r="AK304" s="17">
        <v>95261</v>
      </c>
      <c r="AM304" s="17">
        <v>217884</v>
      </c>
      <c r="AN304" s="17">
        <v>314903</v>
      </c>
      <c r="AQ304" s="17">
        <v>1243100000</v>
      </c>
      <c r="AS304" s="17">
        <v>2505400000</v>
      </c>
      <c r="AT304" s="17">
        <v>9633600000</v>
      </c>
      <c r="BG304" s="15"/>
      <c r="BM304" s="17"/>
      <c r="BN304" s="17"/>
      <c r="BO304" s="17"/>
      <c r="BP304" s="17"/>
      <c r="BQ304" s="17"/>
      <c r="BW304" s="17"/>
    </row>
    <row r="305" spans="1:75" hidden="1" x14ac:dyDescent="0.25">
      <c r="A305" s="15" t="s">
        <v>592</v>
      </c>
      <c r="B305" s="15" t="s">
        <v>30</v>
      </c>
      <c r="C305" s="15">
        <v>2012</v>
      </c>
      <c r="D305" s="15" t="s">
        <v>593</v>
      </c>
      <c r="E305" s="15">
        <v>3870</v>
      </c>
      <c r="F305" s="15">
        <v>3825000</v>
      </c>
      <c r="G305" s="15" t="s">
        <v>88</v>
      </c>
      <c r="H305" s="15" t="s">
        <v>43</v>
      </c>
      <c r="I305" s="15" t="s">
        <v>594</v>
      </c>
      <c r="J305" s="15" t="s">
        <v>595</v>
      </c>
      <c r="K305" s="15"/>
      <c r="L305" s="15" t="s">
        <v>600</v>
      </c>
      <c r="M305" s="15" t="s">
        <v>601</v>
      </c>
      <c r="N305" s="15" t="s">
        <v>37</v>
      </c>
      <c r="O305" s="15"/>
      <c r="P305" s="15"/>
      <c r="Q305" s="15"/>
      <c r="R305" s="15"/>
      <c r="S305" s="15"/>
      <c r="T305" s="15"/>
      <c r="U305" s="15" t="s">
        <v>602</v>
      </c>
      <c r="V305" s="15" t="s">
        <v>283</v>
      </c>
      <c r="W305" s="15" t="s">
        <v>284</v>
      </c>
      <c r="X305" s="15" t="s">
        <v>599</v>
      </c>
      <c r="AE305" s="51" t="str">
        <f t="shared" si="35"/>
        <v/>
      </c>
      <c r="AF305" s="51" t="str">
        <f t="shared" si="36"/>
        <v/>
      </c>
      <c r="AG305" s="51" t="str">
        <f t="shared" si="37"/>
        <v/>
      </c>
      <c r="AH305" s="51" t="str">
        <f t="shared" si="38"/>
        <v/>
      </c>
      <c r="AK305" s="17">
        <v>72429</v>
      </c>
      <c r="AM305" s="17">
        <v>209715</v>
      </c>
      <c r="AN305" s="17">
        <v>304672</v>
      </c>
      <c r="AQ305" s="17">
        <v>959600000</v>
      </c>
      <c r="AS305" s="17">
        <v>1874900000</v>
      </c>
      <c r="AT305" s="17">
        <v>9004100000</v>
      </c>
      <c r="BG305" s="15"/>
      <c r="BM305" s="17"/>
      <c r="BN305" s="17"/>
      <c r="BO305" s="17"/>
      <c r="BP305" s="17"/>
      <c r="BQ305" s="17"/>
      <c r="BW305" s="17"/>
    </row>
    <row r="306" spans="1:75" hidden="1" x14ac:dyDescent="0.25">
      <c r="A306" s="15" t="s">
        <v>592</v>
      </c>
      <c r="B306" s="15" t="s">
        <v>52</v>
      </c>
      <c r="C306" s="15">
        <v>2016</v>
      </c>
      <c r="D306" s="15" t="s">
        <v>593</v>
      </c>
      <c r="E306" s="15">
        <v>3830</v>
      </c>
      <c r="F306" s="15">
        <v>3717100</v>
      </c>
      <c r="G306" s="15" t="s">
        <v>88</v>
      </c>
      <c r="H306" s="15" t="s">
        <v>43</v>
      </c>
      <c r="I306" s="15" t="s">
        <v>53</v>
      </c>
      <c r="J306" s="15" t="s">
        <v>54</v>
      </c>
      <c r="K306" s="15"/>
      <c r="L306" s="15"/>
      <c r="M306" s="15"/>
      <c r="N306" s="15"/>
      <c r="O306" s="15"/>
      <c r="P306" s="15"/>
      <c r="Q306" s="15"/>
      <c r="R306" s="15"/>
      <c r="S306" s="15"/>
      <c r="T306" s="15"/>
      <c r="U306" s="15"/>
      <c r="V306" s="15"/>
      <c r="W306" s="15"/>
      <c r="X306" s="15"/>
      <c r="AE306" s="51" t="str">
        <f t="shared" si="35"/>
        <v/>
      </c>
      <c r="AF306" s="51" t="str">
        <f t="shared" si="36"/>
        <v/>
      </c>
      <c r="AG306" s="51" t="str">
        <f t="shared" si="37"/>
        <v/>
      </c>
      <c r="AH306" s="51" t="str">
        <f t="shared" si="38"/>
        <v/>
      </c>
      <c r="BF306" s="44">
        <v>0.38019999999999998</v>
      </c>
      <c r="BK306" s="21">
        <v>5.1999999999999998E-2</v>
      </c>
      <c r="BM306" s="17"/>
      <c r="BN306" s="17"/>
      <c r="BO306" s="17"/>
      <c r="BP306" s="17"/>
      <c r="BQ306" s="17"/>
      <c r="BW306" s="17"/>
    </row>
    <row r="307" spans="1:75" hidden="1" x14ac:dyDescent="0.25">
      <c r="A307" s="15" t="s">
        <v>592</v>
      </c>
      <c r="B307" s="15" t="s">
        <v>52</v>
      </c>
      <c r="C307" s="15">
        <v>2015</v>
      </c>
      <c r="D307" s="15" t="s">
        <v>593</v>
      </c>
      <c r="E307" s="15">
        <v>4120</v>
      </c>
      <c r="F307" s="15">
        <v>3717100</v>
      </c>
      <c r="G307" s="15" t="s">
        <v>88</v>
      </c>
      <c r="H307" s="15" t="s">
        <v>43</v>
      </c>
      <c r="I307" s="15" t="s">
        <v>53</v>
      </c>
      <c r="J307" s="15" t="s">
        <v>54</v>
      </c>
      <c r="K307" s="15"/>
      <c r="L307" s="15"/>
      <c r="M307" s="15"/>
      <c r="N307" s="15"/>
      <c r="O307" s="15"/>
      <c r="P307" s="15"/>
      <c r="Q307" s="15"/>
      <c r="R307" s="15"/>
      <c r="S307" s="15"/>
      <c r="T307" s="15"/>
      <c r="U307" s="15"/>
      <c r="V307" s="15"/>
      <c r="W307" s="15"/>
      <c r="X307" s="15"/>
      <c r="AE307" s="51" t="str">
        <f t="shared" si="35"/>
        <v/>
      </c>
      <c r="AF307" s="51" t="str">
        <f t="shared" si="36"/>
        <v/>
      </c>
      <c r="AG307" s="51" t="str">
        <f t="shared" si="37"/>
        <v/>
      </c>
      <c r="AH307" s="51" t="str">
        <f t="shared" si="38"/>
        <v/>
      </c>
      <c r="BF307" s="44">
        <v>0.4294</v>
      </c>
      <c r="BK307" s="21">
        <v>4.3999999999999997E-2</v>
      </c>
      <c r="BM307" s="17"/>
      <c r="BN307" s="17"/>
      <c r="BO307" s="17"/>
      <c r="BP307" s="17"/>
      <c r="BQ307" s="17"/>
      <c r="BW307" s="17"/>
    </row>
    <row r="308" spans="1:75" hidden="1" x14ac:dyDescent="0.25">
      <c r="A308" s="15" t="s">
        <v>592</v>
      </c>
      <c r="B308" s="15" t="s">
        <v>52</v>
      </c>
      <c r="C308" s="15">
        <v>2014</v>
      </c>
      <c r="D308" s="15" t="s">
        <v>593</v>
      </c>
      <c r="E308" s="15">
        <v>4490</v>
      </c>
      <c r="F308" s="15">
        <v>3727000</v>
      </c>
      <c r="G308" s="15" t="s">
        <v>88</v>
      </c>
      <c r="H308" s="15" t="s">
        <v>43</v>
      </c>
      <c r="I308" s="15" t="s">
        <v>53</v>
      </c>
      <c r="J308" s="15" t="s">
        <v>54</v>
      </c>
      <c r="K308" s="15"/>
      <c r="L308" s="15"/>
      <c r="M308" s="15"/>
      <c r="N308" s="15"/>
      <c r="O308" s="15"/>
      <c r="P308" s="15"/>
      <c r="Q308" s="15"/>
      <c r="R308" s="15"/>
      <c r="S308" s="15"/>
      <c r="T308" s="15"/>
      <c r="U308" s="15"/>
      <c r="V308" s="15"/>
      <c r="W308" s="15"/>
      <c r="X308" s="15"/>
      <c r="Y308" s="17">
        <v>63201</v>
      </c>
      <c r="Z308" s="17">
        <v>5951</v>
      </c>
      <c r="AA308" s="17">
        <v>1303</v>
      </c>
      <c r="AB308" s="17">
        <v>7254</v>
      </c>
      <c r="AC308" s="17">
        <v>70455</v>
      </c>
      <c r="AE308" s="51">
        <f t="shared" si="35"/>
        <v>16.957606654145426</v>
      </c>
      <c r="AF308" s="51">
        <f t="shared" si="36"/>
        <v>1.9463375368929434</v>
      </c>
      <c r="AG308" s="51">
        <f t="shared" si="37"/>
        <v>18.903944191038367</v>
      </c>
      <c r="AH308" s="51" t="str">
        <f t="shared" si="38"/>
        <v/>
      </c>
      <c r="BF308" s="44">
        <v>0.36070000000000002</v>
      </c>
      <c r="BK308" s="21">
        <v>4.2000000000000003E-2</v>
      </c>
      <c r="BM308" s="17"/>
      <c r="BN308" s="17"/>
      <c r="BO308" s="17"/>
      <c r="BP308" s="17"/>
      <c r="BQ308" s="17"/>
      <c r="BW308" s="17"/>
    </row>
    <row r="309" spans="1:75" hidden="1" x14ac:dyDescent="0.25">
      <c r="A309" s="15" t="s">
        <v>592</v>
      </c>
      <c r="B309" s="15" t="s">
        <v>52</v>
      </c>
      <c r="C309" s="15">
        <v>2013</v>
      </c>
      <c r="D309" s="15" t="s">
        <v>593</v>
      </c>
      <c r="E309" s="15">
        <v>4240</v>
      </c>
      <c r="F309" s="15">
        <v>3776000</v>
      </c>
      <c r="G309" s="15" t="s">
        <v>88</v>
      </c>
      <c r="H309" s="15" t="s">
        <v>43</v>
      </c>
      <c r="I309" s="15" t="s">
        <v>53</v>
      </c>
      <c r="J309" s="15" t="s">
        <v>54</v>
      </c>
      <c r="K309" s="15"/>
      <c r="L309" s="15"/>
      <c r="M309" s="15"/>
      <c r="N309" s="15"/>
      <c r="O309" s="15"/>
      <c r="P309" s="15"/>
      <c r="Q309" s="15"/>
      <c r="R309" s="15"/>
      <c r="S309" s="15"/>
      <c r="T309" s="15"/>
      <c r="U309" s="15"/>
      <c r="V309" s="15"/>
      <c r="W309" s="15"/>
      <c r="X309" s="15"/>
      <c r="AE309" s="51" t="str">
        <f t="shared" si="35"/>
        <v/>
      </c>
      <c r="AF309" s="51" t="str">
        <f t="shared" si="36"/>
        <v/>
      </c>
      <c r="AG309" s="51" t="str">
        <f t="shared" si="37"/>
        <v/>
      </c>
      <c r="AH309" s="51" t="str">
        <f t="shared" si="38"/>
        <v/>
      </c>
      <c r="BF309" s="44">
        <v>0.36220000000000002</v>
      </c>
      <c r="BK309" s="21">
        <v>0.05</v>
      </c>
      <c r="BM309" s="17"/>
      <c r="BN309" s="17"/>
      <c r="BO309" s="17"/>
      <c r="BP309" s="17"/>
      <c r="BQ309" s="17"/>
      <c r="BW309" s="17"/>
    </row>
    <row r="310" spans="1:75" hidden="1" x14ac:dyDescent="0.25">
      <c r="A310" s="15" t="s">
        <v>592</v>
      </c>
      <c r="B310" s="15" t="s">
        <v>52</v>
      </c>
      <c r="C310" s="15">
        <v>2012</v>
      </c>
      <c r="D310" s="15" t="s">
        <v>593</v>
      </c>
      <c r="E310" s="15">
        <v>3870</v>
      </c>
      <c r="F310" s="15">
        <v>3825000</v>
      </c>
      <c r="G310" s="15" t="s">
        <v>88</v>
      </c>
      <c r="H310" s="15" t="s">
        <v>43</v>
      </c>
      <c r="I310" s="15" t="s">
        <v>53</v>
      </c>
      <c r="J310" s="15" t="s">
        <v>54</v>
      </c>
      <c r="K310" s="15"/>
      <c r="L310" s="15"/>
      <c r="M310" s="15"/>
      <c r="N310" s="15"/>
      <c r="O310" s="15"/>
      <c r="P310" s="15"/>
      <c r="Q310" s="15"/>
      <c r="R310" s="15"/>
      <c r="S310" s="15"/>
      <c r="T310" s="15"/>
      <c r="U310" s="15"/>
      <c r="V310" s="15"/>
      <c r="W310" s="15"/>
      <c r="X310" s="15"/>
      <c r="AE310" s="51" t="str">
        <f t="shared" si="35"/>
        <v/>
      </c>
      <c r="AF310" s="51" t="str">
        <f t="shared" si="36"/>
        <v/>
      </c>
      <c r="AG310" s="51" t="str">
        <f t="shared" si="37"/>
        <v/>
      </c>
      <c r="AH310" s="51" t="str">
        <f t="shared" si="38"/>
        <v/>
      </c>
      <c r="BF310" s="44">
        <v>0.34839999999999999</v>
      </c>
      <c r="BK310" s="21">
        <v>6.4000000000000001E-2</v>
      </c>
      <c r="BM310" s="17"/>
      <c r="BN310" s="17"/>
      <c r="BO310" s="17"/>
      <c r="BP310" s="17"/>
      <c r="BQ310" s="17"/>
      <c r="BW310" s="17"/>
    </row>
    <row r="311" spans="1:75" hidden="1" x14ac:dyDescent="0.25">
      <c r="A311" s="15" t="s">
        <v>592</v>
      </c>
      <c r="B311" s="15" t="s">
        <v>52</v>
      </c>
      <c r="C311" s="15">
        <v>2011</v>
      </c>
      <c r="D311" s="15" t="s">
        <v>593</v>
      </c>
      <c r="E311" s="15">
        <v>3300</v>
      </c>
      <c r="F311" s="15">
        <v>3875000</v>
      </c>
      <c r="G311" s="15" t="s">
        <v>88</v>
      </c>
      <c r="H311" s="15" t="s">
        <v>43</v>
      </c>
      <c r="I311" s="15" t="s">
        <v>53</v>
      </c>
      <c r="J311" s="15" t="s">
        <v>54</v>
      </c>
      <c r="K311" s="15"/>
      <c r="L311" s="15"/>
      <c r="M311" s="15"/>
      <c r="N311" s="15"/>
      <c r="O311" s="15"/>
      <c r="P311" s="15"/>
      <c r="Q311" s="15"/>
      <c r="R311" s="15"/>
      <c r="S311" s="15"/>
      <c r="T311" s="15"/>
      <c r="U311" s="15"/>
      <c r="V311" s="15"/>
      <c r="W311" s="15"/>
      <c r="X311" s="15"/>
      <c r="AE311" s="51" t="str">
        <f t="shared" si="35"/>
        <v/>
      </c>
      <c r="AF311" s="51" t="str">
        <f t="shared" si="36"/>
        <v/>
      </c>
      <c r="AG311" s="51" t="str">
        <f t="shared" si="37"/>
        <v/>
      </c>
      <c r="AH311" s="51" t="str">
        <f t="shared" si="38"/>
        <v/>
      </c>
      <c r="BF311" s="44">
        <v>0.34389999999999998</v>
      </c>
      <c r="BK311" s="21">
        <v>8.6999999999999994E-2</v>
      </c>
      <c r="BM311" s="17"/>
      <c r="BN311" s="17"/>
      <c r="BO311" s="17"/>
      <c r="BP311" s="17"/>
      <c r="BQ311" s="17"/>
      <c r="BW311" s="17"/>
    </row>
    <row r="312" spans="1:75" hidden="1" x14ac:dyDescent="0.25">
      <c r="A312" s="15" t="s">
        <v>604</v>
      </c>
      <c r="B312" s="15" t="s">
        <v>30</v>
      </c>
      <c r="C312" s="15">
        <v>2016</v>
      </c>
      <c r="D312" s="15" t="s">
        <v>605</v>
      </c>
      <c r="E312" s="15">
        <v>44020</v>
      </c>
      <c r="F312" s="15">
        <v>82695000</v>
      </c>
      <c r="G312" s="15" t="s">
        <v>109</v>
      </c>
      <c r="H312" s="15" t="s">
        <v>43</v>
      </c>
      <c r="I312" s="15" t="s">
        <v>188</v>
      </c>
      <c r="J312" s="15" t="s">
        <v>189</v>
      </c>
      <c r="K312" s="15" t="s">
        <v>190</v>
      </c>
      <c r="L312" s="15" t="s">
        <v>48</v>
      </c>
      <c r="M312" s="15" t="s">
        <v>62</v>
      </c>
      <c r="N312" s="15" t="s">
        <v>63</v>
      </c>
      <c r="O312" s="15"/>
      <c r="P312" s="15"/>
      <c r="Q312" s="15"/>
      <c r="R312" s="15"/>
      <c r="S312" s="15"/>
      <c r="T312" s="15"/>
      <c r="U312" s="15"/>
      <c r="V312" s="15"/>
      <c r="W312" s="15"/>
      <c r="X312" s="15"/>
      <c r="Y312" s="17">
        <v>2022140</v>
      </c>
      <c r="Z312" s="17">
        <v>184365</v>
      </c>
      <c r="AA312" s="17">
        <v>60505</v>
      </c>
      <c r="AB312" s="17">
        <v>244870</v>
      </c>
      <c r="AC312" s="17">
        <v>2267010</v>
      </c>
      <c r="AD312" s="17">
        <v>11762</v>
      </c>
      <c r="AE312" s="51">
        <f t="shared" si="35"/>
        <v>24.45298990265433</v>
      </c>
      <c r="AF312" s="51">
        <f t="shared" si="36"/>
        <v>2.9611221960215248</v>
      </c>
      <c r="AG312" s="51">
        <f t="shared" si="37"/>
        <v>27.414112098675858</v>
      </c>
      <c r="AH312" s="51">
        <f t="shared" si="38"/>
        <v>0.1422335086764617</v>
      </c>
      <c r="AI312" s="17">
        <v>5588741</v>
      </c>
      <c r="AJ312" s="17">
        <v>6982992</v>
      </c>
      <c r="AK312" s="17">
        <v>5883051</v>
      </c>
      <c r="AL312" s="17">
        <v>12866043</v>
      </c>
      <c r="AM312" s="17">
        <v>18454784</v>
      </c>
      <c r="AN312" s="17">
        <v>10631629</v>
      </c>
      <c r="AO312" s="17">
        <v>254435200000</v>
      </c>
      <c r="AP312" s="17">
        <v>312201800000</v>
      </c>
      <c r="AQ312" s="17">
        <v>340644400000</v>
      </c>
      <c r="AR312" s="17">
        <v>652846200000</v>
      </c>
      <c r="AS312" s="17">
        <v>907281400000</v>
      </c>
      <c r="AT312" s="17">
        <v>752048200000</v>
      </c>
      <c r="BG312" s="15"/>
      <c r="BM312" s="17"/>
      <c r="BN312" s="17"/>
      <c r="BO312" s="17"/>
      <c r="BP312" s="17"/>
      <c r="BQ312" s="17"/>
      <c r="BW312" s="17"/>
    </row>
    <row r="313" spans="1:75" hidden="1" x14ac:dyDescent="0.25">
      <c r="A313" s="15" t="s">
        <v>604</v>
      </c>
      <c r="B313" s="15" t="s">
        <v>30</v>
      </c>
      <c r="C313" s="15">
        <v>2015</v>
      </c>
      <c r="D313" s="15" t="s">
        <v>605</v>
      </c>
      <c r="E313" s="15">
        <v>45790</v>
      </c>
      <c r="F313" s="15">
        <v>81686611</v>
      </c>
      <c r="G313" s="15" t="s">
        <v>109</v>
      </c>
      <c r="H313" s="15" t="s">
        <v>43</v>
      </c>
      <c r="I313" s="15" t="s">
        <v>188</v>
      </c>
      <c r="J313" s="15" t="s">
        <v>189</v>
      </c>
      <c r="K313" s="15" t="s">
        <v>190</v>
      </c>
      <c r="L313" s="15" t="s">
        <v>48</v>
      </c>
      <c r="M313" s="15" t="s">
        <v>62</v>
      </c>
      <c r="N313" s="15" t="s">
        <v>63</v>
      </c>
      <c r="O313" s="15"/>
      <c r="P313" s="15"/>
      <c r="Q313" s="15"/>
      <c r="R313" s="15"/>
      <c r="S313" s="15"/>
      <c r="T313" s="15"/>
      <c r="U313" s="15"/>
      <c r="V313" s="15"/>
      <c r="W313" s="15"/>
      <c r="X313" s="15"/>
      <c r="Y313" s="17">
        <v>1985471</v>
      </c>
      <c r="Z313" s="17">
        <v>174659</v>
      </c>
      <c r="AA313" s="17">
        <v>57918</v>
      </c>
      <c r="AB313" s="17">
        <v>232577</v>
      </c>
      <c r="AC313" s="17">
        <v>2218048</v>
      </c>
      <c r="AD313" s="17">
        <v>11354</v>
      </c>
      <c r="AE313" s="51">
        <f t="shared" si="35"/>
        <v>24.305953885147712</v>
      </c>
      <c r="AF313" s="51">
        <f t="shared" si="36"/>
        <v>2.8471863032731277</v>
      </c>
      <c r="AG313" s="51">
        <f t="shared" si="37"/>
        <v>27.153140188420842</v>
      </c>
      <c r="AH313" s="51">
        <f t="shared" si="38"/>
        <v>0.13899462667143825</v>
      </c>
      <c r="AI313" s="17">
        <v>5501621</v>
      </c>
      <c r="AJ313" s="17">
        <v>6593799</v>
      </c>
      <c r="AK313" s="17">
        <v>5691495</v>
      </c>
      <c r="AL313" s="17">
        <v>12285294</v>
      </c>
      <c r="AM313" s="17">
        <v>17786915</v>
      </c>
      <c r="AN313" s="17">
        <v>10471499</v>
      </c>
      <c r="AO313" s="17">
        <v>235004600000</v>
      </c>
      <c r="AP313" s="17">
        <v>290116400000</v>
      </c>
      <c r="AQ313" s="17">
        <v>324672100000</v>
      </c>
      <c r="AR313" s="17">
        <v>614788500000</v>
      </c>
      <c r="AS313" s="17">
        <v>849793100000</v>
      </c>
      <c r="AT313" s="17">
        <v>716236800000</v>
      </c>
      <c r="BG313" s="15"/>
      <c r="BM313" s="17"/>
      <c r="BN313" s="17"/>
      <c r="BO313" s="17"/>
      <c r="BP313" s="17"/>
      <c r="BQ313" s="17"/>
      <c r="BW313" s="17"/>
    </row>
    <row r="314" spans="1:75" hidden="1" x14ac:dyDescent="0.25">
      <c r="A314" s="15" t="s">
        <v>604</v>
      </c>
      <c r="B314" s="15" t="s">
        <v>30</v>
      </c>
      <c r="C314" s="15">
        <v>2014</v>
      </c>
      <c r="D314" s="15" t="s">
        <v>605</v>
      </c>
      <c r="E314" s="15">
        <v>47710</v>
      </c>
      <c r="F314" s="15">
        <v>80982500</v>
      </c>
      <c r="G314" s="15" t="s">
        <v>109</v>
      </c>
      <c r="H314" s="15" t="s">
        <v>43</v>
      </c>
      <c r="I314" s="15" t="s">
        <v>188</v>
      </c>
      <c r="J314" s="15" t="s">
        <v>189</v>
      </c>
      <c r="K314" s="15" t="s">
        <v>190</v>
      </c>
      <c r="L314" s="15" t="s">
        <v>48</v>
      </c>
      <c r="M314" s="15" t="s">
        <v>62</v>
      </c>
      <c r="N314" s="15" t="s">
        <v>63</v>
      </c>
      <c r="O314" s="15"/>
      <c r="P314" s="15"/>
      <c r="Q314" s="15"/>
      <c r="R314" s="15"/>
      <c r="S314" s="15"/>
      <c r="T314" s="15"/>
      <c r="U314" s="15"/>
      <c r="V314" s="15"/>
      <c r="W314" s="15"/>
      <c r="X314" s="15"/>
      <c r="Y314" s="17">
        <v>2087347</v>
      </c>
      <c r="Z314" s="17">
        <v>169383</v>
      </c>
      <c r="AA314" s="17">
        <v>56039</v>
      </c>
      <c r="AB314" s="17">
        <v>225422</v>
      </c>
      <c r="AC314" s="17">
        <v>2312769</v>
      </c>
      <c r="AD314" s="17">
        <v>11059</v>
      </c>
      <c r="AE314" s="51">
        <f t="shared" si="35"/>
        <v>25.775284783749576</v>
      </c>
      <c r="AF314" s="51">
        <f t="shared" si="36"/>
        <v>2.7835890470163309</v>
      </c>
      <c r="AG314" s="51">
        <f t="shared" si="37"/>
        <v>28.558873830765904</v>
      </c>
      <c r="AH314" s="51">
        <f t="shared" si="38"/>
        <v>0.13656036798073656</v>
      </c>
      <c r="AI314" s="17">
        <v>5582631</v>
      </c>
      <c r="AJ314" s="17">
        <v>6429634</v>
      </c>
      <c r="AK314" s="17">
        <v>5521878</v>
      </c>
      <c r="AL314" s="17">
        <v>11951512</v>
      </c>
      <c r="AM314" s="17">
        <v>17534143</v>
      </c>
      <c r="AN314" s="17">
        <v>10246975</v>
      </c>
      <c r="AO314" s="17">
        <v>245705500000</v>
      </c>
      <c r="AP314" s="17">
        <v>277896900000</v>
      </c>
      <c r="AQ314" s="17">
        <v>306898400000</v>
      </c>
      <c r="AR314" s="17">
        <v>584795300000</v>
      </c>
      <c r="AS314" s="17">
        <v>830500800000</v>
      </c>
      <c r="AT314" s="17">
        <v>701190600000</v>
      </c>
      <c r="BG314" s="15"/>
      <c r="BM314" s="17"/>
      <c r="BN314" s="17"/>
      <c r="BO314" s="17"/>
      <c r="BP314" s="17"/>
      <c r="BQ314" s="17"/>
      <c r="BW314" s="17"/>
    </row>
    <row r="315" spans="1:75" hidden="1" x14ac:dyDescent="0.25">
      <c r="A315" s="15" t="s">
        <v>604</v>
      </c>
      <c r="B315" s="15" t="s">
        <v>30</v>
      </c>
      <c r="C315" s="15">
        <v>2013</v>
      </c>
      <c r="D315" s="15" t="s">
        <v>605</v>
      </c>
      <c r="E315" s="15">
        <v>47410</v>
      </c>
      <c r="F315" s="15">
        <v>80645605</v>
      </c>
      <c r="G315" s="15" t="s">
        <v>109</v>
      </c>
      <c r="H315" s="15" t="s">
        <v>43</v>
      </c>
      <c r="I315" s="15" t="s">
        <v>188</v>
      </c>
      <c r="J315" s="15" t="s">
        <v>189</v>
      </c>
      <c r="K315" s="15" t="s">
        <v>190</v>
      </c>
      <c r="L315" s="15" t="s">
        <v>48</v>
      </c>
      <c r="M315" s="15" t="s">
        <v>62</v>
      </c>
      <c r="N315" s="15" t="s">
        <v>63</v>
      </c>
      <c r="O315" s="15"/>
      <c r="P315" s="15"/>
      <c r="Q315" s="15"/>
      <c r="R315" s="15"/>
      <c r="S315" s="15"/>
      <c r="T315" s="15"/>
      <c r="U315" s="15"/>
      <c r="V315" s="15"/>
      <c r="W315" s="15"/>
      <c r="X315" s="15"/>
      <c r="Y315" s="17">
        <v>1802561</v>
      </c>
      <c r="Z315" s="17">
        <v>160340</v>
      </c>
      <c r="AA315" s="17">
        <v>54039</v>
      </c>
      <c r="AB315" s="17">
        <v>214379</v>
      </c>
      <c r="AC315" s="17">
        <v>2016940</v>
      </c>
      <c r="AD315" s="17">
        <v>10719</v>
      </c>
      <c r="AE315" s="51">
        <f t="shared" si="35"/>
        <v>22.351633421312915</v>
      </c>
      <c r="AF315" s="51">
        <f t="shared" si="36"/>
        <v>2.6582849741160723</v>
      </c>
      <c r="AG315" s="51">
        <f t="shared" si="37"/>
        <v>25.009918395428986</v>
      </c>
      <c r="AH315" s="51">
        <f t="shared" si="38"/>
        <v>0.13291486870239239</v>
      </c>
      <c r="AI315" s="17">
        <v>4981463</v>
      </c>
      <c r="AJ315" s="17">
        <v>6149735</v>
      </c>
      <c r="AK315" s="17">
        <v>5353631</v>
      </c>
      <c r="AL315" s="17">
        <v>11503366</v>
      </c>
      <c r="AM315" s="17">
        <v>16484829</v>
      </c>
      <c r="AN315" s="17">
        <v>9983229</v>
      </c>
      <c r="AO315" s="17">
        <v>218226500000</v>
      </c>
      <c r="AP315" s="17">
        <v>259750500000</v>
      </c>
      <c r="AQ315" s="17">
        <v>285990900000</v>
      </c>
      <c r="AR315" s="17">
        <v>545741400000</v>
      </c>
      <c r="AS315" s="17">
        <v>763967900000</v>
      </c>
      <c r="AT315" s="17">
        <v>661773000000</v>
      </c>
      <c r="BG315" s="15"/>
      <c r="BM315" s="17"/>
      <c r="BN315" s="17"/>
      <c r="BO315" s="17"/>
      <c r="BP315" s="17"/>
      <c r="BQ315" s="17"/>
      <c r="BW315" s="17"/>
    </row>
    <row r="316" spans="1:75" hidden="1" x14ac:dyDescent="0.25">
      <c r="A316" s="15" t="s">
        <v>604</v>
      </c>
      <c r="B316" s="15" t="s">
        <v>30</v>
      </c>
      <c r="C316" s="15">
        <v>2012</v>
      </c>
      <c r="D316" s="15" t="s">
        <v>605</v>
      </c>
      <c r="E316" s="15">
        <v>46710</v>
      </c>
      <c r="F316" s="15">
        <v>80425823</v>
      </c>
      <c r="G316" s="15" t="s">
        <v>109</v>
      </c>
      <c r="H316" s="15" t="s">
        <v>43</v>
      </c>
      <c r="I316" s="15" t="s">
        <v>188</v>
      </c>
      <c r="J316" s="15" t="s">
        <v>189</v>
      </c>
      <c r="K316" s="15" t="s">
        <v>190</v>
      </c>
      <c r="L316" s="15" t="s">
        <v>48</v>
      </c>
      <c r="M316" s="15" t="s">
        <v>62</v>
      </c>
      <c r="N316" s="15" t="s">
        <v>63</v>
      </c>
      <c r="O316" s="15"/>
      <c r="P316" s="15"/>
      <c r="Q316" s="15"/>
      <c r="R316" s="15"/>
      <c r="S316" s="15"/>
      <c r="T316" s="15"/>
      <c r="U316" s="15"/>
      <c r="V316" s="15"/>
      <c r="W316" s="15"/>
      <c r="X316" s="15"/>
      <c r="Y316" s="17">
        <v>1802281</v>
      </c>
      <c r="Z316" s="17">
        <v>160978</v>
      </c>
      <c r="AA316" s="17">
        <v>55347</v>
      </c>
      <c r="AB316" s="17">
        <v>216325</v>
      </c>
      <c r="AC316" s="17">
        <v>2018606</v>
      </c>
      <c r="AD316" s="17">
        <v>10640</v>
      </c>
      <c r="AE316" s="51">
        <f t="shared" si="35"/>
        <v>22.409232915154625</v>
      </c>
      <c r="AF316" s="51">
        <f t="shared" si="36"/>
        <v>2.6897455559764678</v>
      </c>
      <c r="AG316" s="51">
        <f t="shared" si="37"/>
        <v>25.098978471131094</v>
      </c>
      <c r="AH316" s="51">
        <f t="shared" si="38"/>
        <v>0.13229581747643418</v>
      </c>
      <c r="AI316" s="17">
        <v>5011003</v>
      </c>
      <c r="AJ316" s="17">
        <v>6091398</v>
      </c>
      <c r="AK316" s="17">
        <v>5406584</v>
      </c>
      <c r="AL316" s="17">
        <v>11497982</v>
      </c>
      <c r="AM316" s="17">
        <v>16508985</v>
      </c>
      <c r="AN316" s="17">
        <v>9892409</v>
      </c>
      <c r="AO316" s="17">
        <v>209119900000</v>
      </c>
      <c r="AP316" s="17">
        <v>250205000000</v>
      </c>
      <c r="AQ316" s="17">
        <v>279410500000</v>
      </c>
      <c r="AR316" s="17">
        <v>529615500000</v>
      </c>
      <c r="AS316" s="17">
        <v>738735400000</v>
      </c>
      <c r="AT316" s="17">
        <v>646765700000</v>
      </c>
      <c r="BG316" s="15"/>
      <c r="BM316" s="17"/>
      <c r="BN316" s="17"/>
      <c r="BO316" s="17"/>
      <c r="BP316" s="17"/>
      <c r="BQ316" s="17"/>
      <c r="BW316" s="17"/>
    </row>
    <row r="317" spans="1:75" hidden="1" x14ac:dyDescent="0.25">
      <c r="A317" s="15" t="s">
        <v>606</v>
      </c>
      <c r="B317" s="15" t="s">
        <v>30</v>
      </c>
      <c r="C317" s="15">
        <v>2015</v>
      </c>
      <c r="D317" s="15" t="s">
        <v>607</v>
      </c>
      <c r="E317" s="15">
        <v>1490</v>
      </c>
      <c r="F317" s="15">
        <v>27582821</v>
      </c>
      <c r="G317" s="15" t="s">
        <v>88</v>
      </c>
      <c r="H317" s="15" t="s">
        <v>89</v>
      </c>
      <c r="I317" s="15" t="s">
        <v>1654</v>
      </c>
      <c r="J317" s="15" t="s">
        <v>1655</v>
      </c>
      <c r="K317" s="15" t="s">
        <v>92</v>
      </c>
      <c r="L317" s="15" t="s">
        <v>608</v>
      </c>
      <c r="M317" s="15" t="s">
        <v>479</v>
      </c>
      <c r="N317" s="15" t="s">
        <v>37</v>
      </c>
      <c r="O317" s="15"/>
      <c r="P317" s="15"/>
      <c r="Q317" s="15"/>
      <c r="R317" s="15"/>
      <c r="S317" s="15" t="s">
        <v>609</v>
      </c>
      <c r="T317" s="15"/>
      <c r="U317" s="15"/>
      <c r="V317" s="15"/>
      <c r="W317" s="15"/>
      <c r="X317" s="15"/>
      <c r="Y317" s="17">
        <v>1083938</v>
      </c>
      <c r="Z317" s="17">
        <v>802928</v>
      </c>
      <c r="AA317" s="17">
        <v>338372</v>
      </c>
      <c r="AB317" s="17">
        <v>1141300</v>
      </c>
      <c r="AC317" s="17">
        <v>2225238</v>
      </c>
      <c r="AD317" s="17" t="str">
        <f>IF(ISERROR((#REF!/$F317)*1000),"",IF((#REF!/$F317)*1000=0,"",(#REF!/$F317)*1000))</f>
        <v/>
      </c>
      <c r="AE317" s="51">
        <f>IF(ISERROR((AA317/$F317)*1000),"",IF((AA317/$F317)*1000=0,"",(AA317/$F317)*1000))</f>
        <v>12.267490696473722</v>
      </c>
      <c r="AF317" s="51">
        <f>IF(ISERROR((AB317/$F317)*1000),"",IF((AB317/$F317)*1000=0,"",(AB317/$F317)*1000))</f>
        <v>41.377203586246672</v>
      </c>
      <c r="AG317" s="51">
        <f>IF(ISERROR((AC317/$F317)*1000),"",IF((AC317/$F317)*1000=0,"",(AC317/$F317)*1000))</f>
        <v>80.674779421582727</v>
      </c>
      <c r="AH317" s="60"/>
      <c r="AI317" s="17">
        <v>994395</v>
      </c>
      <c r="AJ317" s="17">
        <v>423587</v>
      </c>
      <c r="AK317" s="17">
        <v>1417982</v>
      </c>
      <c r="AL317" s="17">
        <v>2524953</v>
      </c>
      <c r="AM317" s="17">
        <v>858253</v>
      </c>
      <c r="BG317" s="15"/>
      <c r="BM317" s="17"/>
      <c r="BN317" s="17"/>
      <c r="BO317" s="17"/>
      <c r="BP317" s="17"/>
      <c r="BQ317" s="17"/>
      <c r="BW317" s="17"/>
    </row>
    <row r="318" spans="1:75" hidden="1" x14ac:dyDescent="0.25">
      <c r="A318" s="15" t="s">
        <v>610</v>
      </c>
      <c r="B318" s="15" t="s">
        <v>30</v>
      </c>
      <c r="C318" s="15">
        <v>2016</v>
      </c>
      <c r="D318" s="15" t="s">
        <v>611</v>
      </c>
      <c r="E318" s="15">
        <v>18870</v>
      </c>
      <c r="F318" s="15">
        <v>10760421</v>
      </c>
      <c r="G318" s="15" t="s">
        <v>109</v>
      </c>
      <c r="H318" s="15" t="s">
        <v>43</v>
      </c>
      <c r="I318" s="15" t="s">
        <v>507</v>
      </c>
      <c r="J318" s="15" t="s">
        <v>193</v>
      </c>
      <c r="K318" s="15" t="s">
        <v>190</v>
      </c>
      <c r="L318" s="15" t="s">
        <v>48</v>
      </c>
      <c r="M318" s="15" t="s">
        <v>62</v>
      </c>
      <c r="N318" s="15" t="s">
        <v>63</v>
      </c>
      <c r="O318" s="15"/>
      <c r="P318" s="15"/>
      <c r="Q318" s="15"/>
      <c r="R318" s="15"/>
      <c r="S318" s="15"/>
      <c r="T318" s="15"/>
      <c r="U318" s="15"/>
      <c r="V318" s="15"/>
      <c r="W318" s="15"/>
      <c r="X318" s="15"/>
      <c r="Y318" s="17">
        <v>678816</v>
      </c>
      <c r="Z318" s="17">
        <v>23829</v>
      </c>
      <c r="AA318" s="17">
        <v>2684</v>
      </c>
      <c r="AB318" s="17">
        <v>26513</v>
      </c>
      <c r="AC318" s="17">
        <v>705329</v>
      </c>
      <c r="AD318" s="17">
        <v>388</v>
      </c>
      <c r="AE318" s="51">
        <f t="shared" ref="AE318:AE349" si="39">IF(ISERROR((Y318/$F318)*1000),"",IF((Y318/$F318)*1000=0,"",(Y318/$F318)*1000))</f>
        <v>63.084520577772935</v>
      </c>
      <c r="AF318" s="51">
        <f t="shared" ref="AF318:AF349" si="40">IF(ISERROR((AB318/$F318)*1000),"",IF((AB318/$F318)*1000=0,"",(AB318/$F318)*1000))</f>
        <v>2.4639370522770436</v>
      </c>
      <c r="AG318" s="51">
        <f t="shared" ref="AG318:AG349" si="41">IF(ISERROR((AC318/$F318)*1000),"",IF((AC318/$F318)*1000=0,"",(AC318/$F318)*1000))</f>
        <v>65.548457630049981</v>
      </c>
      <c r="AH318" s="51">
        <f t="shared" ref="AH318:AH349" si="42">IF(ISERROR((AD318/$F318)*1000),"",IF((AD318/$F318)*1000=0,"",(AD318/$F318)*1000))</f>
        <v>3.6058068731697396E-2</v>
      </c>
      <c r="AI318" s="17">
        <v>1288988</v>
      </c>
      <c r="AJ318" s="17">
        <v>412490</v>
      </c>
      <c r="AK318" s="17">
        <v>254639</v>
      </c>
      <c r="AL318" s="17">
        <f>+AJ318+AK318</f>
        <v>667129</v>
      </c>
      <c r="AM318" s="17">
        <f>+AL318+AI318</f>
        <v>1956117</v>
      </c>
      <c r="AN318" s="17">
        <v>294094</v>
      </c>
      <c r="AO318" s="17">
        <v>17000000000</v>
      </c>
      <c r="AP318" s="17">
        <v>9500000000</v>
      </c>
      <c r="AQ318" s="17">
        <v>9800000000</v>
      </c>
      <c r="AR318" s="17">
        <f>+AP318+AQ318</f>
        <v>19300000000</v>
      </c>
      <c r="AS318" s="17">
        <f>+AR318+AO318</f>
        <v>36300000000</v>
      </c>
      <c r="AT318" s="17">
        <v>13300000000</v>
      </c>
      <c r="BG318" s="15"/>
      <c r="BM318" s="17"/>
      <c r="BN318" s="17"/>
      <c r="BO318" s="17"/>
      <c r="BP318" s="17"/>
      <c r="BQ318" s="17"/>
      <c r="BW318" s="17"/>
    </row>
    <row r="319" spans="1:75" hidden="1" x14ac:dyDescent="0.25">
      <c r="A319" s="15" t="s">
        <v>610</v>
      </c>
      <c r="B319" s="15" t="s">
        <v>30</v>
      </c>
      <c r="C319" s="15">
        <v>2015</v>
      </c>
      <c r="D319" s="15" t="s">
        <v>611</v>
      </c>
      <c r="E319" s="15">
        <v>20360</v>
      </c>
      <c r="F319" s="15">
        <v>10820883</v>
      </c>
      <c r="G319" s="15" t="s">
        <v>109</v>
      </c>
      <c r="H319" s="15" t="s">
        <v>43</v>
      </c>
      <c r="I319" s="15" t="s">
        <v>507</v>
      </c>
      <c r="J319" s="15" t="s">
        <v>193</v>
      </c>
      <c r="K319" s="15" t="s">
        <v>190</v>
      </c>
      <c r="L319" s="15" t="s">
        <v>48</v>
      </c>
      <c r="M319" s="15" t="s">
        <v>62</v>
      </c>
      <c r="N319" s="15" t="s">
        <v>63</v>
      </c>
      <c r="O319" s="15"/>
      <c r="P319" s="15"/>
      <c r="Q319" s="15"/>
      <c r="R319" s="15"/>
      <c r="S319" s="15"/>
      <c r="T319" s="15"/>
      <c r="U319" s="15"/>
      <c r="V319" s="15"/>
      <c r="W319" s="15"/>
      <c r="X319" s="15"/>
      <c r="Y319" s="17">
        <v>682132</v>
      </c>
      <c r="Z319" s="17">
        <v>19631</v>
      </c>
      <c r="AA319" s="17">
        <v>2576</v>
      </c>
      <c r="AB319" s="17">
        <v>22207</v>
      </c>
      <c r="AC319" s="17">
        <v>704339</v>
      </c>
      <c r="AD319" s="17">
        <v>397</v>
      </c>
      <c r="AE319" s="51">
        <f t="shared" si="39"/>
        <v>63.03847846797715</v>
      </c>
      <c r="AF319" s="51">
        <f t="shared" si="40"/>
        <v>2.0522354783800916</v>
      </c>
      <c r="AG319" s="51">
        <f t="shared" si="41"/>
        <v>65.090713946357241</v>
      </c>
      <c r="AH319" s="51">
        <f t="shared" si="42"/>
        <v>3.6688318319309063E-2</v>
      </c>
      <c r="AI319" s="17">
        <v>1264804</v>
      </c>
      <c r="AJ319" s="17">
        <v>361331</v>
      </c>
      <c r="AK319" s="17">
        <v>241105</v>
      </c>
      <c r="AL319" s="17">
        <f>+AJ319+AK319</f>
        <v>602436</v>
      </c>
      <c r="AM319" s="17">
        <f>+AL319+AI319</f>
        <v>1867240</v>
      </c>
      <c r="AN319" s="17">
        <v>271720</v>
      </c>
      <c r="AO319" s="17">
        <v>17000000000</v>
      </c>
      <c r="AP319" s="17">
        <v>9600000000</v>
      </c>
      <c r="AQ319" s="17">
        <v>9000000000</v>
      </c>
      <c r="AR319" s="17">
        <f>+AP319+AQ319</f>
        <v>18600000000</v>
      </c>
      <c r="AS319" s="17">
        <f>+AR319+AO319</f>
        <v>35600000000</v>
      </c>
      <c r="AT319" s="17">
        <v>11800000000</v>
      </c>
      <c r="BG319" s="15"/>
      <c r="BM319" s="17"/>
      <c r="BN319" s="17"/>
      <c r="BO319" s="17"/>
      <c r="BP319" s="17"/>
      <c r="BQ319" s="17"/>
      <c r="BW319" s="17"/>
    </row>
    <row r="320" spans="1:75" ht="14.25" hidden="1" customHeight="1" x14ac:dyDescent="0.25">
      <c r="A320" s="15" t="s">
        <v>610</v>
      </c>
      <c r="B320" s="15" t="s">
        <v>30</v>
      </c>
      <c r="C320" s="15">
        <v>2014</v>
      </c>
      <c r="D320" s="15" t="s">
        <v>611</v>
      </c>
      <c r="E320" s="15">
        <v>22180</v>
      </c>
      <c r="F320" s="15">
        <v>10892413</v>
      </c>
      <c r="G320" s="15" t="s">
        <v>109</v>
      </c>
      <c r="H320" s="15" t="s">
        <v>43</v>
      </c>
      <c r="I320" s="15" t="s">
        <v>507</v>
      </c>
      <c r="J320" s="15" t="s">
        <v>193</v>
      </c>
      <c r="K320" s="15" t="s">
        <v>190</v>
      </c>
      <c r="L320" s="15" t="s">
        <v>48</v>
      </c>
      <c r="M320" s="15" t="s">
        <v>62</v>
      </c>
      <c r="N320" s="15" t="s">
        <v>63</v>
      </c>
      <c r="O320" s="15"/>
      <c r="P320" s="15"/>
      <c r="Q320" s="15"/>
      <c r="R320" s="15"/>
      <c r="S320" s="15"/>
      <c r="T320" s="15"/>
      <c r="U320" s="15"/>
      <c r="V320" s="15"/>
      <c r="W320" s="15"/>
      <c r="X320" s="15"/>
      <c r="Y320" s="17">
        <v>669773</v>
      </c>
      <c r="Z320" s="17">
        <v>20058</v>
      </c>
      <c r="AA320" s="17">
        <v>2455</v>
      </c>
      <c r="AB320" s="17">
        <v>22513</v>
      </c>
      <c r="AC320" s="17">
        <v>692286</v>
      </c>
      <c r="AD320" s="17">
        <v>400</v>
      </c>
      <c r="AE320" s="51">
        <f t="shared" si="39"/>
        <v>61.489864550673943</v>
      </c>
      <c r="AF320" s="51">
        <f t="shared" si="40"/>
        <v>2.0668514864429031</v>
      </c>
      <c r="AG320" s="51">
        <f t="shared" si="41"/>
        <v>63.55671603711685</v>
      </c>
      <c r="AH320" s="51">
        <f t="shared" si="42"/>
        <v>3.6722808802787776E-2</v>
      </c>
      <c r="AI320" s="17">
        <v>1225566</v>
      </c>
      <c r="AJ320" s="17">
        <v>361207</v>
      </c>
      <c r="AK320" s="17">
        <v>228692</v>
      </c>
      <c r="AL320" s="17">
        <f>+AJ320+AK320</f>
        <v>589899</v>
      </c>
      <c r="AM320" s="17">
        <f>+AL320+AI320</f>
        <v>1815465</v>
      </c>
      <c r="AN320" s="17">
        <v>273587</v>
      </c>
      <c r="AO320" s="17">
        <v>18000000000</v>
      </c>
      <c r="AP320" s="17">
        <v>10000000000</v>
      </c>
      <c r="AQ320" s="17">
        <v>8000000000</v>
      </c>
      <c r="AR320" s="17">
        <f>+AP320+AQ320</f>
        <v>18000000000</v>
      </c>
      <c r="AS320" s="17">
        <f>+AR320+AO320</f>
        <v>36000000000</v>
      </c>
      <c r="AT320" s="17">
        <v>12000000000</v>
      </c>
      <c r="BG320" s="15"/>
      <c r="BM320" s="17"/>
      <c r="BN320" s="17"/>
      <c r="BO320" s="17"/>
      <c r="BP320" s="17"/>
      <c r="BQ320" s="17"/>
      <c r="BW320" s="17"/>
    </row>
    <row r="321" spans="1:75" hidden="1" x14ac:dyDescent="0.25">
      <c r="A321" s="15" t="s">
        <v>610</v>
      </c>
      <c r="B321" s="15" t="s">
        <v>30</v>
      </c>
      <c r="C321" s="15">
        <v>2013</v>
      </c>
      <c r="D321" s="15" t="s">
        <v>611</v>
      </c>
      <c r="E321" s="15">
        <v>22540</v>
      </c>
      <c r="F321" s="15">
        <v>10965211</v>
      </c>
      <c r="G321" s="15" t="s">
        <v>109</v>
      </c>
      <c r="H321" s="15" t="s">
        <v>43</v>
      </c>
      <c r="I321" s="15" t="s">
        <v>507</v>
      </c>
      <c r="J321" s="15" t="s">
        <v>193</v>
      </c>
      <c r="K321" s="15" t="s">
        <v>190</v>
      </c>
      <c r="L321" s="15" t="s">
        <v>48</v>
      </c>
      <c r="M321" s="15" t="s">
        <v>62</v>
      </c>
      <c r="N321" s="15" t="s">
        <v>63</v>
      </c>
      <c r="O321" s="15"/>
      <c r="P321" s="15"/>
      <c r="Q321" s="15"/>
      <c r="R321" s="15"/>
      <c r="S321" s="15"/>
      <c r="T321" s="15"/>
      <c r="U321" s="15"/>
      <c r="V321" s="15"/>
      <c r="W321" s="15"/>
      <c r="X321" s="15"/>
      <c r="Y321" s="17">
        <v>629811</v>
      </c>
      <c r="Z321" s="17">
        <v>21669</v>
      </c>
      <c r="AA321" s="17">
        <v>2464</v>
      </c>
      <c r="AB321" s="17">
        <v>24133</v>
      </c>
      <c r="AC321" s="17">
        <v>653944</v>
      </c>
      <c r="AD321" s="17">
        <v>423</v>
      </c>
      <c r="AE321" s="51">
        <f t="shared" si="39"/>
        <v>57.43719842691582</v>
      </c>
      <c r="AF321" s="51">
        <f t="shared" si="40"/>
        <v>2.2008696412681892</v>
      </c>
      <c r="AG321" s="51">
        <f t="shared" si="41"/>
        <v>59.638068068184005</v>
      </c>
      <c r="AH321" s="51">
        <f t="shared" si="42"/>
        <v>3.8576549051358884E-2</v>
      </c>
      <c r="AI321" s="17">
        <v>1130794</v>
      </c>
      <c r="AJ321" s="17">
        <v>398503</v>
      </c>
      <c r="AK321" s="17">
        <v>227832</v>
      </c>
      <c r="AL321" s="17">
        <f>+AJ321+AK321</f>
        <v>626335</v>
      </c>
      <c r="AM321" s="17">
        <f>+AL321+AI321</f>
        <v>1757129</v>
      </c>
      <c r="AN321" s="17">
        <v>290547</v>
      </c>
      <c r="AO321" s="17">
        <v>16000000000</v>
      </c>
      <c r="AP321" s="17">
        <v>11000000000</v>
      </c>
      <c r="AQ321" s="17">
        <v>8000000000</v>
      </c>
      <c r="AR321" s="17">
        <f>+AP321+AQ321</f>
        <v>19000000000</v>
      </c>
      <c r="AS321" s="17">
        <f>+AR321+AO321</f>
        <v>35000000000</v>
      </c>
      <c r="AT321" s="17">
        <v>13000000000</v>
      </c>
      <c r="BG321" s="15"/>
      <c r="BM321" s="17"/>
      <c r="BN321" s="17"/>
      <c r="BO321" s="17"/>
      <c r="BP321" s="17"/>
      <c r="BQ321" s="17"/>
      <c r="BW321" s="17"/>
    </row>
    <row r="322" spans="1:75" hidden="1" x14ac:dyDescent="0.25">
      <c r="A322" s="15" t="s">
        <v>610</v>
      </c>
      <c r="B322" s="15" t="s">
        <v>30</v>
      </c>
      <c r="C322" s="15">
        <v>2012</v>
      </c>
      <c r="D322" s="15" t="s">
        <v>611</v>
      </c>
      <c r="E322" s="15">
        <v>23500</v>
      </c>
      <c r="F322" s="15">
        <v>11045011</v>
      </c>
      <c r="G322" s="15" t="s">
        <v>109</v>
      </c>
      <c r="H322" s="15" t="s">
        <v>43</v>
      </c>
      <c r="I322" s="15" t="s">
        <v>507</v>
      </c>
      <c r="J322" s="15" t="s">
        <v>193</v>
      </c>
      <c r="K322" s="15" t="s">
        <v>190</v>
      </c>
      <c r="L322" s="15" t="s">
        <v>48</v>
      </c>
      <c r="M322" s="15" t="s">
        <v>62</v>
      </c>
      <c r="N322" s="15" t="s">
        <v>63</v>
      </c>
      <c r="O322" s="15"/>
      <c r="P322" s="15"/>
      <c r="Q322" s="15"/>
      <c r="R322" s="15"/>
      <c r="S322" s="15"/>
      <c r="T322" s="15"/>
      <c r="U322" s="15"/>
      <c r="V322" s="15"/>
      <c r="W322" s="15"/>
      <c r="X322" s="15"/>
      <c r="Y322" s="17">
        <v>513780</v>
      </c>
      <c r="Z322" s="17">
        <v>14978</v>
      </c>
      <c r="AA322" s="17">
        <v>2301</v>
      </c>
      <c r="AB322" s="17">
        <v>17279</v>
      </c>
      <c r="AC322" s="17">
        <v>531059</v>
      </c>
      <c r="AD322" s="17">
        <v>378</v>
      </c>
      <c r="AE322" s="51">
        <f t="shared" si="39"/>
        <v>46.516929679834632</v>
      </c>
      <c r="AF322" s="51">
        <f t="shared" si="40"/>
        <v>1.564416730775551</v>
      </c>
      <c r="AG322" s="51">
        <f t="shared" si="41"/>
        <v>48.08134641061018</v>
      </c>
      <c r="AH322" s="51">
        <f t="shared" si="42"/>
        <v>3.4223596517921076E-2</v>
      </c>
      <c r="AI322" s="17">
        <v>916074</v>
      </c>
      <c r="AJ322" s="17">
        <v>282808</v>
      </c>
      <c r="AK322" s="17">
        <v>227958</v>
      </c>
      <c r="AL322" s="17">
        <f>+AJ322+AK322</f>
        <v>510766</v>
      </c>
      <c r="AM322" s="17">
        <f>+AL322+AI322</f>
        <v>1426840</v>
      </c>
      <c r="AN322" s="17">
        <v>255413</v>
      </c>
      <c r="AO322" s="17">
        <v>17000000000</v>
      </c>
      <c r="AP322" s="17">
        <v>9000000000</v>
      </c>
      <c r="AQ322" s="17">
        <v>8000000000</v>
      </c>
      <c r="AR322" s="17">
        <f>+AP322+AQ322</f>
        <v>17000000000</v>
      </c>
      <c r="AS322" s="17">
        <f>+AR322+AO322</f>
        <v>34000000000</v>
      </c>
      <c r="AT322" s="17">
        <v>15000000000</v>
      </c>
      <c r="BG322" s="15"/>
      <c r="BM322" s="17"/>
      <c r="BN322" s="17"/>
      <c r="BO322" s="17"/>
      <c r="BP322" s="17"/>
      <c r="BQ322" s="17"/>
      <c r="BW322" s="17"/>
    </row>
    <row r="323" spans="1:75" hidden="1" x14ac:dyDescent="0.25">
      <c r="A323" s="15" t="s">
        <v>610</v>
      </c>
      <c r="B323" s="15" t="s">
        <v>52</v>
      </c>
      <c r="C323" s="15">
        <v>2016</v>
      </c>
      <c r="D323" s="15" t="s">
        <v>611</v>
      </c>
      <c r="E323" s="15">
        <v>18870</v>
      </c>
      <c r="F323" s="15">
        <v>10760421</v>
      </c>
      <c r="G323" s="15" t="s">
        <v>109</v>
      </c>
      <c r="H323" s="15" t="s">
        <v>43</v>
      </c>
      <c r="I323" s="15" t="s">
        <v>1632</v>
      </c>
      <c r="J323" s="15" t="s">
        <v>581</v>
      </c>
      <c r="K323" s="15" t="s">
        <v>190</v>
      </c>
      <c r="L323" s="15" t="s">
        <v>48</v>
      </c>
      <c r="M323" s="15" t="s">
        <v>62</v>
      </c>
      <c r="N323" s="15" t="s">
        <v>63</v>
      </c>
      <c r="O323" s="15"/>
      <c r="P323" s="15"/>
      <c r="Q323" s="15"/>
      <c r="R323" s="15"/>
      <c r="S323" s="15" t="s">
        <v>55</v>
      </c>
      <c r="T323" s="15"/>
      <c r="U323" s="15"/>
      <c r="V323" s="15"/>
      <c r="W323" s="15"/>
      <c r="X323" s="15" t="s">
        <v>55</v>
      </c>
      <c r="AE323" s="51" t="str">
        <f t="shared" si="39"/>
        <v/>
      </c>
      <c r="AF323" s="51" t="str">
        <f t="shared" si="40"/>
        <v/>
      </c>
      <c r="AG323" s="51" t="str">
        <f t="shared" si="41"/>
        <v/>
      </c>
      <c r="AH323" s="51" t="str">
        <f t="shared" si="42"/>
        <v/>
      </c>
      <c r="BE323" s="16">
        <v>48410000000</v>
      </c>
      <c r="BF323" s="42">
        <v>0.55330000000000001</v>
      </c>
      <c r="BJ323" s="21">
        <v>0.432</v>
      </c>
      <c r="BM323" s="17"/>
      <c r="BN323" s="17"/>
      <c r="BO323" s="17"/>
      <c r="BP323" s="17"/>
      <c r="BQ323" s="17"/>
      <c r="BW323" s="17"/>
    </row>
    <row r="324" spans="1:75" hidden="1" x14ac:dyDescent="0.25">
      <c r="A324" s="15" t="s">
        <v>610</v>
      </c>
      <c r="B324" s="15" t="s">
        <v>52</v>
      </c>
      <c r="C324" s="15">
        <v>2015</v>
      </c>
      <c r="D324" s="15" t="s">
        <v>611</v>
      </c>
      <c r="E324" s="15">
        <v>20360</v>
      </c>
      <c r="F324" s="15">
        <v>10820883</v>
      </c>
      <c r="G324" s="15" t="s">
        <v>109</v>
      </c>
      <c r="H324" s="15" t="s">
        <v>43</v>
      </c>
      <c r="I324" s="15" t="s">
        <v>1632</v>
      </c>
      <c r="J324" s="15" t="s">
        <v>581</v>
      </c>
      <c r="K324" s="15" t="s">
        <v>190</v>
      </c>
      <c r="L324" s="15" t="s">
        <v>48</v>
      </c>
      <c r="M324" s="15" t="s">
        <v>62</v>
      </c>
      <c r="N324" s="15" t="s">
        <v>63</v>
      </c>
      <c r="O324" s="15"/>
      <c r="P324" s="15"/>
      <c r="Q324" s="15"/>
      <c r="R324" s="15"/>
      <c r="S324" s="15" t="s">
        <v>55</v>
      </c>
      <c r="T324" s="15"/>
      <c r="U324" s="15"/>
      <c r="V324" s="15"/>
      <c r="W324" s="15"/>
      <c r="X324" s="15" t="s">
        <v>55</v>
      </c>
      <c r="AE324" s="51" t="str">
        <f t="shared" si="39"/>
        <v/>
      </c>
      <c r="AF324" s="51" t="str">
        <f t="shared" si="40"/>
        <v/>
      </c>
      <c r="AG324" s="51" t="str">
        <f t="shared" si="41"/>
        <v/>
      </c>
      <c r="AH324" s="51" t="str">
        <f t="shared" si="42"/>
        <v/>
      </c>
      <c r="BE324" s="16">
        <v>46928000000</v>
      </c>
      <c r="BF324" s="42">
        <v>0.52649999999999997</v>
      </c>
      <c r="BJ324" s="21">
        <v>0.441</v>
      </c>
      <c r="BM324" s="17"/>
      <c r="BN324" s="17"/>
      <c r="BO324" s="17"/>
      <c r="BP324" s="17"/>
      <c r="BQ324" s="17"/>
      <c r="BW324" s="17"/>
    </row>
    <row r="325" spans="1:75" hidden="1" x14ac:dyDescent="0.25">
      <c r="A325" s="15" t="s">
        <v>610</v>
      </c>
      <c r="B325" s="15" t="s">
        <v>52</v>
      </c>
      <c r="C325" s="15">
        <v>2014</v>
      </c>
      <c r="D325" s="15" t="s">
        <v>611</v>
      </c>
      <c r="E325" s="15">
        <v>22180</v>
      </c>
      <c r="F325" s="15">
        <v>10892413</v>
      </c>
      <c r="G325" s="15" t="s">
        <v>109</v>
      </c>
      <c r="H325" s="15" t="s">
        <v>43</v>
      </c>
      <c r="I325" s="15" t="s">
        <v>1632</v>
      </c>
      <c r="J325" s="15" t="s">
        <v>581</v>
      </c>
      <c r="K325" s="15" t="s">
        <v>190</v>
      </c>
      <c r="L325" s="15" t="s">
        <v>48</v>
      </c>
      <c r="M325" s="15" t="s">
        <v>62</v>
      </c>
      <c r="N325" s="15" t="s">
        <v>63</v>
      </c>
      <c r="O325" s="15"/>
      <c r="P325" s="15"/>
      <c r="Q325" s="15"/>
      <c r="R325" s="15"/>
      <c r="S325" s="15" t="s">
        <v>55</v>
      </c>
      <c r="T325" s="15"/>
      <c r="U325" s="15"/>
      <c r="V325" s="15"/>
      <c r="W325" s="15"/>
      <c r="X325" s="15" t="s">
        <v>55</v>
      </c>
      <c r="AE325" s="51" t="str">
        <f t="shared" si="39"/>
        <v/>
      </c>
      <c r="AF325" s="51" t="str">
        <f t="shared" si="40"/>
        <v/>
      </c>
      <c r="AG325" s="51" t="str">
        <f t="shared" si="41"/>
        <v/>
      </c>
      <c r="AH325" s="51" t="str">
        <f t="shared" si="42"/>
        <v/>
      </c>
      <c r="BE325" s="16">
        <v>48140000000</v>
      </c>
      <c r="BF325" s="42">
        <v>0.50570000000000004</v>
      </c>
      <c r="BJ325" s="21">
        <v>0.41199999999999998</v>
      </c>
      <c r="BM325" s="17"/>
      <c r="BN325" s="17"/>
      <c r="BO325" s="17"/>
      <c r="BP325" s="17"/>
      <c r="BQ325" s="17"/>
      <c r="BW325" s="17"/>
    </row>
    <row r="326" spans="1:75" hidden="1" x14ac:dyDescent="0.25">
      <c r="A326" s="15" t="s">
        <v>610</v>
      </c>
      <c r="B326" s="15" t="s">
        <v>52</v>
      </c>
      <c r="C326" s="15">
        <v>2013</v>
      </c>
      <c r="D326" s="15" t="s">
        <v>611</v>
      </c>
      <c r="E326" s="15">
        <v>22540</v>
      </c>
      <c r="F326" s="15">
        <v>10965211</v>
      </c>
      <c r="G326" s="15" t="s">
        <v>109</v>
      </c>
      <c r="H326" s="15" t="s">
        <v>43</v>
      </c>
      <c r="I326" s="15" t="s">
        <v>1632</v>
      </c>
      <c r="J326" s="15" t="s">
        <v>581</v>
      </c>
      <c r="K326" s="15" t="s">
        <v>190</v>
      </c>
      <c r="L326" s="15" t="s">
        <v>48</v>
      </c>
      <c r="M326" s="15" t="s">
        <v>62</v>
      </c>
      <c r="N326" s="15" t="s">
        <v>63</v>
      </c>
      <c r="O326" s="15"/>
      <c r="P326" s="15"/>
      <c r="Q326" s="15"/>
      <c r="R326" s="15"/>
      <c r="S326" s="15" t="s">
        <v>55</v>
      </c>
      <c r="T326" s="15"/>
      <c r="U326" s="15"/>
      <c r="V326" s="15"/>
      <c r="W326" s="15"/>
      <c r="X326" s="15" t="s">
        <v>55</v>
      </c>
      <c r="AE326" s="51" t="str">
        <f t="shared" si="39"/>
        <v/>
      </c>
      <c r="AF326" s="51" t="str">
        <f t="shared" si="40"/>
        <v/>
      </c>
      <c r="AG326" s="51" t="str">
        <f t="shared" si="41"/>
        <v/>
      </c>
      <c r="AH326" s="51" t="str">
        <f t="shared" si="42"/>
        <v/>
      </c>
      <c r="BE326" s="16">
        <v>48063000000</v>
      </c>
      <c r="BF326" s="42">
        <v>0.4975</v>
      </c>
      <c r="BM326" s="17"/>
      <c r="BN326" s="17"/>
      <c r="BO326" s="17"/>
      <c r="BP326" s="17"/>
      <c r="BQ326" s="17"/>
      <c r="BW326" s="17"/>
    </row>
    <row r="327" spans="1:75" hidden="1" x14ac:dyDescent="0.25">
      <c r="A327" s="15" t="s">
        <v>610</v>
      </c>
      <c r="B327" s="15" t="s">
        <v>52</v>
      </c>
      <c r="C327" s="15">
        <v>2012</v>
      </c>
      <c r="D327" s="15" t="s">
        <v>611</v>
      </c>
      <c r="E327" s="15">
        <v>23500</v>
      </c>
      <c r="F327" s="15">
        <v>11045011</v>
      </c>
      <c r="G327" s="15" t="s">
        <v>109</v>
      </c>
      <c r="H327" s="15" t="s">
        <v>43</v>
      </c>
      <c r="I327" s="15" t="s">
        <v>1632</v>
      </c>
      <c r="J327" s="15" t="s">
        <v>581</v>
      </c>
      <c r="K327" s="15" t="s">
        <v>190</v>
      </c>
      <c r="L327" s="15" t="s">
        <v>48</v>
      </c>
      <c r="M327" s="15" t="s">
        <v>62</v>
      </c>
      <c r="N327" s="15" t="s">
        <v>63</v>
      </c>
      <c r="O327" s="15"/>
      <c r="P327" s="15"/>
      <c r="Q327" s="15"/>
      <c r="R327" s="15"/>
      <c r="S327" s="15" t="s">
        <v>55</v>
      </c>
      <c r="T327" s="15"/>
      <c r="U327" s="15"/>
      <c r="V327" s="15"/>
      <c r="W327" s="15"/>
      <c r="X327" s="15" t="s">
        <v>55</v>
      </c>
      <c r="AE327" s="51" t="str">
        <f t="shared" si="39"/>
        <v/>
      </c>
      <c r="AF327" s="51" t="str">
        <f t="shared" si="40"/>
        <v/>
      </c>
      <c r="AG327" s="51" t="str">
        <f t="shared" si="41"/>
        <v/>
      </c>
      <c r="AH327" s="51" t="str">
        <f t="shared" si="42"/>
        <v/>
      </c>
      <c r="BE327" s="16">
        <v>39114000000</v>
      </c>
      <c r="BF327" s="42">
        <v>0.38819999999999999</v>
      </c>
      <c r="BM327" s="17"/>
      <c r="BN327" s="17"/>
      <c r="BO327" s="17"/>
      <c r="BP327" s="17"/>
      <c r="BQ327" s="17"/>
      <c r="BW327" s="17"/>
    </row>
    <row r="328" spans="1:75" hidden="1" x14ac:dyDescent="0.25">
      <c r="A328" s="15" t="s">
        <v>610</v>
      </c>
      <c r="B328" s="15" t="s">
        <v>52</v>
      </c>
      <c r="C328" s="15">
        <v>2011</v>
      </c>
      <c r="D328" s="15" t="s">
        <v>611</v>
      </c>
      <c r="E328" s="15">
        <v>24930</v>
      </c>
      <c r="F328" s="15">
        <v>11104899</v>
      </c>
      <c r="G328" s="15" t="s">
        <v>109</v>
      </c>
      <c r="H328" s="15" t="s">
        <v>43</v>
      </c>
      <c r="I328" s="15" t="s">
        <v>1632</v>
      </c>
      <c r="J328" s="15" t="s">
        <v>581</v>
      </c>
      <c r="K328" s="15" t="s">
        <v>190</v>
      </c>
      <c r="L328" s="15" t="s">
        <v>48</v>
      </c>
      <c r="M328" s="15" t="s">
        <v>62</v>
      </c>
      <c r="N328" s="15" t="s">
        <v>63</v>
      </c>
      <c r="O328" s="15"/>
      <c r="P328" s="15"/>
      <c r="Q328" s="15"/>
      <c r="R328" s="15"/>
      <c r="S328" s="15" t="s">
        <v>55</v>
      </c>
      <c r="T328" s="15"/>
      <c r="U328" s="15"/>
      <c r="V328" s="15"/>
      <c r="W328" s="15"/>
      <c r="X328" s="15" t="s">
        <v>55</v>
      </c>
      <c r="AE328" s="51" t="str">
        <f t="shared" si="39"/>
        <v/>
      </c>
      <c r="AF328" s="51" t="str">
        <f t="shared" si="40"/>
        <v/>
      </c>
      <c r="AG328" s="51" t="str">
        <f t="shared" si="41"/>
        <v/>
      </c>
      <c r="AH328" s="51" t="str">
        <f t="shared" si="42"/>
        <v/>
      </c>
      <c r="BE328" s="16">
        <v>41649000000</v>
      </c>
      <c r="BF328" s="42">
        <v>0.36840000000000001</v>
      </c>
      <c r="BM328" s="17"/>
      <c r="BN328" s="17"/>
      <c r="BO328" s="17"/>
      <c r="BP328" s="17"/>
      <c r="BQ328" s="17"/>
      <c r="BW328" s="17"/>
    </row>
    <row r="329" spans="1:75" hidden="1" x14ac:dyDescent="0.25">
      <c r="A329" s="15" t="s">
        <v>612</v>
      </c>
      <c r="B329" s="15" t="s">
        <v>30</v>
      </c>
      <c r="C329" s="15">
        <v>2010</v>
      </c>
      <c r="D329" s="15" t="s">
        <v>613</v>
      </c>
      <c r="E329" s="15">
        <v>9100</v>
      </c>
      <c r="F329" s="15">
        <v>107825</v>
      </c>
      <c r="G329" s="15" t="s">
        <v>42</v>
      </c>
      <c r="H329" s="15" t="s">
        <v>110</v>
      </c>
      <c r="I329" s="15" t="s">
        <v>614</v>
      </c>
      <c r="J329" s="15" t="s">
        <v>615</v>
      </c>
      <c r="K329" s="15" t="s">
        <v>1651</v>
      </c>
      <c r="L329" s="15" t="s">
        <v>1898</v>
      </c>
      <c r="M329" s="15" t="s">
        <v>1901</v>
      </c>
      <c r="N329" s="15" t="s">
        <v>244</v>
      </c>
      <c r="O329" s="15" t="s">
        <v>1903</v>
      </c>
      <c r="P329" s="15" t="s">
        <v>1905</v>
      </c>
      <c r="Q329" s="15" t="s">
        <v>1907</v>
      </c>
      <c r="R329" s="15" t="s">
        <v>616</v>
      </c>
      <c r="S329" s="15" t="s">
        <v>102</v>
      </c>
      <c r="T329" s="15" t="s">
        <v>617</v>
      </c>
      <c r="U329" s="15" t="s">
        <v>618</v>
      </c>
      <c r="V329" s="15" t="s">
        <v>619</v>
      </c>
      <c r="W329" s="15"/>
      <c r="X329" s="15" t="s">
        <v>102</v>
      </c>
      <c r="AE329" s="51" t="str">
        <f t="shared" si="39"/>
        <v/>
      </c>
      <c r="AF329" s="51" t="str">
        <f t="shared" si="40"/>
        <v/>
      </c>
      <c r="AG329" s="51" t="str">
        <f t="shared" si="41"/>
        <v/>
      </c>
      <c r="AH329" s="51" t="str">
        <f t="shared" si="42"/>
        <v/>
      </c>
      <c r="BG329" s="15"/>
      <c r="BM329" s="17"/>
      <c r="BN329" s="17"/>
      <c r="BO329" s="17"/>
      <c r="BP329" s="17"/>
      <c r="BQ329" s="17"/>
      <c r="BW329" s="17"/>
    </row>
    <row r="330" spans="1:75" hidden="1" x14ac:dyDescent="0.25">
      <c r="A330" s="15" t="s">
        <v>620</v>
      </c>
      <c r="B330" s="15" t="s">
        <v>30</v>
      </c>
      <c r="C330" s="15">
        <v>2012</v>
      </c>
      <c r="D330" s="15" t="s">
        <v>621</v>
      </c>
      <c r="E330" s="15">
        <v>35600</v>
      </c>
      <c r="F330" s="15">
        <v>159973</v>
      </c>
      <c r="G330" s="15" t="s">
        <v>109</v>
      </c>
      <c r="H330" s="15" t="s">
        <v>77</v>
      </c>
      <c r="I330" s="15" t="s">
        <v>1744</v>
      </c>
      <c r="J330" s="15" t="s">
        <v>1745</v>
      </c>
      <c r="K330" s="15" t="s">
        <v>92</v>
      </c>
      <c r="L330" s="15" t="s">
        <v>80</v>
      </c>
      <c r="M330" s="15" t="s">
        <v>622</v>
      </c>
      <c r="N330" s="15" t="s">
        <v>49</v>
      </c>
      <c r="O330" s="15"/>
      <c r="P330" s="15"/>
      <c r="Q330" s="15"/>
      <c r="R330" s="15"/>
      <c r="S330" s="15" t="s">
        <v>114</v>
      </c>
      <c r="T330" s="15"/>
      <c r="U330" s="15"/>
      <c r="V330" s="15"/>
      <c r="W330" s="15"/>
      <c r="X330" s="15"/>
      <c r="Y330" s="17">
        <f>1122+756</f>
        <v>1878</v>
      </c>
      <c r="Z330" s="17">
        <v>556</v>
      </c>
      <c r="AA330" s="17">
        <v>390</v>
      </c>
      <c r="AB330" s="17">
        <f>AA330+Z330</f>
        <v>946</v>
      </c>
      <c r="AC330" s="17">
        <f>AB330+Y330</f>
        <v>2824</v>
      </c>
      <c r="AD330" s="17">
        <v>200</v>
      </c>
      <c r="AE330" s="51">
        <f t="shared" si="39"/>
        <v>11.739481037425065</v>
      </c>
      <c r="AF330" s="51">
        <f t="shared" si="40"/>
        <v>5.9134979027710921</v>
      </c>
      <c r="AG330" s="51">
        <f t="shared" si="41"/>
        <v>17.652978940196157</v>
      </c>
      <c r="AH330" s="51">
        <f t="shared" si="42"/>
        <v>1.2502109731017108</v>
      </c>
      <c r="AI330" s="17">
        <f>2580+5086</f>
        <v>7666</v>
      </c>
      <c r="AJ330" s="17">
        <v>7427</v>
      </c>
      <c r="AK330" s="17">
        <v>11694</v>
      </c>
      <c r="AL330" s="17">
        <f>AK330+AJ330</f>
        <v>19121</v>
      </c>
      <c r="AM330" s="17">
        <f>AL330+AI330</f>
        <v>26787</v>
      </c>
      <c r="AN330" s="17">
        <v>26792</v>
      </c>
      <c r="BG330" s="15"/>
      <c r="BM330" s="17"/>
      <c r="BN330" s="17"/>
      <c r="BO330" s="17"/>
      <c r="BP330" s="17"/>
      <c r="BQ330" s="17"/>
      <c r="BT330" s="15" t="s">
        <v>623</v>
      </c>
      <c r="BW330" s="17" t="s">
        <v>1746</v>
      </c>
    </row>
    <row r="331" spans="1:75" hidden="1" x14ac:dyDescent="0.25">
      <c r="A331" s="15" t="s">
        <v>624</v>
      </c>
      <c r="B331" s="15" t="s">
        <v>30</v>
      </c>
      <c r="C331" s="15">
        <v>2015</v>
      </c>
      <c r="D331" s="15" t="s">
        <v>625</v>
      </c>
      <c r="E331" s="15">
        <v>3610</v>
      </c>
      <c r="F331" s="15">
        <v>16252429</v>
      </c>
      <c r="G331" s="15" t="s">
        <v>42</v>
      </c>
      <c r="H331" s="15" t="s">
        <v>110</v>
      </c>
      <c r="I331" s="15" t="s">
        <v>626</v>
      </c>
      <c r="J331" s="15" t="s">
        <v>627</v>
      </c>
      <c r="K331" s="15" t="s">
        <v>401</v>
      </c>
      <c r="L331" s="15" t="s">
        <v>628</v>
      </c>
      <c r="M331" s="15" t="s">
        <v>629</v>
      </c>
      <c r="N331" s="15" t="s">
        <v>101</v>
      </c>
      <c r="O331" s="15"/>
      <c r="P331" s="15"/>
      <c r="Q331" s="15"/>
      <c r="R331" s="15"/>
      <c r="S331" s="15"/>
      <c r="T331" s="15" t="s">
        <v>630</v>
      </c>
      <c r="U331" s="15" t="s">
        <v>631</v>
      </c>
      <c r="V331" s="15" t="s">
        <v>632</v>
      </c>
      <c r="W331" s="15" t="s">
        <v>1892</v>
      </c>
      <c r="X331" s="15" t="s">
        <v>633</v>
      </c>
      <c r="Y331" s="17">
        <v>330752</v>
      </c>
      <c r="Z331" s="17">
        <v>36398</v>
      </c>
      <c r="AA331" s="17">
        <v>4027</v>
      </c>
      <c r="AB331" s="17">
        <v>40425</v>
      </c>
      <c r="AC331" s="17">
        <v>371177</v>
      </c>
      <c r="AD331" s="17">
        <v>1602</v>
      </c>
      <c r="AE331" s="51">
        <f t="shared" si="39"/>
        <v>20.350927236784113</v>
      </c>
      <c r="AF331" s="51">
        <f t="shared" si="40"/>
        <v>2.4873205106756657</v>
      </c>
      <c r="AG331" s="51">
        <f t="shared" si="41"/>
        <v>22.838247747459782</v>
      </c>
      <c r="AH331" s="51">
        <f t="shared" si="42"/>
        <v>9.8569881462026387E-2</v>
      </c>
      <c r="AO331" s="17">
        <v>22302106125.110001</v>
      </c>
      <c r="AP331" s="17">
        <v>76315164376</v>
      </c>
      <c r="AQ331" s="17">
        <v>76560261447</v>
      </c>
      <c r="AR331" s="17">
        <v>152875425823</v>
      </c>
      <c r="AS331" s="17">
        <v>175177531948.10999</v>
      </c>
      <c r="AT331" s="17">
        <v>325035775733</v>
      </c>
      <c r="AU331" s="15" t="s">
        <v>635</v>
      </c>
      <c r="AV331" s="15" t="s">
        <v>635</v>
      </c>
      <c r="BG331" s="15"/>
      <c r="BM331" s="17"/>
      <c r="BN331" s="17"/>
      <c r="BO331" s="17"/>
      <c r="BP331" s="17"/>
      <c r="BQ331" s="17"/>
      <c r="BS331" s="15" t="s">
        <v>636</v>
      </c>
      <c r="BW331" s="17" t="s">
        <v>634</v>
      </c>
    </row>
    <row r="332" spans="1:75" hidden="1" x14ac:dyDescent="0.25">
      <c r="A332" s="15" t="s">
        <v>624</v>
      </c>
      <c r="B332" s="15" t="s">
        <v>52</v>
      </c>
      <c r="C332" s="15">
        <v>2018</v>
      </c>
      <c r="D332" s="15" t="s">
        <v>625</v>
      </c>
      <c r="E332" s="15">
        <v>4060</v>
      </c>
      <c r="F332" s="15">
        <v>16913503</v>
      </c>
      <c r="G332" s="15" t="s">
        <v>42</v>
      </c>
      <c r="H332" s="15" t="s">
        <v>110</v>
      </c>
      <c r="I332" s="15" t="s">
        <v>637</v>
      </c>
      <c r="J332" s="15" t="s">
        <v>638</v>
      </c>
      <c r="K332" s="15"/>
      <c r="L332" s="15"/>
      <c r="M332" s="15"/>
      <c r="N332" s="15"/>
      <c r="O332" s="15"/>
      <c r="P332" s="15"/>
      <c r="Q332" s="15"/>
      <c r="R332" s="15"/>
      <c r="S332" s="15"/>
      <c r="T332" s="15"/>
      <c r="U332" s="15"/>
      <c r="V332" s="15" t="s">
        <v>639</v>
      </c>
      <c r="W332" s="15" t="s">
        <v>1893</v>
      </c>
      <c r="X332" s="15" t="s">
        <v>102</v>
      </c>
      <c r="AE332" s="51" t="str">
        <f t="shared" si="39"/>
        <v/>
      </c>
      <c r="AF332" s="51" t="str">
        <f t="shared" si="40"/>
        <v/>
      </c>
      <c r="AG332" s="51" t="str">
        <f t="shared" si="41"/>
        <v/>
      </c>
      <c r="AH332" s="51" t="str">
        <f t="shared" si="42"/>
        <v/>
      </c>
      <c r="BC332" s="17">
        <v>15234560949</v>
      </c>
      <c r="BG332" s="15">
        <v>101923957266</v>
      </c>
      <c r="BJ332" s="21">
        <v>7.5999999999999998E-2</v>
      </c>
      <c r="BM332" s="17"/>
      <c r="BN332" s="17"/>
      <c r="BO332" s="17"/>
      <c r="BP332" s="17"/>
      <c r="BQ332" s="17"/>
      <c r="BS332" s="15" t="s">
        <v>640</v>
      </c>
      <c r="BT332" s="15" t="s">
        <v>641</v>
      </c>
      <c r="BW332" s="17"/>
    </row>
    <row r="333" spans="1:75" hidden="1" x14ac:dyDescent="0.25">
      <c r="A333" s="15" t="s">
        <v>624</v>
      </c>
      <c r="B333" s="15" t="s">
        <v>52</v>
      </c>
      <c r="C333" s="15">
        <v>2017</v>
      </c>
      <c r="D333" s="15" t="s">
        <v>625</v>
      </c>
      <c r="E333" s="15">
        <v>4060</v>
      </c>
      <c r="F333" s="15">
        <v>16913503</v>
      </c>
      <c r="G333" s="15" t="s">
        <v>42</v>
      </c>
      <c r="H333" s="15" t="s">
        <v>110</v>
      </c>
      <c r="I333" s="15" t="s">
        <v>637</v>
      </c>
      <c r="J333" s="15" t="s">
        <v>638</v>
      </c>
      <c r="K333" s="15"/>
      <c r="L333" s="15"/>
      <c r="M333" s="15"/>
      <c r="N333" s="15"/>
      <c r="O333" s="15"/>
      <c r="P333" s="15"/>
      <c r="Q333" s="15"/>
      <c r="R333" s="15"/>
      <c r="S333" s="15"/>
      <c r="T333" s="15"/>
      <c r="U333" s="15"/>
      <c r="V333" s="15" t="s">
        <v>639</v>
      </c>
      <c r="W333" s="15" t="s">
        <v>1893</v>
      </c>
      <c r="X333" s="15" t="s">
        <v>102</v>
      </c>
      <c r="AE333" s="51" t="str">
        <f t="shared" si="39"/>
        <v/>
      </c>
      <c r="AF333" s="51" t="str">
        <f t="shared" si="40"/>
        <v/>
      </c>
      <c r="AG333" s="51" t="str">
        <f t="shared" si="41"/>
        <v/>
      </c>
      <c r="AH333" s="51" t="str">
        <f t="shared" si="42"/>
        <v/>
      </c>
      <c r="BC333" s="17">
        <v>15146896300</v>
      </c>
      <c r="BG333" s="15">
        <v>93801732235</v>
      </c>
      <c r="BJ333" s="21">
        <v>7.17E-2</v>
      </c>
      <c r="BM333" s="17"/>
      <c r="BN333" s="17"/>
      <c r="BO333" s="17"/>
      <c r="BP333" s="17"/>
      <c r="BQ333" s="17"/>
      <c r="BS333" s="15" t="s">
        <v>642</v>
      </c>
      <c r="BW333" s="17"/>
    </row>
    <row r="334" spans="1:75" hidden="1" x14ac:dyDescent="0.25">
      <c r="A334" s="15" t="s">
        <v>624</v>
      </c>
      <c r="B334" s="15" t="s">
        <v>52</v>
      </c>
      <c r="C334" s="15">
        <v>2016</v>
      </c>
      <c r="D334" s="15" t="s">
        <v>625</v>
      </c>
      <c r="E334" s="15">
        <v>3790</v>
      </c>
      <c r="F334" s="15">
        <v>16582469</v>
      </c>
      <c r="G334" s="15" t="s">
        <v>88</v>
      </c>
      <c r="H334" s="15" t="s">
        <v>110</v>
      </c>
      <c r="I334" s="15" t="s">
        <v>637</v>
      </c>
      <c r="J334" s="15" t="s">
        <v>638</v>
      </c>
      <c r="K334" s="15"/>
      <c r="L334" s="15"/>
      <c r="M334" s="15"/>
      <c r="N334" s="15"/>
      <c r="O334" s="15"/>
      <c r="P334" s="15"/>
      <c r="Q334" s="15"/>
      <c r="R334" s="15"/>
      <c r="S334" s="15"/>
      <c r="T334" s="15"/>
      <c r="U334" s="15"/>
      <c r="V334" s="15" t="s">
        <v>639</v>
      </c>
      <c r="W334" s="15" t="s">
        <v>1893</v>
      </c>
      <c r="X334" s="15" t="s">
        <v>102</v>
      </c>
      <c r="AE334" s="51" t="str">
        <f t="shared" si="39"/>
        <v/>
      </c>
      <c r="AF334" s="51" t="str">
        <f t="shared" si="40"/>
        <v/>
      </c>
      <c r="AG334" s="51" t="str">
        <f t="shared" si="41"/>
        <v/>
      </c>
      <c r="AH334" s="51" t="str">
        <f t="shared" si="42"/>
        <v/>
      </c>
      <c r="BC334" s="17">
        <v>15583486662</v>
      </c>
      <c r="BG334" s="15">
        <v>90350946856</v>
      </c>
      <c r="BJ334" s="21">
        <v>6.2E-2</v>
      </c>
      <c r="BM334" s="17"/>
      <c r="BN334" s="17"/>
      <c r="BO334" s="17"/>
      <c r="BP334" s="17"/>
      <c r="BQ334" s="17"/>
      <c r="BS334" s="15" t="s">
        <v>643</v>
      </c>
      <c r="BW334" s="17"/>
    </row>
    <row r="335" spans="1:75" hidden="1" x14ac:dyDescent="0.25">
      <c r="A335" s="15" t="s">
        <v>644</v>
      </c>
      <c r="B335" s="15" t="s">
        <v>30</v>
      </c>
      <c r="C335" s="15">
        <v>2004</v>
      </c>
      <c r="D335" s="15" t="s">
        <v>645</v>
      </c>
      <c r="E335" s="15">
        <v>360</v>
      </c>
      <c r="F335" s="15">
        <v>9379621</v>
      </c>
      <c r="G335" s="15" t="s">
        <v>32</v>
      </c>
      <c r="H335" s="15" t="s">
        <v>89</v>
      </c>
      <c r="I335" s="15" t="s">
        <v>1656</v>
      </c>
      <c r="J335" s="15" t="s">
        <v>646</v>
      </c>
      <c r="K335" s="15" t="s">
        <v>562</v>
      </c>
      <c r="L335" s="15" t="s">
        <v>1657</v>
      </c>
      <c r="M335" s="15" t="s">
        <v>1657</v>
      </c>
      <c r="N335" s="15" t="s">
        <v>1658</v>
      </c>
      <c r="O335" s="15" t="s">
        <v>168</v>
      </c>
      <c r="P335" s="15" t="s">
        <v>1852</v>
      </c>
      <c r="Q335" s="15" t="s">
        <v>1852</v>
      </c>
      <c r="R335" s="15" t="s">
        <v>1659</v>
      </c>
      <c r="S335" s="15" t="s">
        <v>1660</v>
      </c>
      <c r="T335" s="15"/>
      <c r="U335" s="15"/>
      <c r="V335" s="15"/>
      <c r="W335" s="15"/>
      <c r="X335" s="15"/>
      <c r="AE335" s="51" t="str">
        <f t="shared" si="39"/>
        <v/>
      </c>
      <c r="AF335" s="51" t="str">
        <f t="shared" si="40"/>
        <v/>
      </c>
      <c r="AG335" s="51" t="str">
        <f t="shared" si="41"/>
        <v/>
      </c>
      <c r="AH335" s="51" t="str">
        <f t="shared" si="42"/>
        <v/>
      </c>
      <c r="BG335" s="15"/>
      <c r="BM335" s="17"/>
      <c r="BN335" s="17"/>
      <c r="BO335" s="17"/>
      <c r="BP335" s="17"/>
      <c r="BQ335" s="17"/>
      <c r="BW335" s="17"/>
    </row>
    <row r="336" spans="1:75" hidden="1" x14ac:dyDescent="0.25">
      <c r="A336" s="15" t="s">
        <v>649</v>
      </c>
      <c r="B336" s="15" t="s">
        <v>30</v>
      </c>
      <c r="C336" s="15">
        <v>2004</v>
      </c>
      <c r="D336" s="15" t="s">
        <v>650</v>
      </c>
      <c r="E336" s="15">
        <v>930</v>
      </c>
      <c r="F336" s="15">
        <v>751652</v>
      </c>
      <c r="G336" s="15" t="s">
        <v>42</v>
      </c>
      <c r="H336" s="15" t="s">
        <v>110</v>
      </c>
      <c r="I336" s="15" t="s">
        <v>651</v>
      </c>
      <c r="J336" s="15" t="s">
        <v>652</v>
      </c>
      <c r="K336" s="15"/>
      <c r="L336" s="15" t="s">
        <v>112</v>
      </c>
      <c r="M336" s="15"/>
      <c r="N336" s="15"/>
      <c r="O336" s="15"/>
      <c r="P336" s="15" t="s">
        <v>653</v>
      </c>
      <c r="Q336" s="15"/>
      <c r="R336" s="15"/>
      <c r="S336" s="15" t="s">
        <v>654</v>
      </c>
      <c r="T336" s="15"/>
      <c r="U336" s="15" t="s">
        <v>655</v>
      </c>
      <c r="V336" s="15"/>
      <c r="W336" s="15"/>
      <c r="X336" s="15" t="s">
        <v>654</v>
      </c>
      <c r="AE336" s="51" t="str">
        <f t="shared" si="39"/>
        <v/>
      </c>
      <c r="AF336" s="51" t="str">
        <f t="shared" si="40"/>
        <v/>
      </c>
      <c r="AG336" s="51" t="str">
        <f t="shared" si="41"/>
        <v/>
      </c>
      <c r="AH336" s="51" t="str">
        <f t="shared" si="42"/>
        <v/>
      </c>
      <c r="BG336" s="15"/>
      <c r="BM336" s="17"/>
      <c r="BN336" s="17"/>
      <c r="BO336" s="17"/>
      <c r="BP336" s="17"/>
      <c r="BQ336" s="17"/>
      <c r="BW336" s="17"/>
    </row>
    <row r="337" spans="1:75" hidden="1" x14ac:dyDescent="0.25">
      <c r="A337" s="15" t="s">
        <v>656</v>
      </c>
      <c r="B337" s="15" t="s">
        <v>30</v>
      </c>
      <c r="C337" s="15">
        <v>2010</v>
      </c>
      <c r="D337" s="15" t="s">
        <v>657</v>
      </c>
      <c r="E337" s="15">
        <v>650</v>
      </c>
      <c r="F337" s="15">
        <v>9999617</v>
      </c>
      <c r="G337" s="15" t="s">
        <v>32</v>
      </c>
      <c r="H337" s="15" t="s">
        <v>110</v>
      </c>
      <c r="I337" s="15" t="s">
        <v>658</v>
      </c>
      <c r="J337" s="15" t="s">
        <v>659</v>
      </c>
      <c r="K337" s="15" t="s">
        <v>61</v>
      </c>
      <c r="L337" s="15" t="s">
        <v>48</v>
      </c>
      <c r="M337" s="15" t="s">
        <v>660</v>
      </c>
      <c r="N337" s="15" t="s">
        <v>167</v>
      </c>
      <c r="O337" s="15"/>
      <c r="P337" s="15"/>
      <c r="Q337" s="15"/>
      <c r="R337" s="15"/>
      <c r="S337" s="15" t="s">
        <v>661</v>
      </c>
      <c r="T337" s="15"/>
      <c r="U337" s="15" t="s">
        <v>602</v>
      </c>
      <c r="V337" s="15" t="s">
        <v>662</v>
      </c>
      <c r="W337" s="15" t="s">
        <v>503</v>
      </c>
      <c r="X337" s="15" t="s">
        <v>661</v>
      </c>
      <c r="Y337" s="17">
        <f>250000+123134</f>
        <v>373134</v>
      </c>
      <c r="AB337" s="17">
        <v>10000</v>
      </c>
      <c r="AC337" s="17">
        <f>+AB337+Y337</f>
        <v>383134</v>
      </c>
      <c r="AD337" s="17">
        <v>233</v>
      </c>
      <c r="AE337" s="51">
        <f t="shared" si="39"/>
        <v>37.314829157956751</v>
      </c>
      <c r="AF337" s="51">
        <f t="shared" si="40"/>
        <v>1.0000383014669463</v>
      </c>
      <c r="AG337" s="51">
        <f t="shared" si="41"/>
        <v>38.314867459423695</v>
      </c>
      <c r="AH337" s="51">
        <f t="shared" si="42"/>
        <v>2.3300892424179848E-2</v>
      </c>
      <c r="BG337" s="15"/>
      <c r="BM337" s="17"/>
      <c r="BN337" s="17"/>
      <c r="BO337" s="17"/>
      <c r="BP337" s="17"/>
      <c r="BQ337" s="17"/>
      <c r="BW337" s="17" t="s">
        <v>663</v>
      </c>
    </row>
    <row r="338" spans="1:75" hidden="1" x14ac:dyDescent="0.25">
      <c r="A338" s="15" t="s">
        <v>664</v>
      </c>
      <c r="B338" s="15" t="s">
        <v>30</v>
      </c>
      <c r="C338" s="15">
        <v>2015</v>
      </c>
      <c r="D338" s="15" t="s">
        <v>665</v>
      </c>
      <c r="E338" s="15">
        <v>2090</v>
      </c>
      <c r="F338" s="15">
        <v>8960829</v>
      </c>
      <c r="G338" s="15" t="s">
        <v>88</v>
      </c>
      <c r="H338" s="15" t="s">
        <v>110</v>
      </c>
      <c r="I338" s="15" t="s">
        <v>666</v>
      </c>
      <c r="J338" s="15" t="s">
        <v>667</v>
      </c>
      <c r="K338" s="15"/>
      <c r="L338" s="15"/>
      <c r="M338" s="15"/>
      <c r="N338" s="15"/>
      <c r="O338" s="15"/>
      <c r="P338" s="15"/>
      <c r="Q338" s="15"/>
      <c r="R338" s="15"/>
      <c r="S338" s="15"/>
      <c r="T338" s="15" t="s">
        <v>668</v>
      </c>
      <c r="U338" s="15" t="s">
        <v>669</v>
      </c>
      <c r="V338" s="15" t="s">
        <v>670</v>
      </c>
      <c r="W338" s="15" t="s">
        <v>671</v>
      </c>
      <c r="X338" s="15" t="s">
        <v>672</v>
      </c>
      <c r="Y338" s="17">
        <v>20289</v>
      </c>
      <c r="AB338" s="17">
        <v>127028</v>
      </c>
      <c r="AC338" s="17">
        <v>147317</v>
      </c>
      <c r="AD338" s="17">
        <v>2028</v>
      </c>
      <c r="AE338" s="51">
        <f t="shared" si="39"/>
        <v>2.2641878335140642</v>
      </c>
      <c r="AF338" s="51">
        <f t="shared" si="40"/>
        <v>14.17592055377912</v>
      </c>
      <c r="AG338" s="51">
        <f t="shared" si="41"/>
        <v>16.440108387293186</v>
      </c>
      <c r="AH338" s="51">
        <f t="shared" si="42"/>
        <v>0.22631834621551197</v>
      </c>
      <c r="AU338" s="15" t="s">
        <v>667</v>
      </c>
      <c r="AV338" s="15" t="s">
        <v>667</v>
      </c>
      <c r="BG338" s="15"/>
      <c r="BM338" s="17"/>
      <c r="BN338" s="17"/>
      <c r="BO338" s="17"/>
      <c r="BP338" s="17"/>
      <c r="BQ338" s="17"/>
      <c r="BW338" s="17"/>
    </row>
    <row r="339" spans="1:75" hidden="1" x14ac:dyDescent="0.25">
      <c r="A339" s="15" t="s">
        <v>673</v>
      </c>
      <c r="B339" s="15" t="s">
        <v>30</v>
      </c>
      <c r="C339" s="15">
        <v>2018</v>
      </c>
      <c r="D339" s="15" t="s">
        <v>674</v>
      </c>
      <c r="E339" s="17">
        <v>46310</v>
      </c>
      <c r="F339" s="17">
        <v>7391700</v>
      </c>
      <c r="G339" s="15" t="s">
        <v>109</v>
      </c>
      <c r="H339" s="15" t="s">
        <v>77</v>
      </c>
      <c r="I339" s="15" t="s">
        <v>675</v>
      </c>
      <c r="J339" s="15" t="s">
        <v>676</v>
      </c>
      <c r="K339" s="15"/>
      <c r="L339" s="15" t="s">
        <v>1747</v>
      </c>
      <c r="M339" s="15" t="s">
        <v>1747</v>
      </c>
      <c r="N339" s="15"/>
      <c r="O339" s="15"/>
      <c r="P339" s="15"/>
      <c r="Q339" s="15"/>
      <c r="R339" s="15"/>
      <c r="S339" s="15"/>
      <c r="T339" s="15"/>
      <c r="U339" s="15"/>
      <c r="V339" s="15"/>
      <c r="W339" s="15"/>
      <c r="X339" s="15"/>
      <c r="AB339" s="17">
        <v>336483</v>
      </c>
      <c r="AE339" s="51" t="str">
        <f t="shared" si="39"/>
        <v/>
      </c>
      <c r="AF339" s="51">
        <f t="shared" si="40"/>
        <v>45.521733836600511</v>
      </c>
      <c r="AG339" s="51" t="str">
        <f t="shared" si="41"/>
        <v/>
      </c>
      <c r="AH339" s="51" t="str">
        <f t="shared" si="42"/>
        <v/>
      </c>
      <c r="AL339" s="17">
        <v>1314031</v>
      </c>
      <c r="BG339" s="15"/>
      <c r="BM339" s="17"/>
      <c r="BN339" s="17"/>
      <c r="BO339" s="17"/>
      <c r="BP339" s="17"/>
      <c r="BQ339" s="17"/>
      <c r="BW339" s="17"/>
    </row>
    <row r="340" spans="1:75" hidden="1" x14ac:dyDescent="0.25">
      <c r="A340" s="15" t="s">
        <v>677</v>
      </c>
      <c r="B340" s="15" t="s">
        <v>30</v>
      </c>
      <c r="C340" s="15">
        <v>2016</v>
      </c>
      <c r="D340" s="15" t="s">
        <v>678</v>
      </c>
      <c r="E340" s="15">
        <v>12500</v>
      </c>
      <c r="F340" s="15">
        <v>9781127</v>
      </c>
      <c r="G340" s="15" t="s">
        <v>109</v>
      </c>
      <c r="H340" s="15" t="s">
        <v>43</v>
      </c>
      <c r="I340" s="15" t="s">
        <v>188</v>
      </c>
      <c r="J340" s="15" t="s">
        <v>1069</v>
      </c>
      <c r="K340" s="15" t="s">
        <v>190</v>
      </c>
      <c r="L340" s="15" t="s">
        <v>48</v>
      </c>
      <c r="M340" s="15" t="s">
        <v>62</v>
      </c>
      <c r="N340" s="15" t="s">
        <v>63</v>
      </c>
      <c r="O340" s="15"/>
      <c r="P340" s="15"/>
      <c r="Q340" s="15"/>
      <c r="R340" s="15"/>
      <c r="S340" s="15"/>
      <c r="T340" s="15"/>
      <c r="U340" s="15"/>
      <c r="V340" s="15"/>
      <c r="W340" s="15"/>
      <c r="X340" s="15"/>
      <c r="Y340" s="17">
        <v>518649</v>
      </c>
      <c r="Z340" s="17">
        <v>13760</v>
      </c>
      <c r="AA340" s="17">
        <v>4471</v>
      </c>
      <c r="AB340" s="17">
        <v>18231</v>
      </c>
      <c r="AC340" s="17">
        <v>536880</v>
      </c>
      <c r="AD340" s="17">
        <v>881</v>
      </c>
      <c r="AE340" s="51">
        <f t="shared" si="39"/>
        <v>53.02548469107905</v>
      </c>
      <c r="AF340" s="51">
        <f t="shared" si="40"/>
        <v>1.8638956431094289</v>
      </c>
      <c r="AG340" s="51">
        <f t="shared" si="41"/>
        <v>54.889380334188481</v>
      </c>
      <c r="AH340" s="51">
        <f t="shared" si="42"/>
        <v>9.0071420195239268E-2</v>
      </c>
      <c r="AI340" s="17">
        <v>905522</v>
      </c>
      <c r="AJ340" s="17">
        <v>511771</v>
      </c>
      <c r="AK340" s="17">
        <v>443080</v>
      </c>
      <c r="AL340" s="17">
        <v>954851</v>
      </c>
      <c r="AM340" s="17">
        <v>1860373</v>
      </c>
      <c r="AN340" s="17">
        <v>812072</v>
      </c>
      <c r="AO340" s="17">
        <v>10284700000</v>
      </c>
      <c r="AP340" s="17">
        <v>9556200000</v>
      </c>
      <c r="AQ340" s="17">
        <v>10457100000</v>
      </c>
      <c r="AR340" s="17">
        <v>20013300000</v>
      </c>
      <c r="AS340" s="17">
        <v>30298000000</v>
      </c>
      <c r="AT340" s="17">
        <v>26287900000</v>
      </c>
      <c r="BG340" s="15"/>
      <c r="BM340" s="17"/>
      <c r="BN340" s="17"/>
      <c r="BO340" s="17"/>
      <c r="BP340" s="17"/>
      <c r="BQ340" s="17"/>
      <c r="BW340" s="17">
        <v>881</v>
      </c>
    </row>
    <row r="341" spans="1:75" hidden="1" x14ac:dyDescent="0.25">
      <c r="A341" s="15" t="s">
        <v>677</v>
      </c>
      <c r="B341" s="15" t="s">
        <v>30</v>
      </c>
      <c r="C341" s="15">
        <v>2015</v>
      </c>
      <c r="D341" s="15" t="s">
        <v>678</v>
      </c>
      <c r="E341" s="15">
        <v>12960</v>
      </c>
      <c r="F341" s="15">
        <v>9843028</v>
      </c>
      <c r="G341" s="15" t="s">
        <v>109</v>
      </c>
      <c r="H341" s="15" t="s">
        <v>43</v>
      </c>
      <c r="I341" s="15" t="s">
        <v>188</v>
      </c>
      <c r="J341" s="15" t="s">
        <v>1074</v>
      </c>
      <c r="K341" s="15" t="s">
        <v>190</v>
      </c>
      <c r="L341" s="15" t="s">
        <v>48</v>
      </c>
      <c r="M341" s="15" t="s">
        <v>62</v>
      </c>
      <c r="N341" s="15" t="s">
        <v>63</v>
      </c>
      <c r="O341" s="15"/>
      <c r="P341" s="15"/>
      <c r="Q341" s="15"/>
      <c r="R341" s="15"/>
      <c r="S341" s="15"/>
      <c r="T341" s="15"/>
      <c r="U341" s="15"/>
      <c r="V341" s="15"/>
      <c r="W341" s="15"/>
      <c r="X341" s="15"/>
      <c r="Y341" s="17">
        <v>504904</v>
      </c>
      <c r="Z341" s="17">
        <v>13316</v>
      </c>
      <c r="AA341" s="17">
        <v>4323</v>
      </c>
      <c r="AB341" s="17">
        <v>17639</v>
      </c>
      <c r="AC341" s="17">
        <v>522543</v>
      </c>
      <c r="AD341" s="17">
        <v>854</v>
      </c>
      <c r="AE341" s="51">
        <f t="shared" si="39"/>
        <v>51.295597249139185</v>
      </c>
      <c r="AF341" s="51">
        <f t="shared" si="40"/>
        <v>1.7920298509767523</v>
      </c>
      <c r="AG341" s="51">
        <f t="shared" si="41"/>
        <v>53.087627100115938</v>
      </c>
      <c r="AH341" s="51">
        <f t="shared" si="42"/>
        <v>8.67619191980354E-2</v>
      </c>
      <c r="AI341" s="17">
        <v>883235</v>
      </c>
      <c r="AJ341" s="17">
        <v>499126</v>
      </c>
      <c r="AK341" s="17">
        <v>428799</v>
      </c>
      <c r="AL341" s="17">
        <v>927925</v>
      </c>
      <c r="AM341" s="17">
        <v>1811160</v>
      </c>
      <c r="AN341" s="17">
        <v>785076</v>
      </c>
      <c r="AO341" s="17">
        <v>10156300000</v>
      </c>
      <c r="AP341" s="17">
        <v>9127200000</v>
      </c>
      <c r="AQ341" s="17">
        <v>10215600000</v>
      </c>
      <c r="AR341" s="17">
        <v>19342800000</v>
      </c>
      <c r="AS341" s="17">
        <v>29499100000</v>
      </c>
      <c r="AT341" s="17">
        <v>26128400000</v>
      </c>
      <c r="BG341" s="15"/>
      <c r="BM341" s="17"/>
      <c r="BN341" s="17"/>
      <c r="BO341" s="17"/>
      <c r="BP341" s="17"/>
      <c r="BQ341" s="17"/>
      <c r="BW341" s="17">
        <v>854</v>
      </c>
    </row>
    <row r="342" spans="1:75" hidden="1" x14ac:dyDescent="0.25">
      <c r="A342" s="15" t="s">
        <v>677</v>
      </c>
      <c r="B342" s="15" t="s">
        <v>30</v>
      </c>
      <c r="C342" s="15">
        <v>2014</v>
      </c>
      <c r="D342" s="15" t="s">
        <v>678</v>
      </c>
      <c r="E342" s="15">
        <v>13460</v>
      </c>
      <c r="F342" s="15">
        <v>9866468</v>
      </c>
      <c r="G342" s="15" t="s">
        <v>109</v>
      </c>
      <c r="H342" s="15" t="s">
        <v>43</v>
      </c>
      <c r="I342" s="15" t="s">
        <v>188</v>
      </c>
      <c r="J342" s="15" t="s">
        <v>1075</v>
      </c>
      <c r="K342" s="15" t="s">
        <v>190</v>
      </c>
      <c r="L342" s="15" t="s">
        <v>48</v>
      </c>
      <c r="M342" s="15" t="s">
        <v>62</v>
      </c>
      <c r="N342" s="15" t="s">
        <v>63</v>
      </c>
      <c r="O342" s="15"/>
      <c r="P342" s="15"/>
      <c r="Q342" s="15"/>
      <c r="R342" s="15"/>
      <c r="S342" s="15"/>
      <c r="T342" s="15"/>
      <c r="U342" s="15"/>
      <c r="V342" s="15"/>
      <c r="W342" s="15"/>
      <c r="X342" s="15"/>
      <c r="Y342" s="17">
        <v>484409</v>
      </c>
      <c r="Z342" s="17">
        <v>12514</v>
      </c>
      <c r="AA342" s="17">
        <v>4108</v>
      </c>
      <c r="AB342" s="17">
        <v>16622</v>
      </c>
      <c r="AC342" s="17">
        <v>501031</v>
      </c>
      <c r="AD342" s="17">
        <v>832</v>
      </c>
      <c r="AE342" s="51">
        <f t="shared" si="39"/>
        <v>49.096495321324717</v>
      </c>
      <c r="AF342" s="51">
        <f t="shared" si="40"/>
        <v>1.6846960837454701</v>
      </c>
      <c r="AG342" s="51">
        <f t="shared" si="41"/>
        <v>50.781191405070182</v>
      </c>
      <c r="AH342" s="51">
        <f t="shared" si="42"/>
        <v>8.4326022240177531E-2</v>
      </c>
      <c r="AI342" s="17">
        <v>860411</v>
      </c>
      <c r="AJ342" s="17">
        <v>474805</v>
      </c>
      <c r="AK342" s="17">
        <v>407535</v>
      </c>
      <c r="AL342" s="17">
        <v>882340</v>
      </c>
      <c r="AM342" s="17">
        <v>1742751</v>
      </c>
      <c r="AN342" s="17">
        <v>729948</v>
      </c>
      <c r="AO342" s="17">
        <v>9528800000</v>
      </c>
      <c r="AP342" s="17">
        <v>8453500000</v>
      </c>
      <c r="AQ342" s="17">
        <v>9381200000</v>
      </c>
      <c r="AR342" s="17">
        <v>17834700000</v>
      </c>
      <c r="AS342" s="17">
        <v>27363500000</v>
      </c>
      <c r="AT342" s="17">
        <v>23725600000</v>
      </c>
      <c r="BG342" s="15"/>
      <c r="BM342" s="17"/>
      <c r="BN342" s="17"/>
      <c r="BO342" s="17"/>
      <c r="BP342" s="17"/>
      <c r="BQ342" s="17"/>
      <c r="BW342" s="17">
        <v>832</v>
      </c>
    </row>
    <row r="343" spans="1:75" hidden="1" x14ac:dyDescent="0.25">
      <c r="A343" s="15" t="s">
        <v>677</v>
      </c>
      <c r="B343" s="15" t="s">
        <v>30</v>
      </c>
      <c r="C343" s="15">
        <v>2013</v>
      </c>
      <c r="D343" s="15" t="s">
        <v>678</v>
      </c>
      <c r="E343" s="15">
        <v>13430</v>
      </c>
      <c r="F343" s="15">
        <v>9893082</v>
      </c>
      <c r="G343" s="15" t="s">
        <v>109</v>
      </c>
      <c r="H343" s="15" t="s">
        <v>43</v>
      </c>
      <c r="I343" s="15" t="s">
        <v>188</v>
      </c>
      <c r="J343" s="15" t="s">
        <v>1076</v>
      </c>
      <c r="K343" s="15" t="s">
        <v>190</v>
      </c>
      <c r="L343" s="15" t="s">
        <v>48</v>
      </c>
      <c r="M343" s="15" t="s">
        <v>62</v>
      </c>
      <c r="N343" s="15" t="s">
        <v>63</v>
      </c>
      <c r="O343" s="15"/>
      <c r="P343" s="15"/>
      <c r="Q343" s="15"/>
      <c r="R343" s="15"/>
      <c r="S343" s="15"/>
      <c r="T343" s="15"/>
      <c r="U343" s="15"/>
      <c r="V343" s="15"/>
      <c r="W343" s="15"/>
      <c r="X343" s="15"/>
      <c r="Y343" s="17">
        <v>470960</v>
      </c>
      <c r="AE343" s="51">
        <f t="shared" si="39"/>
        <v>47.60498295677727</v>
      </c>
      <c r="AF343" s="51" t="str">
        <f t="shared" si="40"/>
        <v/>
      </c>
      <c r="AG343" s="51" t="str">
        <f t="shared" si="41"/>
        <v/>
      </c>
      <c r="AH343" s="51" t="str">
        <f t="shared" si="42"/>
        <v/>
      </c>
      <c r="AI343" s="17">
        <v>837708</v>
      </c>
      <c r="AJ343" s="17">
        <v>454992</v>
      </c>
      <c r="AO343" s="17">
        <v>9184300000</v>
      </c>
      <c r="AP343" s="17">
        <v>7682100000</v>
      </c>
      <c r="BG343" s="15"/>
      <c r="BM343" s="17"/>
      <c r="BN343" s="17"/>
      <c r="BO343" s="17"/>
      <c r="BP343" s="17"/>
      <c r="BQ343" s="17"/>
      <c r="BW343" s="17"/>
    </row>
    <row r="344" spans="1:75" hidden="1" x14ac:dyDescent="0.25">
      <c r="A344" s="15" t="s">
        <v>677</v>
      </c>
      <c r="B344" s="15" t="s">
        <v>30</v>
      </c>
      <c r="C344" s="15">
        <v>2012</v>
      </c>
      <c r="D344" s="15" t="s">
        <v>678</v>
      </c>
      <c r="E344" s="15">
        <v>12910</v>
      </c>
      <c r="F344" s="15">
        <v>9920362</v>
      </c>
      <c r="G344" s="15" t="s">
        <v>109</v>
      </c>
      <c r="H344" s="15" t="s">
        <v>43</v>
      </c>
      <c r="I344" s="15" t="s">
        <v>188</v>
      </c>
      <c r="J344" s="15" t="s">
        <v>1077</v>
      </c>
      <c r="K344" s="15" t="s">
        <v>190</v>
      </c>
      <c r="L344" s="15" t="s">
        <v>48</v>
      </c>
      <c r="M344" s="15" t="s">
        <v>62</v>
      </c>
      <c r="N344" s="15" t="s">
        <v>63</v>
      </c>
      <c r="O344" s="15"/>
      <c r="P344" s="15"/>
      <c r="Q344" s="15"/>
      <c r="R344" s="15"/>
      <c r="S344" s="15"/>
      <c r="T344" s="15"/>
      <c r="U344" s="15"/>
      <c r="V344" s="15"/>
      <c r="W344" s="15"/>
      <c r="X344" s="15"/>
      <c r="Y344" s="17">
        <v>499635</v>
      </c>
      <c r="AE344" s="51">
        <f t="shared" si="39"/>
        <v>50.3645935501144</v>
      </c>
      <c r="AF344" s="51" t="str">
        <f t="shared" si="40"/>
        <v/>
      </c>
      <c r="AG344" s="51" t="str">
        <f t="shared" si="41"/>
        <v/>
      </c>
      <c r="AH344" s="51" t="str">
        <f t="shared" si="42"/>
        <v/>
      </c>
      <c r="AI344" s="17">
        <v>870941</v>
      </c>
      <c r="AJ344" s="17">
        <v>450660</v>
      </c>
      <c r="AO344" s="17">
        <v>8885100000</v>
      </c>
      <c r="AP344" s="17">
        <v>7378400000</v>
      </c>
      <c r="BG344" s="15"/>
      <c r="BM344" s="17"/>
      <c r="BN344" s="17"/>
      <c r="BO344" s="17"/>
      <c r="BP344" s="17"/>
      <c r="BQ344" s="17"/>
      <c r="BW344" s="17"/>
    </row>
    <row r="345" spans="1:75" hidden="1" x14ac:dyDescent="0.25">
      <c r="A345" s="15" t="s">
        <v>679</v>
      </c>
      <c r="B345" s="15" t="s">
        <v>30</v>
      </c>
      <c r="C345" s="15">
        <v>2017</v>
      </c>
      <c r="D345" s="15" t="s">
        <v>680</v>
      </c>
      <c r="E345" s="17">
        <v>60500</v>
      </c>
      <c r="F345" s="17">
        <v>343400</v>
      </c>
      <c r="G345" s="15" t="s">
        <v>109</v>
      </c>
      <c r="H345" s="15" t="s">
        <v>43</v>
      </c>
      <c r="I345" s="15" t="s">
        <v>1748</v>
      </c>
      <c r="J345" s="15" t="s">
        <v>681</v>
      </c>
      <c r="K345" s="15" t="s">
        <v>190</v>
      </c>
      <c r="L345" s="15" t="s">
        <v>48</v>
      </c>
      <c r="M345" s="15" t="s">
        <v>682</v>
      </c>
      <c r="N345" s="15" t="s">
        <v>37</v>
      </c>
      <c r="O345" s="15"/>
      <c r="P345" s="15"/>
      <c r="Q345" s="15"/>
      <c r="R345" s="15"/>
      <c r="S345" s="15" t="s">
        <v>55</v>
      </c>
      <c r="T345" s="15"/>
      <c r="U345" s="15"/>
      <c r="V345" s="15"/>
      <c r="W345" s="15"/>
      <c r="X345" s="15" t="s">
        <v>55</v>
      </c>
      <c r="Y345" s="17">
        <f>22782+3936+1706</f>
        <v>28424</v>
      </c>
      <c r="Z345" s="17">
        <v>1608</v>
      </c>
      <c r="AA345" s="17">
        <v>181</v>
      </c>
      <c r="AB345" s="17">
        <f>AA345+Z345</f>
        <v>1789</v>
      </c>
      <c r="AC345" s="17">
        <f>AB345+Y345</f>
        <v>30213</v>
      </c>
      <c r="AD345" s="17">
        <v>179</v>
      </c>
      <c r="AE345" s="51">
        <f t="shared" si="39"/>
        <v>82.772277227722782</v>
      </c>
      <c r="AF345" s="51">
        <f t="shared" si="40"/>
        <v>5.2096680256260921</v>
      </c>
      <c r="AG345" s="51">
        <f t="shared" si="41"/>
        <v>87.981945253348869</v>
      </c>
      <c r="AH345" s="51">
        <f t="shared" si="42"/>
        <v>0.52125800815375656</v>
      </c>
      <c r="AV345" s="15" t="s">
        <v>681</v>
      </c>
      <c r="BG345" s="15"/>
      <c r="BM345" s="17"/>
      <c r="BN345" s="17"/>
      <c r="BO345" s="17"/>
      <c r="BP345" s="17"/>
      <c r="BQ345" s="17"/>
      <c r="BW345" s="17"/>
    </row>
    <row r="346" spans="1:75" hidden="1" x14ac:dyDescent="0.25">
      <c r="A346" s="15" t="s">
        <v>679</v>
      </c>
      <c r="B346" s="15" t="s">
        <v>30</v>
      </c>
      <c r="C346" s="15">
        <v>2016</v>
      </c>
      <c r="D346" s="15" t="s">
        <v>680</v>
      </c>
      <c r="E346" s="17">
        <v>55120</v>
      </c>
      <c r="F346" s="17">
        <v>335439</v>
      </c>
      <c r="G346" s="15" t="s">
        <v>109</v>
      </c>
      <c r="H346" s="15" t="s">
        <v>43</v>
      </c>
      <c r="I346" s="15" t="s">
        <v>1748</v>
      </c>
      <c r="J346" s="15" t="s">
        <v>681</v>
      </c>
      <c r="K346" s="15" t="s">
        <v>190</v>
      </c>
      <c r="L346" s="15" t="s">
        <v>48</v>
      </c>
      <c r="M346" s="15" t="s">
        <v>682</v>
      </c>
      <c r="N346" s="15" t="s">
        <v>37</v>
      </c>
      <c r="O346" s="15"/>
      <c r="P346" s="15"/>
      <c r="Q346" s="15"/>
      <c r="R346" s="15"/>
      <c r="S346" s="15" t="s">
        <v>55</v>
      </c>
      <c r="T346" s="15"/>
      <c r="U346" s="15"/>
      <c r="V346" s="15"/>
      <c r="W346" s="15"/>
      <c r="X346" s="15" t="s">
        <v>55</v>
      </c>
      <c r="Y346" s="17">
        <f>22968+3904+1635</f>
        <v>28507</v>
      </c>
      <c r="Z346" s="17">
        <v>1527</v>
      </c>
      <c r="AA346" s="17">
        <v>190</v>
      </c>
      <c r="AB346" s="17">
        <f>AA346+Z346</f>
        <v>1717</v>
      </c>
      <c r="AC346" s="17">
        <f>AB346+Y346</f>
        <v>30224</v>
      </c>
      <c r="AD346" s="17">
        <v>165</v>
      </c>
      <c r="AE346" s="51">
        <f t="shared" si="39"/>
        <v>84.984155092282052</v>
      </c>
      <c r="AF346" s="51">
        <f t="shared" si="40"/>
        <v>5.118665390726779</v>
      </c>
      <c r="AG346" s="51">
        <f t="shared" si="41"/>
        <v>90.102820483008827</v>
      </c>
      <c r="AH346" s="51">
        <f t="shared" si="42"/>
        <v>0.49189271372738413</v>
      </c>
      <c r="AV346" s="15" t="s">
        <v>681</v>
      </c>
      <c r="BG346" s="15"/>
      <c r="BM346" s="17"/>
      <c r="BN346" s="17"/>
      <c r="BO346" s="17"/>
      <c r="BP346" s="17"/>
      <c r="BQ346" s="17"/>
      <c r="BW346" s="17"/>
    </row>
    <row r="347" spans="1:75" hidden="1" x14ac:dyDescent="0.25">
      <c r="A347" s="15" t="s">
        <v>679</v>
      </c>
      <c r="B347" s="15" t="s">
        <v>30</v>
      </c>
      <c r="C347" s="15">
        <v>2015</v>
      </c>
      <c r="D347" s="15" t="s">
        <v>680</v>
      </c>
      <c r="E347" s="17">
        <v>50150</v>
      </c>
      <c r="F347" s="17">
        <v>330815</v>
      </c>
      <c r="G347" s="15" t="s">
        <v>109</v>
      </c>
      <c r="H347" s="15" t="s">
        <v>43</v>
      </c>
      <c r="I347" s="15" t="s">
        <v>1748</v>
      </c>
      <c r="J347" s="15" t="s">
        <v>681</v>
      </c>
      <c r="K347" s="15" t="s">
        <v>190</v>
      </c>
      <c r="L347" s="15" t="s">
        <v>48</v>
      </c>
      <c r="M347" s="15" t="s">
        <v>682</v>
      </c>
      <c r="N347" s="15" t="s">
        <v>37</v>
      </c>
      <c r="O347" s="15"/>
      <c r="P347" s="15"/>
      <c r="Q347" s="15"/>
      <c r="R347" s="15"/>
      <c r="S347" s="15" t="s">
        <v>55</v>
      </c>
      <c r="T347" s="15"/>
      <c r="U347" s="15"/>
      <c r="V347" s="15"/>
      <c r="W347" s="15"/>
      <c r="X347" s="15" t="s">
        <v>55</v>
      </c>
      <c r="Y347" s="17">
        <f>21806+3794+1548</f>
        <v>27148</v>
      </c>
      <c r="Z347" s="17">
        <v>1420</v>
      </c>
      <c r="AA347" s="17">
        <v>167</v>
      </c>
      <c r="AB347" s="17">
        <f>AA347+Z347</f>
        <v>1587</v>
      </c>
      <c r="AC347" s="17">
        <f>AB347+Y347</f>
        <v>28735</v>
      </c>
      <c r="AD347" s="17">
        <v>160</v>
      </c>
      <c r="AE347" s="51">
        <f t="shared" si="39"/>
        <v>82.063993470670923</v>
      </c>
      <c r="AF347" s="51">
        <f t="shared" si="40"/>
        <v>4.7972431721657118</v>
      </c>
      <c r="AG347" s="51">
        <f t="shared" si="41"/>
        <v>86.86123664283663</v>
      </c>
      <c r="AH347" s="51">
        <f t="shared" si="42"/>
        <v>0.48365400601544667</v>
      </c>
      <c r="AV347" s="15" t="s">
        <v>681</v>
      </c>
      <c r="BG347" s="15"/>
      <c r="BM347" s="17"/>
      <c r="BN347" s="17"/>
      <c r="BO347" s="17"/>
      <c r="BP347" s="17"/>
      <c r="BQ347" s="17"/>
      <c r="BW347" s="17"/>
    </row>
    <row r="348" spans="1:75" hidden="1" x14ac:dyDescent="0.25">
      <c r="A348" s="15" t="s">
        <v>679</v>
      </c>
      <c r="B348" s="15" t="s">
        <v>30</v>
      </c>
      <c r="C348" s="15">
        <v>2014</v>
      </c>
      <c r="D348" s="15" t="s">
        <v>680</v>
      </c>
      <c r="E348" s="15">
        <v>48150</v>
      </c>
      <c r="F348" s="15">
        <v>327386</v>
      </c>
      <c r="G348" s="15" t="s">
        <v>109</v>
      </c>
      <c r="H348" s="15" t="s">
        <v>43</v>
      </c>
      <c r="I348" s="15" t="s">
        <v>1748</v>
      </c>
      <c r="J348" s="15" t="s">
        <v>681</v>
      </c>
      <c r="K348" s="15" t="s">
        <v>190</v>
      </c>
      <c r="L348" s="15" t="s">
        <v>48</v>
      </c>
      <c r="M348" s="15" t="s">
        <v>682</v>
      </c>
      <c r="N348" s="15" t="s">
        <v>37</v>
      </c>
      <c r="O348" s="15"/>
      <c r="P348" s="15"/>
      <c r="Q348" s="15"/>
      <c r="R348" s="15"/>
      <c r="S348" s="15" t="s">
        <v>55</v>
      </c>
      <c r="T348" s="15"/>
      <c r="U348" s="15"/>
      <c r="V348" s="15"/>
      <c r="W348" s="15"/>
      <c r="X348" s="15" t="s">
        <v>55</v>
      </c>
      <c r="Y348" s="17">
        <v>25180</v>
      </c>
      <c r="Z348" s="17">
        <v>1325</v>
      </c>
      <c r="AA348" s="17">
        <v>150</v>
      </c>
      <c r="AB348" s="17">
        <v>1475</v>
      </c>
      <c r="AC348" s="17">
        <v>26655</v>
      </c>
      <c r="AD348" s="17">
        <v>146</v>
      </c>
      <c r="AE348" s="51">
        <f t="shared" si="39"/>
        <v>76.912268698111717</v>
      </c>
      <c r="AF348" s="51">
        <f t="shared" si="40"/>
        <v>4.5053850806082121</v>
      </c>
      <c r="AG348" s="51">
        <f t="shared" si="41"/>
        <v>81.417653778719909</v>
      </c>
      <c r="AH348" s="51">
        <f t="shared" si="42"/>
        <v>0.44595676052121958</v>
      </c>
      <c r="AI348" s="17">
        <v>32150</v>
      </c>
      <c r="AJ348" s="17">
        <v>26478</v>
      </c>
      <c r="AK348" s="17">
        <v>10402</v>
      </c>
      <c r="AL348" s="17">
        <v>36880</v>
      </c>
      <c r="AM348" s="17">
        <v>69030</v>
      </c>
      <c r="AN348" s="17">
        <v>41918</v>
      </c>
      <c r="AO348" s="17">
        <v>259206615577</v>
      </c>
      <c r="AP348" s="17">
        <v>213383626456</v>
      </c>
      <c r="AQ348" s="17">
        <v>99550649175</v>
      </c>
      <c r="AR348" s="17">
        <v>312934275631</v>
      </c>
      <c r="AS348" s="17">
        <v>572140891208</v>
      </c>
      <c r="AT348" s="17">
        <v>510852247610</v>
      </c>
      <c r="AU348" s="15" t="s">
        <v>683</v>
      </c>
      <c r="AV348" s="15" t="s">
        <v>681</v>
      </c>
      <c r="BG348" s="15"/>
      <c r="BM348" s="17"/>
      <c r="BN348" s="17"/>
      <c r="BO348" s="17"/>
      <c r="BP348" s="17"/>
      <c r="BQ348" s="17"/>
      <c r="BW348" s="17"/>
    </row>
    <row r="349" spans="1:75" hidden="1" x14ac:dyDescent="0.25">
      <c r="A349" s="15" t="s">
        <v>679</v>
      </c>
      <c r="B349" s="15" t="s">
        <v>30</v>
      </c>
      <c r="C349" s="15">
        <v>2013</v>
      </c>
      <c r="D349" s="15" t="s">
        <v>680</v>
      </c>
      <c r="E349" s="15">
        <v>47060</v>
      </c>
      <c r="F349" s="15">
        <v>323764</v>
      </c>
      <c r="G349" s="15" t="s">
        <v>109</v>
      </c>
      <c r="H349" s="15" t="s">
        <v>43</v>
      </c>
      <c r="I349" s="15" t="s">
        <v>1748</v>
      </c>
      <c r="J349" s="15" t="s">
        <v>681</v>
      </c>
      <c r="K349" s="15" t="s">
        <v>190</v>
      </c>
      <c r="L349" s="15" t="s">
        <v>48</v>
      </c>
      <c r="M349" s="15" t="s">
        <v>682</v>
      </c>
      <c r="N349" s="15" t="s">
        <v>37</v>
      </c>
      <c r="O349" s="15"/>
      <c r="P349" s="15"/>
      <c r="Q349" s="15"/>
      <c r="R349" s="15"/>
      <c r="S349" s="15" t="s">
        <v>55</v>
      </c>
      <c r="T349" s="15"/>
      <c r="U349" s="15"/>
      <c r="V349" s="15"/>
      <c r="W349" s="15"/>
      <c r="X349" s="15" t="s">
        <v>55</v>
      </c>
      <c r="Y349" s="17">
        <v>25707</v>
      </c>
      <c r="Z349" s="17">
        <v>1246</v>
      </c>
      <c r="AA349" s="17">
        <v>145</v>
      </c>
      <c r="AB349" s="17">
        <v>1391</v>
      </c>
      <c r="AC349" s="17">
        <v>27098</v>
      </c>
      <c r="AD349" s="17">
        <v>140</v>
      </c>
      <c r="AE349" s="51">
        <f t="shared" si="39"/>
        <v>79.40042747186223</v>
      </c>
      <c r="AF349" s="51">
        <f t="shared" si="40"/>
        <v>4.2963393088793076</v>
      </c>
      <c r="AG349" s="51">
        <f t="shared" si="41"/>
        <v>83.696766780741527</v>
      </c>
      <c r="AH349" s="51">
        <f t="shared" si="42"/>
        <v>0.4324137334601747</v>
      </c>
      <c r="AI349" s="17">
        <v>32199</v>
      </c>
      <c r="AJ349" s="17">
        <v>24799</v>
      </c>
      <c r="AK349" s="17">
        <v>9893</v>
      </c>
      <c r="AL349" s="17">
        <v>34692</v>
      </c>
      <c r="AM349" s="17">
        <v>66891</v>
      </c>
      <c r="AN349" s="17">
        <v>40773</v>
      </c>
      <c r="AO349" s="17">
        <v>238198580219</v>
      </c>
      <c r="AP349" s="17">
        <v>189668886925</v>
      </c>
      <c r="AQ349" s="17">
        <v>88957842037</v>
      </c>
      <c r="AR349" s="17">
        <v>276918666127</v>
      </c>
      <c r="AS349" s="17">
        <v>515117246346</v>
      </c>
      <c r="AT349" s="17">
        <v>488206364100</v>
      </c>
      <c r="BG349" s="15"/>
      <c r="BM349" s="17"/>
      <c r="BN349" s="17"/>
      <c r="BO349" s="17"/>
      <c r="BP349" s="17"/>
      <c r="BQ349" s="17"/>
      <c r="BW349" s="17"/>
    </row>
    <row r="350" spans="1:75" hidden="1" x14ac:dyDescent="0.25">
      <c r="A350" s="15" t="s">
        <v>679</v>
      </c>
      <c r="B350" s="15" t="s">
        <v>30</v>
      </c>
      <c r="C350" s="15">
        <v>2012</v>
      </c>
      <c r="D350" s="15" t="s">
        <v>680</v>
      </c>
      <c r="E350" s="15">
        <v>40750</v>
      </c>
      <c r="F350" s="15">
        <v>320716</v>
      </c>
      <c r="G350" s="15" t="s">
        <v>109</v>
      </c>
      <c r="H350" s="15" t="s">
        <v>43</v>
      </c>
      <c r="I350" s="15" t="s">
        <v>1748</v>
      </c>
      <c r="J350" s="15" t="s">
        <v>681</v>
      </c>
      <c r="K350" s="15" t="s">
        <v>190</v>
      </c>
      <c r="L350" s="15" t="s">
        <v>48</v>
      </c>
      <c r="M350" s="15" t="s">
        <v>682</v>
      </c>
      <c r="N350" s="15" t="s">
        <v>37</v>
      </c>
      <c r="O350" s="15"/>
      <c r="P350" s="15"/>
      <c r="Q350" s="15"/>
      <c r="R350" s="15"/>
      <c r="S350" s="15" t="s">
        <v>55</v>
      </c>
      <c r="T350" s="15"/>
      <c r="U350" s="15"/>
      <c r="V350" s="15"/>
      <c r="W350" s="15"/>
      <c r="X350" s="15" t="s">
        <v>55</v>
      </c>
      <c r="Y350" s="17">
        <v>25445</v>
      </c>
      <c r="Z350" s="17">
        <v>1245</v>
      </c>
      <c r="AA350" s="17">
        <v>140</v>
      </c>
      <c r="AB350" s="17">
        <v>1385</v>
      </c>
      <c r="AC350" s="17">
        <v>26830</v>
      </c>
      <c r="AD350" s="17">
        <v>135</v>
      </c>
      <c r="AE350" s="51">
        <f t="shared" ref="AE350:AE381" si="43">IF(ISERROR((Y350/$F350)*1000),"",IF((Y350/$F350)*1000=0,"",(Y350/$F350)*1000))</f>
        <v>79.338105987852174</v>
      </c>
      <c r="AF350" s="51">
        <f t="shared" ref="AF350:AF381" si="44">IF(ISERROR((AB350/$F350)*1000),"",IF((AB350/$F350)*1000=0,"",(AB350/$F350)*1000))</f>
        <v>4.3184624402898519</v>
      </c>
      <c r="AG350" s="51">
        <f t="shared" ref="AG350:AG381" si="45">IF(ISERROR((AC350/$F350)*1000),"",IF((AC350/$F350)*1000=0,"",(AC350/$F350)*1000))</f>
        <v>83.656568428142037</v>
      </c>
      <c r="AH350" s="51">
        <f t="shared" ref="AH350:AH381" si="46">IF(ISERROR((AD350/$F350)*1000),"",IF((AD350/$F350)*1000=0,"",(AD350/$F350)*1000))</f>
        <v>0.42093316204991332</v>
      </c>
      <c r="AI350" s="17">
        <v>31479</v>
      </c>
      <c r="AJ350" s="17">
        <v>24154</v>
      </c>
      <c r="AK350" s="17">
        <v>9307</v>
      </c>
      <c r="AL350" s="17">
        <v>33461</v>
      </c>
      <c r="AM350" s="17">
        <v>64940</v>
      </c>
      <c r="AN350" s="17">
        <v>39370</v>
      </c>
      <c r="AO350" s="17">
        <v>219088709688</v>
      </c>
      <c r="AP350" s="17">
        <v>167768983751</v>
      </c>
      <c r="AQ350" s="17">
        <v>88957842037</v>
      </c>
      <c r="AR350" s="17">
        <v>256726825788</v>
      </c>
      <c r="AS350" s="17">
        <v>475815535476</v>
      </c>
      <c r="AT350" s="17">
        <v>492449801348</v>
      </c>
      <c r="BG350" s="15"/>
      <c r="BM350" s="17"/>
      <c r="BN350" s="17"/>
      <c r="BO350" s="17"/>
      <c r="BP350" s="17"/>
      <c r="BQ350" s="17"/>
      <c r="BW350" s="17"/>
    </row>
    <row r="351" spans="1:75" hidden="1" x14ac:dyDescent="0.25">
      <c r="A351" s="15" t="s">
        <v>684</v>
      </c>
      <c r="B351" s="15" t="s">
        <v>30</v>
      </c>
      <c r="C351" s="15">
        <v>2015</v>
      </c>
      <c r="D351" s="15" t="s">
        <v>685</v>
      </c>
      <c r="E351" s="15">
        <v>1600</v>
      </c>
      <c r="F351" s="15">
        <v>1309053980</v>
      </c>
      <c r="G351" s="15" t="s">
        <v>88</v>
      </c>
      <c r="H351" s="15" t="s">
        <v>33</v>
      </c>
      <c r="I351" s="15" t="s">
        <v>686</v>
      </c>
      <c r="J351" s="15" t="s">
        <v>1640</v>
      </c>
      <c r="K351" s="15"/>
      <c r="L351" s="15"/>
      <c r="M351" s="15"/>
      <c r="N351" s="15"/>
      <c r="O351" s="15" t="s">
        <v>38</v>
      </c>
      <c r="P351" s="15" t="s">
        <v>687</v>
      </c>
      <c r="Q351" s="15" t="s">
        <v>688</v>
      </c>
      <c r="R351" s="15" t="s">
        <v>689</v>
      </c>
      <c r="S351" s="15" t="s">
        <v>690</v>
      </c>
      <c r="T351" s="15"/>
      <c r="U351" s="15"/>
      <c r="V351" s="15"/>
      <c r="W351" s="15"/>
      <c r="X351" s="15" t="s">
        <v>690</v>
      </c>
      <c r="Y351" s="17">
        <v>63052000</v>
      </c>
      <c r="Z351" s="17">
        <v>331000</v>
      </c>
      <c r="AA351" s="17">
        <v>5000</v>
      </c>
      <c r="AB351" s="17">
        <v>336000</v>
      </c>
      <c r="AC351" s="17">
        <v>63388000</v>
      </c>
      <c r="AE351" s="51">
        <f t="shared" si="43"/>
        <v>48.166080973987029</v>
      </c>
      <c r="AF351" s="51">
        <f t="shared" si="44"/>
        <v>0.2566739073662952</v>
      </c>
      <c r="AG351" s="51">
        <f t="shared" si="45"/>
        <v>48.422754881353328</v>
      </c>
      <c r="AH351" s="51" t="str">
        <f t="shared" si="46"/>
        <v/>
      </c>
      <c r="AI351" s="17">
        <v>107619000</v>
      </c>
      <c r="AJ351" s="17">
        <v>3195000</v>
      </c>
      <c r="AK351" s="17">
        <v>175000</v>
      </c>
      <c r="AL351" s="17">
        <v>3370000</v>
      </c>
      <c r="AM351" s="17">
        <f>+AL351+AI351</f>
        <v>110989000</v>
      </c>
      <c r="AS351" s="17">
        <v>39367880000000</v>
      </c>
      <c r="BG351" s="15"/>
      <c r="BM351" s="17">
        <v>12435900</v>
      </c>
      <c r="BN351" s="17">
        <v>4824691</v>
      </c>
      <c r="BO351" s="17">
        <f>BN351+BM351</f>
        <v>17260591</v>
      </c>
      <c r="BP351" s="17"/>
      <c r="BQ351" s="17"/>
      <c r="BW351" s="17"/>
    </row>
    <row r="352" spans="1:75" hidden="1" x14ac:dyDescent="0.25">
      <c r="A352" s="15" t="s">
        <v>691</v>
      </c>
      <c r="B352" s="15" t="s">
        <v>30</v>
      </c>
      <c r="C352" s="15">
        <v>2017</v>
      </c>
      <c r="D352" s="15" t="s">
        <v>692</v>
      </c>
      <c r="E352" s="15">
        <v>3540</v>
      </c>
      <c r="F352" s="17">
        <v>263991379</v>
      </c>
      <c r="G352" s="15" t="s">
        <v>88</v>
      </c>
      <c r="H352" s="15" t="s">
        <v>77</v>
      </c>
      <c r="I352" s="15" t="s">
        <v>693</v>
      </c>
      <c r="J352" s="15" t="s">
        <v>694</v>
      </c>
      <c r="K352" s="15" t="s">
        <v>46</v>
      </c>
      <c r="L352" s="15" t="s">
        <v>182</v>
      </c>
      <c r="M352" s="15" t="s">
        <v>309</v>
      </c>
      <c r="N352" s="15" t="s">
        <v>310</v>
      </c>
      <c r="O352" s="15" t="s">
        <v>1749</v>
      </c>
      <c r="P352" s="15" t="s">
        <v>1750</v>
      </c>
      <c r="Q352" s="15" t="s">
        <v>1751</v>
      </c>
      <c r="R352" s="15" t="s">
        <v>1752</v>
      </c>
      <c r="S352" s="15" t="s">
        <v>695</v>
      </c>
      <c r="T352" s="15" t="s">
        <v>1753</v>
      </c>
      <c r="U352" s="15" t="s">
        <v>1754</v>
      </c>
      <c r="V352" s="15" t="s">
        <v>1755</v>
      </c>
      <c r="W352" s="15" t="s">
        <v>1756</v>
      </c>
      <c r="X352" s="15" t="s">
        <v>695</v>
      </c>
      <c r="Y352" s="17">
        <v>62106900</v>
      </c>
      <c r="Z352" s="17">
        <v>757090</v>
      </c>
      <c r="AA352" s="17">
        <v>58627</v>
      </c>
      <c r="AB352" s="17">
        <v>815717</v>
      </c>
      <c r="AC352" s="17">
        <f t="shared" ref="AC352:AC358" si="47">Y352+AB352</f>
        <v>62922617</v>
      </c>
      <c r="AD352" s="17">
        <v>5460</v>
      </c>
      <c r="AE352" s="51">
        <f t="shared" si="43"/>
        <v>235.26109161314696</v>
      </c>
      <c r="AF352" s="51">
        <f t="shared" si="44"/>
        <v>3.0899380240746424</v>
      </c>
      <c r="AG352" s="51">
        <f t="shared" si="45"/>
        <v>238.35102963722161</v>
      </c>
      <c r="AH352" s="51">
        <f t="shared" si="46"/>
        <v>2.0682493574913294E-2</v>
      </c>
      <c r="AI352" s="17">
        <v>107232992</v>
      </c>
      <c r="AJ352" s="17">
        <v>5704321</v>
      </c>
      <c r="AK352" s="17">
        <v>3736103</v>
      </c>
      <c r="AL352" s="17">
        <f>AK352+AJ352</f>
        <v>9440424</v>
      </c>
      <c r="AM352" s="17">
        <v>116673416</v>
      </c>
      <c r="AN352" s="17">
        <v>3586769</v>
      </c>
      <c r="AO352" s="17">
        <v>472798940000</v>
      </c>
      <c r="AP352" s="17">
        <v>1234210700000</v>
      </c>
      <c r="AQ352" s="17">
        <v>174243570000</v>
      </c>
      <c r="AR352" s="17">
        <f t="shared" ref="AR352:AR358" si="48">AQ352+AP352</f>
        <v>1408454270000</v>
      </c>
      <c r="AS352" s="17">
        <f t="shared" ref="AS352:AS358" si="49">AR352+AO352</f>
        <v>1881253210000</v>
      </c>
      <c r="AT352" s="17">
        <v>51362231000</v>
      </c>
      <c r="BG352" s="15"/>
      <c r="BM352" s="17"/>
      <c r="BN352" s="17">
        <v>12435900.4</v>
      </c>
      <c r="BO352" s="17"/>
      <c r="BP352" s="17"/>
      <c r="BQ352" s="17"/>
      <c r="BW352" s="17"/>
    </row>
    <row r="353" spans="1:75" hidden="1" x14ac:dyDescent="0.25">
      <c r="A353" s="15" t="s">
        <v>691</v>
      </c>
      <c r="B353" s="15" t="s">
        <v>30</v>
      </c>
      <c r="C353" s="15">
        <v>2016</v>
      </c>
      <c r="D353" s="15" t="s">
        <v>692</v>
      </c>
      <c r="E353" s="15">
        <v>3410</v>
      </c>
      <c r="F353" s="15">
        <v>263991379</v>
      </c>
      <c r="G353" s="15" t="s">
        <v>88</v>
      </c>
      <c r="H353" s="15" t="s">
        <v>77</v>
      </c>
      <c r="I353" s="15" t="s">
        <v>693</v>
      </c>
      <c r="J353" s="15" t="s">
        <v>694</v>
      </c>
      <c r="K353" s="15" t="s">
        <v>46</v>
      </c>
      <c r="L353" s="15" t="s">
        <v>182</v>
      </c>
      <c r="M353" s="15" t="s">
        <v>309</v>
      </c>
      <c r="N353" s="15" t="s">
        <v>310</v>
      </c>
      <c r="O353" s="15" t="s">
        <v>1749</v>
      </c>
      <c r="P353" s="15" t="s">
        <v>1750</v>
      </c>
      <c r="Q353" s="15" t="s">
        <v>1751</v>
      </c>
      <c r="R353" s="15" t="s">
        <v>1752</v>
      </c>
      <c r="S353" s="15" t="s">
        <v>695</v>
      </c>
      <c r="T353" s="15" t="s">
        <v>1753</v>
      </c>
      <c r="U353" s="15" t="s">
        <v>1754</v>
      </c>
      <c r="V353" s="15" t="s">
        <v>1755</v>
      </c>
      <c r="W353" s="15" t="s">
        <v>1756</v>
      </c>
      <c r="X353" s="15" t="s">
        <v>695</v>
      </c>
      <c r="Y353" s="17">
        <v>60863578</v>
      </c>
      <c r="Z353" s="17">
        <v>731047</v>
      </c>
      <c r="AA353" s="17">
        <v>56551</v>
      </c>
      <c r="AB353" s="17">
        <v>787598</v>
      </c>
      <c r="AC353" s="17">
        <f t="shared" si="47"/>
        <v>61651176</v>
      </c>
      <c r="AD353" s="17">
        <v>5370</v>
      </c>
      <c r="AE353" s="51">
        <f t="shared" si="43"/>
        <v>230.55138478594031</v>
      </c>
      <c r="AF353" s="51">
        <f t="shared" si="44"/>
        <v>2.9834231821638388</v>
      </c>
      <c r="AG353" s="51">
        <f t="shared" si="45"/>
        <v>233.53480796810413</v>
      </c>
      <c r="AH353" s="51">
        <f t="shared" si="46"/>
        <v>2.0341573351150985E-2</v>
      </c>
      <c r="AI353" s="17">
        <v>103839015</v>
      </c>
      <c r="AJ353" s="17">
        <v>5402073</v>
      </c>
      <c r="AK353" s="17">
        <v>3587522</v>
      </c>
      <c r="AL353" s="17">
        <f>AK353+AJ353</f>
        <v>8989595</v>
      </c>
      <c r="AM353" s="17">
        <v>112828610</v>
      </c>
      <c r="AN353" s="17">
        <v>3444746</v>
      </c>
      <c r="AO353" s="17">
        <v>429228780000</v>
      </c>
      <c r="AP353" s="17">
        <v>1128056800000</v>
      </c>
      <c r="AQ353" s="17">
        <v>158893830000</v>
      </c>
      <c r="AR353" s="17">
        <f t="shared" si="48"/>
        <v>1286950630000</v>
      </c>
      <c r="AS353" s="17">
        <f t="shared" si="49"/>
        <v>1716179410000</v>
      </c>
      <c r="AT353" s="17">
        <v>47031676000</v>
      </c>
      <c r="BG353" s="15"/>
      <c r="BM353" s="17"/>
      <c r="BN353" s="17"/>
      <c r="BO353" s="17"/>
      <c r="BP353" s="17"/>
      <c r="BQ353" s="17"/>
      <c r="BT353" s="15" t="s">
        <v>1757</v>
      </c>
      <c r="BW353" s="17"/>
    </row>
    <row r="354" spans="1:75" hidden="1" x14ac:dyDescent="0.25">
      <c r="A354" s="15" t="s">
        <v>691</v>
      </c>
      <c r="B354" s="15" t="s">
        <v>30</v>
      </c>
      <c r="C354" s="15">
        <v>2014</v>
      </c>
      <c r="D354" s="15" t="s">
        <v>692</v>
      </c>
      <c r="E354" s="17">
        <v>3620</v>
      </c>
      <c r="F354" s="17">
        <v>255131116</v>
      </c>
      <c r="G354" s="15" t="s">
        <v>88</v>
      </c>
      <c r="H354" s="15" t="s">
        <v>77</v>
      </c>
      <c r="I354" s="15" t="s">
        <v>693</v>
      </c>
      <c r="J354" s="15" t="s">
        <v>1758</v>
      </c>
      <c r="K354" s="15" t="s">
        <v>46</v>
      </c>
      <c r="L354" s="15" t="s">
        <v>182</v>
      </c>
      <c r="M354" s="15" t="s">
        <v>309</v>
      </c>
      <c r="N354" s="15" t="s">
        <v>310</v>
      </c>
      <c r="O354" s="15" t="s">
        <v>502</v>
      </c>
      <c r="P354" s="15" t="s">
        <v>1864</v>
      </c>
      <c r="Q354" s="15" t="s">
        <v>1863</v>
      </c>
      <c r="R354" s="15" t="s">
        <v>1862</v>
      </c>
      <c r="S354" s="15" t="s">
        <v>695</v>
      </c>
      <c r="T354" s="15" t="s">
        <v>1868</v>
      </c>
      <c r="U354" s="15" t="s">
        <v>1867</v>
      </c>
      <c r="V354" s="15" t="s">
        <v>1865</v>
      </c>
      <c r="W354" s="15" t="s">
        <v>1866</v>
      </c>
      <c r="X354" s="15" t="s">
        <v>695</v>
      </c>
      <c r="Y354" s="17">
        <v>58521987</v>
      </c>
      <c r="Z354" s="17">
        <v>681522</v>
      </c>
      <c r="AA354" s="17">
        <v>59263</v>
      </c>
      <c r="AB354" s="17">
        <f>AA354+Z354</f>
        <v>740785</v>
      </c>
      <c r="AC354" s="17">
        <f t="shared" si="47"/>
        <v>59262772</v>
      </c>
      <c r="AD354" s="17">
        <v>4987</v>
      </c>
      <c r="AE354" s="51">
        <f t="shared" si="43"/>
        <v>229.38004551353899</v>
      </c>
      <c r="AF354" s="51">
        <f t="shared" si="44"/>
        <v>2.9035462691269691</v>
      </c>
      <c r="AG354" s="51">
        <f t="shared" si="45"/>
        <v>232.28359178266598</v>
      </c>
      <c r="AH354" s="51">
        <f t="shared" si="46"/>
        <v>1.954681215755745E-2</v>
      </c>
      <c r="AI354" s="17">
        <v>101879400</v>
      </c>
      <c r="AO354" s="17">
        <v>332656400000</v>
      </c>
      <c r="AP354" s="17">
        <v>876385000000</v>
      </c>
      <c r="AQ354" s="17">
        <v>123705700000</v>
      </c>
      <c r="AR354" s="17">
        <f t="shared" si="48"/>
        <v>1000090700000</v>
      </c>
      <c r="AS354" s="17">
        <f t="shared" si="49"/>
        <v>1332747100000</v>
      </c>
      <c r="AT354" s="17">
        <v>35749430000</v>
      </c>
      <c r="BG354" s="15"/>
      <c r="BM354" s="17"/>
      <c r="BN354" s="17"/>
      <c r="BO354" s="17"/>
      <c r="BP354" s="17"/>
      <c r="BQ354" s="17"/>
      <c r="BW354" s="17" t="s">
        <v>1759</v>
      </c>
    </row>
    <row r="355" spans="1:75" hidden="1" x14ac:dyDescent="0.25">
      <c r="A355" s="15" t="s">
        <v>691</v>
      </c>
      <c r="B355" s="15" t="s">
        <v>30</v>
      </c>
      <c r="C355" s="15">
        <v>2013</v>
      </c>
      <c r="D355" s="15" t="s">
        <v>692</v>
      </c>
      <c r="E355" s="15">
        <v>3730</v>
      </c>
      <c r="F355" s="15">
        <v>252032263</v>
      </c>
      <c r="G355" s="15" t="s">
        <v>88</v>
      </c>
      <c r="H355" s="15" t="s">
        <v>77</v>
      </c>
      <c r="I355" s="15" t="s">
        <v>693</v>
      </c>
      <c r="J355" s="15" t="s">
        <v>694</v>
      </c>
      <c r="K355" s="15" t="s">
        <v>46</v>
      </c>
      <c r="L355" s="15" t="s">
        <v>182</v>
      </c>
      <c r="M355" s="15" t="s">
        <v>309</v>
      </c>
      <c r="N355" s="15" t="s">
        <v>310</v>
      </c>
      <c r="O355" s="15" t="s">
        <v>502</v>
      </c>
      <c r="P355" s="15" t="s">
        <v>1864</v>
      </c>
      <c r="Q355" s="15" t="s">
        <v>1863</v>
      </c>
      <c r="R355" s="15" t="s">
        <v>1862</v>
      </c>
      <c r="S355" s="15" t="s">
        <v>695</v>
      </c>
      <c r="T355" s="15" t="s">
        <v>1868</v>
      </c>
      <c r="U355" s="15" t="s">
        <v>1867</v>
      </c>
      <c r="V355" s="15" t="s">
        <v>1865</v>
      </c>
      <c r="W355" s="15" t="s">
        <v>1866</v>
      </c>
      <c r="X355" s="15" t="s">
        <v>695</v>
      </c>
      <c r="Y355" s="17">
        <v>57189393</v>
      </c>
      <c r="Z355" s="17">
        <v>654222</v>
      </c>
      <c r="AA355" s="17">
        <v>52106</v>
      </c>
      <c r="AB355" s="17">
        <v>706328</v>
      </c>
      <c r="AC355" s="17">
        <f t="shared" si="47"/>
        <v>57895721</v>
      </c>
      <c r="AD355" s="17">
        <v>5066</v>
      </c>
      <c r="AE355" s="51">
        <f t="shared" si="43"/>
        <v>226.91298454912499</v>
      </c>
      <c r="AF355" s="51">
        <f t="shared" si="44"/>
        <v>2.8025300871896706</v>
      </c>
      <c r="AG355" s="51">
        <f t="shared" si="45"/>
        <v>229.71551463631465</v>
      </c>
      <c r="AH355" s="51">
        <f t="shared" si="46"/>
        <v>2.0100601167875085E-2</v>
      </c>
      <c r="AI355" s="17">
        <v>100279200</v>
      </c>
      <c r="AO355" s="17">
        <v>332656400000</v>
      </c>
      <c r="AP355" s="17">
        <v>876385000000</v>
      </c>
      <c r="AQ355" s="17">
        <v>123705700000</v>
      </c>
      <c r="AR355" s="17">
        <f t="shared" si="48"/>
        <v>1000090700000</v>
      </c>
      <c r="AS355" s="17">
        <f t="shared" si="49"/>
        <v>1332747100000</v>
      </c>
      <c r="AT355" s="17">
        <v>35749430000</v>
      </c>
      <c r="BG355" s="15"/>
      <c r="BM355" s="17"/>
      <c r="BN355" s="17"/>
      <c r="BO355" s="17"/>
      <c r="BP355" s="17"/>
      <c r="BQ355" s="17"/>
      <c r="BW355" s="17"/>
    </row>
    <row r="356" spans="1:75" hidden="1" x14ac:dyDescent="0.25">
      <c r="A356" s="15" t="s">
        <v>691</v>
      </c>
      <c r="B356" s="15" t="s">
        <v>30</v>
      </c>
      <c r="C356" s="15">
        <v>2012</v>
      </c>
      <c r="D356" s="15" t="s">
        <v>692</v>
      </c>
      <c r="E356" s="15">
        <v>3570</v>
      </c>
      <c r="F356" s="15">
        <v>248883232</v>
      </c>
      <c r="G356" s="15" t="s">
        <v>88</v>
      </c>
      <c r="H356" s="15" t="s">
        <v>77</v>
      </c>
      <c r="I356" s="15" t="s">
        <v>693</v>
      </c>
      <c r="J356" s="15" t="s">
        <v>694</v>
      </c>
      <c r="K356" s="15" t="s">
        <v>46</v>
      </c>
      <c r="L356" s="15" t="s">
        <v>182</v>
      </c>
      <c r="M356" s="15" t="s">
        <v>309</v>
      </c>
      <c r="N356" s="15" t="s">
        <v>310</v>
      </c>
      <c r="O356" s="15" t="s">
        <v>502</v>
      </c>
      <c r="P356" s="15" t="s">
        <v>1864</v>
      </c>
      <c r="Q356" s="15" t="s">
        <v>1863</v>
      </c>
      <c r="R356" s="15" t="s">
        <v>1862</v>
      </c>
      <c r="S356" s="15" t="s">
        <v>695</v>
      </c>
      <c r="T356" s="15" t="s">
        <v>1868</v>
      </c>
      <c r="U356" s="15" t="s">
        <v>1867</v>
      </c>
      <c r="V356" s="15" t="s">
        <v>1865</v>
      </c>
      <c r="W356" s="15" t="s">
        <v>1866</v>
      </c>
      <c r="X356" s="15" t="s">
        <v>695</v>
      </c>
      <c r="Y356" s="17">
        <v>55856176</v>
      </c>
      <c r="Z356" s="17">
        <v>629418</v>
      </c>
      <c r="AA356" s="17">
        <v>48997</v>
      </c>
      <c r="AB356" s="17">
        <v>678415</v>
      </c>
      <c r="AC356" s="17">
        <f t="shared" si="47"/>
        <v>56534591</v>
      </c>
      <c r="AD356" s="17">
        <v>4968</v>
      </c>
      <c r="AE356" s="51">
        <f t="shared" si="43"/>
        <v>224.42723662476385</v>
      </c>
      <c r="AF356" s="51">
        <f t="shared" si="44"/>
        <v>2.7258365079412017</v>
      </c>
      <c r="AG356" s="51">
        <f t="shared" si="45"/>
        <v>227.15307313270506</v>
      </c>
      <c r="AH356" s="51">
        <f t="shared" si="46"/>
        <v>1.9961167974546393E-2</v>
      </c>
      <c r="AI356" s="17">
        <v>101835600</v>
      </c>
      <c r="AO356" s="17">
        <v>295112000000</v>
      </c>
      <c r="AP356" s="17">
        <v>798122000000</v>
      </c>
      <c r="AQ356" s="17">
        <v>112032500000</v>
      </c>
      <c r="AR356" s="17">
        <f t="shared" si="48"/>
        <v>910154500000</v>
      </c>
      <c r="AS356" s="17">
        <f t="shared" si="49"/>
        <v>1205266500000</v>
      </c>
      <c r="AT356" s="17">
        <v>33722960000</v>
      </c>
      <c r="BG356" s="15"/>
      <c r="BM356" s="17"/>
      <c r="BN356" s="17"/>
      <c r="BO356" s="17"/>
      <c r="BP356" s="17"/>
      <c r="BQ356" s="17"/>
      <c r="BW356" s="17"/>
    </row>
    <row r="357" spans="1:75" hidden="1" x14ac:dyDescent="0.25">
      <c r="A357" s="15" t="s">
        <v>691</v>
      </c>
      <c r="B357" s="15" t="s">
        <v>30</v>
      </c>
      <c r="C357" s="15">
        <v>2011</v>
      </c>
      <c r="D357" s="15" t="s">
        <v>692</v>
      </c>
      <c r="E357" s="15">
        <v>3000</v>
      </c>
      <c r="F357" s="15">
        <v>245707511</v>
      </c>
      <c r="G357" s="15" t="s">
        <v>88</v>
      </c>
      <c r="H357" s="15" t="s">
        <v>77</v>
      </c>
      <c r="I357" s="15" t="s">
        <v>693</v>
      </c>
      <c r="J357" s="15" t="s">
        <v>694</v>
      </c>
      <c r="K357" s="15" t="s">
        <v>46</v>
      </c>
      <c r="L357" s="15" t="s">
        <v>182</v>
      </c>
      <c r="M357" s="15" t="s">
        <v>309</v>
      </c>
      <c r="N357" s="15" t="s">
        <v>310</v>
      </c>
      <c r="O357" s="15" t="s">
        <v>502</v>
      </c>
      <c r="P357" s="15" t="s">
        <v>1864</v>
      </c>
      <c r="Q357" s="15" t="s">
        <v>1863</v>
      </c>
      <c r="R357" s="15" t="s">
        <v>1862</v>
      </c>
      <c r="S357" s="15" t="s">
        <v>695</v>
      </c>
      <c r="T357" s="15" t="s">
        <v>1868</v>
      </c>
      <c r="U357" s="15" t="s">
        <v>1867</v>
      </c>
      <c r="V357" s="15" t="s">
        <v>1865</v>
      </c>
      <c r="W357" s="15" t="s">
        <v>1866</v>
      </c>
      <c r="X357" s="15" t="s">
        <v>695</v>
      </c>
      <c r="Y357" s="17">
        <v>54206444</v>
      </c>
      <c r="Z357" s="17">
        <v>602195</v>
      </c>
      <c r="AA357" s="17">
        <v>44280</v>
      </c>
      <c r="AB357" s="17">
        <v>646475</v>
      </c>
      <c r="AC357" s="17">
        <f t="shared" si="47"/>
        <v>54852919</v>
      </c>
      <c r="AD357" s="17">
        <v>4952</v>
      </c>
      <c r="AE357" s="51">
        <f t="shared" si="43"/>
        <v>220.61370358352619</v>
      </c>
      <c r="AF357" s="51">
        <f t="shared" si="44"/>
        <v>2.6310754497040993</v>
      </c>
      <c r="AG357" s="51">
        <f t="shared" si="45"/>
        <v>223.24477903323029</v>
      </c>
      <c r="AH357" s="51">
        <f t="shared" si="46"/>
        <v>2.0154044049552886E-2</v>
      </c>
      <c r="AI357" s="17">
        <v>101027010</v>
      </c>
      <c r="AO357" s="17">
        <v>257938800000</v>
      </c>
      <c r="AP357" s="17">
        <v>740271000000</v>
      </c>
      <c r="AQ357" s="17">
        <v>100217000000</v>
      </c>
      <c r="AR357" s="17">
        <f t="shared" si="48"/>
        <v>840488000000</v>
      </c>
      <c r="AS357" s="17">
        <f t="shared" si="49"/>
        <v>1098426800000</v>
      </c>
      <c r="AT357" s="17">
        <v>31235140000</v>
      </c>
      <c r="BG357" s="15"/>
      <c r="BM357" s="17"/>
      <c r="BN357" s="17"/>
      <c r="BO357" s="17"/>
      <c r="BP357" s="17"/>
      <c r="BQ357" s="17"/>
      <c r="BW357" s="17"/>
    </row>
    <row r="358" spans="1:75" hidden="1" x14ac:dyDescent="0.25">
      <c r="A358" s="15" t="s">
        <v>691</v>
      </c>
      <c r="B358" s="15" t="s">
        <v>30</v>
      </c>
      <c r="C358" s="15">
        <v>2010</v>
      </c>
      <c r="D358" s="15" t="s">
        <v>692</v>
      </c>
      <c r="E358" s="15">
        <v>2520</v>
      </c>
      <c r="F358" s="15">
        <v>242524123</v>
      </c>
      <c r="G358" s="15" t="s">
        <v>88</v>
      </c>
      <c r="H358" s="15" t="s">
        <v>77</v>
      </c>
      <c r="I358" s="15" t="s">
        <v>693</v>
      </c>
      <c r="J358" s="15" t="s">
        <v>694</v>
      </c>
      <c r="K358" s="15" t="s">
        <v>46</v>
      </c>
      <c r="L358" s="15" t="s">
        <v>182</v>
      </c>
      <c r="M358" s="15" t="s">
        <v>309</v>
      </c>
      <c r="N358" s="15" t="s">
        <v>310</v>
      </c>
      <c r="O358" s="15" t="s">
        <v>502</v>
      </c>
      <c r="P358" s="15" t="s">
        <v>1864</v>
      </c>
      <c r="Q358" s="15" t="s">
        <v>1863</v>
      </c>
      <c r="R358" s="15" t="s">
        <v>1862</v>
      </c>
      <c r="S358" s="15" t="s">
        <v>695</v>
      </c>
      <c r="T358" s="15" t="s">
        <v>1868</v>
      </c>
      <c r="U358" s="15" t="s">
        <v>1867</v>
      </c>
      <c r="V358" s="15" t="s">
        <v>1865</v>
      </c>
      <c r="W358" s="15" t="s">
        <v>1866</v>
      </c>
      <c r="X358" s="15" t="s">
        <v>695</v>
      </c>
      <c r="Y358" s="17">
        <v>53504416</v>
      </c>
      <c r="Z358" s="17">
        <v>568397</v>
      </c>
      <c r="AA358" s="17">
        <v>42008</v>
      </c>
      <c r="AB358" s="17">
        <v>610405</v>
      </c>
      <c r="AC358" s="17">
        <f t="shared" si="47"/>
        <v>54114821</v>
      </c>
      <c r="AD358" s="17">
        <v>5150</v>
      </c>
      <c r="AE358" s="51">
        <f t="shared" si="43"/>
        <v>220.61482106668623</v>
      </c>
      <c r="AF358" s="51">
        <f t="shared" si="44"/>
        <v>2.5168836503740293</v>
      </c>
      <c r="AG358" s="51">
        <f t="shared" si="45"/>
        <v>223.13170471706025</v>
      </c>
      <c r="AH358" s="51">
        <f t="shared" si="46"/>
        <v>2.1235001022970403E-2</v>
      </c>
      <c r="AI358" s="17">
        <v>98278060</v>
      </c>
      <c r="AO358" s="17">
        <v>201154400000</v>
      </c>
      <c r="AP358" s="17">
        <v>596884000000</v>
      </c>
      <c r="AQ358" s="17">
        <v>80314600000</v>
      </c>
      <c r="AR358" s="17">
        <f t="shared" si="48"/>
        <v>677198600000</v>
      </c>
      <c r="AS358" s="17">
        <f t="shared" si="49"/>
        <v>878353000000</v>
      </c>
      <c r="AT358" s="17">
        <v>26571880000</v>
      </c>
      <c r="BG358" s="15"/>
      <c r="BM358" s="17"/>
      <c r="BN358" s="17"/>
      <c r="BO358" s="17"/>
      <c r="BP358" s="17"/>
      <c r="BQ358" s="17"/>
      <c r="BW358" s="17"/>
    </row>
    <row r="359" spans="1:75" hidden="1" x14ac:dyDescent="0.25">
      <c r="A359" s="15" t="s">
        <v>696</v>
      </c>
      <c r="B359" s="15" t="s">
        <v>30</v>
      </c>
      <c r="C359" s="15">
        <v>2016</v>
      </c>
      <c r="D359" s="15" t="s">
        <v>697</v>
      </c>
      <c r="E359" s="15">
        <v>5470</v>
      </c>
      <c r="F359" s="15">
        <v>80277428</v>
      </c>
      <c r="G359" s="15" t="s">
        <v>42</v>
      </c>
      <c r="H359" s="15" t="s">
        <v>58</v>
      </c>
      <c r="I359" s="15" t="s">
        <v>1641</v>
      </c>
      <c r="J359" s="15" t="s">
        <v>698</v>
      </c>
      <c r="K359" s="15" t="s">
        <v>401</v>
      </c>
      <c r="L359" s="15" t="s">
        <v>402</v>
      </c>
      <c r="M359" s="15" t="s">
        <v>402</v>
      </c>
      <c r="N359" s="15" t="s">
        <v>244</v>
      </c>
      <c r="O359" s="15"/>
      <c r="P359" s="15"/>
      <c r="Q359" s="15"/>
      <c r="R359" s="15"/>
      <c r="S359" s="15"/>
      <c r="T359" s="15"/>
      <c r="U359" s="15"/>
      <c r="V359" s="15"/>
      <c r="W359" s="15"/>
      <c r="X359" s="15"/>
      <c r="Y359" s="17">
        <v>1006204</v>
      </c>
      <c r="AB359" s="17">
        <v>136319</v>
      </c>
      <c r="AC359" s="17">
        <f>+AB359+Y359</f>
        <v>1142523</v>
      </c>
      <c r="AD359" s="17">
        <v>34534</v>
      </c>
      <c r="AE359" s="51">
        <f t="shared" si="43"/>
        <v>12.534083677917534</v>
      </c>
      <c r="AF359" s="51">
        <f t="shared" si="44"/>
        <v>1.6980987482558609</v>
      </c>
      <c r="AG359" s="51">
        <f t="shared" si="45"/>
        <v>14.232182426173395</v>
      </c>
      <c r="AH359" s="51">
        <f t="shared" si="46"/>
        <v>0.43018318922723831</v>
      </c>
      <c r="BG359" s="15"/>
      <c r="BM359" s="17"/>
      <c r="BN359" s="17"/>
      <c r="BO359" s="17"/>
      <c r="BP359" s="17"/>
      <c r="BQ359" s="17"/>
      <c r="BW359" s="17" t="s">
        <v>888</v>
      </c>
    </row>
    <row r="360" spans="1:75" hidden="1" x14ac:dyDescent="0.25">
      <c r="A360" s="15" t="s">
        <v>696</v>
      </c>
      <c r="B360" s="15" t="s">
        <v>30</v>
      </c>
      <c r="C360" s="15">
        <v>2015</v>
      </c>
      <c r="D360" s="15" t="s">
        <v>697</v>
      </c>
      <c r="E360" s="15">
        <v>5340</v>
      </c>
      <c r="F360" s="15">
        <v>79360487</v>
      </c>
      <c r="G360" s="15" t="s">
        <v>42</v>
      </c>
      <c r="H360" s="15" t="s">
        <v>58</v>
      </c>
      <c r="I360" s="15" t="s">
        <v>1641</v>
      </c>
      <c r="J360" s="15" t="s">
        <v>698</v>
      </c>
      <c r="K360" s="15" t="s">
        <v>401</v>
      </c>
      <c r="L360" s="15" t="s">
        <v>402</v>
      </c>
      <c r="M360" s="15" t="s">
        <v>402</v>
      </c>
      <c r="N360" s="15" t="s">
        <v>244</v>
      </c>
      <c r="O360" s="15"/>
      <c r="P360" s="15"/>
      <c r="Q360" s="15"/>
      <c r="R360" s="15"/>
      <c r="S360" s="15"/>
      <c r="T360" s="15"/>
      <c r="U360" s="15"/>
      <c r="V360" s="15"/>
      <c r="W360" s="15"/>
      <c r="X360" s="15"/>
      <c r="Y360" s="17">
        <v>998076</v>
      </c>
      <c r="AB360" s="17">
        <v>134736</v>
      </c>
      <c r="AC360" s="17">
        <f>+AB360+Y360</f>
        <v>1132812</v>
      </c>
      <c r="AD360" s="17">
        <v>34327</v>
      </c>
      <c r="AE360" s="51">
        <f t="shared" si="43"/>
        <v>12.576485323231447</v>
      </c>
      <c r="AF360" s="51">
        <f t="shared" si="44"/>
        <v>1.6977718395301684</v>
      </c>
      <c r="AG360" s="51">
        <f t="shared" si="45"/>
        <v>14.274257162761614</v>
      </c>
      <c r="AH360" s="51">
        <f t="shared" si="46"/>
        <v>0.43254522871060508</v>
      </c>
      <c r="BG360" s="15"/>
      <c r="BM360" s="17"/>
      <c r="BN360" s="17"/>
      <c r="BO360" s="17"/>
      <c r="BP360" s="17"/>
      <c r="BQ360" s="17"/>
      <c r="BW360" s="17" t="s">
        <v>888</v>
      </c>
    </row>
    <row r="361" spans="1:75" hidden="1" x14ac:dyDescent="0.25">
      <c r="A361" s="15" t="s">
        <v>699</v>
      </c>
      <c r="B361" s="15" t="s">
        <v>30</v>
      </c>
      <c r="C361" s="15">
        <v>2016</v>
      </c>
      <c r="D361" s="15" t="s">
        <v>700</v>
      </c>
      <c r="E361" s="15">
        <v>5420</v>
      </c>
      <c r="F361" s="15">
        <v>38274618</v>
      </c>
      <c r="G361" s="15" t="s">
        <v>42</v>
      </c>
      <c r="H361" s="15" t="s">
        <v>58</v>
      </c>
      <c r="I361" s="15" t="s">
        <v>701</v>
      </c>
      <c r="J361" s="15" t="s">
        <v>702</v>
      </c>
      <c r="K361" s="15"/>
      <c r="L361" s="15" t="s">
        <v>61</v>
      </c>
      <c r="M361" s="15" t="s">
        <v>379</v>
      </c>
      <c r="N361" s="15" t="s">
        <v>703</v>
      </c>
      <c r="O361" s="15"/>
      <c r="P361" s="15"/>
      <c r="Q361" s="15"/>
      <c r="R361" s="15"/>
      <c r="S361" s="15" t="s">
        <v>704</v>
      </c>
      <c r="T361" s="15"/>
      <c r="U361" s="15"/>
      <c r="V361" s="15"/>
      <c r="W361" s="15"/>
      <c r="X361" s="15" t="s">
        <v>704</v>
      </c>
      <c r="Z361" s="17">
        <v>25966</v>
      </c>
      <c r="AD361" s="17">
        <v>586</v>
      </c>
      <c r="AE361" s="51" t="str">
        <f t="shared" si="43"/>
        <v/>
      </c>
      <c r="AF361" s="51" t="str">
        <f t="shared" si="44"/>
        <v/>
      </c>
      <c r="AG361" s="51" t="str">
        <f t="shared" si="45"/>
        <v/>
      </c>
      <c r="AH361" s="51">
        <f t="shared" si="46"/>
        <v>1.5310407539534424E-2</v>
      </c>
      <c r="AJ361" s="17">
        <v>81920</v>
      </c>
      <c r="AN361" s="17">
        <v>117020</v>
      </c>
      <c r="AP361" s="17">
        <v>1053396000000</v>
      </c>
      <c r="AT361" s="17">
        <v>1839835000000</v>
      </c>
      <c r="AV361" s="15" t="s">
        <v>1642</v>
      </c>
      <c r="BG361" s="15"/>
      <c r="BM361" s="17"/>
      <c r="BN361" s="17"/>
      <c r="BO361" s="17"/>
      <c r="BP361" s="17"/>
      <c r="BQ361" s="17"/>
      <c r="BW361" s="17" t="s">
        <v>706</v>
      </c>
    </row>
    <row r="362" spans="1:75" hidden="1" x14ac:dyDescent="0.25">
      <c r="A362" s="15" t="s">
        <v>699</v>
      </c>
      <c r="B362" s="15" t="s">
        <v>30</v>
      </c>
      <c r="C362" s="15">
        <v>2015</v>
      </c>
      <c r="D362" s="15" t="s">
        <v>700</v>
      </c>
      <c r="E362" s="15">
        <v>5960</v>
      </c>
      <c r="F362" s="15">
        <v>36115649</v>
      </c>
      <c r="G362" s="15" t="s">
        <v>42</v>
      </c>
      <c r="H362" s="15" t="s">
        <v>58</v>
      </c>
      <c r="I362" s="15" t="s">
        <v>701</v>
      </c>
      <c r="J362" s="15" t="s">
        <v>702</v>
      </c>
      <c r="K362" s="15"/>
      <c r="L362" s="15" t="s">
        <v>61</v>
      </c>
      <c r="M362" s="15" t="s">
        <v>379</v>
      </c>
      <c r="N362" s="15" t="s">
        <v>703</v>
      </c>
      <c r="O362" s="15"/>
      <c r="P362" s="15"/>
      <c r="Q362" s="15"/>
      <c r="R362" s="15"/>
      <c r="S362" s="15" t="s">
        <v>704</v>
      </c>
      <c r="T362" s="15"/>
      <c r="U362" s="15"/>
      <c r="V362" s="15"/>
      <c r="W362" s="15"/>
      <c r="X362" s="15" t="s">
        <v>704</v>
      </c>
      <c r="Z362" s="17">
        <v>22480</v>
      </c>
      <c r="AA362" s="17">
        <v>120</v>
      </c>
      <c r="AC362" s="17">
        <v>22600</v>
      </c>
      <c r="AD362" s="17">
        <v>621</v>
      </c>
      <c r="AE362" s="51" t="str">
        <f t="shared" si="43"/>
        <v/>
      </c>
      <c r="AF362" s="51" t="str">
        <f t="shared" si="44"/>
        <v/>
      </c>
      <c r="AG362" s="51">
        <f t="shared" si="45"/>
        <v>0.62576751701180844</v>
      </c>
      <c r="AH362" s="51">
        <f t="shared" si="46"/>
        <v>1.7194762303731546E-2</v>
      </c>
      <c r="AJ362" s="17">
        <v>67157</v>
      </c>
      <c r="AK362" s="17">
        <v>1916</v>
      </c>
      <c r="AM362" s="17">
        <f>+AJ362+AK362</f>
        <v>69073</v>
      </c>
      <c r="AN362" s="17">
        <v>139224</v>
      </c>
      <c r="AP362" s="17">
        <v>845214000000</v>
      </c>
      <c r="AT362" s="17">
        <v>1963860000000</v>
      </c>
      <c r="AV362" s="15" t="s">
        <v>1642</v>
      </c>
      <c r="BG362" s="15"/>
      <c r="BM362" s="17"/>
      <c r="BN362" s="17"/>
      <c r="BO362" s="17"/>
      <c r="BP362" s="17"/>
      <c r="BQ362" s="17"/>
      <c r="BW362" s="17" t="s">
        <v>706</v>
      </c>
    </row>
    <row r="363" spans="1:75" hidden="1" x14ac:dyDescent="0.25">
      <c r="A363" s="15" t="s">
        <v>699</v>
      </c>
      <c r="B363" s="15" t="s">
        <v>30</v>
      </c>
      <c r="C363" s="15">
        <v>2014</v>
      </c>
      <c r="D363" s="15" t="s">
        <v>700</v>
      </c>
      <c r="E363" s="15">
        <v>6720</v>
      </c>
      <c r="F363" s="15">
        <v>35006080</v>
      </c>
      <c r="G363" s="15" t="s">
        <v>42</v>
      </c>
      <c r="H363" s="15" t="s">
        <v>58</v>
      </c>
      <c r="I363" s="15" t="s">
        <v>701</v>
      </c>
      <c r="J363" s="15" t="s">
        <v>702</v>
      </c>
      <c r="K363" s="15"/>
      <c r="L363" s="15" t="s">
        <v>61</v>
      </c>
      <c r="M363" s="15" t="s">
        <v>379</v>
      </c>
      <c r="N363" s="15" t="s">
        <v>703</v>
      </c>
      <c r="O363" s="15"/>
      <c r="P363" s="15"/>
      <c r="Q363" s="15"/>
      <c r="R363" s="15"/>
      <c r="S363" s="15" t="s">
        <v>704</v>
      </c>
      <c r="T363" s="15"/>
      <c r="U363" s="15"/>
      <c r="V363" s="15"/>
      <c r="W363" s="15"/>
      <c r="X363" s="15" t="s">
        <v>704</v>
      </c>
      <c r="Z363" s="17">
        <v>21809</v>
      </c>
      <c r="AA363" s="17">
        <v>226</v>
      </c>
      <c r="AC363" s="17">
        <v>22035</v>
      </c>
      <c r="AD363" s="17">
        <v>609</v>
      </c>
      <c r="AE363" s="51" t="str">
        <f t="shared" si="43"/>
        <v/>
      </c>
      <c r="AF363" s="51" t="str">
        <f t="shared" si="44"/>
        <v/>
      </c>
      <c r="AG363" s="51">
        <f t="shared" si="45"/>
        <v>0.62946208201546705</v>
      </c>
      <c r="AH363" s="51">
        <f t="shared" si="46"/>
        <v>1.7396977896411137E-2</v>
      </c>
      <c r="AJ363" s="17">
        <v>84272</v>
      </c>
      <c r="AK363" s="17">
        <v>3525</v>
      </c>
      <c r="AM363" s="17">
        <f>+AJ363+AK363</f>
        <v>87797</v>
      </c>
      <c r="AN363" s="17">
        <v>130487</v>
      </c>
      <c r="AP363" s="17">
        <v>992510000000</v>
      </c>
      <c r="AQ363" s="17">
        <v>51300000000</v>
      </c>
      <c r="AS363" s="17">
        <v>1043810000000</v>
      </c>
      <c r="AT363" s="17">
        <v>2218729000000</v>
      </c>
      <c r="AV363" s="15" t="s">
        <v>1642</v>
      </c>
      <c r="BG363" s="15"/>
      <c r="BM363" s="17"/>
      <c r="BN363" s="17"/>
      <c r="BO363" s="17"/>
      <c r="BP363" s="17"/>
      <c r="BQ363" s="17"/>
      <c r="BW363" s="17" t="s">
        <v>706</v>
      </c>
    </row>
    <row r="364" spans="1:75" hidden="1" x14ac:dyDescent="0.25">
      <c r="A364" s="15" t="s">
        <v>707</v>
      </c>
      <c r="B364" s="15" t="s">
        <v>30</v>
      </c>
      <c r="C364" s="15">
        <v>2016</v>
      </c>
      <c r="D364" s="15" t="s">
        <v>708</v>
      </c>
      <c r="E364" s="17">
        <v>53110</v>
      </c>
      <c r="F364" s="17">
        <v>4755335</v>
      </c>
      <c r="G364" s="15" t="s">
        <v>109</v>
      </c>
      <c r="H364" s="15" t="s">
        <v>43</v>
      </c>
      <c r="I364" s="15" t="s">
        <v>1857</v>
      </c>
      <c r="J364" s="15" t="s">
        <v>189</v>
      </c>
      <c r="K364" s="15" t="s">
        <v>190</v>
      </c>
      <c r="L364" s="15" t="s">
        <v>48</v>
      </c>
      <c r="M364" s="15" t="s">
        <v>62</v>
      </c>
      <c r="N364" s="15" t="s">
        <v>63</v>
      </c>
      <c r="O364" s="15"/>
      <c r="P364" s="15"/>
      <c r="Q364" s="15"/>
      <c r="R364" s="15"/>
      <c r="S364" s="15" t="s">
        <v>55</v>
      </c>
      <c r="T364" s="15"/>
      <c r="U364" s="15"/>
      <c r="V364" s="15"/>
      <c r="W364" s="15"/>
      <c r="X364" s="15" t="s">
        <v>55</v>
      </c>
      <c r="Y364" s="17">
        <v>225257</v>
      </c>
      <c r="Z364" s="17">
        <v>5982</v>
      </c>
      <c r="AE364" s="51">
        <f t="shared" si="43"/>
        <v>47.369323086596424</v>
      </c>
      <c r="AF364" s="51" t="str">
        <f t="shared" si="44"/>
        <v/>
      </c>
      <c r="AG364" s="51" t="str">
        <f t="shared" si="45"/>
        <v/>
      </c>
      <c r="AH364" s="51" t="str">
        <f t="shared" si="46"/>
        <v/>
      </c>
      <c r="AI364" s="17">
        <v>385367</v>
      </c>
      <c r="AO364" s="17">
        <v>34329100000</v>
      </c>
      <c r="AU364" s="15" t="s">
        <v>191</v>
      </c>
      <c r="AV364" s="15" t="s">
        <v>189</v>
      </c>
      <c r="BG364" s="15"/>
      <c r="BM364" s="17"/>
      <c r="BN364" s="17"/>
      <c r="BO364" s="17"/>
      <c r="BP364" s="17"/>
      <c r="BQ364" s="17"/>
      <c r="BW364" s="17" t="s">
        <v>1760</v>
      </c>
    </row>
    <row r="365" spans="1:75" hidden="1" x14ac:dyDescent="0.25">
      <c r="A365" s="15" t="s">
        <v>707</v>
      </c>
      <c r="B365" s="15" t="s">
        <v>30</v>
      </c>
      <c r="C365" s="15">
        <v>2015</v>
      </c>
      <c r="D365" s="15" t="s">
        <v>708</v>
      </c>
      <c r="E365" s="15">
        <v>51850</v>
      </c>
      <c r="F365" s="15">
        <v>4701957</v>
      </c>
      <c r="G365" s="15" t="s">
        <v>109</v>
      </c>
      <c r="H365" s="15" t="s">
        <v>43</v>
      </c>
      <c r="I365" s="15" t="s">
        <v>1857</v>
      </c>
      <c r="J365" s="15" t="s">
        <v>189</v>
      </c>
      <c r="K365" s="15" t="s">
        <v>190</v>
      </c>
      <c r="L365" s="15" t="s">
        <v>48</v>
      </c>
      <c r="M365" s="15" t="s">
        <v>62</v>
      </c>
      <c r="N365" s="15" t="s">
        <v>63</v>
      </c>
      <c r="O365" s="15"/>
      <c r="P365" s="15"/>
      <c r="Q365" s="15"/>
      <c r="R365" s="15"/>
      <c r="S365" s="15" t="s">
        <v>55</v>
      </c>
      <c r="T365" s="15"/>
      <c r="U365" s="15"/>
      <c r="V365" s="15"/>
      <c r="W365" s="15"/>
      <c r="X365" s="15" t="s">
        <v>55</v>
      </c>
      <c r="Y365" s="17">
        <v>224742</v>
      </c>
      <c r="Z365" s="17">
        <v>5514</v>
      </c>
      <c r="AE365" s="51">
        <f t="shared" si="43"/>
        <v>47.797544724462597</v>
      </c>
      <c r="AF365" s="51" t="str">
        <f t="shared" si="44"/>
        <v/>
      </c>
      <c r="AG365" s="51" t="str">
        <f t="shared" si="45"/>
        <v/>
      </c>
      <c r="AH365" s="51" t="str">
        <f t="shared" si="46"/>
        <v/>
      </c>
      <c r="AI365" s="17">
        <v>379072</v>
      </c>
      <c r="AO365" s="17">
        <v>32763900000</v>
      </c>
      <c r="AU365" s="15" t="s">
        <v>191</v>
      </c>
      <c r="AV365" s="15" t="s">
        <v>189</v>
      </c>
      <c r="BG365" s="15"/>
      <c r="BM365" s="17"/>
      <c r="BN365" s="17"/>
      <c r="BO365" s="17"/>
      <c r="BP365" s="17"/>
      <c r="BQ365" s="17"/>
      <c r="BW365" s="17" t="s">
        <v>1761</v>
      </c>
    </row>
    <row r="366" spans="1:75" hidden="1" x14ac:dyDescent="0.25">
      <c r="A366" s="15" t="s">
        <v>707</v>
      </c>
      <c r="B366" s="15" t="s">
        <v>30</v>
      </c>
      <c r="C366" s="15">
        <v>2014</v>
      </c>
      <c r="D366" s="15" t="s">
        <v>708</v>
      </c>
      <c r="E366" s="15">
        <v>46840</v>
      </c>
      <c r="F366" s="15">
        <v>4657740</v>
      </c>
      <c r="G366" s="15" t="s">
        <v>109</v>
      </c>
      <c r="H366" s="15" t="s">
        <v>43</v>
      </c>
      <c r="I366" s="15" t="s">
        <v>1857</v>
      </c>
      <c r="J366" s="15" t="s">
        <v>189</v>
      </c>
      <c r="K366" s="15" t="s">
        <v>190</v>
      </c>
      <c r="L366" s="15" t="s">
        <v>48</v>
      </c>
      <c r="M366" s="15" t="s">
        <v>62</v>
      </c>
      <c r="N366" s="15" t="s">
        <v>63</v>
      </c>
      <c r="O366" s="15"/>
      <c r="P366" s="15"/>
      <c r="Q366" s="15"/>
      <c r="R366" s="15"/>
      <c r="S366" s="15" t="s">
        <v>55</v>
      </c>
      <c r="T366" s="15"/>
      <c r="U366" s="15"/>
      <c r="V366" s="15"/>
      <c r="W366" s="15"/>
      <c r="X366" s="15" t="s">
        <v>55</v>
      </c>
      <c r="Y366" s="17">
        <v>215475</v>
      </c>
      <c r="AA366" s="17">
        <v>2523</v>
      </c>
      <c r="AC366" s="17">
        <f>233174-AD366</f>
        <v>232726</v>
      </c>
      <c r="AD366" s="17">
        <v>448</v>
      </c>
      <c r="AE366" s="51">
        <f t="shared" si="43"/>
        <v>46.261706321091346</v>
      </c>
      <c r="AF366" s="51" t="str">
        <f t="shared" si="44"/>
        <v/>
      </c>
      <c r="AG366" s="51">
        <f t="shared" si="45"/>
        <v>49.965433879950361</v>
      </c>
      <c r="AH366" s="51">
        <f t="shared" si="46"/>
        <v>9.6183986225079107E-2</v>
      </c>
      <c r="AI366" s="17">
        <v>365676</v>
      </c>
      <c r="AK366" s="17">
        <v>243673</v>
      </c>
      <c r="AN366" s="17">
        <v>348931</v>
      </c>
      <c r="AO366" s="17">
        <v>27707200000</v>
      </c>
      <c r="AQ366" s="17">
        <v>14516800000</v>
      </c>
      <c r="AT366" s="17">
        <v>60228700000</v>
      </c>
      <c r="BG366" s="15"/>
      <c r="BM366" s="17"/>
      <c r="BN366" s="17"/>
      <c r="BO366" s="17"/>
      <c r="BP366" s="17"/>
      <c r="BQ366" s="17"/>
      <c r="BW366" s="17"/>
    </row>
    <row r="367" spans="1:75" hidden="1" x14ac:dyDescent="0.25">
      <c r="A367" s="15" t="s">
        <v>707</v>
      </c>
      <c r="B367" s="15" t="s">
        <v>52</v>
      </c>
      <c r="C367" s="15">
        <v>2016</v>
      </c>
      <c r="D367" s="15" t="s">
        <v>708</v>
      </c>
      <c r="E367" s="15">
        <v>53910</v>
      </c>
      <c r="F367" s="15">
        <v>4813608</v>
      </c>
      <c r="G367" s="15" t="s">
        <v>109</v>
      </c>
      <c r="H367" s="15" t="s">
        <v>43</v>
      </c>
      <c r="I367" s="15" t="s">
        <v>1762</v>
      </c>
      <c r="J367" s="15" t="s">
        <v>271</v>
      </c>
      <c r="K367" s="15" t="s">
        <v>190</v>
      </c>
      <c r="L367" s="15" t="s">
        <v>48</v>
      </c>
      <c r="M367" s="15" t="s">
        <v>62</v>
      </c>
      <c r="N367" s="15" t="s">
        <v>63</v>
      </c>
      <c r="O367" s="15"/>
      <c r="P367" s="15"/>
      <c r="Q367" s="15"/>
      <c r="R367" s="15"/>
      <c r="S367" s="15" t="s">
        <v>55</v>
      </c>
      <c r="T367" s="15"/>
      <c r="U367" s="15"/>
      <c r="V367" s="15"/>
      <c r="W367" s="15"/>
      <c r="X367" s="15" t="s">
        <v>55</v>
      </c>
      <c r="AE367" s="51" t="str">
        <f t="shared" si="43"/>
        <v/>
      </c>
      <c r="AF367" s="51" t="str">
        <f t="shared" si="44"/>
        <v/>
      </c>
      <c r="AG367" s="51" t="str">
        <f t="shared" si="45"/>
        <v/>
      </c>
      <c r="AH367" s="51" t="str">
        <f t="shared" si="46"/>
        <v/>
      </c>
      <c r="BE367" s="16">
        <v>16110000000</v>
      </c>
      <c r="BF367" s="42">
        <v>0.57540000000000002</v>
      </c>
      <c r="BK367" s="21" t="s">
        <v>709</v>
      </c>
      <c r="BM367" s="17"/>
      <c r="BN367" s="17"/>
      <c r="BO367" s="17"/>
      <c r="BP367" s="17"/>
      <c r="BQ367" s="17"/>
      <c r="BW367" s="17"/>
    </row>
    <row r="368" spans="1:75" hidden="1" x14ac:dyDescent="0.25">
      <c r="A368" s="15" t="s">
        <v>707</v>
      </c>
      <c r="B368" s="15" t="s">
        <v>52</v>
      </c>
      <c r="C368" s="15">
        <v>2015</v>
      </c>
      <c r="D368" s="15" t="s">
        <v>708</v>
      </c>
      <c r="E368" s="15">
        <v>51850</v>
      </c>
      <c r="F368" s="15">
        <v>4701957</v>
      </c>
      <c r="G368" s="15" t="s">
        <v>109</v>
      </c>
      <c r="H368" s="15" t="s">
        <v>43</v>
      </c>
      <c r="I368" s="15" t="s">
        <v>1762</v>
      </c>
      <c r="J368" s="15" t="s">
        <v>271</v>
      </c>
      <c r="K368" s="15" t="s">
        <v>190</v>
      </c>
      <c r="L368" s="15" t="s">
        <v>48</v>
      </c>
      <c r="M368" s="15" t="s">
        <v>62</v>
      </c>
      <c r="N368" s="15" t="s">
        <v>63</v>
      </c>
      <c r="O368" s="15"/>
      <c r="P368" s="15"/>
      <c r="Q368" s="15"/>
      <c r="R368" s="15"/>
      <c r="S368" s="15" t="s">
        <v>55</v>
      </c>
      <c r="T368" s="15"/>
      <c r="U368" s="15"/>
      <c r="V368" s="15"/>
      <c r="W368" s="15"/>
      <c r="X368" s="15" t="s">
        <v>55</v>
      </c>
      <c r="AE368" s="51" t="str">
        <f t="shared" si="43"/>
        <v/>
      </c>
      <c r="AF368" s="51" t="str">
        <f t="shared" si="44"/>
        <v/>
      </c>
      <c r="AG368" s="51" t="str">
        <f t="shared" si="45"/>
        <v/>
      </c>
      <c r="AH368" s="51" t="str">
        <f t="shared" si="46"/>
        <v/>
      </c>
      <c r="BE368" s="16">
        <v>19310000000</v>
      </c>
      <c r="BF368" s="42">
        <v>0.64780000000000004</v>
      </c>
      <c r="BK368" s="21" t="s">
        <v>710</v>
      </c>
      <c r="BM368" s="17"/>
      <c r="BN368" s="17"/>
      <c r="BO368" s="17"/>
      <c r="BP368" s="17"/>
      <c r="BQ368" s="17"/>
      <c r="BW368" s="17"/>
    </row>
    <row r="369" spans="1:75" hidden="1" x14ac:dyDescent="0.25">
      <c r="A369" s="15" t="s">
        <v>707</v>
      </c>
      <c r="B369" s="15" t="s">
        <v>52</v>
      </c>
      <c r="C369" s="15">
        <v>2014</v>
      </c>
      <c r="D369" s="15" t="s">
        <v>708</v>
      </c>
      <c r="E369" s="15">
        <v>46840</v>
      </c>
      <c r="F369" s="15">
        <v>4657740</v>
      </c>
      <c r="G369" s="15" t="s">
        <v>109</v>
      </c>
      <c r="H369" s="15" t="s">
        <v>43</v>
      </c>
      <c r="I369" s="15" t="s">
        <v>1762</v>
      </c>
      <c r="J369" s="15" t="s">
        <v>271</v>
      </c>
      <c r="K369" s="15" t="s">
        <v>190</v>
      </c>
      <c r="L369" s="15" t="s">
        <v>48</v>
      </c>
      <c r="M369" s="15" t="s">
        <v>62</v>
      </c>
      <c r="N369" s="15" t="s">
        <v>63</v>
      </c>
      <c r="O369" s="15"/>
      <c r="P369" s="15"/>
      <c r="Q369" s="15"/>
      <c r="R369" s="15"/>
      <c r="S369" s="15" t="s">
        <v>55</v>
      </c>
      <c r="T369" s="15"/>
      <c r="U369" s="15"/>
      <c r="V369" s="15"/>
      <c r="W369" s="15"/>
      <c r="X369" s="15" t="s">
        <v>55</v>
      </c>
      <c r="AE369" s="51" t="str">
        <f t="shared" si="43"/>
        <v/>
      </c>
      <c r="AF369" s="51" t="str">
        <f t="shared" si="44"/>
        <v/>
      </c>
      <c r="AG369" s="51" t="str">
        <f t="shared" si="45"/>
        <v/>
      </c>
      <c r="AH369" s="51" t="str">
        <f t="shared" si="46"/>
        <v/>
      </c>
      <c r="BE369" s="16">
        <v>21400000000</v>
      </c>
      <c r="BF369" s="42">
        <v>0.67320000000000002</v>
      </c>
      <c r="BK369" s="21" t="s">
        <v>711</v>
      </c>
      <c r="BM369" s="17"/>
      <c r="BN369" s="17"/>
      <c r="BO369" s="17"/>
      <c r="BP369" s="17"/>
      <c r="BQ369" s="17"/>
      <c r="BW369" s="17"/>
    </row>
    <row r="370" spans="1:75" hidden="1" x14ac:dyDescent="0.25">
      <c r="A370" s="15" t="s">
        <v>707</v>
      </c>
      <c r="B370" s="15" t="s">
        <v>52</v>
      </c>
      <c r="C370" s="15">
        <v>2013</v>
      </c>
      <c r="D370" s="15" t="s">
        <v>708</v>
      </c>
      <c r="E370" s="15">
        <v>44020</v>
      </c>
      <c r="F370" s="15">
        <v>4623816</v>
      </c>
      <c r="G370" s="15" t="s">
        <v>109</v>
      </c>
      <c r="H370" s="15" t="s">
        <v>43</v>
      </c>
      <c r="I370" s="15" t="s">
        <v>1762</v>
      </c>
      <c r="J370" s="15" t="s">
        <v>271</v>
      </c>
      <c r="K370" s="15" t="s">
        <v>190</v>
      </c>
      <c r="L370" s="15" t="s">
        <v>48</v>
      </c>
      <c r="M370" s="15" t="s">
        <v>62</v>
      </c>
      <c r="N370" s="15" t="s">
        <v>63</v>
      </c>
      <c r="O370" s="15"/>
      <c r="P370" s="15"/>
      <c r="Q370" s="15"/>
      <c r="R370" s="15"/>
      <c r="S370" s="15" t="s">
        <v>55</v>
      </c>
      <c r="T370" s="15"/>
      <c r="U370" s="15"/>
      <c r="V370" s="15"/>
      <c r="W370" s="15"/>
      <c r="X370" s="15" t="s">
        <v>55</v>
      </c>
      <c r="AE370" s="51" t="str">
        <f t="shared" si="43"/>
        <v/>
      </c>
      <c r="AF370" s="51" t="str">
        <f t="shared" si="44"/>
        <v/>
      </c>
      <c r="AG370" s="51" t="str">
        <f t="shared" si="45"/>
        <v/>
      </c>
      <c r="AH370" s="51" t="str">
        <f t="shared" si="46"/>
        <v/>
      </c>
      <c r="BE370" s="16">
        <v>21400000000</v>
      </c>
      <c r="BF370" s="42">
        <v>0.66890000000000005</v>
      </c>
      <c r="BK370" s="21" t="s">
        <v>712</v>
      </c>
      <c r="BM370" s="17"/>
      <c r="BN370" s="17"/>
      <c r="BO370" s="17"/>
      <c r="BP370" s="17"/>
      <c r="BQ370" s="17"/>
      <c r="BW370" s="17"/>
    </row>
    <row r="371" spans="1:75" hidden="1" x14ac:dyDescent="0.25">
      <c r="A371" s="15" t="s">
        <v>707</v>
      </c>
      <c r="B371" s="15" t="s">
        <v>52</v>
      </c>
      <c r="C371" s="15">
        <v>2012</v>
      </c>
      <c r="D371" s="15" t="s">
        <v>708</v>
      </c>
      <c r="E371" s="15">
        <v>41600</v>
      </c>
      <c r="F371" s="15">
        <v>4599533</v>
      </c>
      <c r="G371" s="15" t="s">
        <v>109</v>
      </c>
      <c r="H371" s="15" t="s">
        <v>43</v>
      </c>
      <c r="I371" s="15" t="s">
        <v>1762</v>
      </c>
      <c r="J371" s="15" t="s">
        <v>271</v>
      </c>
      <c r="K371" s="15" t="s">
        <v>190</v>
      </c>
      <c r="L371" s="15" t="s">
        <v>48</v>
      </c>
      <c r="M371" s="15" t="s">
        <v>62</v>
      </c>
      <c r="N371" s="15" t="s">
        <v>63</v>
      </c>
      <c r="O371" s="15"/>
      <c r="P371" s="15"/>
      <c r="Q371" s="15"/>
      <c r="R371" s="15"/>
      <c r="S371" s="15" t="s">
        <v>55</v>
      </c>
      <c r="T371" s="15"/>
      <c r="U371" s="15"/>
      <c r="V371" s="15"/>
      <c r="W371" s="15"/>
      <c r="X371" s="15" t="s">
        <v>55</v>
      </c>
      <c r="AE371" s="51" t="str">
        <f t="shared" si="43"/>
        <v/>
      </c>
      <c r="AF371" s="51" t="str">
        <f t="shared" si="44"/>
        <v/>
      </c>
      <c r="AG371" s="51" t="str">
        <f t="shared" si="45"/>
        <v/>
      </c>
      <c r="AH371" s="51" t="str">
        <f t="shared" si="46"/>
        <v/>
      </c>
      <c r="BE371" s="16">
        <v>24520000000</v>
      </c>
      <c r="BF371" s="42">
        <v>0.67510000000000003</v>
      </c>
      <c r="BK371" s="21" t="s">
        <v>713</v>
      </c>
      <c r="BM371" s="17"/>
      <c r="BN371" s="17"/>
      <c r="BO371" s="17"/>
      <c r="BP371" s="17"/>
      <c r="BQ371" s="17"/>
      <c r="BW371" s="17"/>
    </row>
    <row r="372" spans="1:75" hidden="1" x14ac:dyDescent="0.25">
      <c r="A372" s="15" t="s">
        <v>707</v>
      </c>
      <c r="B372" s="15" t="s">
        <v>52</v>
      </c>
      <c r="C372" s="15">
        <v>2011</v>
      </c>
      <c r="D372" s="15" t="s">
        <v>708</v>
      </c>
      <c r="E372" s="15">
        <v>43120</v>
      </c>
      <c r="F372" s="15">
        <v>4580084</v>
      </c>
      <c r="G372" s="15" t="s">
        <v>109</v>
      </c>
      <c r="H372" s="15" t="s">
        <v>43</v>
      </c>
      <c r="I372" s="15" t="s">
        <v>1762</v>
      </c>
      <c r="J372" s="15" t="s">
        <v>271</v>
      </c>
      <c r="K372" s="15" t="s">
        <v>190</v>
      </c>
      <c r="L372" s="15" t="s">
        <v>48</v>
      </c>
      <c r="M372" s="15" t="s">
        <v>62</v>
      </c>
      <c r="N372" s="15" t="s">
        <v>63</v>
      </c>
      <c r="O372" s="15"/>
      <c r="P372" s="15"/>
      <c r="Q372" s="15"/>
      <c r="R372" s="15"/>
      <c r="S372" s="15" t="s">
        <v>55</v>
      </c>
      <c r="T372" s="15"/>
      <c r="U372" s="15"/>
      <c r="V372" s="15"/>
      <c r="W372" s="15"/>
      <c r="X372" s="15" t="s">
        <v>55</v>
      </c>
      <c r="AE372" s="51" t="str">
        <f t="shared" si="43"/>
        <v/>
      </c>
      <c r="AF372" s="51" t="str">
        <f t="shared" si="44"/>
        <v/>
      </c>
      <c r="AG372" s="51" t="str">
        <f t="shared" si="45"/>
        <v/>
      </c>
      <c r="AH372" s="51" t="str">
        <f t="shared" si="46"/>
        <v/>
      </c>
      <c r="BE372" s="16">
        <v>25700000000</v>
      </c>
      <c r="BF372" s="43">
        <v>0.67820000000000003</v>
      </c>
      <c r="BK372" s="21">
        <v>0.1769</v>
      </c>
      <c r="BM372" s="17"/>
      <c r="BN372" s="17"/>
      <c r="BO372" s="17"/>
      <c r="BP372" s="17"/>
      <c r="BQ372" s="17"/>
      <c r="BW372" s="17"/>
    </row>
    <row r="373" spans="1:75" hidden="1" x14ac:dyDescent="0.25">
      <c r="A373" s="15" t="s">
        <v>714</v>
      </c>
      <c r="B373" s="15" t="s">
        <v>30</v>
      </c>
      <c r="C373" s="15">
        <v>2016</v>
      </c>
      <c r="D373" s="15" t="s">
        <v>715</v>
      </c>
      <c r="E373" s="15">
        <v>36460</v>
      </c>
      <c r="F373" s="15">
        <v>8546000</v>
      </c>
      <c r="G373" s="15" t="s">
        <v>109</v>
      </c>
      <c r="H373" s="15" t="s">
        <v>58</v>
      </c>
      <c r="I373" s="15" t="s">
        <v>1681</v>
      </c>
      <c r="J373" s="15" t="s">
        <v>1680</v>
      </c>
      <c r="K373" s="15" t="s">
        <v>181</v>
      </c>
      <c r="L373" s="15" t="s">
        <v>182</v>
      </c>
      <c r="M373" s="15" t="s">
        <v>601</v>
      </c>
      <c r="N373" s="15" t="s">
        <v>37</v>
      </c>
      <c r="O373" s="15"/>
      <c r="P373" s="15"/>
      <c r="Q373" s="15"/>
      <c r="R373" s="15"/>
      <c r="S373" s="15" t="s">
        <v>1689</v>
      </c>
      <c r="T373" s="15"/>
      <c r="U373" s="15"/>
      <c r="V373" s="15"/>
      <c r="W373" s="15"/>
      <c r="X373" s="15" t="s">
        <v>1689</v>
      </c>
      <c r="Y373" s="17">
        <v>475837</v>
      </c>
      <c r="Z373" s="17">
        <v>66602</v>
      </c>
      <c r="AA373" s="17">
        <v>19049</v>
      </c>
      <c r="AB373" s="17">
        <f>+Z373+AA373</f>
        <v>85651</v>
      </c>
      <c r="AC373" s="17">
        <f>+AB373+Y373</f>
        <v>561488</v>
      </c>
      <c r="AD373" s="17">
        <v>4028</v>
      </c>
      <c r="AE373" s="51">
        <f t="shared" si="43"/>
        <v>55.679499180903349</v>
      </c>
      <c r="AF373" s="51">
        <f t="shared" si="44"/>
        <v>10.022349637257197</v>
      </c>
      <c r="AG373" s="51">
        <f t="shared" si="45"/>
        <v>65.701848818160542</v>
      </c>
      <c r="AH373" s="51">
        <f t="shared" si="46"/>
        <v>0.47133161713082145</v>
      </c>
      <c r="AI373" s="17">
        <v>353800</v>
      </c>
      <c r="AJ373" s="17">
        <v>591000</v>
      </c>
      <c r="AK373" s="17">
        <v>750100</v>
      </c>
      <c r="AL373" s="17">
        <v>1341100</v>
      </c>
      <c r="AM373" s="17">
        <v>1694899.9999999998</v>
      </c>
      <c r="AN373" s="17">
        <v>2099000</v>
      </c>
      <c r="BG373" s="15"/>
      <c r="BM373" s="17"/>
      <c r="BN373" s="17"/>
      <c r="BO373" s="17"/>
      <c r="BP373" s="17"/>
      <c r="BQ373" s="17"/>
      <c r="BW373" s="17" t="s">
        <v>1679</v>
      </c>
    </row>
    <row r="374" spans="1:75" hidden="1" x14ac:dyDescent="0.25">
      <c r="A374" s="15" t="s">
        <v>714</v>
      </c>
      <c r="B374" s="15" t="s">
        <v>30</v>
      </c>
      <c r="C374" s="15">
        <v>2015</v>
      </c>
      <c r="D374" s="15" t="s">
        <v>715</v>
      </c>
      <c r="E374" s="15">
        <v>36160</v>
      </c>
      <c r="F374" s="15">
        <v>8380100</v>
      </c>
      <c r="G374" s="15" t="s">
        <v>109</v>
      </c>
      <c r="H374" s="15" t="s">
        <v>58</v>
      </c>
      <c r="I374" s="15" t="s">
        <v>1681</v>
      </c>
      <c r="J374" s="15" t="s">
        <v>1680</v>
      </c>
      <c r="K374" s="15" t="s">
        <v>181</v>
      </c>
      <c r="L374" s="15" t="s">
        <v>182</v>
      </c>
      <c r="M374" s="15" t="s">
        <v>601</v>
      </c>
      <c r="N374" s="15" t="s">
        <v>37</v>
      </c>
      <c r="O374" s="15"/>
      <c r="P374" s="15"/>
      <c r="Q374" s="15"/>
      <c r="R374" s="15"/>
      <c r="S374" s="15" t="s">
        <v>1689</v>
      </c>
      <c r="T374" s="15"/>
      <c r="U374" s="15"/>
      <c r="V374" s="15"/>
      <c r="W374" s="15"/>
      <c r="X374" s="15" t="s">
        <v>1689</v>
      </c>
      <c r="Y374" s="17">
        <v>461316</v>
      </c>
      <c r="Z374" s="17">
        <v>64022</v>
      </c>
      <c r="AA374" s="17">
        <v>18354</v>
      </c>
      <c r="AB374" s="17">
        <v>82376</v>
      </c>
      <c r="AC374" s="17">
        <v>543692</v>
      </c>
      <c r="AD374" s="17">
        <v>3899</v>
      </c>
      <c r="AE374" s="51">
        <f t="shared" si="43"/>
        <v>55.048985095643253</v>
      </c>
      <c r="AF374" s="51">
        <f t="shared" si="44"/>
        <v>9.8299542964881077</v>
      </c>
      <c r="AG374" s="51">
        <f t="shared" si="45"/>
        <v>64.878939392131372</v>
      </c>
      <c r="AH374" s="51">
        <f t="shared" si="46"/>
        <v>0.4652689108721853</v>
      </c>
      <c r="AI374" s="17">
        <v>341300</v>
      </c>
      <c r="AJ374" s="17">
        <v>567200</v>
      </c>
      <c r="AK374" s="17">
        <v>726099.99999999988</v>
      </c>
      <c r="AL374" s="17">
        <v>1293300</v>
      </c>
      <c r="AM374" s="17">
        <v>1634600</v>
      </c>
      <c r="AN374" s="17">
        <v>2021600</v>
      </c>
      <c r="BG374" s="15"/>
      <c r="BM374" s="17"/>
      <c r="BN374" s="17"/>
      <c r="BO374" s="17"/>
      <c r="BP374" s="17"/>
      <c r="BQ374" s="17"/>
      <c r="BW374" s="17" t="s">
        <v>1679</v>
      </c>
    </row>
    <row r="375" spans="1:75" hidden="1" x14ac:dyDescent="0.25">
      <c r="A375" s="15" t="s">
        <v>714</v>
      </c>
      <c r="B375" s="15" t="s">
        <v>30</v>
      </c>
      <c r="C375" s="15">
        <v>2014</v>
      </c>
      <c r="D375" s="15" t="s">
        <v>715</v>
      </c>
      <c r="E375" s="15">
        <v>36030</v>
      </c>
      <c r="F375" s="15">
        <v>8215700</v>
      </c>
      <c r="G375" s="15" t="s">
        <v>109</v>
      </c>
      <c r="H375" s="15" t="s">
        <v>58</v>
      </c>
      <c r="I375" s="15" t="s">
        <v>1681</v>
      </c>
      <c r="J375" s="15" t="s">
        <v>1680</v>
      </c>
      <c r="K375" s="15" t="s">
        <v>181</v>
      </c>
      <c r="L375" s="15" t="s">
        <v>182</v>
      </c>
      <c r="M375" s="15" t="s">
        <v>601</v>
      </c>
      <c r="N375" s="15" t="s">
        <v>37</v>
      </c>
      <c r="O375" s="15"/>
      <c r="P375" s="15"/>
      <c r="Q375" s="15"/>
      <c r="R375" s="15"/>
      <c r="S375" s="15" t="s">
        <v>1689</v>
      </c>
      <c r="T375" s="15"/>
      <c r="U375" s="15"/>
      <c r="V375" s="15"/>
      <c r="W375" s="15"/>
      <c r="X375" s="15" t="s">
        <v>1689</v>
      </c>
      <c r="Y375" s="17">
        <v>449472</v>
      </c>
      <c r="Z375" s="17">
        <v>61653</v>
      </c>
      <c r="AA375" s="17">
        <v>17694</v>
      </c>
      <c r="AB375" s="17">
        <v>79347</v>
      </c>
      <c r="AC375" s="17">
        <v>528819</v>
      </c>
      <c r="AD375" s="17">
        <v>3793</v>
      </c>
      <c r="AE375" s="51">
        <f t="shared" si="43"/>
        <v>54.70891098749955</v>
      </c>
      <c r="AF375" s="51">
        <f t="shared" si="44"/>
        <v>9.6579719317891346</v>
      </c>
      <c r="AG375" s="51">
        <f t="shared" si="45"/>
        <v>64.36688291928867</v>
      </c>
      <c r="AH375" s="51">
        <f t="shared" si="46"/>
        <v>0.46167703299779689</v>
      </c>
      <c r="AI375" s="17">
        <v>329700</v>
      </c>
      <c r="AJ375" s="17">
        <v>547100</v>
      </c>
      <c r="AK375" s="17">
        <v>700000</v>
      </c>
      <c r="AL375" s="17">
        <v>1247100</v>
      </c>
      <c r="AM375" s="17">
        <v>1576800</v>
      </c>
      <c r="AN375" s="17">
        <v>1970200</v>
      </c>
      <c r="BG375" s="15"/>
      <c r="BM375" s="17"/>
      <c r="BN375" s="17"/>
      <c r="BO375" s="17"/>
      <c r="BP375" s="17"/>
      <c r="BQ375" s="17"/>
      <c r="BW375" s="17" t="s">
        <v>1679</v>
      </c>
    </row>
    <row r="376" spans="1:75" hidden="1" x14ac:dyDescent="0.25">
      <c r="A376" s="15" t="s">
        <v>714</v>
      </c>
      <c r="B376" s="15" t="s">
        <v>52</v>
      </c>
      <c r="C376" s="15">
        <v>2016</v>
      </c>
      <c r="D376" s="15" t="s">
        <v>715</v>
      </c>
      <c r="E376" s="15">
        <v>36460</v>
      </c>
      <c r="F376" s="15">
        <v>8546000</v>
      </c>
      <c r="G376" s="15" t="s">
        <v>109</v>
      </c>
      <c r="H376" s="15" t="s">
        <v>58</v>
      </c>
      <c r="I376" s="15" t="s">
        <v>1677</v>
      </c>
      <c r="J376" s="15" t="s">
        <v>1678</v>
      </c>
      <c r="K376" s="15" t="s">
        <v>46</v>
      </c>
      <c r="L376" s="15" t="s">
        <v>182</v>
      </c>
      <c r="M376" s="15" t="s">
        <v>309</v>
      </c>
      <c r="N376" s="15" t="s">
        <v>310</v>
      </c>
      <c r="O376" s="15"/>
      <c r="P376" s="15"/>
      <c r="Q376" s="15"/>
      <c r="R376" s="15"/>
      <c r="S376" s="15" t="s">
        <v>1689</v>
      </c>
      <c r="T376" s="15"/>
      <c r="U376" s="15"/>
      <c r="V376" s="15"/>
      <c r="W376" s="15"/>
      <c r="X376" s="15" t="s">
        <v>1689</v>
      </c>
      <c r="Y376" s="17">
        <f>260018+178844</f>
        <v>438862</v>
      </c>
      <c r="Z376" s="17">
        <v>60415</v>
      </c>
      <c r="AA376" s="17">
        <v>16085</v>
      </c>
      <c r="AB376" s="17">
        <f>+Z376+AA376</f>
        <v>76500</v>
      </c>
      <c r="AC376" s="17">
        <f>+AB376+Y376</f>
        <v>515362</v>
      </c>
      <c r="AD376" s="17">
        <v>2773</v>
      </c>
      <c r="AE376" s="51">
        <f t="shared" si="43"/>
        <v>51.35291364380997</v>
      </c>
      <c r="AF376" s="51">
        <f t="shared" si="44"/>
        <v>8.9515562836414695</v>
      </c>
      <c r="AG376" s="51">
        <f t="shared" si="45"/>
        <v>60.304469927451443</v>
      </c>
      <c r="AH376" s="51">
        <f t="shared" si="46"/>
        <v>0.32447928855604963</v>
      </c>
      <c r="AI376" s="17">
        <f>260018+331883</f>
        <v>591901</v>
      </c>
      <c r="AJ376" s="17">
        <v>534778</v>
      </c>
      <c r="AK376" s="17">
        <v>622296</v>
      </c>
      <c r="AL376" s="17">
        <f>+AJ376+AK376</f>
        <v>1157074</v>
      </c>
      <c r="AM376" s="17">
        <f>+AL376+AI376</f>
        <v>1748975</v>
      </c>
      <c r="AN376" s="17">
        <v>1114036</v>
      </c>
      <c r="BE376" s="16">
        <v>256820000000</v>
      </c>
      <c r="BF376" s="42">
        <v>0.61609999999999998</v>
      </c>
      <c r="BK376" s="21">
        <v>2E-3</v>
      </c>
      <c r="BM376" s="17"/>
      <c r="BN376" s="17"/>
      <c r="BO376" s="17"/>
      <c r="BP376" s="17"/>
      <c r="BQ376" s="17"/>
      <c r="BW376" s="17"/>
    </row>
    <row r="377" spans="1:75" hidden="1" x14ac:dyDescent="0.25">
      <c r="A377" s="15" t="s">
        <v>714</v>
      </c>
      <c r="B377" s="15" t="s">
        <v>52</v>
      </c>
      <c r="C377" s="15">
        <v>2015</v>
      </c>
      <c r="D377" s="15" t="s">
        <v>715</v>
      </c>
      <c r="E377" s="15">
        <v>36160</v>
      </c>
      <c r="F377" s="15">
        <v>8380100</v>
      </c>
      <c r="G377" s="15" t="s">
        <v>109</v>
      </c>
      <c r="H377" s="15" t="s">
        <v>58</v>
      </c>
      <c r="I377" s="15" t="s">
        <v>1677</v>
      </c>
      <c r="J377" s="15" t="s">
        <v>1678</v>
      </c>
      <c r="K377" s="15" t="s">
        <v>46</v>
      </c>
      <c r="L377" s="15" t="s">
        <v>182</v>
      </c>
      <c r="M377" s="15" t="s">
        <v>309</v>
      </c>
      <c r="N377" s="15" t="s">
        <v>310</v>
      </c>
      <c r="O377" s="15"/>
      <c r="P377" s="15"/>
      <c r="Q377" s="15"/>
      <c r="R377" s="15"/>
      <c r="S377" s="15" t="s">
        <v>1689</v>
      </c>
      <c r="T377" s="15"/>
      <c r="U377" s="15"/>
      <c r="V377" s="15"/>
      <c r="W377" s="15"/>
      <c r="X377" s="15" t="s">
        <v>1689</v>
      </c>
      <c r="AE377" s="51" t="str">
        <f t="shared" si="43"/>
        <v/>
      </c>
      <c r="AF377" s="51" t="str">
        <f t="shared" si="44"/>
        <v/>
      </c>
      <c r="AG377" s="51" t="str">
        <f t="shared" si="45"/>
        <v/>
      </c>
      <c r="AH377" s="51" t="str">
        <f t="shared" si="46"/>
        <v/>
      </c>
      <c r="BE377" s="16">
        <v>255779000000</v>
      </c>
      <c r="BF377" s="42">
        <v>0.62129999999999996</v>
      </c>
      <c r="BK377" s="21">
        <v>1.4E-3</v>
      </c>
      <c r="BM377" s="17"/>
      <c r="BN377" s="17"/>
      <c r="BO377" s="17"/>
      <c r="BP377" s="17"/>
      <c r="BQ377" s="17"/>
      <c r="BW377" s="17"/>
    </row>
    <row r="378" spans="1:75" hidden="1" x14ac:dyDescent="0.25">
      <c r="A378" s="15" t="s">
        <v>714</v>
      </c>
      <c r="B378" s="15" t="s">
        <v>52</v>
      </c>
      <c r="C378" s="15">
        <v>2014</v>
      </c>
      <c r="D378" s="15" t="s">
        <v>715</v>
      </c>
      <c r="E378" s="15">
        <v>36030</v>
      </c>
      <c r="F378" s="15">
        <v>8215700</v>
      </c>
      <c r="G378" s="15" t="s">
        <v>109</v>
      </c>
      <c r="H378" s="15" t="s">
        <v>58</v>
      </c>
      <c r="I378" s="15" t="s">
        <v>1677</v>
      </c>
      <c r="J378" s="15" t="s">
        <v>1678</v>
      </c>
      <c r="K378" s="15" t="s">
        <v>46</v>
      </c>
      <c r="L378" s="15" t="s">
        <v>182</v>
      </c>
      <c r="M378" s="15" t="s">
        <v>309</v>
      </c>
      <c r="N378" s="15" t="s">
        <v>310</v>
      </c>
      <c r="O378" s="15"/>
      <c r="P378" s="15"/>
      <c r="Q378" s="15"/>
      <c r="R378" s="15"/>
      <c r="S378" s="15" t="s">
        <v>1689</v>
      </c>
      <c r="T378" s="15"/>
      <c r="U378" s="15"/>
      <c r="V378" s="15"/>
      <c r="W378" s="15"/>
      <c r="X378" s="15" t="s">
        <v>1689</v>
      </c>
      <c r="AE378" s="51" t="str">
        <f t="shared" si="43"/>
        <v/>
      </c>
      <c r="AF378" s="51" t="str">
        <f t="shared" si="44"/>
        <v/>
      </c>
      <c r="AG378" s="51" t="str">
        <f t="shared" si="45"/>
        <v/>
      </c>
      <c r="AH378" s="51" t="str">
        <f t="shared" si="46"/>
        <v/>
      </c>
      <c r="BE378" s="16">
        <v>211900000000</v>
      </c>
      <c r="BF378" s="42">
        <v>0.47310000000000002</v>
      </c>
      <c r="BK378" s="21">
        <v>3.5000000000000001E-3</v>
      </c>
      <c r="BM378" s="17"/>
      <c r="BN378" s="17"/>
      <c r="BO378" s="17"/>
      <c r="BP378" s="17"/>
      <c r="BQ378" s="17"/>
      <c r="BW378" s="17"/>
    </row>
    <row r="379" spans="1:75" hidden="1" x14ac:dyDescent="0.25">
      <c r="A379" s="15" t="s">
        <v>714</v>
      </c>
      <c r="B379" s="15" t="s">
        <v>52</v>
      </c>
      <c r="C379" s="15">
        <v>2013</v>
      </c>
      <c r="D379" s="15" t="s">
        <v>715</v>
      </c>
      <c r="E379" s="15">
        <v>34310</v>
      </c>
      <c r="F379" s="15">
        <v>8059500</v>
      </c>
      <c r="G379" s="15" t="s">
        <v>109</v>
      </c>
      <c r="H379" s="15" t="s">
        <v>58</v>
      </c>
      <c r="I379" s="15" t="s">
        <v>1677</v>
      </c>
      <c r="J379" s="15" t="s">
        <v>1678</v>
      </c>
      <c r="K379" s="15" t="s">
        <v>46</v>
      </c>
      <c r="L379" s="15" t="s">
        <v>182</v>
      </c>
      <c r="M379" s="15" t="s">
        <v>309</v>
      </c>
      <c r="N379" s="15" t="s">
        <v>310</v>
      </c>
      <c r="O379" s="15"/>
      <c r="P379" s="15"/>
      <c r="Q379" s="15"/>
      <c r="R379" s="15"/>
      <c r="S379" s="15" t="s">
        <v>1689</v>
      </c>
      <c r="T379" s="15"/>
      <c r="U379" s="15"/>
      <c r="V379" s="15"/>
      <c r="W379" s="15"/>
      <c r="X379" s="15" t="s">
        <v>1689</v>
      </c>
      <c r="AE379" s="51" t="str">
        <f t="shared" si="43"/>
        <v/>
      </c>
      <c r="AF379" s="51" t="str">
        <f t="shared" si="44"/>
        <v/>
      </c>
      <c r="AG379" s="51" t="str">
        <f t="shared" si="45"/>
        <v/>
      </c>
      <c r="AH379" s="51" t="str">
        <f t="shared" si="46"/>
        <v/>
      </c>
      <c r="BE379" s="16">
        <v>186700000000</v>
      </c>
      <c r="BF379" s="42">
        <v>0.41889999999999999</v>
      </c>
      <c r="BK379" s="21">
        <v>4.0000000000000001E-3</v>
      </c>
      <c r="BM379" s="17"/>
      <c r="BN379" s="17"/>
      <c r="BO379" s="17"/>
      <c r="BP379" s="17"/>
      <c r="BQ379" s="17"/>
      <c r="BW379" s="17"/>
    </row>
    <row r="380" spans="1:75" hidden="1" x14ac:dyDescent="0.25">
      <c r="A380" s="15" t="s">
        <v>717</v>
      </c>
      <c r="B380" s="15" t="s">
        <v>30</v>
      </c>
      <c r="C380" s="15">
        <v>2016</v>
      </c>
      <c r="D380" s="15" t="s">
        <v>718</v>
      </c>
      <c r="E380" s="15">
        <v>31700</v>
      </c>
      <c r="F380" s="15">
        <v>60551416</v>
      </c>
      <c r="G380" s="15" t="s">
        <v>109</v>
      </c>
      <c r="H380" s="15" t="s">
        <v>43</v>
      </c>
      <c r="I380" s="15" t="s">
        <v>1857</v>
      </c>
      <c r="J380" s="15" t="s">
        <v>189</v>
      </c>
      <c r="K380" s="15" t="s">
        <v>190</v>
      </c>
      <c r="L380" s="15" t="s">
        <v>48</v>
      </c>
      <c r="M380" s="15" t="s">
        <v>62</v>
      </c>
      <c r="N380" s="15" t="s">
        <v>63</v>
      </c>
      <c r="O380" s="15"/>
      <c r="P380" s="15"/>
      <c r="Q380" s="15"/>
      <c r="R380" s="15"/>
      <c r="S380" s="15" t="s">
        <v>55</v>
      </c>
      <c r="T380" s="15"/>
      <c r="U380" s="15"/>
      <c r="V380" s="15"/>
      <c r="W380" s="15"/>
      <c r="X380" s="15" t="s">
        <v>55</v>
      </c>
      <c r="Y380" s="17">
        <v>3526539</v>
      </c>
      <c r="Z380" s="17">
        <v>170290</v>
      </c>
      <c r="AA380" s="17">
        <v>19518</v>
      </c>
      <c r="AB380" s="17">
        <f>+Z380+AA380</f>
        <v>189808</v>
      </c>
      <c r="AC380" s="17">
        <f>+AB380+Y380</f>
        <v>3716347</v>
      </c>
      <c r="AD380" s="17">
        <v>3249</v>
      </c>
      <c r="AE380" s="51">
        <f t="shared" si="43"/>
        <v>58.240405145934162</v>
      </c>
      <c r="AF380" s="51">
        <f t="shared" si="44"/>
        <v>3.1346583207897236</v>
      </c>
      <c r="AG380" s="51">
        <f t="shared" si="45"/>
        <v>61.37506346672388</v>
      </c>
      <c r="AH380" s="51">
        <f t="shared" si="46"/>
        <v>5.3656878973730358E-2</v>
      </c>
      <c r="AI380" s="17">
        <v>6530641</v>
      </c>
      <c r="AJ380" s="17">
        <v>3024849</v>
      </c>
      <c r="AK380" s="17">
        <v>1882976</v>
      </c>
      <c r="AL380" s="17">
        <v>4907825</v>
      </c>
      <c r="AM380" s="17">
        <v>11438466</v>
      </c>
      <c r="AN380" s="17">
        <v>3108862</v>
      </c>
      <c r="AO380" s="17">
        <v>195451700000</v>
      </c>
      <c r="AP380" s="17">
        <v>151485900000</v>
      </c>
      <c r="AQ380" s="17">
        <v>125504200000</v>
      </c>
      <c r="AR380" s="17">
        <v>276990100000</v>
      </c>
      <c r="AS380" s="17">
        <v>472441800000</v>
      </c>
      <c r="AT380" s="17">
        <v>229196800000</v>
      </c>
      <c r="AU380" s="15" t="s">
        <v>191</v>
      </c>
      <c r="AV380" s="15" t="s">
        <v>189</v>
      </c>
      <c r="BG380" s="15"/>
      <c r="BM380" s="17"/>
      <c r="BN380" s="17"/>
      <c r="BO380" s="17"/>
      <c r="BP380" s="17"/>
      <c r="BQ380" s="17"/>
      <c r="BW380" s="17"/>
    </row>
    <row r="381" spans="1:75" hidden="1" x14ac:dyDescent="0.25">
      <c r="A381" s="15" t="s">
        <v>717</v>
      </c>
      <c r="B381" s="15" t="s">
        <v>30</v>
      </c>
      <c r="C381" s="15">
        <v>2015</v>
      </c>
      <c r="D381" s="15" t="s">
        <v>718</v>
      </c>
      <c r="E381" s="15">
        <v>32970</v>
      </c>
      <c r="F381" s="15">
        <v>60730582</v>
      </c>
      <c r="G381" s="15" t="s">
        <v>109</v>
      </c>
      <c r="H381" s="15" t="s">
        <v>43</v>
      </c>
      <c r="I381" s="15" t="s">
        <v>1857</v>
      </c>
      <c r="J381" s="15" t="s">
        <v>189</v>
      </c>
      <c r="K381" s="15" t="s">
        <v>190</v>
      </c>
      <c r="L381" s="15" t="s">
        <v>48</v>
      </c>
      <c r="M381" s="15" t="s">
        <v>62</v>
      </c>
      <c r="N381" s="15" t="s">
        <v>63</v>
      </c>
      <c r="O381" s="15"/>
      <c r="P381" s="15"/>
      <c r="Q381" s="15"/>
      <c r="R381" s="15"/>
      <c r="S381" s="15" t="s">
        <v>55</v>
      </c>
      <c r="T381" s="15"/>
      <c r="U381" s="15"/>
      <c r="V381" s="15"/>
      <c r="W381" s="15"/>
      <c r="X381" s="15" t="s">
        <v>55</v>
      </c>
      <c r="Y381" s="17">
        <v>3497783</v>
      </c>
      <c r="Z381" s="17">
        <v>163482</v>
      </c>
      <c r="AA381" s="17">
        <v>18700</v>
      </c>
      <c r="AB381" s="17">
        <f>+Z381+AA381</f>
        <v>182182</v>
      </c>
      <c r="AC381" s="17">
        <f>+AB381+Y381</f>
        <v>3679965</v>
      </c>
      <c r="AD381" s="17">
        <v>3162</v>
      </c>
      <c r="AE381" s="51">
        <f t="shared" si="43"/>
        <v>57.595084466669526</v>
      </c>
      <c r="AF381" s="51">
        <f t="shared" si="44"/>
        <v>2.9998395207212076</v>
      </c>
      <c r="AG381" s="51">
        <f t="shared" si="45"/>
        <v>60.594923987390736</v>
      </c>
      <c r="AH381" s="51">
        <f t="shared" si="46"/>
        <v>5.2066024988859816E-2</v>
      </c>
      <c r="AI381" s="17">
        <v>6484518</v>
      </c>
      <c r="AJ381" s="17">
        <v>2903092</v>
      </c>
      <c r="AK381" s="17">
        <v>1808046</v>
      </c>
      <c r="AL381" s="17">
        <v>4711138</v>
      </c>
      <c r="AM381" s="17">
        <v>11195656</v>
      </c>
      <c r="AN381" s="17">
        <v>3029622</v>
      </c>
      <c r="AO381" s="17">
        <v>188492800000</v>
      </c>
      <c r="AP381" s="17">
        <v>144493400000</v>
      </c>
      <c r="AQ381" s="17">
        <v>118461700000</v>
      </c>
      <c r="AR381" s="17">
        <v>262955100000</v>
      </c>
      <c r="AS381" s="17">
        <v>451447900000</v>
      </c>
      <c r="AT381" s="17">
        <v>217875300000</v>
      </c>
      <c r="AU381" s="15" t="s">
        <v>191</v>
      </c>
      <c r="AV381" s="15" t="s">
        <v>189</v>
      </c>
      <c r="BG381" s="15"/>
      <c r="BM381" s="17"/>
      <c r="BN381" s="17"/>
      <c r="BO381" s="17"/>
      <c r="BP381" s="17"/>
      <c r="BQ381" s="17"/>
      <c r="BW381" s="17"/>
    </row>
    <row r="382" spans="1:75" hidden="1" x14ac:dyDescent="0.25">
      <c r="A382" s="15" t="s">
        <v>717</v>
      </c>
      <c r="B382" s="15" t="s">
        <v>30</v>
      </c>
      <c r="C382" s="15">
        <v>2014</v>
      </c>
      <c r="D382" s="15" t="s">
        <v>718</v>
      </c>
      <c r="E382" s="15">
        <v>34760</v>
      </c>
      <c r="F382" s="15">
        <v>60789140</v>
      </c>
      <c r="G382" s="15" t="s">
        <v>109</v>
      </c>
      <c r="H382" s="15" t="s">
        <v>43</v>
      </c>
      <c r="I382" s="15" t="s">
        <v>1857</v>
      </c>
      <c r="J382" s="15" t="s">
        <v>189</v>
      </c>
      <c r="K382" s="15" t="s">
        <v>190</v>
      </c>
      <c r="L382" s="15" t="s">
        <v>48</v>
      </c>
      <c r="M382" s="15" t="s">
        <v>62</v>
      </c>
      <c r="N382" s="15" t="s">
        <v>63</v>
      </c>
      <c r="O382" s="15"/>
      <c r="P382" s="15"/>
      <c r="Q382" s="15"/>
      <c r="R382" s="15"/>
      <c r="S382" s="15" t="s">
        <v>55</v>
      </c>
      <c r="T382" s="15"/>
      <c r="U382" s="15"/>
      <c r="V382" s="15"/>
      <c r="W382" s="15"/>
      <c r="X382" s="15" t="s">
        <v>55</v>
      </c>
      <c r="Y382" s="17">
        <v>3530507</v>
      </c>
      <c r="AA382" s="17">
        <v>18548</v>
      </c>
      <c r="AE382" s="51">
        <f t="shared" ref="AE382:AE389" si="50">IF(ISERROR((Y382/$F382)*1000),"",IF((Y382/$F382)*1000=0,"",(Y382/$F382)*1000))</f>
        <v>58.077923129032584</v>
      </c>
      <c r="AF382" s="51" t="str">
        <f t="shared" ref="AF382:AF389" si="51">IF(ISERROR((AB382/$F382)*1000),"",IF((AB382/$F382)*1000=0,"",(AB382/$F382)*1000))</f>
        <v/>
      </c>
      <c r="AG382" s="51" t="str">
        <f t="shared" ref="AG382:AG389" si="52">IF(ISERROR((AC382/$F382)*1000),"",IF((AC382/$F382)*1000=0,"",(AC382/$F382)*1000))</f>
        <v/>
      </c>
      <c r="AH382" s="51" t="str">
        <f t="shared" ref="AH382:AH389" si="53">IF(ISERROR((AD382/$F382)*1000),"",IF((AD382/$F382)*1000=0,"",(AD382/$F382)*1000))</f>
        <v/>
      </c>
      <c r="AI382" s="17">
        <v>6506679</v>
      </c>
      <c r="AK382" s="17">
        <v>1801180</v>
      </c>
      <c r="AO382" s="17">
        <v>185812400000</v>
      </c>
      <c r="AQ382" s="17">
        <v>112626200000</v>
      </c>
      <c r="AU382" s="15" t="s">
        <v>191</v>
      </c>
      <c r="AV382" s="15" t="s">
        <v>189</v>
      </c>
      <c r="BG382" s="15"/>
      <c r="BM382" s="17"/>
      <c r="BN382" s="17"/>
      <c r="BO382" s="17"/>
      <c r="BP382" s="17"/>
      <c r="BQ382" s="17"/>
      <c r="BW382" s="17"/>
    </row>
    <row r="383" spans="1:75" hidden="1" x14ac:dyDescent="0.25">
      <c r="A383" s="15" t="s">
        <v>717</v>
      </c>
      <c r="B383" s="15" t="s">
        <v>30</v>
      </c>
      <c r="C383" s="15">
        <v>2013</v>
      </c>
      <c r="D383" s="15" t="s">
        <v>718</v>
      </c>
      <c r="E383" s="15">
        <v>35370</v>
      </c>
      <c r="F383" s="15">
        <v>60233948</v>
      </c>
      <c r="G383" s="15" t="s">
        <v>109</v>
      </c>
      <c r="H383" s="15" t="s">
        <v>43</v>
      </c>
      <c r="I383" s="15" t="s">
        <v>1857</v>
      </c>
      <c r="J383" s="15" t="s">
        <v>189</v>
      </c>
      <c r="K383" s="15" t="s">
        <v>190</v>
      </c>
      <c r="L383" s="15" t="s">
        <v>48</v>
      </c>
      <c r="M383" s="15" t="s">
        <v>62</v>
      </c>
      <c r="N383" s="15" t="s">
        <v>63</v>
      </c>
      <c r="O383" s="15"/>
      <c r="P383" s="15"/>
      <c r="Q383" s="15"/>
      <c r="R383" s="15"/>
      <c r="S383" s="15" t="s">
        <v>55</v>
      </c>
      <c r="T383" s="15"/>
      <c r="U383" s="15"/>
      <c r="V383" s="15"/>
      <c r="W383" s="15"/>
      <c r="X383" s="15" t="s">
        <v>55</v>
      </c>
      <c r="Y383" s="17">
        <v>3581269</v>
      </c>
      <c r="Z383" s="17">
        <v>167711</v>
      </c>
      <c r="AA383" s="17">
        <v>18771</v>
      </c>
      <c r="AB383" s="17">
        <f>+Z383+AA383</f>
        <v>186482</v>
      </c>
      <c r="AC383" s="17">
        <f>+AB383+Y383</f>
        <v>3767751</v>
      </c>
      <c r="AD383" s="17">
        <v>3093</v>
      </c>
      <c r="AE383" s="51">
        <f t="shared" si="50"/>
        <v>59.455989834835336</v>
      </c>
      <c r="AF383" s="51">
        <f t="shared" si="51"/>
        <v>3.0959617656143013</v>
      </c>
      <c r="AG383" s="51">
        <f t="shared" si="52"/>
        <v>62.551951600449627</v>
      </c>
      <c r="AH383" s="51">
        <f t="shared" si="53"/>
        <v>5.1349780359739992E-2</v>
      </c>
      <c r="AI383" s="17">
        <v>6684596</v>
      </c>
      <c r="AJ383" s="17">
        <v>2980201</v>
      </c>
      <c r="AK383" s="17">
        <v>1811712</v>
      </c>
      <c r="AL383" s="17">
        <v>4791913</v>
      </c>
      <c r="AM383" s="17">
        <v>11476509</v>
      </c>
      <c r="AN383" s="17">
        <v>2931398</v>
      </c>
      <c r="AO383" s="17">
        <v>184626200000</v>
      </c>
      <c r="AP383" s="17">
        <v>137832400000</v>
      </c>
      <c r="AQ383" s="17">
        <v>108558100000</v>
      </c>
      <c r="AR383" s="17">
        <v>246390500000</v>
      </c>
      <c r="AS383" s="17">
        <v>431016700000</v>
      </c>
      <c r="AT383" s="17">
        <v>203398800000</v>
      </c>
      <c r="AU383" s="15" t="s">
        <v>191</v>
      </c>
      <c r="AV383" s="15" t="s">
        <v>189</v>
      </c>
      <c r="BG383" s="15"/>
      <c r="BM383" s="17"/>
      <c r="BN383" s="17"/>
      <c r="BO383" s="17"/>
      <c r="BP383" s="17"/>
      <c r="BQ383" s="17"/>
      <c r="BW383" s="17"/>
    </row>
    <row r="384" spans="1:75" hidden="1" x14ac:dyDescent="0.25">
      <c r="A384" s="15" t="s">
        <v>717</v>
      </c>
      <c r="B384" s="15" t="s">
        <v>30</v>
      </c>
      <c r="C384" s="15">
        <v>2012</v>
      </c>
      <c r="D384" s="15" t="s">
        <v>718</v>
      </c>
      <c r="E384" s="15">
        <v>36000</v>
      </c>
      <c r="F384" s="15">
        <v>59539717</v>
      </c>
      <c r="G384" s="15" t="s">
        <v>109</v>
      </c>
      <c r="H384" s="15" t="s">
        <v>43</v>
      </c>
      <c r="I384" s="15" t="s">
        <v>1857</v>
      </c>
      <c r="J384" s="15" t="s">
        <v>189</v>
      </c>
      <c r="K384" s="15" t="s">
        <v>190</v>
      </c>
      <c r="L384" s="15" t="s">
        <v>48</v>
      </c>
      <c r="M384" s="15" t="s">
        <v>62</v>
      </c>
      <c r="N384" s="15" t="s">
        <v>63</v>
      </c>
      <c r="O384" s="15"/>
      <c r="P384" s="15"/>
      <c r="Q384" s="15"/>
      <c r="R384" s="15"/>
      <c r="S384" s="15" t="s">
        <v>55</v>
      </c>
      <c r="T384" s="15"/>
      <c r="U384" s="15"/>
      <c r="V384" s="15"/>
      <c r="W384" s="15"/>
      <c r="X384" s="15" t="s">
        <v>55</v>
      </c>
      <c r="Y384" s="17">
        <v>3628547</v>
      </c>
      <c r="AA384" s="17">
        <v>19069</v>
      </c>
      <c r="AE384" s="51">
        <f t="shared" si="50"/>
        <v>60.943302770485118</v>
      </c>
      <c r="AF384" s="51" t="str">
        <f t="shared" si="51"/>
        <v/>
      </c>
      <c r="AG384" s="51" t="str">
        <f t="shared" si="52"/>
        <v/>
      </c>
      <c r="AH384" s="51" t="str">
        <f t="shared" si="53"/>
        <v/>
      </c>
      <c r="AI384" s="17">
        <v>6830085</v>
      </c>
      <c r="AK384" s="17">
        <v>1835398</v>
      </c>
      <c r="AO384" s="17">
        <v>189525700000</v>
      </c>
      <c r="AQ384" s="17">
        <v>106541600000</v>
      </c>
      <c r="AU384" s="15" t="s">
        <v>191</v>
      </c>
      <c r="AV384" s="15" t="s">
        <v>189</v>
      </c>
      <c r="BG384" s="15"/>
      <c r="BM384" s="17"/>
      <c r="BN384" s="17"/>
      <c r="BO384" s="17"/>
      <c r="BP384" s="17"/>
      <c r="BQ384" s="17"/>
      <c r="BW384" s="17"/>
    </row>
    <row r="385" spans="1:75" hidden="1" x14ac:dyDescent="0.25">
      <c r="A385" s="15" t="s">
        <v>717</v>
      </c>
      <c r="B385" s="15" t="s">
        <v>52</v>
      </c>
      <c r="C385" s="15">
        <v>2016</v>
      </c>
      <c r="D385" s="15" t="s">
        <v>718</v>
      </c>
      <c r="E385" s="15">
        <v>31700</v>
      </c>
      <c r="F385" s="15">
        <v>60551416</v>
      </c>
      <c r="G385" s="15" t="s">
        <v>109</v>
      </c>
      <c r="H385" s="15" t="s">
        <v>43</v>
      </c>
      <c r="I385" s="15" t="s">
        <v>1682</v>
      </c>
      <c r="J385" s="15" t="s">
        <v>719</v>
      </c>
      <c r="K385" s="15" t="s">
        <v>190</v>
      </c>
      <c r="L385" s="15" t="s">
        <v>48</v>
      </c>
      <c r="M385" s="15" t="s">
        <v>62</v>
      </c>
      <c r="N385" s="15" t="s">
        <v>63</v>
      </c>
      <c r="O385" s="15"/>
      <c r="P385" s="15"/>
      <c r="Q385" s="15"/>
      <c r="R385" s="15"/>
      <c r="S385" s="15" t="s">
        <v>55</v>
      </c>
      <c r="T385" s="15"/>
      <c r="U385" s="15"/>
      <c r="V385" s="15"/>
      <c r="W385" s="15"/>
      <c r="X385" s="15" t="s">
        <v>55</v>
      </c>
      <c r="AE385" s="51" t="str">
        <f t="shared" si="50"/>
        <v/>
      </c>
      <c r="AF385" s="51" t="str">
        <f t="shared" si="51"/>
        <v/>
      </c>
      <c r="AG385" s="51" t="str">
        <f t="shared" si="52"/>
        <v/>
      </c>
      <c r="AH385" s="51" t="str">
        <f t="shared" si="53"/>
        <v/>
      </c>
      <c r="BE385" s="16">
        <v>175360000000</v>
      </c>
      <c r="BF385" s="42">
        <v>0.17799999999999999</v>
      </c>
      <c r="BK385" s="21">
        <v>0.23599999999999999</v>
      </c>
      <c r="BM385" s="17"/>
      <c r="BN385" s="17"/>
      <c r="BO385" s="17"/>
      <c r="BP385" s="17"/>
      <c r="BQ385" s="17"/>
      <c r="BW385" s="17"/>
    </row>
    <row r="386" spans="1:75" hidden="1" x14ac:dyDescent="0.25">
      <c r="A386" s="15" t="s">
        <v>717</v>
      </c>
      <c r="B386" s="15" t="s">
        <v>52</v>
      </c>
      <c r="C386" s="15">
        <v>2015</v>
      </c>
      <c r="D386" s="15" t="s">
        <v>718</v>
      </c>
      <c r="E386" s="15">
        <v>32970</v>
      </c>
      <c r="F386" s="15">
        <v>60730582</v>
      </c>
      <c r="G386" s="15" t="s">
        <v>109</v>
      </c>
      <c r="H386" s="15" t="s">
        <v>43</v>
      </c>
      <c r="I386" s="15" t="s">
        <v>1682</v>
      </c>
      <c r="J386" s="15" t="s">
        <v>719</v>
      </c>
      <c r="K386" s="15" t="s">
        <v>190</v>
      </c>
      <c r="L386" s="15" t="s">
        <v>48</v>
      </c>
      <c r="M386" s="15" t="s">
        <v>62</v>
      </c>
      <c r="N386" s="15" t="s">
        <v>63</v>
      </c>
      <c r="O386" s="15"/>
      <c r="P386" s="15"/>
      <c r="Q386" s="15"/>
      <c r="R386" s="15"/>
      <c r="S386" s="15" t="s">
        <v>55</v>
      </c>
      <c r="T386" s="15"/>
      <c r="U386" s="15"/>
      <c r="V386" s="15"/>
      <c r="W386" s="15"/>
      <c r="X386" s="15" t="s">
        <v>55</v>
      </c>
      <c r="Y386" s="17">
        <v>3473409</v>
      </c>
      <c r="Z386" s="17">
        <v>163162</v>
      </c>
      <c r="AA386" s="17">
        <v>18684</v>
      </c>
      <c r="AB386" s="17">
        <v>181846</v>
      </c>
      <c r="AC386" s="17">
        <v>3655255</v>
      </c>
      <c r="AD386" s="17">
        <v>3158</v>
      </c>
      <c r="AE386" s="51">
        <f t="shared" si="50"/>
        <v>57.193738074171591</v>
      </c>
      <c r="AF386" s="51">
        <f t="shared" si="51"/>
        <v>2.9943068880848203</v>
      </c>
      <c r="AG386" s="51">
        <f t="shared" si="52"/>
        <v>60.18804496225642</v>
      </c>
      <c r="AH386" s="51">
        <f t="shared" si="53"/>
        <v>5.2000160314617107E-2</v>
      </c>
      <c r="BE386" s="16">
        <v>187685000000</v>
      </c>
      <c r="BF386" s="42">
        <v>0.185</v>
      </c>
      <c r="BK386" s="21">
        <v>0.214</v>
      </c>
      <c r="BM386" s="17"/>
      <c r="BN386" s="17"/>
      <c r="BO386" s="17"/>
      <c r="BP386" s="17"/>
      <c r="BQ386" s="17"/>
      <c r="BW386" s="17"/>
    </row>
    <row r="387" spans="1:75" hidden="1" x14ac:dyDescent="0.25">
      <c r="A387" s="15" t="s">
        <v>717</v>
      </c>
      <c r="B387" s="15" t="s">
        <v>52</v>
      </c>
      <c r="C387" s="15">
        <v>2014</v>
      </c>
      <c r="D387" s="15" t="s">
        <v>718</v>
      </c>
      <c r="E387" s="15">
        <v>34760</v>
      </c>
      <c r="F387" s="15">
        <v>60789140</v>
      </c>
      <c r="G387" s="15" t="s">
        <v>109</v>
      </c>
      <c r="H387" s="15" t="s">
        <v>43</v>
      </c>
      <c r="I387" s="15" t="s">
        <v>1682</v>
      </c>
      <c r="J387" s="15" t="s">
        <v>719</v>
      </c>
      <c r="K387" s="15" t="s">
        <v>190</v>
      </c>
      <c r="L387" s="15" t="s">
        <v>48</v>
      </c>
      <c r="M387" s="15" t="s">
        <v>62</v>
      </c>
      <c r="N387" s="15" t="s">
        <v>63</v>
      </c>
      <c r="O387" s="15"/>
      <c r="P387" s="15"/>
      <c r="Q387" s="15"/>
      <c r="R387" s="15"/>
      <c r="S387" s="15" t="s">
        <v>55</v>
      </c>
      <c r="T387" s="15"/>
      <c r="U387" s="15"/>
      <c r="V387" s="15"/>
      <c r="W387" s="15"/>
      <c r="X387" s="15" t="s">
        <v>55</v>
      </c>
      <c r="AE387" s="51" t="str">
        <f t="shared" si="50"/>
        <v/>
      </c>
      <c r="AF387" s="51" t="str">
        <f t="shared" si="51"/>
        <v/>
      </c>
      <c r="AG387" s="51" t="str">
        <f t="shared" si="52"/>
        <v/>
      </c>
      <c r="AH387" s="51" t="str">
        <f t="shared" si="53"/>
        <v/>
      </c>
      <c r="BE387" s="16">
        <v>191782000000</v>
      </c>
      <c r="BF387" s="42">
        <v>0.187</v>
      </c>
      <c r="BK387" s="21">
        <v>0.19400000000000001</v>
      </c>
      <c r="BM387" s="17"/>
      <c r="BN387" s="17"/>
      <c r="BO387" s="17"/>
      <c r="BP387" s="17"/>
      <c r="BQ387" s="17"/>
      <c r="BW387" s="17"/>
    </row>
    <row r="388" spans="1:75" hidden="1" x14ac:dyDescent="0.25">
      <c r="A388" s="15" t="s">
        <v>717</v>
      </c>
      <c r="B388" s="15" t="s">
        <v>52</v>
      </c>
      <c r="C388" s="15">
        <v>2013</v>
      </c>
      <c r="D388" s="15" t="s">
        <v>718</v>
      </c>
      <c r="E388" s="15">
        <v>35370</v>
      </c>
      <c r="F388" s="15">
        <v>60233948</v>
      </c>
      <c r="G388" s="15" t="s">
        <v>109</v>
      </c>
      <c r="H388" s="15" t="s">
        <v>43</v>
      </c>
      <c r="I388" s="15" t="s">
        <v>1682</v>
      </c>
      <c r="J388" s="15" t="s">
        <v>719</v>
      </c>
      <c r="K388" s="15" t="s">
        <v>190</v>
      </c>
      <c r="L388" s="15" t="s">
        <v>48</v>
      </c>
      <c r="M388" s="15" t="s">
        <v>62</v>
      </c>
      <c r="N388" s="15" t="s">
        <v>63</v>
      </c>
      <c r="O388" s="15"/>
      <c r="P388" s="15"/>
      <c r="Q388" s="15"/>
      <c r="R388" s="15"/>
      <c r="S388" s="15" t="s">
        <v>55</v>
      </c>
      <c r="T388" s="15"/>
      <c r="U388" s="15"/>
      <c r="V388" s="15"/>
      <c r="W388" s="15"/>
      <c r="X388" s="15" t="s">
        <v>55</v>
      </c>
      <c r="AE388" s="51" t="str">
        <f t="shared" si="50"/>
        <v/>
      </c>
      <c r="AF388" s="51" t="str">
        <f t="shared" si="51"/>
        <v/>
      </c>
      <c r="AG388" s="51" t="str">
        <f t="shared" si="52"/>
        <v/>
      </c>
      <c r="AH388" s="51" t="str">
        <f t="shared" si="53"/>
        <v/>
      </c>
      <c r="BE388" s="16">
        <v>196686000000</v>
      </c>
      <c r="BF388" s="42">
        <v>0.185</v>
      </c>
      <c r="BK388" s="21">
        <v>0.16500000000000001</v>
      </c>
      <c r="BM388" s="17"/>
      <c r="BN388" s="17"/>
      <c r="BO388" s="17"/>
      <c r="BP388" s="17"/>
      <c r="BQ388" s="17"/>
      <c r="BW388" s="17"/>
    </row>
    <row r="389" spans="1:75" hidden="1" x14ac:dyDescent="0.25">
      <c r="A389" s="15" t="s">
        <v>717</v>
      </c>
      <c r="B389" s="15" t="s">
        <v>52</v>
      </c>
      <c r="C389" s="15">
        <v>2012</v>
      </c>
      <c r="D389" s="15" t="s">
        <v>718</v>
      </c>
      <c r="E389" s="15">
        <v>36000</v>
      </c>
      <c r="F389" s="15">
        <v>59539717</v>
      </c>
      <c r="G389" s="15" t="s">
        <v>109</v>
      </c>
      <c r="H389" s="15" t="s">
        <v>43</v>
      </c>
      <c r="I389" s="15" t="s">
        <v>1682</v>
      </c>
      <c r="J389" s="15" t="s">
        <v>719</v>
      </c>
      <c r="K389" s="15" t="s">
        <v>190</v>
      </c>
      <c r="L389" s="15" t="s">
        <v>48</v>
      </c>
      <c r="M389" s="15" t="s">
        <v>62</v>
      </c>
      <c r="N389" s="15" t="s">
        <v>63</v>
      </c>
      <c r="O389" s="15"/>
      <c r="P389" s="15"/>
      <c r="Q389" s="15"/>
      <c r="R389" s="15"/>
      <c r="S389" s="15" t="s">
        <v>55</v>
      </c>
      <c r="T389" s="15"/>
      <c r="U389" s="15"/>
      <c r="V389" s="15"/>
      <c r="W389" s="15"/>
      <c r="X389" s="15" t="s">
        <v>55</v>
      </c>
      <c r="AE389" s="51" t="str">
        <f t="shared" si="50"/>
        <v/>
      </c>
      <c r="AF389" s="51" t="str">
        <f t="shared" si="51"/>
        <v/>
      </c>
      <c r="AG389" s="51" t="str">
        <f t="shared" si="52"/>
        <v/>
      </c>
      <c r="AH389" s="51" t="str">
        <f t="shared" si="53"/>
        <v/>
      </c>
      <c r="BE389" s="16">
        <v>203879000000</v>
      </c>
      <c r="BF389" s="42">
        <v>0.182</v>
      </c>
      <c r="BK389" s="21">
        <v>0.14199999999999999</v>
      </c>
      <c r="BM389" s="17"/>
      <c r="BN389" s="17"/>
      <c r="BO389" s="17"/>
      <c r="BP389" s="17"/>
      <c r="BQ389" s="17"/>
      <c r="BW389" s="17"/>
    </row>
    <row r="390" spans="1:75" hidden="1" x14ac:dyDescent="0.25">
      <c r="A390" s="15" t="s">
        <v>720</v>
      </c>
      <c r="B390" s="15" t="s">
        <v>30</v>
      </c>
      <c r="C390" s="15">
        <v>2017</v>
      </c>
      <c r="D390" s="15" t="s">
        <v>721</v>
      </c>
      <c r="E390" s="15">
        <v>4750</v>
      </c>
      <c r="F390" s="17">
        <v>2890299</v>
      </c>
      <c r="G390" s="15" t="s">
        <v>42</v>
      </c>
      <c r="H390" s="15" t="s">
        <v>110</v>
      </c>
      <c r="I390" s="15" t="s">
        <v>722</v>
      </c>
      <c r="J390" s="15" t="s">
        <v>723</v>
      </c>
      <c r="K390" s="15" t="s">
        <v>724</v>
      </c>
      <c r="L390" s="15" t="s">
        <v>35</v>
      </c>
      <c r="M390" s="15" t="s">
        <v>573</v>
      </c>
      <c r="N390" s="15" t="s">
        <v>244</v>
      </c>
      <c r="O390" s="15"/>
      <c r="P390" s="15"/>
      <c r="Q390" s="15"/>
      <c r="R390" s="15"/>
      <c r="S390" s="15"/>
      <c r="T390" s="15" t="s">
        <v>411</v>
      </c>
      <c r="U390" s="15" t="s">
        <v>725</v>
      </c>
      <c r="V390" s="15" t="s">
        <v>726</v>
      </c>
      <c r="W390" s="15" t="s">
        <v>727</v>
      </c>
      <c r="X390" s="15" t="s">
        <v>728</v>
      </c>
      <c r="AE390" s="51" t="s">
        <v>1152</v>
      </c>
      <c r="AF390" s="51" t="s">
        <v>1152</v>
      </c>
      <c r="AG390" s="51" t="s">
        <v>1152</v>
      </c>
      <c r="AH390" s="60"/>
      <c r="AM390" s="15"/>
      <c r="AN390" s="15"/>
      <c r="AO390" s="15"/>
      <c r="AP390" s="15"/>
      <c r="AQ390" s="15"/>
      <c r="AR390" s="15"/>
      <c r="AS390" s="15"/>
      <c r="AT390" s="15"/>
      <c r="AX390" s="17"/>
      <c r="BG390" s="15"/>
      <c r="BI390" s="15"/>
      <c r="BJ390" s="15"/>
      <c r="BK390" s="15"/>
      <c r="BM390" s="17"/>
      <c r="BN390" s="17"/>
      <c r="BO390" s="17"/>
      <c r="BP390" s="17"/>
      <c r="BQ390" s="17"/>
      <c r="BW390" s="17"/>
    </row>
    <row r="391" spans="1:75" hidden="1" x14ac:dyDescent="0.25">
      <c r="A391" s="15" t="s">
        <v>720</v>
      </c>
      <c r="B391" s="15" t="s">
        <v>52</v>
      </c>
      <c r="C391" s="15">
        <v>2011</v>
      </c>
      <c r="D391" s="15" t="s">
        <v>721</v>
      </c>
      <c r="E391" s="15">
        <v>4590</v>
      </c>
      <c r="F391" s="15">
        <v>2829493</v>
      </c>
      <c r="G391" s="15" t="s">
        <v>42</v>
      </c>
      <c r="H391" s="15" t="s">
        <v>110</v>
      </c>
      <c r="I391" s="15" t="s">
        <v>729</v>
      </c>
      <c r="J391" s="15" t="s">
        <v>730</v>
      </c>
      <c r="K391" s="15" t="s">
        <v>241</v>
      </c>
      <c r="L391" s="15" t="s">
        <v>35</v>
      </c>
      <c r="M391" s="15" t="s">
        <v>573</v>
      </c>
      <c r="N391" s="15" t="s">
        <v>244</v>
      </c>
      <c r="O391" s="15"/>
      <c r="P391" s="15"/>
      <c r="Q391" s="15"/>
      <c r="R391" s="15"/>
      <c r="S391" s="15"/>
      <c r="T391" s="15" t="s">
        <v>168</v>
      </c>
      <c r="U391" s="15" t="s">
        <v>169</v>
      </c>
      <c r="V391" s="15" t="s">
        <v>731</v>
      </c>
      <c r="W391" s="15" t="s">
        <v>732</v>
      </c>
      <c r="X391" s="15" t="s">
        <v>728</v>
      </c>
      <c r="Y391" s="17">
        <v>6665</v>
      </c>
      <c r="Z391" s="17">
        <v>3773</v>
      </c>
      <c r="AE391" s="51">
        <f t="shared" ref="AE391:AE454" si="54">IF(ISERROR((Y391/$F391)*1000),"",IF((Y391/$F391)*1000=0,"",(Y391/$F391)*1000))</f>
        <v>2.3555456754973418</v>
      </c>
      <c r="AF391" s="51" t="str">
        <f t="shared" ref="AF391:AF454" si="55">IF(ISERROR((AB391/$F391)*1000),"",IF((AB391/$F391)*1000=0,"",(AB391/$F391)*1000))</f>
        <v/>
      </c>
      <c r="AG391" s="51" t="str">
        <f t="shared" ref="AG391:AG454" si="56">IF(ISERROR((AC391/$F391)*1000),"",IF((AC391/$F391)*1000=0,"",(AC391/$F391)*1000))</f>
        <v/>
      </c>
      <c r="AH391" s="51" t="str">
        <f t="shared" ref="AH391:AH454" si="57">IF(ISERROR((AD391/$F391)*1000),"",IF((AD391/$F391)*1000=0,"",(AD391/$F391)*1000))</f>
        <v/>
      </c>
      <c r="BG391" s="15"/>
      <c r="BM391" s="17"/>
      <c r="BN391" s="17"/>
      <c r="BO391" s="17"/>
      <c r="BP391" s="17"/>
      <c r="BQ391" s="17"/>
      <c r="BW391" s="17" t="s">
        <v>733</v>
      </c>
    </row>
    <row r="392" spans="1:75" hidden="1" x14ac:dyDescent="0.25">
      <c r="A392" s="15" t="s">
        <v>720</v>
      </c>
      <c r="B392" s="15" t="s">
        <v>52</v>
      </c>
      <c r="C392" s="15">
        <v>2010</v>
      </c>
      <c r="D392" s="15" t="s">
        <v>721</v>
      </c>
      <c r="E392" s="15">
        <v>4370</v>
      </c>
      <c r="F392" s="15">
        <v>2817210</v>
      </c>
      <c r="G392" s="15" t="s">
        <v>42</v>
      </c>
      <c r="H392" s="15" t="s">
        <v>110</v>
      </c>
      <c r="I392" s="15" t="s">
        <v>729</v>
      </c>
      <c r="J392" s="15" t="s">
        <v>730</v>
      </c>
      <c r="K392" s="15" t="s">
        <v>241</v>
      </c>
      <c r="L392" s="15" t="s">
        <v>35</v>
      </c>
      <c r="M392" s="15" t="s">
        <v>573</v>
      </c>
      <c r="N392" s="15" t="s">
        <v>244</v>
      </c>
      <c r="O392" s="15"/>
      <c r="P392" s="15"/>
      <c r="Q392" s="15"/>
      <c r="R392" s="15"/>
      <c r="S392" s="15"/>
      <c r="T392" s="15" t="s">
        <v>168</v>
      </c>
      <c r="U392" s="15" t="s">
        <v>169</v>
      </c>
      <c r="V392" s="15" t="s">
        <v>731</v>
      </c>
      <c r="W392" s="15" t="s">
        <v>732</v>
      </c>
      <c r="X392" s="15" t="s">
        <v>728</v>
      </c>
      <c r="Y392" s="17">
        <v>7072</v>
      </c>
      <c r="Z392" s="17">
        <v>3843</v>
      </c>
      <c r="AE392" s="51">
        <f t="shared" si="54"/>
        <v>2.5102849982784385</v>
      </c>
      <c r="AF392" s="51" t="str">
        <f t="shared" si="55"/>
        <v/>
      </c>
      <c r="AG392" s="51" t="str">
        <f t="shared" si="56"/>
        <v/>
      </c>
      <c r="AH392" s="51" t="str">
        <f t="shared" si="57"/>
        <v/>
      </c>
      <c r="BG392" s="15"/>
      <c r="BM392" s="17"/>
      <c r="BN392" s="17"/>
      <c r="BO392" s="17"/>
      <c r="BP392" s="17"/>
      <c r="BQ392" s="17"/>
      <c r="BW392" s="17"/>
    </row>
    <row r="393" spans="1:75" hidden="1" x14ac:dyDescent="0.25">
      <c r="A393" s="15" t="s">
        <v>720</v>
      </c>
      <c r="B393" s="15" t="s">
        <v>52</v>
      </c>
      <c r="C393" s="15">
        <v>2009</v>
      </c>
      <c r="D393" s="15" t="s">
        <v>721</v>
      </c>
      <c r="E393" s="15">
        <v>4300</v>
      </c>
      <c r="F393" s="15">
        <v>2804082</v>
      </c>
      <c r="G393" s="15" t="s">
        <v>42</v>
      </c>
      <c r="H393" s="15" t="s">
        <v>110</v>
      </c>
      <c r="I393" s="15" t="s">
        <v>729</v>
      </c>
      <c r="J393" s="15" t="s">
        <v>730</v>
      </c>
      <c r="K393" s="15" t="s">
        <v>241</v>
      </c>
      <c r="L393" s="15" t="s">
        <v>35</v>
      </c>
      <c r="M393" s="15" t="s">
        <v>573</v>
      </c>
      <c r="N393" s="15" t="s">
        <v>244</v>
      </c>
      <c r="O393" s="15"/>
      <c r="P393" s="15"/>
      <c r="Q393" s="15"/>
      <c r="R393" s="15"/>
      <c r="S393" s="15"/>
      <c r="T393" s="15" t="s">
        <v>168</v>
      </c>
      <c r="U393" s="15" t="s">
        <v>169</v>
      </c>
      <c r="V393" s="15" t="s">
        <v>731</v>
      </c>
      <c r="W393" s="15" t="s">
        <v>732</v>
      </c>
      <c r="X393" s="15" t="s">
        <v>728</v>
      </c>
      <c r="Y393" s="17">
        <v>10773</v>
      </c>
      <c r="Z393" s="17">
        <v>3717</v>
      </c>
      <c r="AE393" s="51">
        <f t="shared" si="54"/>
        <v>3.8418990600132239</v>
      </c>
      <c r="AF393" s="51" t="str">
        <f t="shared" si="55"/>
        <v/>
      </c>
      <c r="AG393" s="51" t="str">
        <f t="shared" si="56"/>
        <v/>
      </c>
      <c r="AH393" s="51" t="str">
        <f t="shared" si="57"/>
        <v/>
      </c>
      <c r="BG393" s="15"/>
      <c r="BM393" s="17"/>
      <c r="BN393" s="17"/>
      <c r="BO393" s="17"/>
      <c r="BP393" s="17"/>
      <c r="BQ393" s="17"/>
      <c r="BW393" s="17"/>
    </row>
    <row r="394" spans="1:75" hidden="1" x14ac:dyDescent="0.25">
      <c r="A394" s="15" t="s">
        <v>734</v>
      </c>
      <c r="B394" s="15" t="s">
        <v>30</v>
      </c>
      <c r="C394" s="15">
        <v>2014</v>
      </c>
      <c r="D394" s="15" t="s">
        <v>735</v>
      </c>
      <c r="E394" s="15">
        <v>43950</v>
      </c>
      <c r="F394" s="15">
        <v>127276000</v>
      </c>
      <c r="G394" s="15" t="s">
        <v>109</v>
      </c>
      <c r="H394" s="15" t="s">
        <v>77</v>
      </c>
      <c r="I394" s="15" t="s">
        <v>736</v>
      </c>
      <c r="J394" s="15" t="s">
        <v>737</v>
      </c>
      <c r="K394" s="15" t="s">
        <v>92</v>
      </c>
      <c r="L394" s="15" t="s">
        <v>48</v>
      </c>
      <c r="M394" s="15" t="s">
        <v>738</v>
      </c>
      <c r="N394" s="15" t="s">
        <v>739</v>
      </c>
      <c r="O394" s="15"/>
      <c r="P394" s="15"/>
      <c r="Q394" s="15"/>
      <c r="R394" s="15"/>
      <c r="S394" s="15" t="s">
        <v>740</v>
      </c>
      <c r="T394" s="15"/>
      <c r="U394" s="15"/>
      <c r="V394" s="15"/>
      <c r="W394" s="15"/>
      <c r="X394" s="15" t="s">
        <v>740</v>
      </c>
      <c r="Y394" s="17">
        <v>4315711</v>
      </c>
      <c r="Z394" s="17">
        <v>1042097</v>
      </c>
      <c r="AA394" s="17">
        <v>150386</v>
      </c>
      <c r="AB394" s="17">
        <v>1192483</v>
      </c>
      <c r="AC394" s="17">
        <v>5508194</v>
      </c>
      <c r="AD394" s="17">
        <v>12247</v>
      </c>
      <c r="AE394" s="51">
        <f t="shared" si="54"/>
        <v>33.908285929790381</v>
      </c>
      <c r="AF394" s="51">
        <f t="shared" si="55"/>
        <v>9.3692683616707004</v>
      </c>
      <c r="AG394" s="51">
        <f t="shared" si="56"/>
        <v>43.277554291461072</v>
      </c>
      <c r="AH394" s="51">
        <f t="shared" si="57"/>
        <v>9.6223954241176649E-2</v>
      </c>
      <c r="AI394" s="17">
        <v>14035154</v>
      </c>
      <c r="AJ394" s="17">
        <v>20294448</v>
      </c>
      <c r="AK394" s="17">
        <v>14665174</v>
      </c>
      <c r="AL394" s="17">
        <v>34959622</v>
      </c>
      <c r="AM394" s="17">
        <v>48994776</v>
      </c>
      <c r="AN394" s="17">
        <v>8432928</v>
      </c>
      <c r="BG394" s="15"/>
      <c r="BM394" s="17"/>
      <c r="BN394" s="17"/>
      <c r="BO394" s="17"/>
      <c r="BP394" s="17"/>
      <c r="BQ394" s="17"/>
      <c r="BW394" s="17"/>
    </row>
    <row r="395" spans="1:75" hidden="1" x14ac:dyDescent="0.25">
      <c r="A395" s="15" t="s">
        <v>734</v>
      </c>
      <c r="B395" s="15" t="s">
        <v>30</v>
      </c>
      <c r="C395" s="15">
        <v>2011</v>
      </c>
      <c r="D395" s="15" t="s">
        <v>735</v>
      </c>
      <c r="E395" s="15">
        <v>46880</v>
      </c>
      <c r="F395" s="15">
        <v>127833000</v>
      </c>
      <c r="G395" s="15" t="s">
        <v>109</v>
      </c>
      <c r="H395" s="15" t="s">
        <v>77</v>
      </c>
      <c r="I395" s="15" t="s">
        <v>736</v>
      </c>
      <c r="J395" s="15" t="s">
        <v>737</v>
      </c>
      <c r="K395" s="15" t="s">
        <v>92</v>
      </c>
      <c r="L395" s="15" t="s">
        <v>48</v>
      </c>
      <c r="M395" s="15" t="s">
        <v>738</v>
      </c>
      <c r="N395" s="15" t="s">
        <v>739</v>
      </c>
      <c r="O395" s="15"/>
      <c r="P395" s="15"/>
      <c r="Q395" s="15"/>
      <c r="R395" s="15"/>
      <c r="S395" s="15" t="s">
        <v>740</v>
      </c>
      <c r="T395" s="15"/>
      <c r="U395" s="15"/>
      <c r="V395" s="15"/>
      <c r="W395" s="15"/>
      <c r="X395" s="15" t="s">
        <v>740</v>
      </c>
      <c r="Y395" s="17">
        <v>4274239</v>
      </c>
      <c r="Z395" s="17">
        <v>1001203</v>
      </c>
      <c r="AA395" s="17">
        <v>145192</v>
      </c>
      <c r="AB395" s="17">
        <v>1146395</v>
      </c>
      <c r="AC395" s="17">
        <v>5420634</v>
      </c>
      <c r="AD395" s="17">
        <v>11952</v>
      </c>
      <c r="AE395" s="51">
        <f t="shared" si="54"/>
        <v>33.436115869924045</v>
      </c>
      <c r="AF395" s="51">
        <f t="shared" si="55"/>
        <v>8.9679112592210153</v>
      </c>
      <c r="AG395" s="51">
        <f t="shared" si="56"/>
        <v>42.404027129145057</v>
      </c>
      <c r="AH395" s="51">
        <f t="shared" si="57"/>
        <v>9.3496984346764914E-2</v>
      </c>
      <c r="AI395" s="17">
        <v>13981425</v>
      </c>
      <c r="AJ395" s="17">
        <v>19428799</v>
      </c>
      <c r="AK395" s="17">
        <v>14286068</v>
      </c>
      <c r="AL395" s="17">
        <v>33714867</v>
      </c>
      <c r="AM395" s="17">
        <v>47696292</v>
      </c>
      <c r="AN395" s="17">
        <v>8140960</v>
      </c>
      <c r="BG395" s="15"/>
      <c r="BM395" s="17"/>
      <c r="BN395" s="17"/>
      <c r="BO395" s="17"/>
      <c r="BP395" s="17"/>
      <c r="BQ395" s="17"/>
      <c r="BW395" s="17"/>
    </row>
    <row r="396" spans="1:75" hidden="1" x14ac:dyDescent="0.25">
      <c r="A396" s="15" t="s">
        <v>734</v>
      </c>
      <c r="B396" s="15" t="s">
        <v>30</v>
      </c>
      <c r="C396" s="15">
        <v>2009</v>
      </c>
      <c r="D396" s="15" t="s">
        <v>735</v>
      </c>
      <c r="E396" s="15">
        <v>38800</v>
      </c>
      <c r="F396" s="15">
        <v>128047000</v>
      </c>
      <c r="G396" s="15" t="s">
        <v>109</v>
      </c>
      <c r="H396" s="15" t="s">
        <v>77</v>
      </c>
      <c r="I396" s="15" t="s">
        <v>736</v>
      </c>
      <c r="J396" s="15" t="s">
        <v>737</v>
      </c>
      <c r="K396" s="15" t="s">
        <v>92</v>
      </c>
      <c r="L396" s="15" t="s">
        <v>48</v>
      </c>
      <c r="M396" s="15" t="s">
        <v>738</v>
      </c>
      <c r="N396" s="15" t="s">
        <v>739</v>
      </c>
      <c r="O396" s="15"/>
      <c r="P396" s="15"/>
      <c r="Q396" s="15"/>
      <c r="R396" s="15"/>
      <c r="S396" s="15" t="s">
        <v>740</v>
      </c>
      <c r="T396" s="15"/>
      <c r="U396" s="15"/>
      <c r="V396" s="15"/>
      <c r="W396" s="15"/>
      <c r="X396" s="15" t="s">
        <v>740</v>
      </c>
      <c r="Y396" s="17">
        <v>4315711</v>
      </c>
      <c r="Z396" s="17">
        <v>1042097</v>
      </c>
      <c r="AA396" s="17">
        <v>150386</v>
      </c>
      <c r="AB396" s="17">
        <v>1192483</v>
      </c>
      <c r="AC396" s="17">
        <v>5508194</v>
      </c>
      <c r="AD396" s="17">
        <v>12247</v>
      </c>
      <c r="AE396" s="51">
        <f t="shared" si="54"/>
        <v>33.704116457238356</v>
      </c>
      <c r="AF396" s="51">
        <f t="shared" si="55"/>
        <v>9.3128538739681517</v>
      </c>
      <c r="AG396" s="51">
        <f t="shared" si="56"/>
        <v>43.016970331206508</v>
      </c>
      <c r="AH396" s="51">
        <f t="shared" si="57"/>
        <v>9.564456801018377E-2</v>
      </c>
      <c r="AI396" s="17">
        <v>15077529</v>
      </c>
      <c r="AJ396" s="17">
        <v>20396186</v>
      </c>
      <c r="AK396" s="17">
        <v>14883504</v>
      </c>
      <c r="AL396" s="17">
        <v>35279690</v>
      </c>
      <c r="AM396" s="17">
        <v>50357219</v>
      </c>
      <c r="AN396" s="17">
        <v>8084910</v>
      </c>
      <c r="BG396" s="15"/>
      <c r="BM396" s="17"/>
      <c r="BN396" s="17"/>
      <c r="BO396" s="17"/>
      <c r="BP396" s="17"/>
      <c r="BQ396" s="17"/>
      <c r="BW396" s="17"/>
    </row>
    <row r="397" spans="1:75" hidden="1" x14ac:dyDescent="0.25">
      <c r="A397" s="15" t="s">
        <v>734</v>
      </c>
      <c r="B397" s="15" t="s">
        <v>30</v>
      </c>
      <c r="C397" s="15">
        <v>2006</v>
      </c>
      <c r="D397" s="15" t="s">
        <v>735</v>
      </c>
      <c r="E397" s="15">
        <v>39930</v>
      </c>
      <c r="F397" s="15">
        <v>127854000</v>
      </c>
      <c r="G397" s="15" t="s">
        <v>109</v>
      </c>
      <c r="H397" s="15" t="s">
        <v>77</v>
      </c>
      <c r="I397" s="15" t="s">
        <v>736</v>
      </c>
      <c r="J397" s="15" t="s">
        <v>737</v>
      </c>
      <c r="K397" s="15" t="s">
        <v>92</v>
      </c>
      <c r="L397" s="15" t="s">
        <v>48</v>
      </c>
      <c r="M397" s="15" t="s">
        <v>738</v>
      </c>
      <c r="N397" s="15" t="s">
        <v>739</v>
      </c>
      <c r="O397" s="15"/>
      <c r="P397" s="15"/>
      <c r="Q397" s="15"/>
      <c r="R397" s="15"/>
      <c r="S397" s="15" t="s">
        <v>740</v>
      </c>
      <c r="T397" s="15"/>
      <c r="U397" s="15"/>
      <c r="V397" s="15"/>
      <c r="W397" s="15"/>
      <c r="X397" s="15" t="s">
        <v>740</v>
      </c>
      <c r="Y397" s="17">
        <v>4661759</v>
      </c>
      <c r="Z397" s="17">
        <v>1052592</v>
      </c>
      <c r="AA397" s="17">
        <v>153947</v>
      </c>
      <c r="AB397" s="17">
        <v>1206539</v>
      </c>
      <c r="AC397" s="17">
        <v>5868298</v>
      </c>
      <c r="AD397" s="17">
        <v>12275</v>
      </c>
      <c r="AE397" s="51">
        <f t="shared" si="54"/>
        <v>36.461581178531766</v>
      </c>
      <c r="AF397" s="51">
        <f t="shared" si="55"/>
        <v>9.4368498443537163</v>
      </c>
      <c r="AG397" s="51">
        <f t="shared" si="56"/>
        <v>45.898431022885482</v>
      </c>
      <c r="AH397" s="51">
        <f t="shared" si="57"/>
        <v>9.6007946564049609E-2</v>
      </c>
      <c r="AI397" s="17">
        <v>14914674</v>
      </c>
      <c r="AJ397" s="17">
        <v>20625992</v>
      </c>
      <c r="AK397" s="17">
        <v>15043879</v>
      </c>
      <c r="AL397" s="17">
        <v>35669871</v>
      </c>
      <c r="AM397" s="17">
        <v>50584545</v>
      </c>
      <c r="AN397" s="17">
        <v>8049770</v>
      </c>
      <c r="BG397" s="15"/>
      <c r="BM397" s="17"/>
      <c r="BN397" s="17"/>
      <c r="BO397" s="17"/>
      <c r="BP397" s="17"/>
      <c r="BQ397" s="17"/>
      <c r="BW397" s="17"/>
    </row>
    <row r="398" spans="1:75" hidden="1" x14ac:dyDescent="0.25">
      <c r="A398" s="15" t="s">
        <v>734</v>
      </c>
      <c r="B398" s="15" t="s">
        <v>52</v>
      </c>
      <c r="C398" s="15">
        <v>2016</v>
      </c>
      <c r="D398" s="15" t="s">
        <v>735</v>
      </c>
      <c r="E398" s="15">
        <v>38000</v>
      </c>
      <c r="F398" s="15">
        <v>126785797</v>
      </c>
      <c r="G398" s="15" t="s">
        <v>109</v>
      </c>
      <c r="H398" s="15" t="s">
        <v>77</v>
      </c>
      <c r="I398" s="15" t="s">
        <v>1763</v>
      </c>
      <c r="J398" s="15" t="s">
        <v>1661</v>
      </c>
      <c r="K398" s="15" t="s">
        <v>1662</v>
      </c>
      <c r="L398" s="15"/>
      <c r="M398" s="15"/>
      <c r="N398" s="15"/>
      <c r="O398" s="15" t="s">
        <v>1663</v>
      </c>
      <c r="P398" s="15" t="s">
        <v>1664</v>
      </c>
      <c r="Q398" s="15" t="s">
        <v>1665</v>
      </c>
      <c r="R398" s="15" t="s">
        <v>1666</v>
      </c>
      <c r="S398" s="15" t="s">
        <v>740</v>
      </c>
      <c r="T398" s="15"/>
      <c r="U398" s="15"/>
      <c r="V398" s="15"/>
      <c r="W398" s="15"/>
      <c r="X398" s="15" t="s">
        <v>740</v>
      </c>
      <c r="AE398" s="51" t="str">
        <f t="shared" si="54"/>
        <v/>
      </c>
      <c r="AF398" s="51" t="str">
        <f t="shared" si="55"/>
        <v/>
      </c>
      <c r="AG398" s="51" t="str">
        <f t="shared" si="56"/>
        <v/>
      </c>
      <c r="AH398" s="51" t="str">
        <f t="shared" si="57"/>
        <v/>
      </c>
      <c r="BE398" s="17">
        <v>265600000000000</v>
      </c>
      <c r="BF398" s="21">
        <v>0.65569999999999995</v>
      </c>
      <c r="BM398" s="17"/>
      <c r="BN398" s="17"/>
      <c r="BO398" s="17"/>
      <c r="BP398" s="17"/>
      <c r="BQ398" s="17"/>
      <c r="BW398" s="17" t="s">
        <v>1667</v>
      </c>
    </row>
    <row r="399" spans="1:75" hidden="1" x14ac:dyDescent="0.25">
      <c r="A399" s="15" t="s">
        <v>734</v>
      </c>
      <c r="B399" s="15" t="s">
        <v>52</v>
      </c>
      <c r="C399" s="15">
        <v>2015</v>
      </c>
      <c r="D399" s="15" t="s">
        <v>735</v>
      </c>
      <c r="E399" s="15">
        <v>38880</v>
      </c>
      <c r="F399" s="15">
        <v>127141000</v>
      </c>
      <c r="G399" s="15" t="s">
        <v>109</v>
      </c>
      <c r="H399" s="15" t="s">
        <v>77</v>
      </c>
      <c r="I399" s="15" t="s">
        <v>1763</v>
      </c>
      <c r="J399" s="15" t="s">
        <v>1661</v>
      </c>
      <c r="K399" s="15" t="s">
        <v>1662</v>
      </c>
      <c r="L399" s="15"/>
      <c r="M399" s="15"/>
      <c r="N399" s="15"/>
      <c r="O399" s="15" t="s">
        <v>1663</v>
      </c>
      <c r="P399" s="15" t="s">
        <v>1664</v>
      </c>
      <c r="Q399" s="15" t="s">
        <v>1665</v>
      </c>
      <c r="R399" s="15" t="s">
        <v>1666</v>
      </c>
      <c r="S399" s="15" t="s">
        <v>740</v>
      </c>
      <c r="T399" s="15"/>
      <c r="U399" s="15"/>
      <c r="V399" s="15"/>
      <c r="W399" s="15"/>
      <c r="X399" s="15" t="s">
        <v>740</v>
      </c>
      <c r="AE399" s="51" t="str">
        <f t="shared" si="54"/>
        <v/>
      </c>
      <c r="AF399" s="51" t="str">
        <f t="shared" si="55"/>
        <v/>
      </c>
      <c r="AG399" s="51" t="str">
        <f t="shared" si="56"/>
        <v/>
      </c>
      <c r="AH399" s="51" t="str">
        <f t="shared" si="57"/>
        <v/>
      </c>
      <c r="BE399" s="17">
        <v>258400000000000</v>
      </c>
      <c r="BF399" s="21">
        <v>0.65380000000000005</v>
      </c>
      <c r="BM399" s="17"/>
      <c r="BN399" s="17"/>
      <c r="BO399" s="17"/>
      <c r="BP399" s="17"/>
      <c r="BQ399" s="17"/>
      <c r="BW399" s="17"/>
    </row>
    <row r="400" spans="1:75" hidden="1" x14ac:dyDescent="0.25">
      <c r="A400" s="15" t="s">
        <v>734</v>
      </c>
      <c r="B400" s="15" t="s">
        <v>52</v>
      </c>
      <c r="C400" s="15">
        <v>2014</v>
      </c>
      <c r="D400" s="15" t="s">
        <v>735</v>
      </c>
      <c r="E400" s="15">
        <v>43950</v>
      </c>
      <c r="F400" s="15">
        <v>127276000</v>
      </c>
      <c r="G400" s="15" t="s">
        <v>109</v>
      </c>
      <c r="H400" s="15" t="s">
        <v>77</v>
      </c>
      <c r="I400" s="15" t="s">
        <v>1763</v>
      </c>
      <c r="J400" s="15" t="s">
        <v>1661</v>
      </c>
      <c r="K400" s="15" t="s">
        <v>1662</v>
      </c>
      <c r="L400" s="15"/>
      <c r="M400" s="15"/>
      <c r="N400" s="15"/>
      <c r="O400" s="15" t="s">
        <v>1663</v>
      </c>
      <c r="P400" s="15" t="s">
        <v>1664</v>
      </c>
      <c r="Q400" s="15" t="s">
        <v>1665</v>
      </c>
      <c r="R400" s="15" t="s">
        <v>1666</v>
      </c>
      <c r="S400" s="15" t="s">
        <v>740</v>
      </c>
      <c r="T400" s="15"/>
      <c r="U400" s="15"/>
      <c r="V400" s="15"/>
      <c r="W400" s="15"/>
      <c r="X400" s="15" t="s">
        <v>740</v>
      </c>
      <c r="Y400" s="17">
        <v>3252254</v>
      </c>
      <c r="AB400" s="17">
        <v>556974</v>
      </c>
      <c r="AC400" s="17">
        <v>3809228</v>
      </c>
      <c r="AD400" s="17">
        <v>11110</v>
      </c>
      <c r="AE400" s="51">
        <f t="shared" si="54"/>
        <v>25.552767214557342</v>
      </c>
      <c r="AF400" s="51">
        <f t="shared" si="55"/>
        <v>4.376111757126246</v>
      </c>
      <c r="AG400" s="51">
        <f t="shared" si="56"/>
        <v>29.928878971683588</v>
      </c>
      <c r="AH400" s="51">
        <f t="shared" si="57"/>
        <v>8.7290612527106445E-2</v>
      </c>
      <c r="AI400" s="17">
        <v>11268556</v>
      </c>
      <c r="AL400" s="17">
        <v>22341244</v>
      </c>
      <c r="AM400" s="17">
        <v>33609800</v>
      </c>
      <c r="AN400" s="17">
        <v>14325652</v>
      </c>
      <c r="BE400" s="17">
        <v>251700000000000</v>
      </c>
      <c r="BF400" s="21">
        <v>0.65</v>
      </c>
      <c r="BM400" s="17"/>
      <c r="BN400" s="17"/>
      <c r="BO400" s="17"/>
      <c r="BP400" s="17"/>
      <c r="BQ400" s="17"/>
      <c r="BW400" s="17" t="s">
        <v>1668</v>
      </c>
    </row>
    <row r="401" spans="1:75" hidden="1" x14ac:dyDescent="0.25">
      <c r="A401" s="15" t="s">
        <v>734</v>
      </c>
      <c r="B401" s="15" t="s">
        <v>52</v>
      </c>
      <c r="C401" s="15">
        <v>2013</v>
      </c>
      <c r="D401" s="15" t="s">
        <v>735</v>
      </c>
      <c r="E401" s="15">
        <v>48280</v>
      </c>
      <c r="F401" s="15">
        <v>127445000</v>
      </c>
      <c r="G401" s="15" t="s">
        <v>109</v>
      </c>
      <c r="H401" s="15" t="s">
        <v>77</v>
      </c>
      <c r="I401" s="15" t="s">
        <v>1763</v>
      </c>
      <c r="J401" s="15" t="s">
        <v>1661</v>
      </c>
      <c r="K401" s="15" t="s">
        <v>1662</v>
      </c>
      <c r="L401" s="15"/>
      <c r="M401" s="15"/>
      <c r="N401" s="15"/>
      <c r="O401" s="15" t="s">
        <v>1663</v>
      </c>
      <c r="P401" s="15" t="s">
        <v>1664</v>
      </c>
      <c r="Q401" s="15" t="s">
        <v>1665</v>
      </c>
      <c r="R401" s="15" t="s">
        <v>1666</v>
      </c>
      <c r="S401" s="15" t="s">
        <v>740</v>
      </c>
      <c r="T401" s="15"/>
      <c r="U401" s="15"/>
      <c r="V401" s="15"/>
      <c r="W401" s="15"/>
      <c r="X401" s="15" t="s">
        <v>740</v>
      </c>
      <c r="AE401" s="51" t="str">
        <f t="shared" si="54"/>
        <v/>
      </c>
      <c r="AF401" s="51" t="str">
        <f t="shared" si="55"/>
        <v/>
      </c>
      <c r="AG401" s="51" t="str">
        <f t="shared" si="56"/>
        <v/>
      </c>
      <c r="AH401" s="51" t="str">
        <f t="shared" si="57"/>
        <v/>
      </c>
      <c r="BE401" s="17">
        <v>247200000000000</v>
      </c>
      <c r="BF401" s="21">
        <v>0.66869999999999996</v>
      </c>
      <c r="BM401" s="17"/>
      <c r="BN401" s="17"/>
      <c r="BO401" s="17"/>
      <c r="BP401" s="17"/>
      <c r="BQ401" s="17"/>
      <c r="BW401" s="17"/>
    </row>
    <row r="402" spans="1:75" hidden="1" x14ac:dyDescent="0.25">
      <c r="A402" s="15" t="s">
        <v>734</v>
      </c>
      <c r="B402" s="15" t="s">
        <v>52</v>
      </c>
      <c r="C402" s="15">
        <v>2012</v>
      </c>
      <c r="D402" s="15" t="s">
        <v>735</v>
      </c>
      <c r="E402" s="15">
        <v>49480</v>
      </c>
      <c r="F402" s="15">
        <v>127629000</v>
      </c>
      <c r="G402" s="15" t="s">
        <v>109</v>
      </c>
      <c r="H402" s="15" t="s">
        <v>77</v>
      </c>
      <c r="I402" s="15" t="s">
        <v>1763</v>
      </c>
      <c r="J402" s="15" t="s">
        <v>1661</v>
      </c>
      <c r="K402" s="15" t="s">
        <v>1662</v>
      </c>
      <c r="L402" s="15"/>
      <c r="M402" s="15"/>
      <c r="N402" s="15"/>
      <c r="O402" s="15" t="s">
        <v>1663</v>
      </c>
      <c r="P402" s="15" t="s">
        <v>1664</v>
      </c>
      <c r="Q402" s="15" t="s">
        <v>1665</v>
      </c>
      <c r="R402" s="15" t="s">
        <v>1666</v>
      </c>
      <c r="S402" s="15" t="s">
        <v>740</v>
      </c>
      <c r="T402" s="15"/>
      <c r="U402" s="15"/>
      <c r="V402" s="15"/>
      <c r="W402" s="15"/>
      <c r="X402" s="15" t="s">
        <v>740</v>
      </c>
      <c r="AE402" s="51" t="str">
        <f t="shared" si="54"/>
        <v/>
      </c>
      <c r="AF402" s="51" t="str">
        <f t="shared" si="55"/>
        <v/>
      </c>
      <c r="AG402" s="51" t="str">
        <f t="shared" si="56"/>
        <v/>
      </c>
      <c r="AH402" s="51" t="str">
        <f t="shared" si="57"/>
        <v/>
      </c>
      <c r="BE402" s="17">
        <v>243600000000000</v>
      </c>
      <c r="BF402" s="21">
        <v>0.65759999999999996</v>
      </c>
      <c r="BM402" s="17"/>
      <c r="BN402" s="17"/>
      <c r="BO402" s="17"/>
      <c r="BP402" s="17"/>
      <c r="BQ402" s="17"/>
      <c r="BW402" s="17"/>
    </row>
    <row r="403" spans="1:75" hidden="1" x14ac:dyDescent="0.25">
      <c r="A403" s="15" t="s">
        <v>734</v>
      </c>
      <c r="B403" s="15" t="s">
        <v>52</v>
      </c>
      <c r="C403" s="15">
        <v>2011</v>
      </c>
      <c r="D403" s="15" t="s">
        <v>735</v>
      </c>
      <c r="E403" s="15">
        <v>46880</v>
      </c>
      <c r="F403" s="15">
        <v>127833000</v>
      </c>
      <c r="G403" s="15" t="s">
        <v>109</v>
      </c>
      <c r="H403" s="15" t="s">
        <v>77</v>
      </c>
      <c r="I403" s="15" t="s">
        <v>1763</v>
      </c>
      <c r="J403" s="15" t="s">
        <v>1661</v>
      </c>
      <c r="K403" s="15" t="s">
        <v>1662</v>
      </c>
      <c r="L403" s="15"/>
      <c r="M403" s="15"/>
      <c r="N403" s="15"/>
      <c r="O403" s="15" t="s">
        <v>1663</v>
      </c>
      <c r="P403" s="15" t="s">
        <v>1664</v>
      </c>
      <c r="Q403" s="15" t="s">
        <v>1665</v>
      </c>
      <c r="R403" s="15" t="s">
        <v>1666</v>
      </c>
      <c r="S403" s="15" t="s">
        <v>740</v>
      </c>
      <c r="T403" s="15"/>
      <c r="U403" s="15"/>
      <c r="V403" s="15"/>
      <c r="W403" s="15"/>
      <c r="X403" s="15" t="s">
        <v>740</v>
      </c>
      <c r="AE403" s="51" t="str">
        <f t="shared" si="54"/>
        <v/>
      </c>
      <c r="AF403" s="51" t="str">
        <f t="shared" si="55"/>
        <v/>
      </c>
      <c r="AG403" s="51" t="str">
        <f t="shared" si="56"/>
        <v/>
      </c>
      <c r="AH403" s="51" t="str">
        <f t="shared" si="57"/>
        <v/>
      </c>
      <c r="BE403" s="17">
        <v>245600000000000</v>
      </c>
      <c r="BF403" s="21">
        <v>0.6694</v>
      </c>
      <c r="BM403" s="17"/>
      <c r="BN403" s="17"/>
      <c r="BO403" s="17"/>
      <c r="BP403" s="17"/>
      <c r="BQ403" s="17"/>
      <c r="BW403" s="17"/>
    </row>
    <row r="404" spans="1:75" hidden="1" x14ac:dyDescent="0.25">
      <c r="A404" s="15" t="s">
        <v>741</v>
      </c>
      <c r="B404" s="15" t="s">
        <v>30</v>
      </c>
      <c r="C404" s="15">
        <v>2016</v>
      </c>
      <c r="D404" s="15" t="s">
        <v>742</v>
      </c>
      <c r="E404" s="15">
        <v>3920</v>
      </c>
      <c r="F404" s="15">
        <v>9702353</v>
      </c>
      <c r="G404" s="15" t="s">
        <v>42</v>
      </c>
      <c r="H404" s="15" t="s">
        <v>58</v>
      </c>
      <c r="I404" s="15" t="s">
        <v>743</v>
      </c>
      <c r="J404" s="15" t="s">
        <v>744</v>
      </c>
      <c r="K404" s="15" t="s">
        <v>181</v>
      </c>
      <c r="L404" s="15" t="s">
        <v>716</v>
      </c>
      <c r="M404" s="15" t="s">
        <v>36</v>
      </c>
      <c r="N404" s="15" t="s">
        <v>37</v>
      </c>
      <c r="O404" s="15"/>
      <c r="P404" s="15"/>
      <c r="Q404" s="15"/>
      <c r="R404" s="15"/>
      <c r="S404" s="15" t="s">
        <v>745</v>
      </c>
      <c r="T404" s="15"/>
      <c r="U404" s="15"/>
      <c r="V404" s="15"/>
      <c r="W404" s="15"/>
      <c r="X404" s="15" t="s">
        <v>745</v>
      </c>
      <c r="Y404" s="17">
        <v>166707</v>
      </c>
      <c r="Z404" s="17">
        <v>19416</v>
      </c>
      <c r="AA404" s="17">
        <v>2953</v>
      </c>
      <c r="AB404" s="17">
        <v>22369</v>
      </c>
      <c r="AC404" s="17">
        <v>189076</v>
      </c>
      <c r="AD404" s="17">
        <v>980</v>
      </c>
      <c r="AE404" s="51">
        <f t="shared" si="54"/>
        <v>17.182120667017578</v>
      </c>
      <c r="AF404" s="51">
        <f t="shared" si="55"/>
        <v>2.305523206587103</v>
      </c>
      <c r="AG404" s="51">
        <f t="shared" si="56"/>
        <v>19.487643873604682</v>
      </c>
      <c r="AH404" s="51">
        <f t="shared" si="57"/>
        <v>0.10100642596697935</v>
      </c>
      <c r="AI404" s="17">
        <v>297768</v>
      </c>
      <c r="AJ404" s="17">
        <v>149187</v>
      </c>
      <c r="AK404" s="17">
        <v>117817</v>
      </c>
      <c r="AL404" s="17">
        <v>267004</v>
      </c>
      <c r="AM404" s="17">
        <v>564772</v>
      </c>
      <c r="AN404" s="17">
        <v>596867</v>
      </c>
      <c r="AU404" s="15" t="s">
        <v>744</v>
      </c>
      <c r="AV404" s="15" t="s">
        <v>744</v>
      </c>
      <c r="BG404" s="15"/>
      <c r="BM404" s="17"/>
      <c r="BN404" s="17"/>
      <c r="BO404" s="17"/>
      <c r="BP404" s="17"/>
      <c r="BQ404" s="17"/>
      <c r="BW404" s="17"/>
    </row>
    <row r="405" spans="1:75" hidden="1" x14ac:dyDescent="0.25">
      <c r="A405" s="15" t="s">
        <v>741</v>
      </c>
      <c r="B405" s="15" t="s">
        <v>30</v>
      </c>
      <c r="C405" s="15">
        <v>2015</v>
      </c>
      <c r="D405" s="15" t="s">
        <v>742</v>
      </c>
      <c r="E405" s="15">
        <v>3890</v>
      </c>
      <c r="F405" s="15">
        <v>9159302</v>
      </c>
      <c r="G405" s="15" t="s">
        <v>42</v>
      </c>
      <c r="H405" s="15" t="s">
        <v>58</v>
      </c>
      <c r="I405" s="15" t="s">
        <v>743</v>
      </c>
      <c r="J405" s="15" t="s">
        <v>744</v>
      </c>
      <c r="K405" s="15" t="s">
        <v>181</v>
      </c>
      <c r="L405" s="15" t="s">
        <v>716</v>
      </c>
      <c r="M405" s="15" t="s">
        <v>36</v>
      </c>
      <c r="N405" s="15" t="s">
        <v>37</v>
      </c>
      <c r="O405" s="15"/>
      <c r="P405" s="15"/>
      <c r="Q405" s="15"/>
      <c r="R405" s="15"/>
      <c r="S405" s="15" t="s">
        <v>745</v>
      </c>
      <c r="T405" s="15"/>
      <c r="U405" s="15"/>
      <c r="V405" s="15"/>
      <c r="W405" s="15"/>
      <c r="X405" s="15" t="s">
        <v>745</v>
      </c>
      <c r="Y405" s="17">
        <v>167764</v>
      </c>
      <c r="Z405" s="17">
        <v>18724</v>
      </c>
      <c r="AA405" s="17">
        <v>2554</v>
      </c>
      <c r="AB405" s="17">
        <v>21278</v>
      </c>
      <c r="AC405" s="17">
        <v>189042</v>
      </c>
      <c r="AD405" s="17">
        <v>969</v>
      </c>
      <c r="AE405" s="51">
        <f t="shared" si="54"/>
        <v>18.316242875275865</v>
      </c>
      <c r="AF405" s="51">
        <f t="shared" si="55"/>
        <v>2.3231027866533935</v>
      </c>
      <c r="AG405" s="51">
        <f t="shared" si="56"/>
        <v>20.639345661929262</v>
      </c>
      <c r="AH405" s="51">
        <f t="shared" si="57"/>
        <v>0.10579408780276052</v>
      </c>
      <c r="AI405" s="17">
        <v>294485</v>
      </c>
      <c r="AJ405" s="17">
        <v>147978</v>
      </c>
      <c r="AK405" s="17">
        <v>101354</v>
      </c>
      <c r="AL405" s="17">
        <v>249332</v>
      </c>
      <c r="AM405" s="17">
        <v>543817</v>
      </c>
      <c r="AN405" s="17">
        <v>591733</v>
      </c>
      <c r="AU405" s="15" t="s">
        <v>744</v>
      </c>
      <c r="AV405" s="15" t="s">
        <v>744</v>
      </c>
      <c r="BG405" s="15"/>
      <c r="BM405" s="17"/>
      <c r="BN405" s="17"/>
      <c r="BO405" s="17"/>
      <c r="BP405" s="17"/>
      <c r="BQ405" s="17"/>
      <c r="BW405" s="17"/>
    </row>
    <row r="406" spans="1:75" hidden="1" x14ac:dyDescent="0.25">
      <c r="A406" s="15" t="s">
        <v>741</v>
      </c>
      <c r="B406" s="15" t="s">
        <v>30</v>
      </c>
      <c r="C406" s="15">
        <v>2014</v>
      </c>
      <c r="D406" s="15" t="s">
        <v>742</v>
      </c>
      <c r="E406" s="15">
        <v>3870</v>
      </c>
      <c r="F406" s="15">
        <v>8809306</v>
      </c>
      <c r="G406" s="15" t="s">
        <v>42</v>
      </c>
      <c r="H406" s="15" t="s">
        <v>58</v>
      </c>
      <c r="I406" s="15" t="s">
        <v>743</v>
      </c>
      <c r="J406" s="15" t="s">
        <v>744</v>
      </c>
      <c r="K406" s="15" t="s">
        <v>181</v>
      </c>
      <c r="L406" s="15" t="s">
        <v>716</v>
      </c>
      <c r="M406" s="15" t="s">
        <v>36</v>
      </c>
      <c r="N406" s="15" t="s">
        <v>37</v>
      </c>
      <c r="O406" s="15"/>
      <c r="P406" s="15"/>
      <c r="Q406" s="15"/>
      <c r="R406" s="15"/>
      <c r="S406" s="15" t="s">
        <v>745</v>
      </c>
      <c r="T406" s="15"/>
      <c r="U406" s="15"/>
      <c r="V406" s="15"/>
      <c r="W406" s="15"/>
      <c r="X406" s="15" t="s">
        <v>745</v>
      </c>
      <c r="Y406" s="17">
        <v>135731</v>
      </c>
      <c r="Z406" s="17">
        <v>18596</v>
      </c>
      <c r="AA406" s="17">
        <v>2884</v>
      </c>
      <c r="AB406" s="17">
        <v>21480</v>
      </c>
      <c r="AC406" s="17">
        <v>157211</v>
      </c>
      <c r="AD406" s="17">
        <v>916</v>
      </c>
      <c r="AE406" s="51">
        <f t="shared" si="54"/>
        <v>15.407683647270284</v>
      </c>
      <c r="AF406" s="51">
        <f t="shared" si="55"/>
        <v>2.4383305563457554</v>
      </c>
      <c r="AG406" s="51">
        <f t="shared" si="56"/>
        <v>17.84601420361604</v>
      </c>
      <c r="AH406" s="51">
        <f t="shared" si="57"/>
        <v>0.10398094923709088</v>
      </c>
      <c r="AI406" s="17">
        <v>262697</v>
      </c>
      <c r="AJ406" s="17">
        <v>140453</v>
      </c>
      <c r="AK406" s="17">
        <v>111305</v>
      </c>
      <c r="AL406" s="17">
        <v>251758</v>
      </c>
      <c r="AM406" s="17">
        <v>514455</v>
      </c>
      <c r="AN406" s="17">
        <v>573418</v>
      </c>
      <c r="AU406" s="15" t="s">
        <v>744</v>
      </c>
      <c r="AV406" s="15" t="s">
        <v>744</v>
      </c>
      <c r="BG406" s="15"/>
      <c r="BM406" s="17"/>
      <c r="BN406" s="17"/>
      <c r="BO406" s="17"/>
      <c r="BP406" s="17"/>
      <c r="BQ406" s="17"/>
      <c r="BW406" s="17"/>
    </row>
    <row r="407" spans="1:75" hidden="1" x14ac:dyDescent="0.25">
      <c r="A407" s="15" t="s">
        <v>741</v>
      </c>
      <c r="B407" s="15" t="s">
        <v>30</v>
      </c>
      <c r="C407" s="15">
        <v>2013</v>
      </c>
      <c r="D407" s="15" t="s">
        <v>742</v>
      </c>
      <c r="E407" s="15">
        <v>3790</v>
      </c>
      <c r="F407" s="15">
        <v>8413464</v>
      </c>
      <c r="G407" s="15" t="s">
        <v>42</v>
      </c>
      <c r="H407" s="15" t="s">
        <v>58</v>
      </c>
      <c r="I407" s="15" t="s">
        <v>743</v>
      </c>
      <c r="J407" s="15" t="s">
        <v>744</v>
      </c>
      <c r="K407" s="15" t="s">
        <v>181</v>
      </c>
      <c r="L407" s="15" t="s">
        <v>716</v>
      </c>
      <c r="M407" s="15" t="s">
        <v>36</v>
      </c>
      <c r="N407" s="15" t="s">
        <v>37</v>
      </c>
      <c r="O407" s="15"/>
      <c r="P407" s="15"/>
      <c r="Q407" s="15"/>
      <c r="R407" s="15"/>
      <c r="S407" s="15" t="s">
        <v>745</v>
      </c>
      <c r="T407" s="15"/>
      <c r="U407" s="15"/>
      <c r="V407" s="15"/>
      <c r="W407" s="15"/>
      <c r="X407" s="15" t="s">
        <v>745</v>
      </c>
      <c r="Y407" s="17">
        <v>139540</v>
      </c>
      <c r="Z407" s="17">
        <v>14974</v>
      </c>
      <c r="AA407" s="17">
        <v>2327</v>
      </c>
      <c r="AB407" s="17">
        <v>17301</v>
      </c>
      <c r="AC407" s="17">
        <v>156841</v>
      </c>
      <c r="AD407" s="17">
        <v>938</v>
      </c>
      <c r="AE407" s="51">
        <f t="shared" si="54"/>
        <v>16.585320861894694</v>
      </c>
      <c r="AF407" s="51">
        <f t="shared" si="55"/>
        <v>2.0563468269430998</v>
      </c>
      <c r="AG407" s="51">
        <f t="shared" si="56"/>
        <v>18.641667688837796</v>
      </c>
      <c r="AH407" s="51">
        <f t="shared" si="57"/>
        <v>0.11148796738180612</v>
      </c>
      <c r="AI407" s="17">
        <v>264807</v>
      </c>
      <c r="AJ407" s="17">
        <v>117969</v>
      </c>
      <c r="AK407" s="17">
        <v>92735</v>
      </c>
      <c r="AL407" s="17">
        <v>210704</v>
      </c>
      <c r="AM407" s="17">
        <v>475511</v>
      </c>
      <c r="AN407" s="17">
        <v>585696</v>
      </c>
      <c r="AU407" s="15" t="s">
        <v>744</v>
      </c>
      <c r="AV407" s="15" t="s">
        <v>744</v>
      </c>
      <c r="BG407" s="15"/>
      <c r="BM407" s="17"/>
      <c r="BN407" s="17"/>
      <c r="BO407" s="17"/>
      <c r="BP407" s="17"/>
      <c r="BQ407" s="17"/>
      <c r="BW407" s="17"/>
    </row>
    <row r="408" spans="1:75" hidden="1" x14ac:dyDescent="0.25">
      <c r="A408" s="15" t="s">
        <v>741</v>
      </c>
      <c r="B408" s="15" t="s">
        <v>30</v>
      </c>
      <c r="C408" s="15">
        <v>2012</v>
      </c>
      <c r="D408" s="15" t="s">
        <v>742</v>
      </c>
      <c r="E408" s="15">
        <v>3680</v>
      </c>
      <c r="F408" s="15">
        <v>7992573</v>
      </c>
      <c r="G408" s="15" t="s">
        <v>42</v>
      </c>
      <c r="H408" s="15" t="s">
        <v>58</v>
      </c>
      <c r="I408" s="15" t="s">
        <v>743</v>
      </c>
      <c r="J408" s="15" t="s">
        <v>744</v>
      </c>
      <c r="K408" s="15" t="s">
        <v>181</v>
      </c>
      <c r="L408" s="15" t="s">
        <v>716</v>
      </c>
      <c r="M408" s="15" t="s">
        <v>36</v>
      </c>
      <c r="N408" s="15" t="s">
        <v>37</v>
      </c>
      <c r="O408" s="15"/>
      <c r="P408" s="15"/>
      <c r="Q408" s="15"/>
      <c r="R408" s="15"/>
      <c r="S408" s="15" t="s">
        <v>745</v>
      </c>
      <c r="T408" s="15"/>
      <c r="U408" s="15"/>
      <c r="V408" s="15"/>
      <c r="W408" s="15"/>
      <c r="X408" s="15" t="s">
        <v>745</v>
      </c>
      <c r="Y408" s="17">
        <v>140715</v>
      </c>
      <c r="Z408" s="17">
        <v>13980</v>
      </c>
      <c r="AA408" s="17">
        <v>2433</v>
      </c>
      <c r="AB408" s="17">
        <v>16413</v>
      </c>
      <c r="AC408" s="17">
        <v>157128</v>
      </c>
      <c r="AD408" s="17">
        <v>916</v>
      </c>
      <c r="AE408" s="51">
        <f t="shared" si="54"/>
        <v>17.605719710035803</v>
      </c>
      <c r="AF408" s="51">
        <f t="shared" si="55"/>
        <v>2.0535314472573476</v>
      </c>
      <c r="AG408" s="51">
        <f t="shared" si="56"/>
        <v>19.659251157293152</v>
      </c>
      <c r="AH408" s="51">
        <f t="shared" si="57"/>
        <v>0.11460639771447818</v>
      </c>
      <c r="AI408" s="17">
        <v>287817</v>
      </c>
      <c r="AJ408" s="17">
        <v>112663</v>
      </c>
      <c r="AK408" s="17">
        <v>100405</v>
      </c>
      <c r="AL408" s="17">
        <v>213068</v>
      </c>
      <c r="AM408" s="17">
        <v>500885</v>
      </c>
      <c r="AN408" s="17">
        <v>540354</v>
      </c>
      <c r="AU408" s="15" t="s">
        <v>744</v>
      </c>
      <c r="AV408" s="15" t="s">
        <v>744</v>
      </c>
      <c r="BG408" s="15"/>
      <c r="BM408" s="17"/>
      <c r="BN408" s="17"/>
      <c r="BO408" s="17"/>
      <c r="BP408" s="17"/>
      <c r="BQ408" s="17"/>
      <c r="BW408" s="17"/>
    </row>
    <row r="409" spans="1:75" hidden="1" x14ac:dyDescent="0.25">
      <c r="A409" s="15" t="s">
        <v>746</v>
      </c>
      <c r="B409" s="15" t="s">
        <v>30</v>
      </c>
      <c r="C409" s="15">
        <v>2016</v>
      </c>
      <c r="D409" s="15" t="s">
        <v>747</v>
      </c>
      <c r="E409" s="15">
        <v>8800</v>
      </c>
      <c r="F409" s="15">
        <v>18037646</v>
      </c>
      <c r="G409" s="15" t="s">
        <v>42</v>
      </c>
      <c r="H409" s="15" t="s">
        <v>43</v>
      </c>
      <c r="I409" s="15" t="s">
        <v>748</v>
      </c>
      <c r="J409" s="15" t="s">
        <v>749</v>
      </c>
      <c r="K409" s="15" t="s">
        <v>1648</v>
      </c>
      <c r="L409" s="15" t="s">
        <v>1648</v>
      </c>
      <c r="M409" s="15" t="s">
        <v>263</v>
      </c>
      <c r="N409" s="15" t="s">
        <v>167</v>
      </c>
      <c r="O409" s="15"/>
      <c r="P409" s="15"/>
      <c r="Q409" s="15"/>
      <c r="R409" s="15"/>
      <c r="S409" s="15"/>
      <c r="T409" s="15"/>
      <c r="U409" s="15"/>
      <c r="V409" s="15"/>
      <c r="W409" s="15"/>
      <c r="X409" s="15"/>
      <c r="Y409" s="17">
        <v>914005</v>
      </c>
      <c r="Z409" s="17">
        <v>189637</v>
      </c>
      <c r="AA409" s="17">
        <v>2711</v>
      </c>
      <c r="AB409" s="17">
        <v>192348</v>
      </c>
      <c r="AC409" s="17">
        <v>1106353</v>
      </c>
      <c r="AE409" s="51">
        <f t="shared" si="54"/>
        <v>50.672077720119354</v>
      </c>
      <c r="AF409" s="51">
        <f t="shared" si="55"/>
        <v>10.663697469170867</v>
      </c>
      <c r="AG409" s="51">
        <f t="shared" si="56"/>
        <v>61.335775189290224</v>
      </c>
      <c r="AH409" s="51" t="str">
        <f t="shared" si="57"/>
        <v/>
      </c>
      <c r="AI409" s="17">
        <v>1564568</v>
      </c>
      <c r="AJ409" s="17">
        <v>1249270</v>
      </c>
      <c r="AK409" s="17">
        <v>352954</v>
      </c>
      <c r="AL409" s="17">
        <v>1602224</v>
      </c>
      <c r="AM409" s="17">
        <v>3166792</v>
      </c>
      <c r="BG409" s="15"/>
      <c r="BM409" s="17"/>
      <c r="BN409" s="17"/>
      <c r="BO409" s="17"/>
      <c r="BP409" s="17"/>
      <c r="BQ409" s="17"/>
      <c r="BW409" s="17" t="s">
        <v>1649</v>
      </c>
    </row>
    <row r="410" spans="1:75" hidden="1" x14ac:dyDescent="0.25">
      <c r="A410" s="15" t="s">
        <v>746</v>
      </c>
      <c r="B410" s="15" t="s">
        <v>30</v>
      </c>
      <c r="C410" s="15">
        <v>2015</v>
      </c>
      <c r="D410" s="15" t="s">
        <v>747</v>
      </c>
      <c r="E410" s="15">
        <v>11420</v>
      </c>
      <c r="F410" s="15">
        <v>17542806</v>
      </c>
      <c r="G410" s="15" t="s">
        <v>42</v>
      </c>
      <c r="H410" s="15" t="s">
        <v>43</v>
      </c>
      <c r="I410" s="15" t="s">
        <v>748</v>
      </c>
      <c r="J410" s="15" t="s">
        <v>749</v>
      </c>
      <c r="K410" s="15" t="s">
        <v>1648</v>
      </c>
      <c r="L410" s="15" t="s">
        <v>1648</v>
      </c>
      <c r="M410" s="15" t="s">
        <v>263</v>
      </c>
      <c r="N410" s="15" t="s">
        <v>167</v>
      </c>
      <c r="O410" s="15"/>
      <c r="P410" s="15"/>
      <c r="Q410" s="15"/>
      <c r="R410" s="15"/>
      <c r="S410" s="15"/>
      <c r="T410" s="15"/>
      <c r="U410" s="15"/>
      <c r="V410" s="15"/>
      <c r="W410" s="15"/>
      <c r="X410" s="15"/>
      <c r="Y410" s="17">
        <v>1064003</v>
      </c>
      <c r="Z410" s="17">
        <v>175679</v>
      </c>
      <c r="AA410" s="17">
        <v>2897</v>
      </c>
      <c r="AB410" s="17">
        <v>178576</v>
      </c>
      <c r="AC410" s="17">
        <v>1242579</v>
      </c>
      <c r="AE410" s="51">
        <f t="shared" si="54"/>
        <v>60.65181362662279</v>
      </c>
      <c r="AF410" s="51">
        <f t="shared" si="55"/>
        <v>10.179443357009136</v>
      </c>
      <c r="AG410" s="51">
        <f t="shared" si="56"/>
        <v>70.831256983631917</v>
      </c>
      <c r="AH410" s="51" t="str">
        <f t="shared" si="57"/>
        <v/>
      </c>
      <c r="AI410" s="17">
        <v>1646879</v>
      </c>
      <c r="AJ410" s="17">
        <v>1185186</v>
      </c>
      <c r="AK410" s="17">
        <v>351779</v>
      </c>
      <c r="AL410" s="17">
        <v>1536965</v>
      </c>
      <c r="AM410" s="17">
        <v>3183844</v>
      </c>
      <c r="BG410" s="15"/>
      <c r="BM410" s="17"/>
      <c r="BN410" s="17"/>
      <c r="BO410" s="17"/>
      <c r="BP410" s="17"/>
      <c r="BQ410" s="17"/>
      <c r="BW410" s="17" t="s">
        <v>1649</v>
      </c>
    </row>
    <row r="411" spans="1:75" hidden="1" x14ac:dyDescent="0.25">
      <c r="A411" s="15" t="s">
        <v>746</v>
      </c>
      <c r="B411" s="15" t="s">
        <v>30</v>
      </c>
      <c r="C411" s="15">
        <v>2014</v>
      </c>
      <c r="D411" s="15" t="s">
        <v>747</v>
      </c>
      <c r="E411" s="15">
        <v>12090</v>
      </c>
      <c r="F411" s="15">
        <v>17288285</v>
      </c>
      <c r="G411" s="15" t="s">
        <v>42</v>
      </c>
      <c r="H411" s="15" t="s">
        <v>43</v>
      </c>
      <c r="I411" s="15" t="s">
        <v>748</v>
      </c>
      <c r="J411" s="15" t="s">
        <v>749</v>
      </c>
      <c r="K411" s="15" t="s">
        <v>1648</v>
      </c>
      <c r="L411" s="15" t="s">
        <v>1648</v>
      </c>
      <c r="M411" s="15" t="s">
        <v>263</v>
      </c>
      <c r="N411" s="15" t="s">
        <v>167</v>
      </c>
      <c r="O411" s="15"/>
      <c r="P411" s="15"/>
      <c r="Q411" s="15"/>
      <c r="R411" s="15"/>
      <c r="S411" s="15"/>
      <c r="T411" s="15"/>
      <c r="U411" s="15"/>
      <c r="V411" s="15"/>
      <c r="W411" s="15"/>
      <c r="X411" s="15"/>
      <c r="Y411" s="17">
        <v>847456</v>
      </c>
      <c r="Z411" s="17">
        <v>74829</v>
      </c>
      <c r="AA411" s="17">
        <v>4559</v>
      </c>
      <c r="AB411" s="17">
        <v>79388</v>
      </c>
      <c r="AC411" s="17">
        <v>926844</v>
      </c>
      <c r="AE411" s="51">
        <f t="shared" si="54"/>
        <v>49.019090094824328</v>
      </c>
      <c r="AF411" s="51">
        <f t="shared" si="55"/>
        <v>4.5920112955102255</v>
      </c>
      <c r="AG411" s="51">
        <f t="shared" si="56"/>
        <v>53.611101390334554</v>
      </c>
      <c r="AH411" s="51" t="str">
        <f t="shared" si="57"/>
        <v/>
      </c>
      <c r="AI411" s="17">
        <v>1445427</v>
      </c>
      <c r="AJ411" s="17">
        <v>849015</v>
      </c>
      <c r="AK411" s="17">
        <v>516520</v>
      </c>
      <c r="AL411" s="17">
        <v>1365535</v>
      </c>
      <c r="AM411" s="17">
        <v>2810962</v>
      </c>
      <c r="BG411" s="15"/>
      <c r="BM411" s="17"/>
      <c r="BN411" s="17"/>
      <c r="BO411" s="17"/>
      <c r="BP411" s="17"/>
      <c r="BQ411" s="17"/>
      <c r="BW411" s="17" t="s">
        <v>1649</v>
      </c>
    </row>
    <row r="412" spans="1:75" hidden="1" x14ac:dyDescent="0.25">
      <c r="A412" s="15" t="s">
        <v>746</v>
      </c>
      <c r="B412" s="15" t="s">
        <v>30</v>
      </c>
      <c r="C412" s="15">
        <v>2013</v>
      </c>
      <c r="D412" s="15" t="s">
        <v>747</v>
      </c>
      <c r="E412" s="15">
        <v>11840</v>
      </c>
      <c r="F412" s="15">
        <v>17035550</v>
      </c>
      <c r="G412" s="15" t="s">
        <v>42</v>
      </c>
      <c r="H412" s="15" t="s">
        <v>43</v>
      </c>
      <c r="I412" s="15" t="s">
        <v>748</v>
      </c>
      <c r="J412" s="15" t="s">
        <v>749</v>
      </c>
      <c r="K412" s="15" t="s">
        <v>1648</v>
      </c>
      <c r="L412" s="15" t="s">
        <v>1648</v>
      </c>
      <c r="M412" s="15" t="s">
        <v>263</v>
      </c>
      <c r="N412" s="15" t="s">
        <v>167</v>
      </c>
      <c r="O412" s="15"/>
      <c r="P412" s="15"/>
      <c r="Q412" s="15"/>
      <c r="R412" s="15"/>
      <c r="S412" s="15"/>
      <c r="T412" s="15"/>
      <c r="U412" s="15"/>
      <c r="V412" s="15"/>
      <c r="W412" s="15"/>
      <c r="X412" s="15"/>
      <c r="Y412" s="17">
        <v>818845</v>
      </c>
      <c r="Z412" s="17">
        <v>61076</v>
      </c>
      <c r="AA412" s="17">
        <v>8312</v>
      </c>
      <c r="AB412" s="17">
        <v>69388</v>
      </c>
      <c r="AC412" s="17">
        <v>888233</v>
      </c>
      <c r="AE412" s="51">
        <f t="shared" si="54"/>
        <v>48.066836703247034</v>
      </c>
      <c r="AF412" s="51">
        <f t="shared" si="55"/>
        <v>4.0731294264053703</v>
      </c>
      <c r="AG412" s="51">
        <f t="shared" si="56"/>
        <v>52.1399661296524</v>
      </c>
      <c r="AH412" s="51" t="str">
        <f t="shared" si="57"/>
        <v/>
      </c>
      <c r="AI412" s="17">
        <v>1337595</v>
      </c>
      <c r="AJ412" s="17">
        <v>527519</v>
      </c>
      <c r="AK412" s="17">
        <v>711788</v>
      </c>
      <c r="AL412" s="17">
        <v>1239307</v>
      </c>
      <c r="AM412" s="17">
        <v>2576902</v>
      </c>
      <c r="BG412" s="15"/>
      <c r="BM412" s="17"/>
      <c r="BN412" s="17"/>
      <c r="BO412" s="17"/>
      <c r="BP412" s="17"/>
      <c r="BQ412" s="17"/>
      <c r="BW412" s="17" t="s">
        <v>1649</v>
      </c>
    </row>
    <row r="413" spans="1:75" hidden="1" x14ac:dyDescent="0.25">
      <c r="A413" s="15" t="s">
        <v>746</v>
      </c>
      <c r="B413" s="15" t="s">
        <v>30</v>
      </c>
      <c r="C413" s="15">
        <v>2012</v>
      </c>
      <c r="D413" s="15" t="s">
        <v>747</v>
      </c>
      <c r="E413" s="15">
        <v>9940</v>
      </c>
      <c r="F413" s="15">
        <v>16792089</v>
      </c>
      <c r="G413" s="15" t="s">
        <v>42</v>
      </c>
      <c r="H413" s="15" t="s">
        <v>43</v>
      </c>
      <c r="I413" s="15" t="s">
        <v>748</v>
      </c>
      <c r="J413" s="15" t="s">
        <v>749</v>
      </c>
      <c r="K413" s="15" t="s">
        <v>1648</v>
      </c>
      <c r="L413" s="15" t="s">
        <v>1648</v>
      </c>
      <c r="M413" s="15" t="s">
        <v>263</v>
      </c>
      <c r="N413" s="15" t="s">
        <v>167</v>
      </c>
      <c r="O413" s="15"/>
      <c r="P413" s="15"/>
      <c r="Q413" s="15"/>
      <c r="R413" s="15"/>
      <c r="S413" s="15"/>
      <c r="T413" s="15"/>
      <c r="U413" s="15"/>
      <c r="V413" s="15"/>
      <c r="W413" s="15"/>
      <c r="X413" s="15"/>
      <c r="Y413" s="17">
        <v>738474</v>
      </c>
      <c r="Z413" s="17">
        <v>62888</v>
      </c>
      <c r="AA413" s="17">
        <v>8388</v>
      </c>
      <c r="AB413" s="17">
        <v>71276</v>
      </c>
      <c r="AC413" s="17">
        <v>809750</v>
      </c>
      <c r="AE413" s="51">
        <f t="shared" si="54"/>
        <v>43.977494402274786</v>
      </c>
      <c r="AF413" s="51">
        <f t="shared" si="55"/>
        <v>4.2446178078260539</v>
      </c>
      <c r="AG413" s="51">
        <f t="shared" si="56"/>
        <v>48.222112210100839</v>
      </c>
      <c r="AH413" s="51" t="str">
        <f t="shared" si="57"/>
        <v/>
      </c>
      <c r="AI413" s="17">
        <v>1207260.75</v>
      </c>
      <c r="AJ413" s="17">
        <v>500591</v>
      </c>
      <c r="AK413" s="17">
        <v>675486</v>
      </c>
      <c r="AL413" s="17">
        <v>1176077</v>
      </c>
      <c r="AM413" s="17">
        <v>2383337.75</v>
      </c>
      <c r="BG413" s="15"/>
      <c r="BM413" s="17"/>
      <c r="BN413" s="17"/>
      <c r="BO413" s="17"/>
      <c r="BP413" s="17"/>
      <c r="BQ413" s="17"/>
      <c r="BW413" s="17" t="s">
        <v>1649</v>
      </c>
    </row>
    <row r="414" spans="1:75" hidden="1" x14ac:dyDescent="0.25">
      <c r="A414" s="15" t="s">
        <v>750</v>
      </c>
      <c r="B414" s="15" t="s">
        <v>30</v>
      </c>
      <c r="C414" s="15">
        <v>2016</v>
      </c>
      <c r="D414" s="15" t="s">
        <v>751</v>
      </c>
      <c r="E414" s="15">
        <v>1380</v>
      </c>
      <c r="F414" s="15">
        <v>49699862</v>
      </c>
      <c r="G414" s="15" t="s">
        <v>88</v>
      </c>
      <c r="H414" s="15" t="s">
        <v>89</v>
      </c>
      <c r="I414" s="15" t="s">
        <v>752</v>
      </c>
      <c r="J414" s="15" t="s">
        <v>1669</v>
      </c>
      <c r="K414" s="15" t="s">
        <v>92</v>
      </c>
      <c r="L414" s="15" t="s">
        <v>48</v>
      </c>
      <c r="M414" s="15" t="s">
        <v>407</v>
      </c>
      <c r="N414" s="15" t="s">
        <v>1670</v>
      </c>
      <c r="O414" s="15"/>
      <c r="P414" s="15"/>
      <c r="Q414" s="15"/>
      <c r="R414" s="15"/>
      <c r="S414" s="15"/>
      <c r="T414" s="15" t="s">
        <v>252</v>
      </c>
      <c r="U414" s="15" t="s">
        <v>1671</v>
      </c>
      <c r="V414" s="15" t="s">
        <v>753</v>
      </c>
      <c r="W414" s="15" t="s">
        <v>1672</v>
      </c>
      <c r="X414" s="15" t="s">
        <v>754</v>
      </c>
      <c r="Y414" s="17">
        <v>1438109</v>
      </c>
      <c r="Z414" s="17">
        <v>110938</v>
      </c>
      <c r="AA414" s="17">
        <v>11480</v>
      </c>
      <c r="AB414" s="17">
        <v>122418</v>
      </c>
      <c r="AC414" s="17">
        <v>1560527</v>
      </c>
      <c r="AE414" s="51">
        <f t="shared" si="54"/>
        <v>28.935875113697499</v>
      </c>
      <c r="AF414" s="51">
        <f t="shared" si="55"/>
        <v>2.4631456723159513</v>
      </c>
      <c r="AG414" s="51">
        <f t="shared" si="56"/>
        <v>31.399020786013448</v>
      </c>
      <c r="AH414" s="51" t="str">
        <f t="shared" si="57"/>
        <v/>
      </c>
      <c r="AI414" s="17">
        <v>3465100</v>
      </c>
      <c r="AJ414" s="17">
        <v>2027800</v>
      </c>
      <c r="AK414" s="17">
        <v>787600</v>
      </c>
      <c r="AL414" s="17">
        <v>2815400</v>
      </c>
      <c r="AM414" s="17">
        <v>6280500</v>
      </c>
      <c r="AO414" s="17">
        <v>506366000000</v>
      </c>
      <c r="AP414" s="17">
        <v>647962000000</v>
      </c>
      <c r="AQ414" s="17">
        <v>440016000000</v>
      </c>
      <c r="AR414" s="17">
        <v>1087978000000</v>
      </c>
      <c r="AS414" s="17">
        <v>1594344000000</v>
      </c>
      <c r="BG414" s="15"/>
      <c r="BM414" s="17"/>
      <c r="BN414" s="17"/>
      <c r="BO414" s="17">
        <v>490005.478</v>
      </c>
      <c r="BP414" s="17">
        <v>8617800</v>
      </c>
      <c r="BQ414" s="17"/>
      <c r="BW414" s="17" t="s">
        <v>1673</v>
      </c>
    </row>
    <row r="415" spans="1:75" hidden="1" x14ac:dyDescent="0.25">
      <c r="A415" s="15" t="s">
        <v>756</v>
      </c>
      <c r="B415" s="15" t="s">
        <v>30</v>
      </c>
      <c r="C415" s="15">
        <v>2015</v>
      </c>
      <c r="D415" s="15" t="s">
        <v>757</v>
      </c>
      <c r="E415" s="15">
        <v>27250</v>
      </c>
      <c r="F415" s="15">
        <v>51014947</v>
      </c>
      <c r="G415" s="15" t="s">
        <v>109</v>
      </c>
      <c r="H415" s="15" t="s">
        <v>77</v>
      </c>
      <c r="I415" s="15" t="s">
        <v>758</v>
      </c>
      <c r="J415" s="15" t="s">
        <v>759</v>
      </c>
      <c r="K415" s="15" t="s">
        <v>1764</v>
      </c>
      <c r="L415" s="15" t="s">
        <v>1765</v>
      </c>
      <c r="M415" s="15" t="s">
        <v>1766</v>
      </c>
      <c r="N415" s="15" t="s">
        <v>1767</v>
      </c>
      <c r="O415" s="15" t="s">
        <v>1768</v>
      </c>
      <c r="P415" s="15"/>
      <c r="Q415" s="15"/>
      <c r="R415" s="15" t="s">
        <v>1769</v>
      </c>
      <c r="S415" s="15" t="s">
        <v>760</v>
      </c>
      <c r="T415" s="15"/>
      <c r="U415" s="15"/>
      <c r="V415" s="15" t="s">
        <v>1690</v>
      </c>
      <c r="W415" s="15" t="s">
        <v>1691</v>
      </c>
      <c r="X415" s="15" t="s">
        <v>760</v>
      </c>
      <c r="AB415" s="17">
        <v>3600882</v>
      </c>
      <c r="AE415" s="51" t="str">
        <f t="shared" si="54"/>
        <v/>
      </c>
      <c r="AF415" s="51">
        <f t="shared" si="55"/>
        <v>70.584842516841192</v>
      </c>
      <c r="AG415" s="51" t="str">
        <f t="shared" si="56"/>
        <v/>
      </c>
      <c r="AH415" s="51" t="str">
        <f t="shared" si="57"/>
        <v/>
      </c>
      <c r="AI415" s="17">
        <f>AM415-AL415</f>
        <v>16774948</v>
      </c>
      <c r="AM415" s="17">
        <v>16774948</v>
      </c>
      <c r="AU415" s="15" t="s">
        <v>1693</v>
      </c>
      <c r="BG415" s="15"/>
      <c r="BM415" s="17"/>
      <c r="BN415" s="17"/>
      <c r="BO415" s="17"/>
      <c r="BP415" s="17"/>
      <c r="BQ415" s="17"/>
      <c r="BW415" s="17" t="s">
        <v>1692</v>
      </c>
    </row>
    <row r="416" spans="1:75" hidden="1" x14ac:dyDescent="0.25">
      <c r="A416" s="15" t="s">
        <v>756</v>
      </c>
      <c r="B416" s="15" t="s">
        <v>30</v>
      </c>
      <c r="C416" s="15">
        <v>2014</v>
      </c>
      <c r="D416" s="15" t="s">
        <v>757</v>
      </c>
      <c r="E416" s="15">
        <v>26800</v>
      </c>
      <c r="F416" s="15">
        <v>50746659</v>
      </c>
      <c r="G416" s="15" t="s">
        <v>109</v>
      </c>
      <c r="H416" s="15" t="s">
        <v>77</v>
      </c>
      <c r="I416" s="15" t="s">
        <v>758</v>
      </c>
      <c r="J416" s="15" t="s">
        <v>759</v>
      </c>
      <c r="K416" s="15" t="s">
        <v>1764</v>
      </c>
      <c r="L416" s="15" t="s">
        <v>1770</v>
      </c>
      <c r="M416" s="15" t="s">
        <v>1766</v>
      </c>
      <c r="N416" s="15" t="s">
        <v>1767</v>
      </c>
      <c r="O416" s="15" t="s">
        <v>1768</v>
      </c>
      <c r="P416" s="15"/>
      <c r="Q416" s="15"/>
      <c r="R416" s="15" t="s">
        <v>1769</v>
      </c>
      <c r="S416" s="15" t="s">
        <v>760</v>
      </c>
      <c r="T416" s="15"/>
      <c r="U416" s="15"/>
      <c r="V416" s="15" t="s">
        <v>1690</v>
      </c>
      <c r="W416" s="15" t="s">
        <v>1691</v>
      </c>
      <c r="X416" s="15" t="s">
        <v>760</v>
      </c>
      <c r="AB416" s="17">
        <v>3542350</v>
      </c>
      <c r="AE416" s="51" t="str">
        <f t="shared" si="54"/>
        <v/>
      </c>
      <c r="AF416" s="51">
        <f t="shared" si="55"/>
        <v>69.804595411887121</v>
      </c>
      <c r="AG416" s="51" t="str">
        <f t="shared" si="56"/>
        <v/>
      </c>
      <c r="AH416" s="51" t="str">
        <f t="shared" si="57"/>
        <v/>
      </c>
      <c r="AI416" s="17">
        <f>AM416-AL416</f>
        <v>15962745</v>
      </c>
      <c r="AM416" s="17">
        <v>15962745</v>
      </c>
      <c r="BG416" s="15"/>
      <c r="BM416" s="17"/>
      <c r="BN416" s="17"/>
      <c r="BO416" s="17"/>
      <c r="BP416" s="17"/>
      <c r="BQ416" s="17"/>
      <c r="BW416" s="17"/>
    </row>
    <row r="417" spans="1:75" hidden="1" x14ac:dyDescent="0.25">
      <c r="A417" s="15" t="s">
        <v>756</v>
      </c>
      <c r="B417" s="15" t="s">
        <v>30</v>
      </c>
      <c r="C417" s="15">
        <v>2013</v>
      </c>
      <c r="D417" s="15" t="s">
        <v>757</v>
      </c>
      <c r="E417" s="15">
        <v>25760</v>
      </c>
      <c r="F417" s="15">
        <v>50428893</v>
      </c>
      <c r="G417" s="15" t="s">
        <v>109</v>
      </c>
      <c r="H417" s="15" t="s">
        <v>77</v>
      </c>
      <c r="I417" s="15" t="s">
        <v>758</v>
      </c>
      <c r="J417" s="15" t="s">
        <v>759</v>
      </c>
      <c r="K417" s="15" t="s">
        <v>1764</v>
      </c>
      <c r="L417" s="15" t="s">
        <v>1770</v>
      </c>
      <c r="M417" s="15" t="s">
        <v>1766</v>
      </c>
      <c r="N417" s="15" t="s">
        <v>1767</v>
      </c>
      <c r="O417" s="15" t="s">
        <v>1768</v>
      </c>
      <c r="P417" s="15"/>
      <c r="Q417" s="15"/>
      <c r="R417" s="15" t="s">
        <v>1769</v>
      </c>
      <c r="S417" s="15" t="s">
        <v>760</v>
      </c>
      <c r="T417" s="15"/>
      <c r="U417" s="15"/>
      <c r="V417" s="15" t="s">
        <v>1690</v>
      </c>
      <c r="W417" s="15" t="s">
        <v>1691</v>
      </c>
      <c r="X417" s="15" t="s">
        <v>760</v>
      </c>
      <c r="AB417" s="17">
        <v>3415863</v>
      </c>
      <c r="AE417" s="51" t="str">
        <f t="shared" si="54"/>
        <v/>
      </c>
      <c r="AF417" s="51">
        <f t="shared" si="55"/>
        <v>67.736228118273388</v>
      </c>
      <c r="AG417" s="51" t="str">
        <f t="shared" si="56"/>
        <v/>
      </c>
      <c r="AH417" s="51" t="str">
        <f t="shared" si="57"/>
        <v/>
      </c>
      <c r="AI417" s="17">
        <f>AM417-AL417</f>
        <v>15344860</v>
      </c>
      <c r="AM417" s="17">
        <v>15344860</v>
      </c>
      <c r="BG417" s="15"/>
      <c r="BM417" s="17"/>
      <c r="BN417" s="17"/>
      <c r="BO417" s="17"/>
      <c r="BP417" s="17"/>
      <c r="BQ417" s="17"/>
      <c r="BW417" s="17"/>
    </row>
    <row r="418" spans="1:75" hidden="1" x14ac:dyDescent="0.25">
      <c r="A418" s="15" t="s">
        <v>756</v>
      </c>
      <c r="B418" s="15" t="s">
        <v>30</v>
      </c>
      <c r="C418" s="15">
        <v>2012</v>
      </c>
      <c r="D418" s="15" t="s">
        <v>757</v>
      </c>
      <c r="E418" s="15">
        <v>24550</v>
      </c>
      <c r="F418" s="15">
        <v>50199853</v>
      </c>
      <c r="G418" s="15" t="s">
        <v>109</v>
      </c>
      <c r="H418" s="15" t="s">
        <v>77</v>
      </c>
      <c r="I418" s="15" t="s">
        <v>758</v>
      </c>
      <c r="J418" s="15" t="s">
        <v>759</v>
      </c>
      <c r="K418" s="15" t="s">
        <v>1764</v>
      </c>
      <c r="L418" s="15" t="s">
        <v>1770</v>
      </c>
      <c r="M418" s="15" t="s">
        <v>1766</v>
      </c>
      <c r="N418" s="15" t="s">
        <v>1767</v>
      </c>
      <c r="O418" s="15" t="s">
        <v>1768</v>
      </c>
      <c r="P418" s="15"/>
      <c r="Q418" s="15"/>
      <c r="R418" s="15" t="s">
        <v>1769</v>
      </c>
      <c r="S418" s="15" t="s">
        <v>760</v>
      </c>
      <c r="T418" s="15"/>
      <c r="U418" s="15"/>
      <c r="V418" s="15" t="s">
        <v>1690</v>
      </c>
      <c r="W418" s="15" t="s">
        <v>1691</v>
      </c>
      <c r="X418" s="15" t="s">
        <v>760</v>
      </c>
      <c r="AB418" s="17">
        <v>3351404</v>
      </c>
      <c r="AE418" s="51" t="str">
        <f t="shared" si="54"/>
        <v/>
      </c>
      <c r="AF418" s="51">
        <f t="shared" si="55"/>
        <v>66.761231352609741</v>
      </c>
      <c r="AG418" s="51" t="str">
        <f t="shared" si="56"/>
        <v/>
      </c>
      <c r="AH418" s="51" t="str">
        <f t="shared" si="57"/>
        <v/>
      </c>
      <c r="AI418" s="17">
        <f>AM418-AL418</f>
        <v>14891162</v>
      </c>
      <c r="AM418" s="17">
        <v>14891162</v>
      </c>
      <c r="BG418" s="15"/>
      <c r="BM418" s="17"/>
      <c r="BN418" s="17"/>
      <c r="BO418" s="17"/>
      <c r="BP418" s="17"/>
      <c r="BQ418" s="17"/>
      <c r="BW418" s="17"/>
    </row>
    <row r="419" spans="1:75" hidden="1" x14ac:dyDescent="0.25">
      <c r="A419" s="15" t="s">
        <v>756</v>
      </c>
      <c r="B419" s="15" t="s">
        <v>30</v>
      </c>
      <c r="C419" s="15">
        <v>2011</v>
      </c>
      <c r="D419" s="15" t="s">
        <v>757</v>
      </c>
      <c r="E419" s="15">
        <v>22540</v>
      </c>
      <c r="F419" s="15">
        <v>49936638</v>
      </c>
      <c r="G419" s="15" t="s">
        <v>109</v>
      </c>
      <c r="H419" s="15" t="s">
        <v>77</v>
      </c>
      <c r="I419" s="15" t="s">
        <v>758</v>
      </c>
      <c r="J419" s="15" t="s">
        <v>759</v>
      </c>
      <c r="K419" s="15" t="s">
        <v>1764</v>
      </c>
      <c r="L419" s="15" t="s">
        <v>1771</v>
      </c>
      <c r="M419" s="15" t="s">
        <v>1766</v>
      </c>
      <c r="N419" s="15" t="s">
        <v>1767</v>
      </c>
      <c r="O419" s="15" t="s">
        <v>1768</v>
      </c>
      <c r="P419" s="15"/>
      <c r="Q419" s="15"/>
      <c r="R419" s="15" t="s">
        <v>1769</v>
      </c>
      <c r="S419" s="15" t="s">
        <v>760</v>
      </c>
      <c r="T419" s="15"/>
      <c r="U419" s="15"/>
      <c r="V419" s="15" t="s">
        <v>1690</v>
      </c>
      <c r="W419" s="15" t="s">
        <v>1691</v>
      </c>
      <c r="X419" s="15" t="s">
        <v>760</v>
      </c>
      <c r="AB419" s="17">
        <v>3231634</v>
      </c>
      <c r="AE419" s="51" t="str">
        <f t="shared" si="54"/>
        <v/>
      </c>
      <c r="AF419" s="51">
        <f t="shared" si="55"/>
        <v>64.714689042542261</v>
      </c>
      <c r="AG419" s="51" t="str">
        <f t="shared" si="56"/>
        <v/>
      </c>
      <c r="AH419" s="51" t="str">
        <f t="shared" si="57"/>
        <v/>
      </c>
      <c r="AI419" s="17">
        <f>AM419-AL419</f>
        <v>14534230</v>
      </c>
      <c r="AM419" s="17">
        <v>14534230</v>
      </c>
      <c r="BG419" s="15"/>
      <c r="BM419" s="17"/>
      <c r="BN419" s="17"/>
      <c r="BO419" s="17"/>
      <c r="BP419" s="17"/>
      <c r="BQ419" s="17"/>
      <c r="BW419" s="17"/>
    </row>
    <row r="420" spans="1:75" hidden="1" x14ac:dyDescent="0.25">
      <c r="A420" s="15" t="s">
        <v>761</v>
      </c>
      <c r="B420" s="15" t="s">
        <v>30</v>
      </c>
      <c r="C420" s="15">
        <v>2013</v>
      </c>
      <c r="D420" s="15" t="s">
        <v>762</v>
      </c>
      <c r="E420" s="15">
        <v>3950</v>
      </c>
      <c r="F420" s="15">
        <v>1824100</v>
      </c>
      <c r="G420" s="15" t="s">
        <v>88</v>
      </c>
      <c r="H420" s="15" t="s">
        <v>43</v>
      </c>
      <c r="I420" s="15" t="s">
        <v>1772</v>
      </c>
      <c r="J420" s="15" t="s">
        <v>1773</v>
      </c>
      <c r="K420" s="15" t="s">
        <v>92</v>
      </c>
      <c r="L420" s="15" t="s">
        <v>48</v>
      </c>
      <c r="M420" s="15" t="s">
        <v>62</v>
      </c>
      <c r="N420" s="15" t="s">
        <v>63</v>
      </c>
      <c r="O420" s="15"/>
      <c r="P420" s="15"/>
      <c r="Q420" s="15"/>
      <c r="R420" s="15"/>
      <c r="S420" s="15" t="s">
        <v>55</v>
      </c>
      <c r="T420" s="15"/>
      <c r="U420" s="15"/>
      <c r="V420" s="15"/>
      <c r="W420" s="15"/>
      <c r="X420" s="15"/>
      <c r="Y420" s="17">
        <f>25938+17797</f>
        <v>43735</v>
      </c>
      <c r="Z420" s="17">
        <v>1940</v>
      </c>
      <c r="AA420" s="17">
        <v>310</v>
      </c>
      <c r="AB420" s="17">
        <f>AA420+Z420</f>
        <v>2250</v>
      </c>
      <c r="AC420" s="17">
        <f>AB420+Y420</f>
        <v>45985</v>
      </c>
      <c r="AD420" s="17">
        <v>47</v>
      </c>
      <c r="AE420" s="51">
        <f t="shared" si="54"/>
        <v>23.976207444767283</v>
      </c>
      <c r="AF420" s="51">
        <f t="shared" si="55"/>
        <v>1.2334850063044789</v>
      </c>
      <c r="AG420" s="51">
        <f t="shared" si="56"/>
        <v>25.209692451071763</v>
      </c>
      <c r="AH420" s="51">
        <f t="shared" si="57"/>
        <v>2.576613124280467E-2</v>
      </c>
      <c r="AI420" s="17">
        <f>25938+60422</f>
        <v>86360</v>
      </c>
      <c r="AJ420" s="17">
        <v>35546</v>
      </c>
      <c r="AK420" s="17">
        <v>31094</v>
      </c>
      <c r="AL420" s="17">
        <f>AK420+AJ420</f>
        <v>66640</v>
      </c>
      <c r="AM420" s="17">
        <f>AL420+AI420</f>
        <v>153000</v>
      </c>
      <c r="AN420" s="17">
        <v>36623</v>
      </c>
      <c r="AV420" s="15" t="s">
        <v>1773</v>
      </c>
      <c r="BG420" s="15"/>
      <c r="BM420" s="17"/>
      <c r="BN420" s="17"/>
      <c r="BO420" s="17"/>
      <c r="BP420" s="17"/>
      <c r="BQ420" s="17"/>
      <c r="BS420" s="15" t="s">
        <v>1775</v>
      </c>
      <c r="BV420" s="15" t="s">
        <v>1776</v>
      </c>
      <c r="BW420" s="17" t="s">
        <v>1774</v>
      </c>
    </row>
    <row r="421" spans="1:75" hidden="1" x14ac:dyDescent="0.25">
      <c r="A421" s="15" t="s">
        <v>763</v>
      </c>
      <c r="B421" s="15" t="s">
        <v>30</v>
      </c>
      <c r="C421" s="15">
        <v>2004</v>
      </c>
      <c r="D421" s="15" t="s">
        <v>764</v>
      </c>
      <c r="E421" s="17">
        <v>28100</v>
      </c>
      <c r="F421" s="17">
        <v>2207939</v>
      </c>
      <c r="G421" s="15" t="s">
        <v>109</v>
      </c>
      <c r="H421" s="15" t="s">
        <v>58</v>
      </c>
      <c r="I421" s="15" t="s">
        <v>1736</v>
      </c>
      <c r="J421" s="15" t="s">
        <v>1739</v>
      </c>
      <c r="K421" s="15"/>
      <c r="L421" s="15"/>
      <c r="M421" s="15"/>
      <c r="N421" s="15"/>
      <c r="O421" s="15"/>
      <c r="P421" s="15" t="s">
        <v>975</v>
      </c>
      <c r="Q421" s="15" t="s">
        <v>252</v>
      </c>
      <c r="R421" s="15" t="s">
        <v>2026</v>
      </c>
      <c r="S421" s="15" t="s">
        <v>1737</v>
      </c>
      <c r="T421" s="15"/>
      <c r="U421" s="15"/>
      <c r="V421" s="15"/>
      <c r="W421" s="15"/>
      <c r="X421" s="15"/>
      <c r="Y421" s="17">
        <v>2700</v>
      </c>
      <c r="Z421" s="17">
        <f>(0.6+0.15)*25000</f>
        <v>18750</v>
      </c>
      <c r="AA421" s="17">
        <f>(0.369-0.15)*25000</f>
        <v>5475</v>
      </c>
      <c r="AB421" s="17">
        <f>IF(ISERROR(Z421+AA421),"",IF(Z421+AA421=0,"",Z421+AA421))</f>
        <v>24225</v>
      </c>
      <c r="AC421" s="17">
        <v>26925</v>
      </c>
      <c r="AD421" s="17">
        <v>525</v>
      </c>
      <c r="AE421" s="51">
        <f t="shared" si="54"/>
        <v>1.222859870675775</v>
      </c>
      <c r="AF421" s="51">
        <f t="shared" si="55"/>
        <v>10.971770506340981</v>
      </c>
      <c r="AG421" s="51">
        <f t="shared" si="56"/>
        <v>12.194630377016756</v>
      </c>
      <c r="AH421" s="51">
        <f t="shared" si="57"/>
        <v>0.23777830818695625</v>
      </c>
      <c r="BG421" s="15"/>
      <c r="BM421" s="17"/>
      <c r="BN421" s="17"/>
      <c r="BO421" s="17"/>
      <c r="BP421" s="17"/>
      <c r="BQ421" s="17"/>
      <c r="BW421" s="17" t="s">
        <v>1738</v>
      </c>
    </row>
    <row r="422" spans="1:75" hidden="1" x14ac:dyDescent="0.25">
      <c r="A422" s="15" t="s">
        <v>765</v>
      </c>
      <c r="B422" s="15" t="s">
        <v>30</v>
      </c>
      <c r="C422" s="15">
        <v>2016</v>
      </c>
      <c r="D422" s="15" t="s">
        <v>766</v>
      </c>
      <c r="E422" s="15">
        <v>1110</v>
      </c>
      <c r="F422" s="15">
        <v>6201500</v>
      </c>
      <c r="G422" s="15" t="s">
        <v>88</v>
      </c>
      <c r="H422" s="15" t="s">
        <v>43</v>
      </c>
      <c r="I422" s="15" t="s">
        <v>767</v>
      </c>
      <c r="J422" s="15" t="s">
        <v>768</v>
      </c>
      <c r="K422" s="15" t="s">
        <v>1714</v>
      </c>
      <c r="L422" s="15" t="s">
        <v>1715</v>
      </c>
      <c r="M422" s="15" t="s">
        <v>1716</v>
      </c>
      <c r="N422" s="15"/>
      <c r="O422" s="15"/>
      <c r="P422" s="15"/>
      <c r="Q422" s="15"/>
      <c r="R422" s="15"/>
      <c r="S422" s="15"/>
      <c r="T422" s="15"/>
      <c r="U422" s="15"/>
      <c r="V422" s="15"/>
      <c r="W422" s="15"/>
      <c r="X422" s="15" t="s">
        <v>769</v>
      </c>
      <c r="Y422" s="17">
        <v>794069</v>
      </c>
      <c r="Z422" s="17">
        <v>13592</v>
      </c>
      <c r="AA422" s="17">
        <v>776</v>
      </c>
      <c r="AB422" s="17">
        <v>14368</v>
      </c>
      <c r="AC422" s="17">
        <v>808437</v>
      </c>
      <c r="AE422" s="51">
        <f t="shared" si="54"/>
        <v>128.04466661291622</v>
      </c>
      <c r="AF422" s="51">
        <f t="shared" si="55"/>
        <v>2.3168588244779489</v>
      </c>
      <c r="AG422" s="51">
        <f t="shared" si="56"/>
        <v>130.36152543739419</v>
      </c>
      <c r="AH422" s="51" t="str">
        <f t="shared" si="57"/>
        <v/>
      </c>
      <c r="AI422" s="17">
        <v>379200</v>
      </c>
      <c r="AJ422" s="17">
        <v>52200</v>
      </c>
      <c r="AK422" s="17">
        <v>35200</v>
      </c>
      <c r="AL422" s="17">
        <v>87400</v>
      </c>
      <c r="AM422" s="17">
        <v>466600</v>
      </c>
      <c r="AS422" s="17">
        <v>18624549920000</v>
      </c>
      <c r="BG422" s="15"/>
      <c r="BM422" s="17"/>
      <c r="BN422" s="17"/>
      <c r="BO422" s="17"/>
      <c r="BP422" s="17"/>
      <c r="BQ422" s="17"/>
      <c r="BW422" s="17" t="s">
        <v>1649</v>
      </c>
    </row>
    <row r="423" spans="1:75" hidden="1" x14ac:dyDescent="0.25">
      <c r="A423" s="15" t="s">
        <v>765</v>
      </c>
      <c r="B423" s="15" t="s">
        <v>30</v>
      </c>
      <c r="C423" s="15">
        <v>2015</v>
      </c>
      <c r="D423" s="15" t="s">
        <v>766</v>
      </c>
      <c r="E423" s="15">
        <v>1180</v>
      </c>
      <c r="F423" s="15">
        <v>5956900</v>
      </c>
      <c r="G423" s="15" t="s">
        <v>88</v>
      </c>
      <c r="H423" s="15" t="s">
        <v>43</v>
      </c>
      <c r="I423" s="15" t="s">
        <v>767</v>
      </c>
      <c r="J423" s="15" t="s">
        <v>768</v>
      </c>
      <c r="K423" s="15" t="s">
        <v>1714</v>
      </c>
      <c r="L423" s="15" t="s">
        <v>1715</v>
      </c>
      <c r="M423" s="15" t="s">
        <v>1716</v>
      </c>
      <c r="N423" s="15"/>
      <c r="O423" s="15"/>
      <c r="P423" s="15"/>
      <c r="Q423" s="15"/>
      <c r="R423" s="15"/>
      <c r="S423" s="15"/>
      <c r="T423" s="15"/>
      <c r="U423" s="15"/>
      <c r="V423" s="15"/>
      <c r="W423" s="15"/>
      <c r="X423" s="15" t="s">
        <v>769</v>
      </c>
      <c r="Y423" s="17">
        <v>767528</v>
      </c>
      <c r="Z423" s="17">
        <v>13232</v>
      </c>
      <c r="AA423" s="17">
        <v>795</v>
      </c>
      <c r="AB423" s="17">
        <v>14027</v>
      </c>
      <c r="AC423" s="17">
        <v>781555</v>
      </c>
      <c r="AE423" s="51">
        <f t="shared" si="54"/>
        <v>128.84688344608773</v>
      </c>
      <c r="AF423" s="51">
        <f t="shared" si="55"/>
        <v>2.3547482751095368</v>
      </c>
      <c r="AG423" s="51">
        <f t="shared" si="56"/>
        <v>131.20163172119726</v>
      </c>
      <c r="AH423" s="51" t="str">
        <f t="shared" si="57"/>
        <v/>
      </c>
      <c r="AI423" s="17">
        <v>366700</v>
      </c>
      <c r="AJ423" s="17">
        <v>52200</v>
      </c>
      <c r="AK423" s="17">
        <v>36100</v>
      </c>
      <c r="AL423" s="17">
        <v>88300</v>
      </c>
      <c r="AM423" s="17">
        <v>455000</v>
      </c>
      <c r="AS423" s="17">
        <v>17348722820000.002</v>
      </c>
      <c r="BG423" s="15"/>
      <c r="BM423" s="17"/>
      <c r="BN423" s="17"/>
      <c r="BO423" s="17"/>
      <c r="BP423" s="17"/>
      <c r="BQ423" s="17"/>
      <c r="BW423" s="17" t="s">
        <v>1649</v>
      </c>
    </row>
    <row r="424" spans="1:75" hidden="1" x14ac:dyDescent="0.25">
      <c r="A424" s="15" t="s">
        <v>765</v>
      </c>
      <c r="B424" s="15" t="s">
        <v>30</v>
      </c>
      <c r="C424" s="15">
        <v>2014</v>
      </c>
      <c r="D424" s="15" t="s">
        <v>766</v>
      </c>
      <c r="E424" s="15">
        <v>1250</v>
      </c>
      <c r="F424" s="15">
        <v>5835500</v>
      </c>
      <c r="G424" s="15" t="s">
        <v>88</v>
      </c>
      <c r="H424" s="15" t="s">
        <v>43</v>
      </c>
      <c r="I424" s="15" t="s">
        <v>767</v>
      </c>
      <c r="J424" s="15" t="s">
        <v>768</v>
      </c>
      <c r="K424" s="15" t="s">
        <v>1714</v>
      </c>
      <c r="L424" s="15" t="s">
        <v>1715</v>
      </c>
      <c r="M424" s="15" t="s">
        <v>1716</v>
      </c>
      <c r="N424" s="15"/>
      <c r="O424" s="15"/>
      <c r="P424" s="15"/>
      <c r="Q424" s="15"/>
      <c r="R424" s="15"/>
      <c r="S424" s="15"/>
      <c r="T424" s="15"/>
      <c r="U424" s="15"/>
      <c r="V424" s="15"/>
      <c r="W424" s="15"/>
      <c r="X424" s="15" t="s">
        <v>769</v>
      </c>
      <c r="Y424" s="17">
        <v>735006</v>
      </c>
      <c r="Z424" s="17">
        <v>12712</v>
      </c>
      <c r="AA424" s="17">
        <v>793</v>
      </c>
      <c r="AB424" s="17">
        <v>13505</v>
      </c>
      <c r="AC424" s="17">
        <v>748511</v>
      </c>
      <c r="AE424" s="51">
        <f t="shared" si="54"/>
        <v>125.95424556593265</v>
      </c>
      <c r="AF424" s="51">
        <f t="shared" si="55"/>
        <v>2.3142832662154054</v>
      </c>
      <c r="AG424" s="51">
        <f t="shared" si="56"/>
        <v>128.26852883214806</v>
      </c>
      <c r="AH424" s="51" t="str">
        <f t="shared" si="57"/>
        <v/>
      </c>
      <c r="AI424" s="17">
        <v>350700</v>
      </c>
      <c r="AJ424" s="17">
        <v>52000</v>
      </c>
      <c r="AK424" s="17">
        <v>36500</v>
      </c>
      <c r="AL424" s="17">
        <v>88500</v>
      </c>
      <c r="AM424" s="17">
        <v>439200</v>
      </c>
      <c r="AS424" s="17">
        <v>16147968199999.998</v>
      </c>
      <c r="BG424" s="15"/>
      <c r="BM424" s="17"/>
      <c r="BN424" s="17"/>
      <c r="BO424" s="17"/>
      <c r="BP424" s="17"/>
      <c r="BQ424" s="17"/>
      <c r="BW424" s="17" t="s">
        <v>1649</v>
      </c>
    </row>
    <row r="425" spans="1:75" hidden="1" x14ac:dyDescent="0.25">
      <c r="A425" s="15" t="s">
        <v>765</v>
      </c>
      <c r="B425" s="15" t="s">
        <v>30</v>
      </c>
      <c r="C425" s="15">
        <v>2013</v>
      </c>
      <c r="D425" s="15" t="s">
        <v>766</v>
      </c>
      <c r="E425" s="15">
        <v>1190</v>
      </c>
      <c r="F425" s="15">
        <v>5719600</v>
      </c>
      <c r="G425" s="15" t="s">
        <v>88</v>
      </c>
      <c r="H425" s="15" t="s">
        <v>43</v>
      </c>
      <c r="I425" s="15" t="s">
        <v>767</v>
      </c>
      <c r="J425" s="15" t="s">
        <v>768</v>
      </c>
      <c r="K425" s="15" t="s">
        <v>1714</v>
      </c>
      <c r="L425" s="15" t="s">
        <v>1715</v>
      </c>
      <c r="M425" s="15" t="s">
        <v>1716</v>
      </c>
      <c r="N425" s="15"/>
      <c r="O425" s="15"/>
      <c r="P425" s="15"/>
      <c r="Q425" s="15"/>
      <c r="R425" s="15"/>
      <c r="S425" s="15"/>
      <c r="T425" s="15"/>
      <c r="U425" s="15"/>
      <c r="V425" s="15"/>
      <c r="W425" s="15"/>
      <c r="X425" s="15" t="s">
        <v>769</v>
      </c>
      <c r="Y425" s="17">
        <v>712620</v>
      </c>
      <c r="Z425" s="17">
        <v>11749</v>
      </c>
      <c r="AA425" s="17">
        <v>800</v>
      </c>
      <c r="AB425" s="17">
        <v>12549</v>
      </c>
      <c r="AC425" s="17">
        <v>725169</v>
      </c>
      <c r="AE425" s="51">
        <f t="shared" si="54"/>
        <v>124.5926288551647</v>
      </c>
      <c r="AF425" s="51">
        <f t="shared" si="55"/>
        <v>2.1940345478704804</v>
      </c>
      <c r="AG425" s="51">
        <f t="shared" si="56"/>
        <v>126.78666340303518</v>
      </c>
      <c r="AH425" s="51" t="str">
        <f t="shared" si="57"/>
        <v/>
      </c>
      <c r="AI425" s="17">
        <v>329700</v>
      </c>
      <c r="AJ425" s="17">
        <v>51000</v>
      </c>
      <c r="AK425" s="17">
        <v>37000</v>
      </c>
      <c r="AL425" s="17">
        <v>88000</v>
      </c>
      <c r="AM425" s="17">
        <v>417700</v>
      </c>
      <c r="AS425" s="17">
        <v>13820967720000.002</v>
      </c>
      <c r="BG425" s="15"/>
      <c r="BM425" s="17"/>
      <c r="BN425" s="17"/>
      <c r="BO425" s="17"/>
      <c r="BP425" s="17"/>
      <c r="BQ425" s="17"/>
      <c r="BW425" s="17" t="s">
        <v>1649</v>
      </c>
    </row>
    <row r="426" spans="1:75" hidden="1" x14ac:dyDescent="0.25">
      <c r="A426" s="15" t="s">
        <v>765</v>
      </c>
      <c r="B426" s="15" t="s">
        <v>30</v>
      </c>
      <c r="C426" s="15">
        <v>2012</v>
      </c>
      <c r="D426" s="15" t="s">
        <v>766</v>
      </c>
      <c r="E426" s="15">
        <v>1040</v>
      </c>
      <c r="F426" s="15">
        <v>5607200</v>
      </c>
      <c r="G426" s="15" t="s">
        <v>88</v>
      </c>
      <c r="H426" s="15" t="s">
        <v>43</v>
      </c>
      <c r="I426" s="15" t="s">
        <v>767</v>
      </c>
      <c r="J426" s="15" t="s">
        <v>768</v>
      </c>
      <c r="K426" s="15" t="s">
        <v>1714</v>
      </c>
      <c r="L426" s="15" t="s">
        <v>1715</v>
      </c>
      <c r="M426" s="15" t="s">
        <v>1716</v>
      </c>
      <c r="N426" s="15"/>
      <c r="O426" s="15"/>
      <c r="P426" s="15"/>
      <c r="Q426" s="15"/>
      <c r="R426" s="15"/>
      <c r="S426" s="15"/>
      <c r="T426" s="15"/>
      <c r="U426" s="15"/>
      <c r="V426" s="15"/>
      <c r="W426" s="15"/>
      <c r="X426" s="15" t="s">
        <v>769</v>
      </c>
      <c r="Y426" s="17">
        <v>654537</v>
      </c>
      <c r="Z426" s="17">
        <v>11127</v>
      </c>
      <c r="AA426" s="17">
        <v>804</v>
      </c>
      <c r="AB426" s="17">
        <v>11931</v>
      </c>
      <c r="AC426" s="17">
        <v>666468</v>
      </c>
      <c r="AE426" s="51">
        <f t="shared" si="54"/>
        <v>116.73152375517193</v>
      </c>
      <c r="AF426" s="51">
        <f t="shared" si="55"/>
        <v>2.1277999714652589</v>
      </c>
      <c r="AG426" s="51">
        <f t="shared" si="56"/>
        <v>118.85932372663719</v>
      </c>
      <c r="AH426" s="51" t="str">
        <f t="shared" si="57"/>
        <v/>
      </c>
      <c r="AI426" s="17">
        <v>297900</v>
      </c>
      <c r="AJ426" s="17">
        <v>50000</v>
      </c>
      <c r="AK426" s="17">
        <v>37400</v>
      </c>
      <c r="AL426" s="17">
        <v>87400</v>
      </c>
      <c r="AM426" s="17">
        <v>385300</v>
      </c>
      <c r="AS426" s="17">
        <v>12387804870000</v>
      </c>
      <c r="BG426" s="15"/>
      <c r="BM426" s="17"/>
      <c r="BN426" s="17"/>
      <c r="BO426" s="17"/>
      <c r="BP426" s="17"/>
      <c r="BQ426" s="17"/>
      <c r="BW426" s="17" t="s">
        <v>1649</v>
      </c>
    </row>
    <row r="427" spans="1:75" hidden="1" x14ac:dyDescent="0.25">
      <c r="A427" s="15" t="s">
        <v>770</v>
      </c>
      <c r="B427" s="15" t="s">
        <v>30</v>
      </c>
      <c r="C427" s="15">
        <v>2013</v>
      </c>
      <c r="D427" s="15" t="s">
        <v>771</v>
      </c>
      <c r="E427" s="15">
        <v>1620</v>
      </c>
      <c r="F427" s="15">
        <v>6494557</v>
      </c>
      <c r="G427" s="15" t="s">
        <v>88</v>
      </c>
      <c r="H427" s="15" t="s">
        <v>77</v>
      </c>
      <c r="I427" s="15" t="s">
        <v>772</v>
      </c>
      <c r="J427" s="15" t="s">
        <v>774</v>
      </c>
      <c r="K427" s="15"/>
      <c r="L427" s="15" t="s">
        <v>1777</v>
      </c>
      <c r="M427" s="15" t="s">
        <v>309</v>
      </c>
      <c r="N427" s="15" t="s">
        <v>310</v>
      </c>
      <c r="O427" s="15"/>
      <c r="P427" s="15" t="s">
        <v>1778</v>
      </c>
      <c r="Q427" s="15" t="s">
        <v>1779</v>
      </c>
      <c r="R427" s="15" t="s">
        <v>1780</v>
      </c>
      <c r="S427" s="15" t="s">
        <v>773</v>
      </c>
      <c r="T427" s="15"/>
      <c r="U427" s="15" t="s">
        <v>1781</v>
      </c>
      <c r="V427" s="15" t="s">
        <v>1782</v>
      </c>
      <c r="W427" s="15" t="s">
        <v>1783</v>
      </c>
      <c r="X427" s="15" t="s">
        <v>773</v>
      </c>
      <c r="AC427" s="17">
        <v>124510</v>
      </c>
      <c r="AE427" s="51" t="str">
        <f t="shared" si="54"/>
        <v/>
      </c>
      <c r="AF427" s="51" t="str">
        <f t="shared" si="55"/>
        <v/>
      </c>
      <c r="AG427" s="51">
        <f t="shared" si="56"/>
        <v>19.171438483025096</v>
      </c>
      <c r="AH427" s="51" t="str">
        <f t="shared" si="57"/>
        <v/>
      </c>
      <c r="AM427" s="17">
        <v>472231</v>
      </c>
      <c r="AU427" s="15" t="s">
        <v>774</v>
      </c>
      <c r="AV427" s="15" t="s">
        <v>774</v>
      </c>
      <c r="BG427" s="15"/>
      <c r="BM427" s="17"/>
      <c r="BN427" s="17"/>
      <c r="BO427" s="17"/>
      <c r="BP427" s="17"/>
      <c r="BQ427" s="17"/>
      <c r="BW427" s="17"/>
    </row>
    <row r="428" spans="1:75" hidden="1" x14ac:dyDescent="0.25">
      <c r="A428" s="15" t="s">
        <v>775</v>
      </c>
      <c r="B428" s="15" t="s">
        <v>30</v>
      </c>
      <c r="C428" s="15">
        <v>2016</v>
      </c>
      <c r="D428" s="15" t="s">
        <v>776</v>
      </c>
      <c r="E428" s="15">
        <v>14570</v>
      </c>
      <c r="F428" s="15">
        <v>1940740</v>
      </c>
      <c r="G428" s="15" t="s">
        <v>109</v>
      </c>
      <c r="H428" s="15" t="s">
        <v>43</v>
      </c>
      <c r="I428" s="15" t="s">
        <v>188</v>
      </c>
      <c r="J428" s="15" t="s">
        <v>500</v>
      </c>
      <c r="K428" s="15" t="s">
        <v>190</v>
      </c>
      <c r="L428" s="15" t="s">
        <v>48</v>
      </c>
      <c r="M428" s="15" t="s">
        <v>62</v>
      </c>
      <c r="N428" s="15" t="s">
        <v>63</v>
      </c>
      <c r="O428" s="15"/>
      <c r="P428" s="15"/>
      <c r="Q428" s="15"/>
      <c r="R428" s="15"/>
      <c r="S428" s="15" t="s">
        <v>55</v>
      </c>
      <c r="T428" s="15"/>
      <c r="U428" s="15"/>
      <c r="V428" s="15"/>
      <c r="W428" s="15"/>
      <c r="X428" s="15" t="s">
        <v>55</v>
      </c>
      <c r="Y428" s="17">
        <v>106392</v>
      </c>
      <c r="Z428" s="17">
        <v>7454</v>
      </c>
      <c r="AA428" s="17">
        <v>1432</v>
      </c>
      <c r="AB428" s="17">
        <v>8886</v>
      </c>
      <c r="AC428" s="17">
        <v>115278</v>
      </c>
      <c r="AD428" s="17">
        <v>198</v>
      </c>
      <c r="AE428" s="51">
        <f t="shared" si="54"/>
        <v>54.820326267300103</v>
      </c>
      <c r="AF428" s="51">
        <f t="shared" si="55"/>
        <v>4.5786658697197975</v>
      </c>
      <c r="AG428" s="51">
        <f t="shared" si="56"/>
        <v>59.398992137019903</v>
      </c>
      <c r="AH428" s="51">
        <f t="shared" si="57"/>
        <v>0.1020229397034121</v>
      </c>
      <c r="AI428" s="17">
        <v>216980</v>
      </c>
      <c r="AJ428" s="17">
        <v>147323</v>
      </c>
      <c r="AK428" s="17">
        <v>137687</v>
      </c>
      <c r="AL428" s="17">
        <v>285010</v>
      </c>
      <c r="AM428" s="17">
        <v>501990</v>
      </c>
      <c r="AN428" s="17">
        <v>132966</v>
      </c>
      <c r="BG428" s="15"/>
      <c r="BM428" s="17"/>
      <c r="BN428" s="17"/>
      <c r="BO428" s="17"/>
      <c r="BP428" s="17"/>
      <c r="BQ428" s="17"/>
      <c r="BW428" s="17"/>
    </row>
    <row r="429" spans="1:75" hidden="1" x14ac:dyDescent="0.25">
      <c r="A429" s="15" t="s">
        <v>775</v>
      </c>
      <c r="B429" s="15" t="s">
        <v>30</v>
      </c>
      <c r="C429" s="15">
        <v>2015</v>
      </c>
      <c r="D429" s="15" t="s">
        <v>776</v>
      </c>
      <c r="E429" s="15">
        <v>14970</v>
      </c>
      <c r="F429" s="15">
        <v>1977527</v>
      </c>
      <c r="G429" s="15" t="s">
        <v>109</v>
      </c>
      <c r="H429" s="15" t="s">
        <v>43</v>
      </c>
      <c r="I429" s="15" t="s">
        <v>188</v>
      </c>
      <c r="J429" s="15" t="s">
        <v>500</v>
      </c>
      <c r="K429" s="15" t="s">
        <v>190</v>
      </c>
      <c r="L429" s="15" t="s">
        <v>48</v>
      </c>
      <c r="M429" s="15" t="s">
        <v>62</v>
      </c>
      <c r="N429" s="15" t="s">
        <v>63</v>
      </c>
      <c r="O429" s="15"/>
      <c r="P429" s="15"/>
      <c r="Q429" s="15"/>
      <c r="R429" s="15"/>
      <c r="S429" s="15" t="s">
        <v>55</v>
      </c>
      <c r="T429" s="15"/>
      <c r="U429" s="15"/>
      <c r="V429" s="15"/>
      <c r="W429" s="15"/>
      <c r="X429" s="15" t="s">
        <v>55</v>
      </c>
      <c r="Y429" s="17">
        <v>100216</v>
      </c>
      <c r="Z429" s="17">
        <v>7792</v>
      </c>
      <c r="AA429" s="17">
        <v>1434</v>
      </c>
      <c r="AB429" s="17">
        <v>9226</v>
      </c>
      <c r="AC429" s="17">
        <v>109442</v>
      </c>
      <c r="AD429" s="17">
        <v>200</v>
      </c>
      <c r="AE429" s="51">
        <f t="shared" si="54"/>
        <v>50.677437021087449</v>
      </c>
      <c r="AF429" s="51">
        <f t="shared" si="55"/>
        <v>4.6654230258297362</v>
      </c>
      <c r="AG429" s="51">
        <f t="shared" si="56"/>
        <v>55.342860046917188</v>
      </c>
      <c r="AH429" s="51">
        <f t="shared" si="57"/>
        <v>0.10113641937632205</v>
      </c>
      <c r="AI429" s="17">
        <v>211934</v>
      </c>
      <c r="AJ429" s="17">
        <v>152140</v>
      </c>
      <c r="AK429" s="17">
        <v>139147</v>
      </c>
      <c r="AL429" s="17">
        <v>291287</v>
      </c>
      <c r="AM429" s="17">
        <v>503221</v>
      </c>
      <c r="AN429" s="17">
        <v>130230</v>
      </c>
      <c r="BG429" s="15"/>
      <c r="BM429" s="17"/>
      <c r="BN429" s="17"/>
      <c r="BO429" s="17"/>
      <c r="BP429" s="17"/>
      <c r="BQ429" s="17"/>
      <c r="BW429" s="17"/>
    </row>
    <row r="430" spans="1:75" hidden="1" x14ac:dyDescent="0.25">
      <c r="A430" s="15" t="s">
        <v>775</v>
      </c>
      <c r="B430" s="15" t="s">
        <v>30</v>
      </c>
      <c r="C430" s="15">
        <v>2014</v>
      </c>
      <c r="D430" s="15" t="s">
        <v>776</v>
      </c>
      <c r="E430" s="15">
        <v>15310</v>
      </c>
      <c r="F430" s="15">
        <v>1993782</v>
      </c>
      <c r="G430" s="15" t="s">
        <v>109</v>
      </c>
      <c r="H430" s="15" t="s">
        <v>43</v>
      </c>
      <c r="I430" s="15" t="s">
        <v>188</v>
      </c>
      <c r="J430" s="15" t="s">
        <v>500</v>
      </c>
      <c r="K430" s="15" t="s">
        <v>190</v>
      </c>
      <c r="L430" s="15" t="s">
        <v>48</v>
      </c>
      <c r="M430" s="15" t="s">
        <v>62</v>
      </c>
      <c r="N430" s="15" t="s">
        <v>63</v>
      </c>
      <c r="O430" s="15"/>
      <c r="P430" s="15"/>
      <c r="Q430" s="15"/>
      <c r="R430" s="15"/>
      <c r="S430" s="15" t="s">
        <v>55</v>
      </c>
      <c r="T430" s="15"/>
      <c r="U430" s="15"/>
      <c r="V430" s="15"/>
      <c r="W430" s="15"/>
      <c r="X430" s="15" t="s">
        <v>55</v>
      </c>
      <c r="Y430" s="17">
        <v>91083</v>
      </c>
      <c r="Z430" s="17">
        <v>7719</v>
      </c>
      <c r="AA430" s="17">
        <v>1487</v>
      </c>
      <c r="AB430" s="17">
        <v>9206</v>
      </c>
      <c r="AC430" s="17">
        <v>100289</v>
      </c>
      <c r="AD430" s="17">
        <v>202</v>
      </c>
      <c r="AE430" s="51">
        <f t="shared" si="54"/>
        <v>45.683530095065557</v>
      </c>
      <c r="AF430" s="51">
        <f t="shared" si="55"/>
        <v>4.6173553578074236</v>
      </c>
      <c r="AG430" s="51">
        <f t="shared" si="56"/>
        <v>50.300885452872976</v>
      </c>
      <c r="AH430" s="51">
        <f t="shared" si="57"/>
        <v>0.10131498829862041</v>
      </c>
      <c r="AI430" s="17">
        <v>198014</v>
      </c>
      <c r="AJ430" s="17">
        <v>152405</v>
      </c>
      <c r="AK430" s="17">
        <v>140615</v>
      </c>
      <c r="AL430" s="17">
        <v>293020</v>
      </c>
      <c r="AM430" s="17">
        <v>491034</v>
      </c>
      <c r="AN430" s="17">
        <v>128651</v>
      </c>
      <c r="BG430" s="15"/>
      <c r="BM430" s="17"/>
      <c r="BN430" s="17"/>
      <c r="BO430" s="17"/>
      <c r="BP430" s="17"/>
      <c r="BQ430" s="17"/>
      <c r="BW430" s="17"/>
    </row>
    <row r="431" spans="1:75" hidden="1" x14ac:dyDescent="0.25">
      <c r="A431" s="15" t="s">
        <v>775</v>
      </c>
      <c r="B431" s="15" t="s">
        <v>30</v>
      </c>
      <c r="C431" s="15">
        <v>2013</v>
      </c>
      <c r="D431" s="15" t="s">
        <v>776</v>
      </c>
      <c r="E431" s="15">
        <v>14910</v>
      </c>
      <c r="F431" s="15">
        <v>2012647</v>
      </c>
      <c r="G431" s="15" t="s">
        <v>109</v>
      </c>
      <c r="H431" s="15" t="s">
        <v>43</v>
      </c>
      <c r="I431" s="15" t="s">
        <v>188</v>
      </c>
      <c r="J431" s="15" t="s">
        <v>500</v>
      </c>
      <c r="K431" s="15" t="s">
        <v>190</v>
      </c>
      <c r="L431" s="15" t="s">
        <v>48</v>
      </c>
      <c r="M431" s="15" t="s">
        <v>62</v>
      </c>
      <c r="N431" s="15" t="s">
        <v>63</v>
      </c>
      <c r="O431" s="15"/>
      <c r="P431" s="15"/>
      <c r="Q431" s="15"/>
      <c r="R431" s="15"/>
      <c r="S431" s="15" t="s">
        <v>55</v>
      </c>
      <c r="T431" s="15"/>
      <c r="U431" s="15"/>
      <c r="V431" s="15"/>
      <c r="W431" s="15"/>
      <c r="X431" s="15" t="s">
        <v>55</v>
      </c>
      <c r="Y431" s="17">
        <v>87887</v>
      </c>
      <c r="Z431" s="17">
        <v>7587</v>
      </c>
      <c r="AA431" s="17">
        <v>1454</v>
      </c>
      <c r="AB431" s="17">
        <v>9041</v>
      </c>
      <c r="AC431" s="17">
        <v>96928</v>
      </c>
      <c r="AD431" s="17">
        <v>194</v>
      </c>
      <c r="AE431" s="51">
        <f t="shared" si="54"/>
        <v>43.667369389664458</v>
      </c>
      <c r="AF431" s="51">
        <f t="shared" si="55"/>
        <v>4.4920942420603316</v>
      </c>
      <c r="AG431" s="51">
        <f t="shared" si="56"/>
        <v>48.15946363172479</v>
      </c>
      <c r="AH431" s="51">
        <f t="shared" si="57"/>
        <v>9.6390474832397335E-2</v>
      </c>
      <c r="AI431" s="17">
        <v>169124</v>
      </c>
      <c r="AJ431" s="17">
        <v>149779</v>
      </c>
      <c r="AK431" s="17">
        <v>138859</v>
      </c>
      <c r="AL431" s="17">
        <v>288638</v>
      </c>
      <c r="AM431" s="17">
        <v>457762</v>
      </c>
      <c r="AN431" s="17">
        <v>126519</v>
      </c>
      <c r="BG431" s="15"/>
      <c r="BM431" s="17"/>
      <c r="BN431" s="17"/>
      <c r="BO431" s="17"/>
      <c r="BP431" s="17"/>
      <c r="BQ431" s="17"/>
      <c r="BW431" s="17"/>
    </row>
    <row r="432" spans="1:75" hidden="1" x14ac:dyDescent="0.25">
      <c r="A432" s="15" t="s">
        <v>777</v>
      </c>
      <c r="B432" s="15" t="s">
        <v>30</v>
      </c>
      <c r="C432" s="15">
        <v>2014</v>
      </c>
      <c r="D432" s="15" t="s">
        <v>778</v>
      </c>
      <c r="E432" s="15">
        <v>8290</v>
      </c>
      <c r="F432" s="15">
        <v>5603279</v>
      </c>
      <c r="G432" s="15" t="s">
        <v>42</v>
      </c>
      <c r="H432" s="15" t="s">
        <v>58</v>
      </c>
      <c r="I432" s="15" t="s">
        <v>779</v>
      </c>
      <c r="J432" s="15" t="s">
        <v>780</v>
      </c>
      <c r="K432" s="15" t="s">
        <v>61</v>
      </c>
      <c r="L432" s="15" t="s">
        <v>165</v>
      </c>
      <c r="M432" s="15" t="s">
        <v>682</v>
      </c>
      <c r="N432" s="15" t="s">
        <v>37</v>
      </c>
      <c r="O432" s="15" t="s">
        <v>1683</v>
      </c>
      <c r="P432" s="15" t="s">
        <v>781</v>
      </c>
      <c r="Q432" s="15" t="s">
        <v>782</v>
      </c>
      <c r="R432" s="15" t="s">
        <v>783</v>
      </c>
      <c r="S432" s="15" t="s">
        <v>784</v>
      </c>
      <c r="T432" s="15"/>
      <c r="U432" s="15"/>
      <c r="V432" s="15"/>
      <c r="W432" s="15"/>
      <c r="X432" s="15" t="s">
        <v>784</v>
      </c>
      <c r="AE432" s="51" t="str">
        <f t="shared" si="54"/>
        <v/>
      </c>
      <c r="AF432" s="51" t="str">
        <f t="shared" si="55"/>
        <v/>
      </c>
      <c r="AG432" s="51" t="str">
        <f t="shared" si="56"/>
        <v/>
      </c>
      <c r="AH432" s="51" t="str">
        <f t="shared" si="57"/>
        <v/>
      </c>
      <c r="BG432" s="15"/>
      <c r="BM432" s="17"/>
      <c r="BN432" s="17"/>
      <c r="BO432" s="17"/>
      <c r="BP432" s="17"/>
      <c r="BQ432" s="17"/>
      <c r="BW432" s="17"/>
    </row>
    <row r="433" spans="1:75" hidden="1" x14ac:dyDescent="0.25">
      <c r="A433" s="15" t="s">
        <v>785</v>
      </c>
      <c r="B433" s="15" t="s">
        <v>30</v>
      </c>
      <c r="C433" s="15">
        <v>2016</v>
      </c>
      <c r="D433" s="15" t="s">
        <v>786</v>
      </c>
      <c r="E433" s="15">
        <v>1270</v>
      </c>
      <c r="F433" s="15">
        <v>2233339</v>
      </c>
      <c r="G433" s="15" t="s">
        <v>88</v>
      </c>
      <c r="H433" s="15" t="s">
        <v>89</v>
      </c>
      <c r="I433" s="15" t="s">
        <v>787</v>
      </c>
      <c r="J433" s="15" t="s">
        <v>788</v>
      </c>
      <c r="K433" s="15" t="s">
        <v>46</v>
      </c>
      <c r="L433" s="15" t="s">
        <v>47</v>
      </c>
      <c r="M433" s="15" t="s">
        <v>48</v>
      </c>
      <c r="N433" s="15" t="s">
        <v>1674</v>
      </c>
      <c r="O433" s="15"/>
      <c r="P433" s="15"/>
      <c r="Q433" s="15"/>
      <c r="R433" s="15"/>
      <c r="S433" s="15"/>
      <c r="T433" s="15"/>
      <c r="U433" s="15"/>
      <c r="V433" s="15"/>
      <c r="W433" s="15"/>
      <c r="X433" s="15"/>
      <c r="Y433" s="17">
        <v>7299</v>
      </c>
      <c r="Z433" s="17">
        <v>935</v>
      </c>
      <c r="AA433" s="17">
        <v>500</v>
      </c>
      <c r="AB433" s="17">
        <v>1435</v>
      </c>
      <c r="AC433" s="17">
        <v>8734</v>
      </c>
      <c r="AD433" s="17">
        <v>110</v>
      </c>
      <c r="AE433" s="51">
        <f t="shared" si="54"/>
        <v>3.2682006627744378</v>
      </c>
      <c r="AF433" s="51">
        <f t="shared" si="55"/>
        <v>0.64253568311841591</v>
      </c>
      <c r="AG433" s="51">
        <f t="shared" si="56"/>
        <v>3.9107363458928539</v>
      </c>
      <c r="AH433" s="51">
        <f t="shared" si="57"/>
        <v>4.9253606371446518E-2</v>
      </c>
      <c r="BG433" s="15"/>
      <c r="BM433" s="17"/>
      <c r="BN433" s="17"/>
      <c r="BO433" s="17"/>
      <c r="BP433" s="17"/>
      <c r="BQ433" s="17"/>
      <c r="BW433" s="17" t="s">
        <v>1675</v>
      </c>
    </row>
    <row r="434" spans="1:75" hidden="1" x14ac:dyDescent="0.25">
      <c r="A434" s="15" t="s">
        <v>789</v>
      </c>
      <c r="B434" s="15" t="s">
        <v>30</v>
      </c>
      <c r="C434" s="15">
        <v>2011</v>
      </c>
      <c r="D434" s="15" t="s">
        <v>790</v>
      </c>
      <c r="E434" s="15">
        <v>320</v>
      </c>
      <c r="F434" s="15">
        <v>4070167</v>
      </c>
      <c r="G434" s="15" t="s">
        <v>32</v>
      </c>
      <c r="H434" s="15" t="s">
        <v>89</v>
      </c>
      <c r="I434" s="15" t="s">
        <v>1694</v>
      </c>
      <c r="J434" s="15" t="s">
        <v>1695</v>
      </c>
      <c r="K434" s="15" t="s">
        <v>559</v>
      </c>
      <c r="L434" s="15" t="s">
        <v>791</v>
      </c>
      <c r="M434" s="15" t="s">
        <v>573</v>
      </c>
      <c r="N434" s="15" t="s">
        <v>792</v>
      </c>
      <c r="O434" s="15"/>
      <c r="P434" s="15"/>
      <c r="Q434" s="15"/>
      <c r="R434" s="15"/>
      <c r="S434" s="15"/>
      <c r="T434" s="15"/>
      <c r="U434" s="15"/>
      <c r="V434" s="15"/>
      <c r="W434" s="15"/>
      <c r="X434" s="15"/>
      <c r="AE434" s="51" t="str">
        <f t="shared" si="54"/>
        <v/>
      </c>
      <c r="AF434" s="51" t="str">
        <f t="shared" si="55"/>
        <v/>
      </c>
      <c r="AG434" s="51" t="str">
        <f t="shared" si="56"/>
        <v/>
      </c>
      <c r="AH434" s="51" t="str">
        <f t="shared" si="57"/>
        <v/>
      </c>
      <c r="BG434" s="15"/>
      <c r="BM434" s="17"/>
      <c r="BN434" s="17"/>
      <c r="BO434" s="17"/>
      <c r="BP434" s="17"/>
      <c r="BQ434" s="17"/>
      <c r="BW434" s="17"/>
    </row>
    <row r="435" spans="1:75" hidden="1" x14ac:dyDescent="0.25">
      <c r="A435" s="15" t="s">
        <v>793</v>
      </c>
      <c r="B435" s="15" t="s">
        <v>30</v>
      </c>
      <c r="C435" s="15">
        <v>2009</v>
      </c>
      <c r="D435" s="15" t="s">
        <v>794</v>
      </c>
      <c r="E435" s="15">
        <v>12930</v>
      </c>
      <c r="F435" s="15">
        <v>5964325</v>
      </c>
      <c r="G435" s="15" t="s">
        <v>42</v>
      </c>
      <c r="H435" s="15" t="s">
        <v>58</v>
      </c>
      <c r="I435" s="15" t="s">
        <v>1687</v>
      </c>
      <c r="J435" s="15" t="s">
        <v>795</v>
      </c>
      <c r="K435" s="15" t="s">
        <v>1688</v>
      </c>
      <c r="L435" s="15" t="s">
        <v>243</v>
      </c>
      <c r="M435" s="15" t="s">
        <v>244</v>
      </c>
      <c r="N435" s="15"/>
      <c r="O435" s="15" t="s">
        <v>1684</v>
      </c>
      <c r="P435" s="15" t="s">
        <v>1685</v>
      </c>
      <c r="Q435" s="15" t="s">
        <v>543</v>
      </c>
      <c r="R435" s="15"/>
      <c r="S435" s="15" t="s">
        <v>1686</v>
      </c>
      <c r="T435" s="15"/>
      <c r="U435" s="15"/>
      <c r="V435" s="15"/>
      <c r="W435" s="15"/>
      <c r="X435" s="15" t="s">
        <v>1686</v>
      </c>
      <c r="AC435" s="17">
        <v>18277</v>
      </c>
      <c r="AD435" s="17">
        <v>88</v>
      </c>
      <c r="AE435" s="51" t="str">
        <f t="shared" si="54"/>
        <v/>
      </c>
      <c r="AF435" s="51" t="str">
        <f t="shared" si="55"/>
        <v/>
      </c>
      <c r="AG435" s="51">
        <f t="shared" si="56"/>
        <v>3.0643870010437055</v>
      </c>
      <c r="AH435" s="51">
        <f t="shared" si="57"/>
        <v>1.4754393833334033E-2</v>
      </c>
      <c r="BG435" s="15"/>
      <c r="BM435" s="17"/>
      <c r="BN435" s="17"/>
      <c r="BO435" s="17"/>
      <c r="BP435" s="17"/>
      <c r="BQ435" s="17"/>
      <c r="BW435" s="17"/>
    </row>
    <row r="436" spans="1:75" hidden="1" x14ac:dyDescent="0.25">
      <c r="A436" s="15" t="s">
        <v>796</v>
      </c>
      <c r="B436" s="15" t="s">
        <v>30</v>
      </c>
      <c r="C436" s="15">
        <v>2017</v>
      </c>
      <c r="D436" s="15" t="s">
        <v>797</v>
      </c>
      <c r="E436" s="15">
        <v>116300</v>
      </c>
      <c r="F436" s="15">
        <v>37922</v>
      </c>
      <c r="G436" s="15" t="s">
        <v>109</v>
      </c>
      <c r="H436" s="15" t="s">
        <v>43</v>
      </c>
      <c r="I436" s="15" t="s">
        <v>798</v>
      </c>
      <c r="J436" s="15" t="s">
        <v>799</v>
      </c>
      <c r="K436" s="15" t="s">
        <v>190</v>
      </c>
      <c r="L436" s="15" t="s">
        <v>48</v>
      </c>
      <c r="M436" s="15" t="s">
        <v>62</v>
      </c>
      <c r="N436" s="15" t="s">
        <v>63</v>
      </c>
      <c r="O436" s="15"/>
      <c r="P436" s="15"/>
      <c r="Q436" s="15"/>
      <c r="R436" s="15"/>
      <c r="S436" s="15" t="s">
        <v>800</v>
      </c>
      <c r="T436" s="15"/>
      <c r="U436" s="15"/>
      <c r="V436" s="15"/>
      <c r="W436" s="15"/>
      <c r="X436" s="15" t="s">
        <v>800</v>
      </c>
      <c r="Y436" s="17">
        <v>4154</v>
      </c>
      <c r="Z436" s="17">
        <v>443</v>
      </c>
      <c r="AA436" s="17">
        <v>96</v>
      </c>
      <c r="AB436" s="17">
        <v>539</v>
      </c>
      <c r="AC436" s="17">
        <v>4693</v>
      </c>
      <c r="AD436" s="17">
        <v>17</v>
      </c>
      <c r="AE436" s="51">
        <f t="shared" si="54"/>
        <v>109.54063604240282</v>
      </c>
      <c r="AF436" s="51">
        <f t="shared" si="55"/>
        <v>14.213385369969938</v>
      </c>
      <c r="AG436" s="51">
        <f t="shared" si="56"/>
        <v>123.75402141237277</v>
      </c>
      <c r="AH436" s="51">
        <f t="shared" si="57"/>
        <v>0.44828859237381996</v>
      </c>
      <c r="AI436" s="17">
        <v>9413</v>
      </c>
      <c r="AJ436" s="17">
        <v>8877</v>
      </c>
      <c r="AK436" s="17">
        <v>8991</v>
      </c>
      <c r="AL436" s="17">
        <v>17868</v>
      </c>
      <c r="AM436" s="17">
        <v>27281</v>
      </c>
      <c r="AN436" s="17">
        <v>12743</v>
      </c>
      <c r="BG436" s="15"/>
      <c r="BM436" s="17"/>
      <c r="BN436" s="17"/>
      <c r="BO436" s="17"/>
      <c r="BP436" s="17"/>
      <c r="BQ436" s="17"/>
      <c r="BT436" s="15" t="s">
        <v>801</v>
      </c>
      <c r="BW436" s="17"/>
    </row>
    <row r="437" spans="1:75" hidden="1" x14ac:dyDescent="0.25">
      <c r="A437" s="15" t="s">
        <v>796</v>
      </c>
      <c r="B437" s="15" t="s">
        <v>30</v>
      </c>
      <c r="C437" s="15">
        <v>2016</v>
      </c>
      <c r="D437" s="15" t="s">
        <v>797</v>
      </c>
      <c r="E437" s="15">
        <v>116300</v>
      </c>
      <c r="F437" s="15">
        <v>37922</v>
      </c>
      <c r="G437" s="15" t="s">
        <v>109</v>
      </c>
      <c r="H437" s="15" t="s">
        <v>43</v>
      </c>
      <c r="I437" s="15" t="s">
        <v>798</v>
      </c>
      <c r="J437" s="15" t="s">
        <v>799</v>
      </c>
      <c r="K437" s="15" t="s">
        <v>190</v>
      </c>
      <c r="L437" s="15" t="s">
        <v>48</v>
      </c>
      <c r="M437" s="15" t="s">
        <v>62</v>
      </c>
      <c r="N437" s="15" t="s">
        <v>63</v>
      </c>
      <c r="O437" s="15"/>
      <c r="P437" s="15"/>
      <c r="Q437" s="15"/>
      <c r="R437" s="15"/>
      <c r="S437" s="15" t="s">
        <v>800</v>
      </c>
      <c r="T437" s="15"/>
      <c r="U437" s="15"/>
      <c r="V437" s="15"/>
      <c r="W437" s="15"/>
      <c r="X437" s="15" t="s">
        <v>800</v>
      </c>
      <c r="Y437" s="17">
        <v>4025</v>
      </c>
      <c r="Z437" s="17">
        <v>438</v>
      </c>
      <c r="AA437" s="17">
        <v>87</v>
      </c>
      <c r="AB437" s="17">
        <v>525</v>
      </c>
      <c r="AC437" s="17">
        <v>4550</v>
      </c>
      <c r="AD437" s="17">
        <v>17</v>
      </c>
      <c r="AE437" s="51">
        <f t="shared" si="54"/>
        <v>106.13891672380149</v>
      </c>
      <c r="AF437" s="51">
        <f t="shared" si="55"/>
        <v>13.844206529191499</v>
      </c>
      <c r="AG437" s="51">
        <f t="shared" si="56"/>
        <v>119.98312325299298</v>
      </c>
      <c r="AH437" s="51">
        <f t="shared" si="57"/>
        <v>0.44828859237381996</v>
      </c>
      <c r="AI437" s="17">
        <v>9122</v>
      </c>
      <c r="AJ437" s="17">
        <v>8697</v>
      </c>
      <c r="AK437" s="17">
        <v>8243</v>
      </c>
      <c r="AL437" s="17">
        <v>16940</v>
      </c>
      <c r="AM437" s="17">
        <v>26062</v>
      </c>
      <c r="AN437" s="17">
        <v>12695</v>
      </c>
      <c r="BG437" s="15"/>
      <c r="BM437" s="17"/>
      <c r="BN437" s="17"/>
      <c r="BO437" s="17"/>
      <c r="BP437" s="17"/>
      <c r="BQ437" s="17"/>
      <c r="BT437" s="15" t="s">
        <v>801</v>
      </c>
      <c r="BW437" s="17"/>
    </row>
    <row r="438" spans="1:75" hidden="1" x14ac:dyDescent="0.25">
      <c r="A438" s="15" t="s">
        <v>796</v>
      </c>
      <c r="B438" s="15" t="s">
        <v>30</v>
      </c>
      <c r="C438" s="15">
        <v>2015</v>
      </c>
      <c r="D438" s="15" t="s">
        <v>797</v>
      </c>
      <c r="E438" s="15">
        <v>116300</v>
      </c>
      <c r="F438" s="15">
        <v>37403</v>
      </c>
      <c r="G438" s="15" t="s">
        <v>109</v>
      </c>
      <c r="H438" s="15" t="s">
        <v>43</v>
      </c>
      <c r="I438" s="15" t="s">
        <v>798</v>
      </c>
      <c r="J438" s="15" t="s">
        <v>799</v>
      </c>
      <c r="K438" s="15" t="s">
        <v>190</v>
      </c>
      <c r="L438" s="15" t="s">
        <v>48</v>
      </c>
      <c r="M438" s="15" t="s">
        <v>62</v>
      </c>
      <c r="N438" s="15" t="s">
        <v>63</v>
      </c>
      <c r="O438" s="15"/>
      <c r="P438" s="15"/>
      <c r="Q438" s="15"/>
      <c r="R438" s="15"/>
      <c r="S438" s="15" t="s">
        <v>800</v>
      </c>
      <c r="T438" s="15"/>
      <c r="U438" s="15"/>
      <c r="V438" s="15"/>
      <c r="W438" s="15"/>
      <c r="X438" s="15" t="s">
        <v>800</v>
      </c>
      <c r="Y438" s="17">
        <v>3941</v>
      </c>
      <c r="Z438" s="17">
        <v>434</v>
      </c>
      <c r="AA438" s="17">
        <v>90</v>
      </c>
      <c r="AB438" s="17">
        <v>524</v>
      </c>
      <c r="AC438" s="17">
        <v>4465</v>
      </c>
      <c r="AD438" s="17">
        <v>17</v>
      </c>
      <c r="AE438" s="51">
        <f t="shared" si="54"/>
        <v>105.36587974226666</v>
      </c>
      <c r="AF438" s="51">
        <f t="shared" si="55"/>
        <v>14.009571424752025</v>
      </c>
      <c r="AG438" s="51">
        <f t="shared" si="56"/>
        <v>119.37545116701868</v>
      </c>
      <c r="AH438" s="51">
        <f t="shared" si="57"/>
        <v>0.45450899660455041</v>
      </c>
      <c r="AI438" s="17">
        <v>9026</v>
      </c>
      <c r="AJ438" s="17">
        <v>8368</v>
      </c>
      <c r="AK438" s="17">
        <v>8342</v>
      </c>
      <c r="AL438" s="17">
        <v>16710</v>
      </c>
      <c r="AM438" s="17">
        <v>25736</v>
      </c>
      <c r="AN438" s="17">
        <v>12303</v>
      </c>
      <c r="BG438" s="15"/>
      <c r="BM438" s="17"/>
      <c r="BN438" s="17"/>
      <c r="BO438" s="17"/>
      <c r="BP438" s="17"/>
      <c r="BQ438" s="17"/>
      <c r="BT438" s="15" t="s">
        <v>801</v>
      </c>
      <c r="BW438" s="17"/>
    </row>
    <row r="439" spans="1:75" hidden="1" x14ac:dyDescent="0.25">
      <c r="A439" s="15" t="s">
        <v>796</v>
      </c>
      <c r="B439" s="15" t="s">
        <v>30</v>
      </c>
      <c r="C439" s="15">
        <v>2014</v>
      </c>
      <c r="D439" s="15" t="s">
        <v>797</v>
      </c>
      <c r="E439" s="15">
        <v>116300</v>
      </c>
      <c r="F439" s="15">
        <v>37127</v>
      </c>
      <c r="G439" s="15" t="s">
        <v>109</v>
      </c>
      <c r="H439" s="15" t="s">
        <v>43</v>
      </c>
      <c r="I439" s="15" t="s">
        <v>798</v>
      </c>
      <c r="J439" s="15" t="s">
        <v>799</v>
      </c>
      <c r="K439" s="15" t="s">
        <v>190</v>
      </c>
      <c r="L439" s="15" t="s">
        <v>48</v>
      </c>
      <c r="M439" s="15" t="s">
        <v>62</v>
      </c>
      <c r="N439" s="15" t="s">
        <v>63</v>
      </c>
      <c r="O439" s="15"/>
      <c r="P439" s="15"/>
      <c r="Q439" s="15"/>
      <c r="R439" s="15"/>
      <c r="S439" s="15" t="s">
        <v>800</v>
      </c>
      <c r="T439" s="15"/>
      <c r="U439" s="15"/>
      <c r="V439" s="15"/>
      <c r="W439" s="15"/>
      <c r="X439" s="15" t="s">
        <v>800</v>
      </c>
      <c r="Y439" s="17">
        <v>3766</v>
      </c>
      <c r="Z439" s="17">
        <v>468</v>
      </c>
      <c r="AA439" s="17">
        <v>80</v>
      </c>
      <c r="AB439" s="17">
        <v>548</v>
      </c>
      <c r="AC439" s="17">
        <v>4314</v>
      </c>
      <c r="AD439" s="17">
        <v>17</v>
      </c>
      <c r="AE439" s="51">
        <f t="shared" si="54"/>
        <v>101.43561289627495</v>
      </c>
      <c r="AF439" s="51">
        <f t="shared" si="55"/>
        <v>14.760147601476014</v>
      </c>
      <c r="AG439" s="51">
        <f t="shared" si="56"/>
        <v>116.19576049775097</v>
      </c>
      <c r="AH439" s="51">
        <f t="shared" si="57"/>
        <v>0.45788779055673767</v>
      </c>
      <c r="AI439" s="17">
        <v>8635</v>
      </c>
      <c r="AJ439" s="17">
        <v>8976</v>
      </c>
      <c r="AK439" s="17">
        <v>7852</v>
      </c>
      <c r="AL439" s="17">
        <v>16828</v>
      </c>
      <c r="AM439" s="17">
        <v>25463</v>
      </c>
      <c r="AN439" s="17">
        <v>12412</v>
      </c>
      <c r="BG439" s="15"/>
      <c r="BM439" s="17"/>
      <c r="BN439" s="17"/>
      <c r="BO439" s="17"/>
      <c r="BP439" s="17"/>
      <c r="BQ439" s="17"/>
      <c r="BT439" s="15" t="s">
        <v>801</v>
      </c>
      <c r="BW439" s="17"/>
    </row>
    <row r="440" spans="1:75" hidden="1" x14ac:dyDescent="0.25">
      <c r="A440" s="15" t="s">
        <v>796</v>
      </c>
      <c r="B440" s="15" t="s">
        <v>30</v>
      </c>
      <c r="C440" s="15">
        <v>2013</v>
      </c>
      <c r="D440" s="15" t="s">
        <v>797</v>
      </c>
      <c r="E440" s="15">
        <v>116300</v>
      </c>
      <c r="F440" s="15">
        <v>36834</v>
      </c>
      <c r="G440" s="15" t="s">
        <v>109</v>
      </c>
      <c r="H440" s="15" t="s">
        <v>43</v>
      </c>
      <c r="I440" s="15" t="s">
        <v>798</v>
      </c>
      <c r="J440" s="15" t="s">
        <v>799</v>
      </c>
      <c r="K440" s="15" t="s">
        <v>190</v>
      </c>
      <c r="L440" s="15" t="s">
        <v>48</v>
      </c>
      <c r="M440" s="15" t="s">
        <v>62</v>
      </c>
      <c r="N440" s="15" t="s">
        <v>63</v>
      </c>
      <c r="O440" s="15"/>
      <c r="P440" s="15"/>
      <c r="Q440" s="15"/>
      <c r="R440" s="15"/>
      <c r="S440" s="15" t="s">
        <v>800</v>
      </c>
      <c r="T440" s="15"/>
      <c r="U440" s="15"/>
      <c r="V440" s="15"/>
      <c r="W440" s="15"/>
      <c r="X440" s="15" t="s">
        <v>800</v>
      </c>
      <c r="Y440" s="17">
        <v>3621</v>
      </c>
      <c r="Z440" s="17">
        <v>442</v>
      </c>
      <c r="AA440" s="17">
        <v>85</v>
      </c>
      <c r="AB440" s="17">
        <v>527</v>
      </c>
      <c r="AC440" s="17">
        <v>4148</v>
      </c>
      <c r="AD440" s="17">
        <v>17</v>
      </c>
      <c r="AE440" s="51">
        <f t="shared" si="54"/>
        <v>98.305913015149045</v>
      </c>
      <c r="AF440" s="51">
        <f t="shared" si="55"/>
        <v>14.307433349622631</v>
      </c>
      <c r="AG440" s="51">
        <f t="shared" si="56"/>
        <v>112.61334636477167</v>
      </c>
      <c r="AH440" s="51">
        <f t="shared" si="57"/>
        <v>0.46153010805234296</v>
      </c>
      <c r="AI440" s="17">
        <v>8593</v>
      </c>
      <c r="AJ440" s="17">
        <v>8462</v>
      </c>
      <c r="AK440" s="17">
        <v>8138</v>
      </c>
      <c r="AL440" s="17">
        <v>16600</v>
      </c>
      <c r="AM440" s="17">
        <v>25193</v>
      </c>
      <c r="AN440" s="17">
        <v>12144</v>
      </c>
      <c r="BG440" s="15"/>
      <c r="BM440" s="17"/>
      <c r="BN440" s="17"/>
      <c r="BO440" s="17"/>
      <c r="BP440" s="17"/>
      <c r="BQ440" s="17"/>
      <c r="BT440" s="15" t="s">
        <v>801</v>
      </c>
      <c r="BW440" s="17"/>
    </row>
    <row r="441" spans="1:75" hidden="1" x14ac:dyDescent="0.25">
      <c r="A441" s="15" t="s">
        <v>802</v>
      </c>
      <c r="B441" s="15" t="s">
        <v>30</v>
      </c>
      <c r="C441" s="15">
        <v>2016</v>
      </c>
      <c r="D441" s="15" t="s">
        <v>803</v>
      </c>
      <c r="E441" s="15">
        <v>14790</v>
      </c>
      <c r="F441" s="15">
        <v>2827721</v>
      </c>
      <c r="G441" s="15" t="s">
        <v>109</v>
      </c>
      <c r="H441" s="15" t="s">
        <v>43</v>
      </c>
      <c r="I441" s="15" t="s">
        <v>1857</v>
      </c>
      <c r="J441" s="15" t="s">
        <v>189</v>
      </c>
      <c r="K441" s="15" t="s">
        <v>190</v>
      </c>
      <c r="L441" s="15" t="s">
        <v>48</v>
      </c>
      <c r="M441" s="15" t="s">
        <v>62</v>
      </c>
      <c r="N441" s="15" t="s">
        <v>63</v>
      </c>
      <c r="O441" s="15"/>
      <c r="P441" s="15"/>
      <c r="Q441" s="15"/>
      <c r="R441" s="15"/>
      <c r="S441" s="15" t="s">
        <v>55</v>
      </c>
      <c r="T441" s="15"/>
      <c r="U441" s="15"/>
      <c r="V441" s="15"/>
      <c r="W441" s="15"/>
      <c r="X441" s="15" t="s">
        <v>55</v>
      </c>
      <c r="Y441" s="17">
        <v>178530</v>
      </c>
      <c r="Z441" s="17">
        <v>11448</v>
      </c>
      <c r="AA441" s="17">
        <v>2234</v>
      </c>
      <c r="AB441" s="17">
        <v>13682</v>
      </c>
      <c r="AC441" s="17">
        <v>192212</v>
      </c>
      <c r="AD441" s="17">
        <v>345</v>
      </c>
      <c r="AE441" s="51">
        <f t="shared" si="54"/>
        <v>63.135648814009585</v>
      </c>
      <c r="AF441" s="51">
        <f t="shared" si="55"/>
        <v>4.8385254415127941</v>
      </c>
      <c r="AG441" s="51">
        <f t="shared" si="56"/>
        <v>67.974174255522385</v>
      </c>
      <c r="AH441" s="51">
        <f t="shared" si="57"/>
        <v>0.12200637898859187</v>
      </c>
      <c r="AI441" s="17">
        <v>275218</v>
      </c>
      <c r="AJ441" s="17">
        <v>227471</v>
      </c>
      <c r="AK441" s="17">
        <v>218565</v>
      </c>
      <c r="AL441" s="17">
        <v>446036</v>
      </c>
      <c r="AM441" s="17">
        <v>721254</v>
      </c>
      <c r="AN441" s="17">
        <v>233385</v>
      </c>
      <c r="AO441" s="17">
        <v>3036600000</v>
      </c>
      <c r="AP441" s="17">
        <v>3802399999.9999995</v>
      </c>
      <c r="AQ441" s="17">
        <v>4633700000</v>
      </c>
      <c r="AR441" s="17">
        <v>8436100000</v>
      </c>
      <c r="AS441" s="17">
        <v>11472700000</v>
      </c>
      <c r="AT441" s="17">
        <v>5394800000</v>
      </c>
      <c r="AU441" s="15" t="s">
        <v>189</v>
      </c>
      <c r="AV441" s="15" t="s">
        <v>189</v>
      </c>
      <c r="BG441" s="15"/>
      <c r="BM441" s="17"/>
      <c r="BN441" s="17"/>
      <c r="BO441" s="17"/>
      <c r="BP441" s="17"/>
      <c r="BQ441" s="17"/>
      <c r="BW441" s="17"/>
    </row>
    <row r="442" spans="1:75" hidden="1" x14ac:dyDescent="0.25">
      <c r="A442" s="15" t="s">
        <v>802</v>
      </c>
      <c r="B442" s="15" t="s">
        <v>30</v>
      </c>
      <c r="C442" s="15">
        <v>2015</v>
      </c>
      <c r="D442" s="15" t="s">
        <v>803</v>
      </c>
      <c r="E442" s="15">
        <v>15110</v>
      </c>
      <c r="F442" s="15">
        <v>2904910</v>
      </c>
      <c r="G442" s="15" t="s">
        <v>109</v>
      </c>
      <c r="H442" s="15" t="s">
        <v>43</v>
      </c>
      <c r="I442" s="15" t="s">
        <v>1857</v>
      </c>
      <c r="J442" s="15" t="s">
        <v>189</v>
      </c>
      <c r="K442" s="15" t="s">
        <v>190</v>
      </c>
      <c r="L442" s="15" t="s">
        <v>48</v>
      </c>
      <c r="M442" s="15" t="s">
        <v>62</v>
      </c>
      <c r="N442" s="15" t="s">
        <v>63</v>
      </c>
      <c r="O442" s="15"/>
      <c r="P442" s="15"/>
      <c r="Q442" s="15"/>
      <c r="R442" s="15"/>
      <c r="S442" s="15" t="s">
        <v>55</v>
      </c>
      <c r="T442" s="15"/>
      <c r="U442" s="15"/>
      <c r="V442" s="15"/>
      <c r="W442" s="15"/>
      <c r="X442" s="15" t="s">
        <v>55</v>
      </c>
      <c r="Y442" s="17">
        <v>172527</v>
      </c>
      <c r="Z442" s="17">
        <v>11405</v>
      </c>
      <c r="AA442" s="17">
        <v>2199</v>
      </c>
      <c r="AB442" s="17">
        <v>13604</v>
      </c>
      <c r="AC442" s="17">
        <v>186131</v>
      </c>
      <c r="AD442" s="17">
        <v>337</v>
      </c>
      <c r="AE442" s="51">
        <f t="shared" si="54"/>
        <v>59.391512990075427</v>
      </c>
      <c r="AF442" s="51">
        <f t="shared" si="55"/>
        <v>4.6831055006867679</v>
      </c>
      <c r="AG442" s="51">
        <f t="shared" si="56"/>
        <v>64.074618490762191</v>
      </c>
      <c r="AH442" s="51">
        <f t="shared" si="57"/>
        <v>0.11601047881001478</v>
      </c>
      <c r="AI442" s="17">
        <v>267612</v>
      </c>
      <c r="AJ442" s="17">
        <v>225747</v>
      </c>
      <c r="AK442" s="17">
        <v>215449</v>
      </c>
      <c r="AL442" s="17">
        <v>441196</v>
      </c>
      <c r="AM442" s="17">
        <v>708808</v>
      </c>
      <c r="AN442" s="17">
        <v>225637</v>
      </c>
      <c r="AO442" s="17">
        <v>2713600000</v>
      </c>
      <c r="AP442" s="17">
        <v>3583000000</v>
      </c>
      <c r="AQ442" s="17">
        <v>4434100000</v>
      </c>
      <c r="AR442" s="17">
        <v>8017100000</v>
      </c>
      <c r="AS442" s="17">
        <v>10730700000</v>
      </c>
      <c r="AT442" s="17">
        <v>4984800000</v>
      </c>
      <c r="AU442" s="15" t="s">
        <v>189</v>
      </c>
      <c r="AV442" s="15" t="s">
        <v>189</v>
      </c>
      <c r="BG442" s="15"/>
      <c r="BM442" s="17"/>
      <c r="BN442" s="17"/>
      <c r="BO442" s="17"/>
      <c r="BP442" s="17"/>
      <c r="BQ442" s="17"/>
      <c r="BW442" s="17"/>
    </row>
    <row r="443" spans="1:75" hidden="1" x14ac:dyDescent="0.25">
      <c r="A443" s="15" t="s">
        <v>802</v>
      </c>
      <c r="B443" s="15" t="s">
        <v>30</v>
      </c>
      <c r="C443" s="15">
        <v>2014</v>
      </c>
      <c r="D443" s="15" t="s">
        <v>803</v>
      </c>
      <c r="E443" s="15">
        <v>16020</v>
      </c>
      <c r="F443" s="15">
        <v>2932367</v>
      </c>
      <c r="G443" s="15" t="s">
        <v>109</v>
      </c>
      <c r="H443" s="15" t="s">
        <v>43</v>
      </c>
      <c r="I443" s="15" t="s">
        <v>1857</v>
      </c>
      <c r="J443" s="15" t="s">
        <v>189</v>
      </c>
      <c r="K443" s="15" t="s">
        <v>190</v>
      </c>
      <c r="L443" s="15" t="s">
        <v>48</v>
      </c>
      <c r="M443" s="15" t="s">
        <v>62</v>
      </c>
      <c r="N443" s="15" t="s">
        <v>63</v>
      </c>
      <c r="O443" s="15"/>
      <c r="P443" s="15"/>
      <c r="Q443" s="15"/>
      <c r="R443" s="15"/>
      <c r="S443" s="15" t="s">
        <v>55</v>
      </c>
      <c r="T443" s="15"/>
      <c r="U443" s="15"/>
      <c r="V443" s="15"/>
      <c r="W443" s="15"/>
      <c r="X443" s="15" t="s">
        <v>55</v>
      </c>
      <c r="Y443" s="17">
        <v>160770</v>
      </c>
      <c r="Z443" s="17">
        <v>11313</v>
      </c>
      <c r="AA443" s="17">
        <v>2190</v>
      </c>
      <c r="AB443" s="17">
        <v>13503</v>
      </c>
      <c r="AC443" s="17">
        <v>174273</v>
      </c>
      <c r="AD443" s="17">
        <v>338</v>
      </c>
      <c r="AE443" s="51">
        <f t="shared" si="54"/>
        <v>54.826015979582365</v>
      </c>
      <c r="AF443" s="51">
        <f t="shared" si="55"/>
        <v>4.6048124262754291</v>
      </c>
      <c r="AG443" s="51">
        <f t="shared" si="56"/>
        <v>59.430828405857795</v>
      </c>
      <c r="AH443" s="51">
        <f t="shared" si="57"/>
        <v>0.11526524476642931</v>
      </c>
      <c r="AI443" s="17">
        <v>252902</v>
      </c>
      <c r="AJ443" s="17">
        <v>223080</v>
      </c>
      <c r="AK443" s="17">
        <v>210718</v>
      </c>
      <c r="AL443" s="17">
        <v>433798</v>
      </c>
      <c r="AM443" s="17">
        <v>686700</v>
      </c>
      <c r="AN443" s="17">
        <v>223168</v>
      </c>
      <c r="AO443" s="17">
        <v>2478000000</v>
      </c>
      <c r="AP443" s="17">
        <v>3362600000</v>
      </c>
      <c r="AQ443" s="17">
        <v>4261800000</v>
      </c>
      <c r="AR443" s="17">
        <v>7624400000</v>
      </c>
      <c r="AS443" s="17">
        <v>10102400000</v>
      </c>
      <c r="AT443" s="17">
        <v>4455300000</v>
      </c>
      <c r="AU443" s="15" t="s">
        <v>189</v>
      </c>
      <c r="AV443" s="15" t="s">
        <v>189</v>
      </c>
      <c r="BG443" s="15"/>
      <c r="BM443" s="17"/>
      <c r="BN443" s="17"/>
      <c r="BO443" s="17"/>
      <c r="BP443" s="17"/>
      <c r="BQ443" s="17"/>
      <c r="BW443" s="17"/>
    </row>
    <row r="444" spans="1:75" hidden="1" x14ac:dyDescent="0.25">
      <c r="A444" s="15" t="s">
        <v>802</v>
      </c>
      <c r="B444" s="15" t="s">
        <v>30</v>
      </c>
      <c r="C444" s="15">
        <v>2013</v>
      </c>
      <c r="D444" s="15" t="s">
        <v>803</v>
      </c>
      <c r="E444" s="15">
        <v>15240</v>
      </c>
      <c r="F444" s="15">
        <v>2957689</v>
      </c>
      <c r="G444" s="15" t="s">
        <v>109</v>
      </c>
      <c r="H444" s="15" t="s">
        <v>43</v>
      </c>
      <c r="I444" s="15" t="s">
        <v>1857</v>
      </c>
      <c r="J444" s="15" t="s">
        <v>189</v>
      </c>
      <c r="K444" s="15" t="s">
        <v>190</v>
      </c>
      <c r="L444" s="15" t="s">
        <v>48</v>
      </c>
      <c r="M444" s="15" t="s">
        <v>62</v>
      </c>
      <c r="N444" s="15" t="s">
        <v>63</v>
      </c>
      <c r="O444" s="15"/>
      <c r="P444" s="15"/>
      <c r="Q444" s="15"/>
      <c r="R444" s="15"/>
      <c r="S444" s="15" t="s">
        <v>55</v>
      </c>
      <c r="T444" s="15"/>
      <c r="U444" s="15"/>
      <c r="V444" s="15"/>
      <c r="W444" s="15"/>
      <c r="X444" s="15" t="s">
        <v>55</v>
      </c>
      <c r="Y444" s="17">
        <v>139657</v>
      </c>
      <c r="Z444" s="17">
        <v>11121</v>
      </c>
      <c r="AA444" s="17">
        <v>2156</v>
      </c>
      <c r="AB444" s="17">
        <v>13277</v>
      </c>
      <c r="AC444" s="17">
        <v>152934</v>
      </c>
      <c r="AD444" s="17">
        <v>318</v>
      </c>
      <c r="AE444" s="51">
        <f t="shared" si="54"/>
        <v>47.218284275324415</v>
      </c>
      <c r="AF444" s="51">
        <f t="shared" si="55"/>
        <v>4.4889777119906791</v>
      </c>
      <c r="AG444" s="51">
        <f t="shared" si="56"/>
        <v>51.707261987315093</v>
      </c>
      <c r="AH444" s="51">
        <f t="shared" si="57"/>
        <v>0.10751637511584214</v>
      </c>
      <c r="AI444" s="17">
        <v>230624</v>
      </c>
      <c r="AJ444" s="17">
        <v>219808</v>
      </c>
      <c r="AK444" s="17">
        <v>208104</v>
      </c>
      <c r="AL444" s="17">
        <v>427912</v>
      </c>
      <c r="AM444" s="17">
        <v>658536</v>
      </c>
      <c r="AN444" s="17">
        <v>210862</v>
      </c>
      <c r="AO444" s="17">
        <v>1908200000</v>
      </c>
      <c r="AP444" s="17">
        <v>3052000000</v>
      </c>
      <c r="AQ444" s="17">
        <v>3682200000</v>
      </c>
      <c r="AR444" s="17">
        <v>6734200000</v>
      </c>
      <c r="AS444" s="17">
        <v>8642400000</v>
      </c>
      <c r="AT444" s="17">
        <v>3888800000</v>
      </c>
      <c r="AU444" s="15" t="s">
        <v>189</v>
      </c>
      <c r="AV444" s="15" t="s">
        <v>189</v>
      </c>
      <c r="BG444" s="15"/>
      <c r="BM444" s="17"/>
      <c r="BN444" s="17"/>
      <c r="BO444" s="17"/>
      <c r="BP444" s="17"/>
      <c r="BQ444" s="17"/>
      <c r="BW444" s="17"/>
    </row>
    <row r="445" spans="1:75" hidden="1" x14ac:dyDescent="0.25">
      <c r="A445" s="15" t="s">
        <v>802</v>
      </c>
      <c r="B445" s="15" t="s">
        <v>30</v>
      </c>
      <c r="C445" s="15">
        <v>2012</v>
      </c>
      <c r="D445" s="15" t="s">
        <v>803</v>
      </c>
      <c r="E445" s="15">
        <v>14100</v>
      </c>
      <c r="F445" s="15">
        <v>2987773</v>
      </c>
      <c r="G445" s="15" t="s">
        <v>109</v>
      </c>
      <c r="H445" s="15" t="s">
        <v>43</v>
      </c>
      <c r="I445" s="15" t="s">
        <v>1857</v>
      </c>
      <c r="J445" s="15" t="s">
        <v>189</v>
      </c>
      <c r="K445" s="15" t="s">
        <v>190</v>
      </c>
      <c r="L445" s="15" t="s">
        <v>48</v>
      </c>
      <c r="M445" s="15" t="s">
        <v>62</v>
      </c>
      <c r="N445" s="15" t="s">
        <v>63</v>
      </c>
      <c r="O445" s="15"/>
      <c r="P445" s="15"/>
      <c r="Q445" s="15"/>
      <c r="R445" s="15"/>
      <c r="S445" s="15" t="s">
        <v>55</v>
      </c>
      <c r="T445" s="15"/>
      <c r="U445" s="15"/>
      <c r="V445" s="15"/>
      <c r="W445" s="15"/>
      <c r="X445" s="15" t="s">
        <v>55</v>
      </c>
      <c r="Y445" s="17">
        <v>128608</v>
      </c>
      <c r="Z445" s="17">
        <v>10847</v>
      </c>
      <c r="AA445" s="17">
        <v>2142</v>
      </c>
      <c r="AB445" s="17">
        <v>12989</v>
      </c>
      <c r="AC445" s="17">
        <v>141597</v>
      </c>
      <c r="AD445" s="17">
        <v>296</v>
      </c>
      <c r="AE445" s="51">
        <f t="shared" si="54"/>
        <v>43.044769465417886</v>
      </c>
      <c r="AF445" s="51">
        <f t="shared" si="55"/>
        <v>4.3473851594481916</v>
      </c>
      <c r="AG445" s="51">
        <f t="shared" si="56"/>
        <v>47.39215462486608</v>
      </c>
      <c r="AH445" s="51">
        <f t="shared" si="57"/>
        <v>9.9070444776092434E-2</v>
      </c>
      <c r="AI445" s="17">
        <v>214979</v>
      </c>
      <c r="AJ445" s="17">
        <v>214341</v>
      </c>
      <c r="AK445" s="17">
        <v>207214</v>
      </c>
      <c r="AL445" s="17">
        <v>421555</v>
      </c>
      <c r="AM445" s="17">
        <v>636534</v>
      </c>
      <c r="AN445" s="17">
        <v>199096</v>
      </c>
      <c r="AO445" s="17">
        <v>1839900000</v>
      </c>
      <c r="AP445" s="17">
        <v>2930500000</v>
      </c>
      <c r="AQ445" s="17">
        <v>3551800000</v>
      </c>
      <c r="AR445" s="17">
        <v>6482300000</v>
      </c>
      <c r="AS445" s="17">
        <v>8322200000</v>
      </c>
      <c r="AT445" s="17">
        <v>3832800000</v>
      </c>
      <c r="AU445" s="15" t="s">
        <v>189</v>
      </c>
      <c r="AV445" s="15" t="s">
        <v>189</v>
      </c>
      <c r="BG445" s="15"/>
      <c r="BM445" s="17"/>
      <c r="BN445" s="17"/>
      <c r="BO445" s="17"/>
      <c r="BP445" s="17"/>
      <c r="BQ445" s="17"/>
      <c r="BW445" s="17"/>
    </row>
    <row r="446" spans="1:75" hidden="1" x14ac:dyDescent="0.25">
      <c r="A446" s="15" t="s">
        <v>804</v>
      </c>
      <c r="B446" s="15" t="s">
        <v>30</v>
      </c>
      <c r="C446" s="15">
        <v>2016</v>
      </c>
      <c r="D446" s="15" t="s">
        <v>805</v>
      </c>
      <c r="E446" s="15">
        <v>71590</v>
      </c>
      <c r="F446" s="15">
        <v>599449</v>
      </c>
      <c r="G446" s="15" t="s">
        <v>109</v>
      </c>
      <c r="H446" s="15" t="s">
        <v>43</v>
      </c>
      <c r="I446" s="15" t="s">
        <v>1857</v>
      </c>
      <c r="J446" s="15" t="s">
        <v>189</v>
      </c>
      <c r="K446" s="15" t="s">
        <v>190</v>
      </c>
      <c r="L446" s="15" t="s">
        <v>48</v>
      </c>
      <c r="M446" s="15" t="s">
        <v>62</v>
      </c>
      <c r="N446" s="15" t="s">
        <v>63</v>
      </c>
      <c r="O446" s="15"/>
      <c r="P446" s="15"/>
      <c r="Q446" s="15"/>
      <c r="R446" s="15"/>
      <c r="S446" s="15" t="s">
        <v>55</v>
      </c>
      <c r="T446" s="15"/>
      <c r="U446" s="15"/>
      <c r="V446" s="15"/>
      <c r="W446" s="15"/>
      <c r="X446" s="15" t="s">
        <v>55</v>
      </c>
      <c r="Y446" s="17">
        <v>28054</v>
      </c>
      <c r="Z446" s="17">
        <v>3429</v>
      </c>
      <c r="AA446" s="17">
        <v>642</v>
      </c>
      <c r="AB446" s="17">
        <v>4071</v>
      </c>
      <c r="AC446" s="17">
        <v>32125</v>
      </c>
      <c r="AD446" s="17">
        <v>153</v>
      </c>
      <c r="AE446" s="51">
        <f t="shared" si="54"/>
        <v>46.799644340052282</v>
      </c>
      <c r="AF446" s="51">
        <f t="shared" si="55"/>
        <v>6.7912366189617464</v>
      </c>
      <c r="AG446" s="51">
        <f t="shared" si="56"/>
        <v>53.590880959014029</v>
      </c>
      <c r="AH446" s="51">
        <f t="shared" si="57"/>
        <v>0.25523439024837813</v>
      </c>
      <c r="AI446" s="17">
        <v>46772</v>
      </c>
      <c r="AJ446" s="17">
        <v>67276</v>
      </c>
      <c r="AK446" s="17">
        <v>64446</v>
      </c>
      <c r="AL446" s="17">
        <v>131722</v>
      </c>
      <c r="AM446" s="17">
        <v>178494</v>
      </c>
      <c r="AN446" s="17">
        <v>86543</v>
      </c>
      <c r="AO446" s="17">
        <v>4599900000</v>
      </c>
      <c r="AP446" s="17">
        <v>4923300000</v>
      </c>
      <c r="AQ446" s="17">
        <v>5593100000</v>
      </c>
      <c r="AR446" s="17">
        <v>10516400000</v>
      </c>
      <c r="AS446" s="17">
        <v>15116300000</v>
      </c>
      <c r="AT446" s="17">
        <v>8081000000</v>
      </c>
      <c r="AU446" s="15" t="s">
        <v>191</v>
      </c>
      <c r="AV446" s="15" t="s">
        <v>189</v>
      </c>
      <c r="BG446" s="15"/>
      <c r="BM446" s="17"/>
      <c r="BN446" s="17"/>
      <c r="BO446" s="17"/>
      <c r="BP446" s="17"/>
      <c r="BQ446" s="17"/>
      <c r="BW446" s="17"/>
    </row>
    <row r="447" spans="1:75" hidden="1" x14ac:dyDescent="0.25">
      <c r="A447" s="15" t="s">
        <v>804</v>
      </c>
      <c r="B447" s="15" t="s">
        <v>30</v>
      </c>
      <c r="C447" s="15">
        <v>2015</v>
      </c>
      <c r="D447" s="15" t="s">
        <v>805</v>
      </c>
      <c r="E447" s="15">
        <v>73530</v>
      </c>
      <c r="F447" s="15">
        <v>569604</v>
      </c>
      <c r="G447" s="15" t="s">
        <v>109</v>
      </c>
      <c r="H447" s="15" t="s">
        <v>43</v>
      </c>
      <c r="I447" s="15" t="s">
        <v>1857</v>
      </c>
      <c r="J447" s="15" t="s">
        <v>189</v>
      </c>
      <c r="K447" s="15" t="s">
        <v>190</v>
      </c>
      <c r="L447" s="15" t="s">
        <v>48</v>
      </c>
      <c r="M447" s="15" t="s">
        <v>62</v>
      </c>
      <c r="N447" s="15" t="s">
        <v>63</v>
      </c>
      <c r="O447" s="15"/>
      <c r="P447" s="15"/>
      <c r="Q447" s="15"/>
      <c r="R447" s="15"/>
      <c r="S447" s="15" t="s">
        <v>55</v>
      </c>
      <c r="T447" s="15"/>
      <c r="U447" s="15"/>
      <c r="V447" s="15"/>
      <c r="W447" s="15"/>
      <c r="X447" s="15" t="s">
        <v>55</v>
      </c>
      <c r="Y447" s="17">
        <v>27841</v>
      </c>
      <c r="Z447" s="17">
        <v>3307</v>
      </c>
      <c r="AA447" s="17">
        <v>632</v>
      </c>
      <c r="AB447" s="17">
        <v>3939</v>
      </c>
      <c r="AC447" s="17">
        <v>31780</v>
      </c>
      <c r="AD447" s="17">
        <v>146</v>
      </c>
      <c r="AE447" s="51">
        <f t="shared" si="54"/>
        <v>48.877816869263562</v>
      </c>
      <c r="AF447" s="51">
        <f t="shared" si="55"/>
        <v>6.9153306507679018</v>
      </c>
      <c r="AG447" s="51">
        <f t="shared" si="56"/>
        <v>55.793147520031461</v>
      </c>
      <c r="AH447" s="51">
        <f t="shared" si="57"/>
        <v>0.25631842473016342</v>
      </c>
      <c r="AI447" s="17">
        <v>46686</v>
      </c>
      <c r="AJ447" s="17">
        <v>65020</v>
      </c>
      <c r="AK447" s="17">
        <v>63066</v>
      </c>
      <c r="AL447" s="17">
        <v>128086</v>
      </c>
      <c r="AM447" s="17">
        <v>174772</v>
      </c>
      <c r="AN447" s="17">
        <v>81097</v>
      </c>
      <c r="AO447" s="17">
        <v>4699500000</v>
      </c>
      <c r="AP447" s="17">
        <v>4348300000</v>
      </c>
      <c r="AQ447" s="17">
        <v>5754500000</v>
      </c>
      <c r="AR447" s="17">
        <v>10102800000</v>
      </c>
      <c r="AS447" s="17">
        <v>14802300000</v>
      </c>
      <c r="AT447" s="17">
        <v>7959100000</v>
      </c>
      <c r="AU447" s="15" t="s">
        <v>191</v>
      </c>
      <c r="AV447" s="15" t="s">
        <v>189</v>
      </c>
      <c r="BG447" s="15"/>
      <c r="BM447" s="17"/>
      <c r="BN447" s="17"/>
      <c r="BO447" s="17"/>
      <c r="BP447" s="17"/>
      <c r="BQ447" s="17"/>
      <c r="BW447" s="17"/>
    </row>
    <row r="448" spans="1:75" hidden="1" x14ac:dyDescent="0.25">
      <c r="A448" s="15" t="s">
        <v>804</v>
      </c>
      <c r="B448" s="15" t="s">
        <v>30</v>
      </c>
      <c r="C448" s="15">
        <v>2014</v>
      </c>
      <c r="D448" s="15" t="s">
        <v>805</v>
      </c>
      <c r="E448" s="15">
        <v>75280</v>
      </c>
      <c r="F448" s="15">
        <v>556319</v>
      </c>
      <c r="G448" s="15" t="s">
        <v>109</v>
      </c>
      <c r="H448" s="15" t="s">
        <v>43</v>
      </c>
      <c r="I448" s="15" t="s">
        <v>1857</v>
      </c>
      <c r="J448" s="15" t="s">
        <v>189</v>
      </c>
      <c r="K448" s="15" t="s">
        <v>190</v>
      </c>
      <c r="L448" s="15" t="s">
        <v>48</v>
      </c>
      <c r="M448" s="15" t="s">
        <v>62</v>
      </c>
      <c r="N448" s="15" t="s">
        <v>63</v>
      </c>
      <c r="O448" s="15"/>
      <c r="P448" s="15"/>
      <c r="Q448" s="15"/>
      <c r="R448" s="15"/>
      <c r="S448" s="15" t="s">
        <v>55</v>
      </c>
      <c r="T448" s="15"/>
      <c r="U448" s="15"/>
      <c r="V448" s="15"/>
      <c r="W448" s="15"/>
      <c r="X448" s="15" t="s">
        <v>55</v>
      </c>
      <c r="Y448" s="17">
        <v>27406</v>
      </c>
      <c r="Z448" s="17">
        <v>3230</v>
      </c>
      <c r="AA448" s="17">
        <v>607</v>
      </c>
      <c r="AB448" s="17">
        <v>3837</v>
      </c>
      <c r="AC448" s="17">
        <v>31243</v>
      </c>
      <c r="AD448" s="17">
        <v>142</v>
      </c>
      <c r="AE448" s="51">
        <f t="shared" si="54"/>
        <v>49.263102644346141</v>
      </c>
      <c r="AF448" s="51">
        <f t="shared" si="55"/>
        <v>6.8971219749819799</v>
      </c>
      <c r="AG448" s="51">
        <f t="shared" si="56"/>
        <v>56.160224619328119</v>
      </c>
      <c r="AH448" s="51">
        <f t="shared" si="57"/>
        <v>0.25524923649920278</v>
      </c>
      <c r="AI448" s="17">
        <v>45610</v>
      </c>
      <c r="AJ448" s="17">
        <v>64286</v>
      </c>
      <c r="AK448" s="17">
        <v>60820</v>
      </c>
      <c r="AL448" s="17">
        <v>125106</v>
      </c>
      <c r="AM448" s="17">
        <v>170716</v>
      </c>
      <c r="AN448" s="17">
        <v>77592</v>
      </c>
      <c r="AO448" s="17">
        <v>4779800000</v>
      </c>
      <c r="AP448" s="17">
        <v>4422600000</v>
      </c>
      <c r="AQ448" s="17">
        <v>5671200000</v>
      </c>
      <c r="AR448" s="17">
        <v>10093800000</v>
      </c>
      <c r="AS448" s="17">
        <v>14873600000</v>
      </c>
      <c r="AT448" s="17">
        <v>6766700000</v>
      </c>
      <c r="AU448" s="15" t="s">
        <v>191</v>
      </c>
      <c r="AV448" s="15" t="s">
        <v>189</v>
      </c>
      <c r="BG448" s="15"/>
      <c r="BM448" s="17"/>
      <c r="BN448" s="17"/>
      <c r="BO448" s="17"/>
      <c r="BP448" s="17"/>
      <c r="BQ448" s="17"/>
      <c r="BW448" s="17"/>
    </row>
    <row r="449" spans="1:75" hidden="1" x14ac:dyDescent="0.25">
      <c r="A449" s="15" t="s">
        <v>804</v>
      </c>
      <c r="B449" s="15" t="s">
        <v>30</v>
      </c>
      <c r="C449" s="15">
        <v>2013</v>
      </c>
      <c r="D449" s="15" t="s">
        <v>805</v>
      </c>
      <c r="E449" s="15">
        <v>75500</v>
      </c>
      <c r="F449" s="15">
        <v>543360</v>
      </c>
      <c r="G449" s="15" t="s">
        <v>109</v>
      </c>
      <c r="H449" s="15" t="s">
        <v>43</v>
      </c>
      <c r="I449" s="15" t="s">
        <v>1857</v>
      </c>
      <c r="J449" s="15" t="s">
        <v>189</v>
      </c>
      <c r="K449" s="15" t="s">
        <v>190</v>
      </c>
      <c r="L449" s="15" t="s">
        <v>48</v>
      </c>
      <c r="M449" s="15" t="s">
        <v>62</v>
      </c>
      <c r="N449" s="15" t="s">
        <v>63</v>
      </c>
      <c r="O449" s="15"/>
      <c r="P449" s="15"/>
      <c r="Q449" s="15"/>
      <c r="R449" s="15"/>
      <c r="S449" s="15" t="s">
        <v>55</v>
      </c>
      <c r="T449" s="15"/>
      <c r="U449" s="15"/>
      <c r="V449" s="15"/>
      <c r="W449" s="15"/>
      <c r="X449" s="15" t="s">
        <v>55</v>
      </c>
      <c r="Y449" s="17">
        <v>26870</v>
      </c>
      <c r="Z449" s="17">
        <v>3182</v>
      </c>
      <c r="AA449" s="17">
        <v>612</v>
      </c>
      <c r="AB449" s="17">
        <v>3794</v>
      </c>
      <c r="AC449" s="17">
        <v>30664</v>
      </c>
      <c r="AD449" s="17">
        <v>135</v>
      </c>
      <c r="AE449" s="51">
        <f t="shared" si="54"/>
        <v>49.451560659599529</v>
      </c>
      <c r="AF449" s="51">
        <f t="shared" si="55"/>
        <v>6.9824793875147231</v>
      </c>
      <c r="AG449" s="51">
        <f t="shared" si="56"/>
        <v>56.434040047114252</v>
      </c>
      <c r="AH449" s="51">
        <f t="shared" si="57"/>
        <v>0.24845406360424027</v>
      </c>
      <c r="AI449" s="17">
        <v>44820</v>
      </c>
      <c r="AJ449" s="17">
        <v>62685</v>
      </c>
      <c r="AK449" s="17">
        <v>61259</v>
      </c>
      <c r="AL449" s="17">
        <v>123944</v>
      </c>
      <c r="AM449" s="17">
        <v>168764</v>
      </c>
      <c r="AN449" s="17">
        <v>74608</v>
      </c>
      <c r="AO449" s="17">
        <v>4179700000</v>
      </c>
      <c r="AP449" s="17">
        <v>4016100000</v>
      </c>
      <c r="AQ449" s="17">
        <v>5790300000</v>
      </c>
      <c r="AR449" s="17">
        <v>9806400000</v>
      </c>
      <c r="AS449" s="17">
        <v>13986100000</v>
      </c>
      <c r="AT449" s="17">
        <v>5651300000</v>
      </c>
      <c r="AU449" s="15" t="s">
        <v>191</v>
      </c>
      <c r="AV449" s="15" t="s">
        <v>189</v>
      </c>
      <c r="BG449" s="15"/>
      <c r="BM449" s="17"/>
      <c r="BN449" s="17"/>
      <c r="BO449" s="17"/>
      <c r="BP449" s="17"/>
      <c r="BQ449" s="17"/>
      <c r="BW449" s="17"/>
    </row>
    <row r="450" spans="1:75" hidden="1" x14ac:dyDescent="0.25">
      <c r="A450" s="15" t="s">
        <v>804</v>
      </c>
      <c r="B450" s="15" t="s">
        <v>30</v>
      </c>
      <c r="C450" s="15">
        <v>2012</v>
      </c>
      <c r="D450" s="15" t="s">
        <v>805</v>
      </c>
      <c r="E450" s="15">
        <v>75450</v>
      </c>
      <c r="F450" s="15">
        <v>530946</v>
      </c>
      <c r="G450" s="15" t="s">
        <v>109</v>
      </c>
      <c r="H450" s="15" t="s">
        <v>43</v>
      </c>
      <c r="I450" s="15" t="s">
        <v>1857</v>
      </c>
      <c r="J450" s="15" t="s">
        <v>189</v>
      </c>
      <c r="K450" s="15" t="s">
        <v>190</v>
      </c>
      <c r="L450" s="15" t="s">
        <v>48</v>
      </c>
      <c r="M450" s="15" t="s">
        <v>62</v>
      </c>
      <c r="N450" s="15" t="s">
        <v>63</v>
      </c>
      <c r="O450" s="15"/>
      <c r="P450" s="15"/>
      <c r="Q450" s="15"/>
      <c r="R450" s="15"/>
      <c r="S450" s="15" t="s">
        <v>55</v>
      </c>
      <c r="T450" s="15"/>
      <c r="U450" s="15"/>
      <c r="V450" s="15"/>
      <c r="W450" s="15"/>
      <c r="X450" s="15" t="s">
        <v>55</v>
      </c>
      <c r="Y450" s="17">
        <v>25415</v>
      </c>
      <c r="Z450" s="17">
        <v>3110</v>
      </c>
      <c r="AA450" s="17">
        <v>601</v>
      </c>
      <c r="AB450" s="17">
        <v>3711</v>
      </c>
      <c r="AC450" s="17">
        <v>29126</v>
      </c>
      <c r="AD450" s="17">
        <v>139</v>
      </c>
      <c r="AE450" s="51">
        <f t="shared" si="54"/>
        <v>47.867391410802604</v>
      </c>
      <c r="AF450" s="51">
        <f t="shared" si="55"/>
        <v>6.9894113525669281</v>
      </c>
      <c r="AG450" s="51">
        <f t="shared" si="56"/>
        <v>54.856802763369529</v>
      </c>
      <c r="AH450" s="51">
        <f t="shared" si="57"/>
        <v>0.2617968682314209</v>
      </c>
      <c r="AI450" s="17">
        <v>43662</v>
      </c>
      <c r="AJ450" s="17">
        <v>62107</v>
      </c>
      <c r="AK450" s="17">
        <v>59992</v>
      </c>
      <c r="AL450" s="17">
        <v>122099</v>
      </c>
      <c r="AM450" s="17">
        <v>165761</v>
      </c>
      <c r="AN450" s="17">
        <v>76772</v>
      </c>
      <c r="AO450" s="17">
        <v>4334700000</v>
      </c>
      <c r="AP450" s="17">
        <v>3807899999.9999995</v>
      </c>
      <c r="AQ450" s="17">
        <v>5469100000</v>
      </c>
      <c r="AR450" s="17">
        <v>9277000000</v>
      </c>
      <c r="AS450" s="17">
        <v>13611700000</v>
      </c>
      <c r="AT450" s="17">
        <v>5637800000</v>
      </c>
      <c r="AU450" s="15" t="s">
        <v>191</v>
      </c>
      <c r="AV450" s="15" t="s">
        <v>189</v>
      </c>
      <c r="BG450" s="15"/>
      <c r="BM450" s="17"/>
      <c r="BN450" s="17"/>
      <c r="BO450" s="17"/>
      <c r="BP450" s="17"/>
      <c r="BQ450" s="17"/>
      <c r="BW450" s="17"/>
    </row>
    <row r="451" spans="1:75" hidden="1" x14ac:dyDescent="0.25">
      <c r="A451" s="15" t="s">
        <v>804</v>
      </c>
      <c r="B451" s="15" t="s">
        <v>52</v>
      </c>
      <c r="C451" s="15">
        <v>2016</v>
      </c>
      <c r="D451" s="15" t="s">
        <v>805</v>
      </c>
      <c r="E451" s="15">
        <v>71590</v>
      </c>
      <c r="F451" s="15">
        <v>599449</v>
      </c>
      <c r="G451" s="15" t="s">
        <v>109</v>
      </c>
      <c r="H451" s="15" t="s">
        <v>43</v>
      </c>
      <c r="I451" s="15" t="s">
        <v>1722</v>
      </c>
      <c r="J451" s="15" t="s">
        <v>806</v>
      </c>
      <c r="K451" s="15" t="s">
        <v>190</v>
      </c>
      <c r="L451" s="15" t="s">
        <v>48</v>
      </c>
      <c r="M451" s="15" t="s">
        <v>62</v>
      </c>
      <c r="N451" s="15" t="s">
        <v>63</v>
      </c>
      <c r="O451" s="15"/>
      <c r="P451" s="15"/>
      <c r="Q451" s="15"/>
      <c r="R451" s="15"/>
      <c r="S451" s="15" t="s">
        <v>55</v>
      </c>
      <c r="T451" s="15"/>
      <c r="U451" s="15"/>
      <c r="V451" s="15"/>
      <c r="W451" s="15"/>
      <c r="X451" s="15" t="s">
        <v>55</v>
      </c>
      <c r="AE451" s="51" t="str">
        <f t="shared" si="54"/>
        <v/>
      </c>
      <c r="AF451" s="51" t="str">
        <f t="shared" si="55"/>
        <v/>
      </c>
      <c r="AG451" s="51" t="str">
        <f t="shared" si="56"/>
        <v/>
      </c>
      <c r="AH451" s="51" t="str">
        <f t="shared" si="57"/>
        <v/>
      </c>
      <c r="BE451" s="16">
        <v>9395000000</v>
      </c>
      <c r="BF451" s="42">
        <v>0.10680000000000001</v>
      </c>
      <c r="BM451" s="17"/>
      <c r="BN451" s="17"/>
      <c r="BO451" s="17"/>
      <c r="BP451" s="17"/>
      <c r="BQ451" s="17"/>
      <c r="BW451" s="17"/>
    </row>
    <row r="452" spans="1:75" hidden="1" x14ac:dyDescent="0.25">
      <c r="A452" s="15" t="s">
        <v>804</v>
      </c>
      <c r="B452" s="15" t="s">
        <v>52</v>
      </c>
      <c r="C452" s="15">
        <v>2015</v>
      </c>
      <c r="D452" s="15" t="s">
        <v>805</v>
      </c>
      <c r="E452" s="15">
        <v>73530</v>
      </c>
      <c r="F452" s="15">
        <v>569604</v>
      </c>
      <c r="G452" s="15" t="s">
        <v>109</v>
      </c>
      <c r="H452" s="15" t="s">
        <v>43</v>
      </c>
      <c r="I452" s="15" t="s">
        <v>1722</v>
      </c>
      <c r="J452" s="15" t="s">
        <v>806</v>
      </c>
      <c r="K452" s="15" t="s">
        <v>190</v>
      </c>
      <c r="L452" s="15" t="s">
        <v>48</v>
      </c>
      <c r="M452" s="15" t="s">
        <v>62</v>
      </c>
      <c r="N452" s="15" t="s">
        <v>63</v>
      </c>
      <c r="O452" s="15"/>
      <c r="P452" s="15"/>
      <c r="Q452" s="15"/>
      <c r="R452" s="15"/>
      <c r="S452" s="15" t="s">
        <v>55</v>
      </c>
      <c r="T452" s="15"/>
      <c r="U452" s="15"/>
      <c r="V452" s="15"/>
      <c r="W452" s="15"/>
      <c r="X452" s="15" t="s">
        <v>55</v>
      </c>
      <c r="AE452" s="51" t="str">
        <f t="shared" si="54"/>
        <v/>
      </c>
      <c r="AF452" s="51" t="str">
        <f t="shared" si="55"/>
        <v/>
      </c>
      <c r="AG452" s="51" t="str">
        <f t="shared" si="56"/>
        <v/>
      </c>
      <c r="AH452" s="51" t="str">
        <f t="shared" si="57"/>
        <v/>
      </c>
      <c r="BE452" s="16">
        <v>10142000000</v>
      </c>
      <c r="BF452" s="42">
        <v>0.1221</v>
      </c>
      <c r="BM452" s="17"/>
      <c r="BN452" s="17"/>
      <c r="BO452" s="17"/>
      <c r="BP452" s="17"/>
      <c r="BQ452" s="17"/>
      <c r="BW452" s="17"/>
    </row>
    <row r="453" spans="1:75" hidden="1" x14ac:dyDescent="0.25">
      <c r="A453" s="15" t="s">
        <v>804</v>
      </c>
      <c r="B453" s="15" t="s">
        <v>52</v>
      </c>
      <c r="C453" s="15">
        <v>2014</v>
      </c>
      <c r="D453" s="15" t="s">
        <v>805</v>
      </c>
      <c r="E453" s="15">
        <v>75280</v>
      </c>
      <c r="F453" s="15">
        <v>556319</v>
      </c>
      <c r="G453" s="15" t="s">
        <v>109</v>
      </c>
      <c r="H453" s="15" t="s">
        <v>43</v>
      </c>
      <c r="I453" s="15" t="s">
        <v>1722</v>
      </c>
      <c r="J453" s="15" t="s">
        <v>806</v>
      </c>
      <c r="K453" s="15" t="s">
        <v>190</v>
      </c>
      <c r="L453" s="15" t="s">
        <v>48</v>
      </c>
      <c r="M453" s="15" t="s">
        <v>62</v>
      </c>
      <c r="N453" s="15" t="s">
        <v>63</v>
      </c>
      <c r="O453" s="15"/>
      <c r="P453" s="15"/>
      <c r="Q453" s="15"/>
      <c r="R453" s="15"/>
      <c r="S453" s="15" t="s">
        <v>55</v>
      </c>
      <c r="T453" s="15"/>
      <c r="U453" s="15"/>
      <c r="V453" s="15"/>
      <c r="W453" s="15"/>
      <c r="X453" s="15" t="s">
        <v>55</v>
      </c>
      <c r="Y453" s="17">
        <v>27406</v>
      </c>
      <c r="Z453" s="17">
        <v>3230</v>
      </c>
      <c r="AA453" s="17">
        <v>607</v>
      </c>
      <c r="AB453" s="17">
        <v>3837</v>
      </c>
      <c r="AC453" s="17">
        <v>31243</v>
      </c>
      <c r="AD453" s="17">
        <v>142</v>
      </c>
      <c r="AE453" s="51">
        <f t="shared" si="54"/>
        <v>49.263102644346141</v>
      </c>
      <c r="AF453" s="51">
        <f t="shared" si="55"/>
        <v>6.8971219749819799</v>
      </c>
      <c r="AG453" s="51">
        <f t="shared" si="56"/>
        <v>56.160224619328119</v>
      </c>
      <c r="AH453" s="51">
        <f t="shared" si="57"/>
        <v>0.25524923649920278</v>
      </c>
      <c r="AI453" s="17">
        <v>45610</v>
      </c>
      <c r="AJ453" s="17">
        <v>64286</v>
      </c>
      <c r="AK453" s="17">
        <v>60820</v>
      </c>
      <c r="AL453" s="17">
        <v>125106</v>
      </c>
      <c r="AM453" s="17">
        <v>170716</v>
      </c>
      <c r="AN453" s="17">
        <v>77592</v>
      </c>
      <c r="AO453" s="17">
        <v>4779800000</v>
      </c>
      <c r="AP453" s="17">
        <v>4422600000</v>
      </c>
      <c r="AQ453" s="17">
        <v>5671200000</v>
      </c>
      <c r="AR453" s="17">
        <v>10093800000</v>
      </c>
      <c r="AS453" s="17">
        <v>14873600000</v>
      </c>
      <c r="AT453" s="17">
        <v>6766700000</v>
      </c>
      <c r="BE453" s="16">
        <v>10765000000</v>
      </c>
      <c r="BF453" s="42">
        <v>0.1166</v>
      </c>
      <c r="BM453" s="17"/>
      <c r="BN453" s="17"/>
      <c r="BO453" s="17"/>
      <c r="BP453" s="17"/>
      <c r="BQ453" s="17"/>
      <c r="BW453" s="17"/>
    </row>
    <row r="454" spans="1:75" hidden="1" x14ac:dyDescent="0.25">
      <c r="A454" s="15" t="s">
        <v>804</v>
      </c>
      <c r="B454" s="15" t="s">
        <v>52</v>
      </c>
      <c r="C454" s="15">
        <v>2013</v>
      </c>
      <c r="D454" s="15" t="s">
        <v>805</v>
      </c>
      <c r="E454" s="15">
        <v>75500</v>
      </c>
      <c r="F454" s="15">
        <v>543360</v>
      </c>
      <c r="G454" s="15" t="s">
        <v>109</v>
      </c>
      <c r="H454" s="15" t="s">
        <v>43</v>
      </c>
      <c r="I454" s="15" t="s">
        <v>1722</v>
      </c>
      <c r="J454" s="15" t="s">
        <v>806</v>
      </c>
      <c r="K454" s="15" t="s">
        <v>190</v>
      </c>
      <c r="L454" s="15" t="s">
        <v>48</v>
      </c>
      <c r="M454" s="15" t="s">
        <v>62</v>
      </c>
      <c r="N454" s="15" t="s">
        <v>63</v>
      </c>
      <c r="O454" s="15"/>
      <c r="P454" s="15"/>
      <c r="Q454" s="15"/>
      <c r="R454" s="15"/>
      <c r="S454" s="15" t="s">
        <v>55</v>
      </c>
      <c r="T454" s="15"/>
      <c r="U454" s="15"/>
      <c r="V454" s="15"/>
      <c r="W454" s="15"/>
      <c r="X454" s="15" t="s">
        <v>55</v>
      </c>
      <c r="AE454" s="51" t="str">
        <f t="shared" si="54"/>
        <v/>
      </c>
      <c r="AF454" s="51" t="str">
        <f t="shared" si="55"/>
        <v/>
      </c>
      <c r="AG454" s="51" t="str">
        <f t="shared" si="56"/>
        <v/>
      </c>
      <c r="AH454" s="51" t="str">
        <f t="shared" si="57"/>
        <v/>
      </c>
      <c r="BE454" s="16">
        <v>13713000000</v>
      </c>
      <c r="BF454" s="42">
        <v>0.13650000000000001</v>
      </c>
      <c r="BM454" s="17"/>
      <c r="BN454" s="17"/>
      <c r="BO454" s="17"/>
      <c r="BP454" s="17"/>
      <c r="BQ454" s="17"/>
      <c r="BW454" s="17"/>
    </row>
    <row r="455" spans="1:75" hidden="1" x14ac:dyDescent="0.25">
      <c r="A455" s="15" t="s">
        <v>804</v>
      </c>
      <c r="B455" s="15" t="s">
        <v>52</v>
      </c>
      <c r="C455" s="15">
        <v>2012</v>
      </c>
      <c r="D455" s="15" t="s">
        <v>805</v>
      </c>
      <c r="E455" s="15">
        <v>75450</v>
      </c>
      <c r="F455" s="15">
        <v>530946</v>
      </c>
      <c r="G455" s="15" t="s">
        <v>109</v>
      </c>
      <c r="H455" s="15" t="s">
        <v>43</v>
      </c>
      <c r="I455" s="15" t="s">
        <v>1722</v>
      </c>
      <c r="J455" s="15" t="s">
        <v>806</v>
      </c>
      <c r="K455" s="15" t="s">
        <v>190</v>
      </c>
      <c r="L455" s="15" t="s">
        <v>48</v>
      </c>
      <c r="M455" s="15" t="s">
        <v>62</v>
      </c>
      <c r="N455" s="15" t="s">
        <v>63</v>
      </c>
      <c r="O455" s="15"/>
      <c r="P455" s="15"/>
      <c r="Q455" s="15"/>
      <c r="R455" s="15"/>
      <c r="S455" s="15" t="s">
        <v>55</v>
      </c>
      <c r="T455" s="15"/>
      <c r="U455" s="15"/>
      <c r="V455" s="15"/>
      <c r="W455" s="15"/>
      <c r="X455" s="15" t="s">
        <v>55</v>
      </c>
      <c r="AE455" s="51" t="str">
        <f t="shared" ref="AE455:AE518" si="58">IF(ISERROR((Y455/$F455)*1000),"",IF((Y455/$F455)*1000=0,"",(Y455/$F455)*1000))</f>
        <v/>
      </c>
      <c r="AF455" s="51" t="str">
        <f t="shared" ref="AF455:AF518" si="59">IF(ISERROR((AB455/$F455)*1000),"",IF((AB455/$F455)*1000=0,"",(AB455/$F455)*1000))</f>
        <v/>
      </c>
      <c r="AG455" s="51" t="str">
        <f t="shared" ref="AG455:AG518" si="60">IF(ISERROR((AC455/$F455)*1000),"",IF((AC455/$F455)*1000=0,"",(AC455/$F455)*1000))</f>
        <v/>
      </c>
      <c r="AH455" s="51" t="str">
        <f t="shared" ref="AH455:AH518" si="61">IF(ISERROR((AD455/$F455)*1000),"",IF((AD455/$F455)*1000=0,"",(AD455/$F455)*1000))</f>
        <v/>
      </c>
      <c r="BE455" s="16">
        <v>15593000000</v>
      </c>
      <c r="BF455" s="42">
        <v>0.14729999999999999</v>
      </c>
      <c r="BM455" s="17"/>
      <c r="BN455" s="17"/>
      <c r="BO455" s="17"/>
      <c r="BP455" s="17"/>
      <c r="BQ455" s="17"/>
      <c r="BW455" s="17"/>
    </row>
    <row r="456" spans="1:75" hidden="1" x14ac:dyDescent="0.25">
      <c r="A456" s="15" t="s">
        <v>808</v>
      </c>
      <c r="B456" s="15" t="s">
        <v>30</v>
      </c>
      <c r="C456" s="15">
        <v>2005</v>
      </c>
      <c r="D456" s="15" t="s">
        <v>809</v>
      </c>
      <c r="E456" s="15">
        <v>290</v>
      </c>
      <c r="F456" s="15">
        <v>18336724</v>
      </c>
      <c r="G456" s="15" t="s">
        <v>32</v>
      </c>
      <c r="H456" s="15" t="s">
        <v>89</v>
      </c>
      <c r="I456" s="15" t="s">
        <v>810</v>
      </c>
      <c r="J456" s="15" t="s">
        <v>811</v>
      </c>
      <c r="K456" s="15" t="s">
        <v>61</v>
      </c>
      <c r="L456" s="15"/>
      <c r="M456" s="15" t="s">
        <v>494</v>
      </c>
      <c r="N456" s="15" t="s">
        <v>1726</v>
      </c>
      <c r="O456" s="15"/>
      <c r="P456" s="15"/>
      <c r="Q456" s="15"/>
      <c r="R456" s="15"/>
      <c r="S456" s="15"/>
      <c r="T456" s="15"/>
      <c r="U456" s="15"/>
      <c r="V456" s="15"/>
      <c r="W456" s="15"/>
      <c r="X456" s="15"/>
      <c r="Y456" s="17">
        <v>203581</v>
      </c>
      <c r="AB456" s="17">
        <v>7337</v>
      </c>
      <c r="AC456" s="17">
        <v>210918</v>
      </c>
      <c r="AD456" s="17">
        <v>397</v>
      </c>
      <c r="AE456" s="51">
        <f t="shared" si="58"/>
        <v>11.102364849904488</v>
      </c>
      <c r="AF456" s="51">
        <f t="shared" si="59"/>
        <v>0.4001259985153291</v>
      </c>
      <c r="AG456" s="51">
        <f t="shared" si="60"/>
        <v>11.502490848419816</v>
      </c>
      <c r="AH456" s="51">
        <f t="shared" si="61"/>
        <v>2.165054128534628E-2</v>
      </c>
      <c r="AI456" s="17">
        <v>371398</v>
      </c>
      <c r="AL456" s="17">
        <v>114774</v>
      </c>
      <c r="AM456" s="17">
        <f>AL456+AI456</f>
        <v>486172</v>
      </c>
      <c r="AN456" s="17">
        <v>143338</v>
      </c>
      <c r="BG456" s="15"/>
      <c r="BM456" s="17"/>
      <c r="BN456" s="17"/>
      <c r="BO456" s="17"/>
      <c r="BP456" s="17"/>
      <c r="BQ456" s="17"/>
      <c r="BW456" s="17"/>
    </row>
    <row r="457" spans="1:75" hidden="1" x14ac:dyDescent="0.25">
      <c r="A457" s="15" t="s">
        <v>812</v>
      </c>
      <c r="B457" s="15" t="s">
        <v>30</v>
      </c>
      <c r="C457" s="15">
        <v>2012</v>
      </c>
      <c r="D457" s="15" t="s">
        <v>813</v>
      </c>
      <c r="E457" s="15">
        <v>440</v>
      </c>
      <c r="F457" s="15">
        <v>16097305</v>
      </c>
      <c r="G457" s="15" t="s">
        <v>32</v>
      </c>
      <c r="H457" s="15" t="s">
        <v>89</v>
      </c>
      <c r="I457" s="15" t="s">
        <v>1696</v>
      </c>
      <c r="J457" s="15" t="s">
        <v>814</v>
      </c>
      <c r="K457" s="15" t="s">
        <v>46</v>
      </c>
      <c r="L457" s="15" t="s">
        <v>716</v>
      </c>
      <c r="M457" s="15" t="s">
        <v>36</v>
      </c>
      <c r="N457" s="15" t="s">
        <v>1697</v>
      </c>
      <c r="O457" s="15"/>
      <c r="P457" s="15"/>
      <c r="Q457" s="15"/>
      <c r="R457" s="15"/>
      <c r="S457" s="15"/>
      <c r="T457" s="15" t="s">
        <v>1698</v>
      </c>
      <c r="U457" s="15" t="s">
        <v>1699</v>
      </c>
      <c r="V457" s="15" t="s">
        <v>1700</v>
      </c>
      <c r="W457" s="15" t="s">
        <v>1701</v>
      </c>
      <c r="X457" s="15" t="s">
        <v>815</v>
      </c>
      <c r="AC457" s="17">
        <v>987480</v>
      </c>
      <c r="AE457" s="51" t="str">
        <f t="shared" si="58"/>
        <v/>
      </c>
      <c r="AF457" s="51" t="str">
        <f t="shared" si="59"/>
        <v/>
      </c>
      <c r="AG457" s="51">
        <f t="shared" si="60"/>
        <v>61.344430014837883</v>
      </c>
      <c r="AH457" s="51" t="str">
        <f t="shared" si="61"/>
        <v/>
      </c>
      <c r="AI457" s="17">
        <f>0.81*AM457</f>
        <v>850759.20000000007</v>
      </c>
      <c r="AJ457" s="17">
        <f>0.17*AM457</f>
        <v>178554.40000000002</v>
      </c>
      <c r="AK457" s="17">
        <f>0.02*AM457</f>
        <v>21006.400000000001</v>
      </c>
      <c r="AL457" s="17">
        <f>AK457+AJ457</f>
        <v>199560.80000000002</v>
      </c>
      <c r="AM457" s="17">
        <v>1050320</v>
      </c>
      <c r="AV457" s="15" t="s">
        <v>1703</v>
      </c>
      <c r="BG457" s="15"/>
      <c r="BM457" s="17"/>
      <c r="BN457" s="17"/>
      <c r="BO457" s="17">
        <f>0.46*AC457</f>
        <v>454240.80000000005</v>
      </c>
      <c r="BP457" s="17"/>
      <c r="BQ457" s="17"/>
      <c r="BS457" s="15" t="s">
        <v>1704</v>
      </c>
      <c r="BW457" s="17" t="s">
        <v>1702</v>
      </c>
    </row>
    <row r="458" spans="1:75" hidden="1" x14ac:dyDescent="0.25">
      <c r="A458" s="15" t="s">
        <v>816</v>
      </c>
      <c r="B458" s="15" t="s">
        <v>30</v>
      </c>
      <c r="C458" s="15">
        <v>2015</v>
      </c>
      <c r="D458" s="15" t="s">
        <v>817</v>
      </c>
      <c r="E458" s="15">
        <v>10450</v>
      </c>
      <c r="F458" s="15">
        <v>30723155</v>
      </c>
      <c r="G458" s="15" t="s">
        <v>42</v>
      </c>
      <c r="H458" s="15" t="s">
        <v>77</v>
      </c>
      <c r="I458" s="15" t="s">
        <v>820</v>
      </c>
      <c r="J458" s="15" t="s">
        <v>818</v>
      </c>
      <c r="K458" s="15" t="s">
        <v>241</v>
      </c>
      <c r="L458" s="15" t="s">
        <v>1784</v>
      </c>
      <c r="M458" s="15" t="s">
        <v>1785</v>
      </c>
      <c r="N458" s="15" t="s">
        <v>1786</v>
      </c>
      <c r="O458" s="15"/>
      <c r="P458" s="15"/>
      <c r="Q458" s="15"/>
      <c r="R458" s="15"/>
      <c r="S458" s="15" t="s">
        <v>819</v>
      </c>
      <c r="T458" s="15" t="s">
        <v>1101</v>
      </c>
      <c r="U458" s="15" t="s">
        <v>1787</v>
      </c>
      <c r="V458" s="15" t="s">
        <v>1788</v>
      </c>
      <c r="W458" s="15" t="s">
        <v>1789</v>
      </c>
      <c r="X458" s="15" t="s">
        <v>819</v>
      </c>
      <c r="Y458" s="17">
        <v>693670</v>
      </c>
      <c r="Z458" s="17">
        <v>192783</v>
      </c>
      <c r="AA458" s="17">
        <v>20612</v>
      </c>
      <c r="AB458" s="17">
        <v>213395</v>
      </c>
      <c r="AC458" s="17">
        <v>907065</v>
      </c>
      <c r="AD458" s="17">
        <v>13559</v>
      </c>
      <c r="AE458" s="51">
        <f t="shared" si="58"/>
        <v>22.578084835362773</v>
      </c>
      <c r="AF458" s="51">
        <f t="shared" si="59"/>
        <v>6.9457384829129687</v>
      </c>
      <c r="AG458" s="51">
        <f t="shared" si="60"/>
        <v>29.523823318275745</v>
      </c>
      <c r="AH458" s="51">
        <f t="shared" si="61"/>
        <v>0.44132837268828673</v>
      </c>
      <c r="AR458" s="17">
        <v>385800000000</v>
      </c>
      <c r="BG458" s="15"/>
      <c r="BL458" s="15" t="s">
        <v>1400</v>
      </c>
      <c r="BM458" s="17"/>
      <c r="BN458" s="17"/>
      <c r="BO458" s="17">
        <v>186930</v>
      </c>
      <c r="BP458" s="17"/>
      <c r="BQ458" s="17"/>
      <c r="BW458" s="17" t="s">
        <v>1790</v>
      </c>
    </row>
    <row r="459" spans="1:75" hidden="1" x14ac:dyDescent="0.25">
      <c r="A459" s="15" t="s">
        <v>816</v>
      </c>
      <c r="B459" s="15" t="s">
        <v>30</v>
      </c>
      <c r="C459" s="15">
        <v>2014</v>
      </c>
      <c r="D459" s="15" t="s">
        <v>817</v>
      </c>
      <c r="E459" s="15">
        <v>11010</v>
      </c>
      <c r="F459" s="15">
        <v>30228017</v>
      </c>
      <c r="G459" s="15" t="s">
        <v>42</v>
      </c>
      <c r="H459" s="15" t="s">
        <v>77</v>
      </c>
      <c r="I459" s="15" t="s">
        <v>821</v>
      </c>
      <c r="J459" s="15" t="s">
        <v>822</v>
      </c>
      <c r="K459" s="15" t="s">
        <v>241</v>
      </c>
      <c r="L459" s="15" t="s">
        <v>1784</v>
      </c>
      <c r="M459" s="15" t="s">
        <v>1785</v>
      </c>
      <c r="N459" s="15" t="s">
        <v>1786</v>
      </c>
      <c r="O459" s="15"/>
      <c r="P459" s="15"/>
      <c r="Q459" s="15"/>
      <c r="R459" s="15"/>
      <c r="S459" s="15" t="s">
        <v>819</v>
      </c>
      <c r="T459" s="15" t="s">
        <v>1101</v>
      </c>
      <c r="U459" s="15" t="s">
        <v>1787</v>
      </c>
      <c r="V459" s="15" t="s">
        <v>1788</v>
      </c>
      <c r="W459" s="15" t="s">
        <v>1789</v>
      </c>
      <c r="X459" s="15" t="s">
        <v>819</v>
      </c>
      <c r="AE459" s="51" t="str">
        <f t="shared" si="58"/>
        <v/>
      </c>
      <c r="AF459" s="51" t="str">
        <f t="shared" si="59"/>
        <v/>
      </c>
      <c r="AG459" s="51" t="str">
        <f t="shared" si="60"/>
        <v/>
      </c>
      <c r="AH459" s="51" t="str">
        <f t="shared" si="61"/>
        <v/>
      </c>
      <c r="BG459" s="15"/>
      <c r="BL459" s="15" t="s">
        <v>1400</v>
      </c>
      <c r="BM459" s="17"/>
      <c r="BN459" s="17"/>
      <c r="BO459" s="17"/>
      <c r="BP459" s="17"/>
      <c r="BQ459" s="17"/>
      <c r="BW459" s="17"/>
    </row>
    <row r="460" spans="1:75" hidden="1" x14ac:dyDescent="0.25">
      <c r="A460" s="15" t="s">
        <v>816</v>
      </c>
      <c r="B460" s="15" t="s">
        <v>30</v>
      </c>
      <c r="C460" s="15">
        <v>2013</v>
      </c>
      <c r="D460" s="15" t="s">
        <v>817</v>
      </c>
      <c r="E460" s="15">
        <v>10760</v>
      </c>
      <c r="F460" s="15">
        <v>29706724</v>
      </c>
      <c r="G460" s="15" t="s">
        <v>42</v>
      </c>
      <c r="H460" s="15" t="s">
        <v>77</v>
      </c>
      <c r="I460" s="15" t="s">
        <v>823</v>
      </c>
      <c r="J460" s="15" t="s">
        <v>824</v>
      </c>
      <c r="K460" s="15" t="s">
        <v>241</v>
      </c>
      <c r="L460" s="15" t="s">
        <v>1784</v>
      </c>
      <c r="M460" s="15" t="s">
        <v>1791</v>
      </c>
      <c r="N460" s="15" t="s">
        <v>1792</v>
      </c>
      <c r="O460" s="15"/>
      <c r="P460" s="15"/>
      <c r="Q460" s="15"/>
      <c r="R460" s="15"/>
      <c r="S460" s="15" t="s">
        <v>819</v>
      </c>
      <c r="T460" s="15" t="s">
        <v>1793</v>
      </c>
      <c r="U460" s="15" t="s">
        <v>1794</v>
      </c>
      <c r="V460" s="15" t="s">
        <v>1795</v>
      </c>
      <c r="W460" s="15" t="s">
        <v>1796</v>
      </c>
      <c r="X460" s="15" t="s">
        <v>819</v>
      </c>
      <c r="AE460" s="51" t="str">
        <f t="shared" si="58"/>
        <v/>
      </c>
      <c r="AF460" s="51" t="str">
        <f t="shared" si="59"/>
        <v/>
      </c>
      <c r="AG460" s="51" t="str">
        <f t="shared" si="60"/>
        <v/>
      </c>
      <c r="AH460" s="51" t="str">
        <f t="shared" si="61"/>
        <v/>
      </c>
      <c r="BG460" s="15"/>
      <c r="BL460" s="15" t="s">
        <v>1400</v>
      </c>
      <c r="BM460" s="17"/>
      <c r="BN460" s="17"/>
      <c r="BO460" s="17"/>
      <c r="BP460" s="17"/>
      <c r="BQ460" s="17"/>
      <c r="BW460" s="17"/>
    </row>
    <row r="461" spans="1:75" hidden="1" x14ac:dyDescent="0.25">
      <c r="A461" s="15" t="s">
        <v>816</v>
      </c>
      <c r="B461" s="15" t="s">
        <v>30</v>
      </c>
      <c r="C461" s="15">
        <v>2012</v>
      </c>
      <c r="D461" s="15" t="s">
        <v>817</v>
      </c>
      <c r="E461" s="15">
        <v>10150</v>
      </c>
      <c r="F461" s="15">
        <v>29170456</v>
      </c>
      <c r="G461" s="15" t="s">
        <v>42</v>
      </c>
      <c r="H461" s="15" t="s">
        <v>77</v>
      </c>
      <c r="I461" s="15" t="s">
        <v>825</v>
      </c>
      <c r="J461" s="15" t="s">
        <v>826</v>
      </c>
      <c r="K461" s="15" t="s">
        <v>241</v>
      </c>
      <c r="L461" s="15" t="s">
        <v>1784</v>
      </c>
      <c r="M461" s="15" t="s">
        <v>1791</v>
      </c>
      <c r="N461" s="15" t="s">
        <v>1792</v>
      </c>
      <c r="O461" s="15"/>
      <c r="P461" s="15"/>
      <c r="Q461" s="15"/>
      <c r="R461" s="15"/>
      <c r="S461" s="15" t="s">
        <v>819</v>
      </c>
      <c r="T461" s="15" t="s">
        <v>1793</v>
      </c>
      <c r="U461" s="15" t="s">
        <v>1794</v>
      </c>
      <c r="V461" s="15" t="s">
        <v>1795</v>
      </c>
      <c r="W461" s="15" t="s">
        <v>1796</v>
      </c>
      <c r="X461" s="15" t="s">
        <v>819</v>
      </c>
      <c r="AE461" s="51" t="str">
        <f t="shared" si="58"/>
        <v/>
      </c>
      <c r="AF461" s="51" t="str">
        <f t="shared" si="59"/>
        <v/>
      </c>
      <c r="AG461" s="51" t="str">
        <f t="shared" si="60"/>
        <v/>
      </c>
      <c r="AH461" s="51" t="str">
        <f t="shared" si="61"/>
        <v/>
      </c>
      <c r="BG461" s="15"/>
      <c r="BL461" s="15" t="s">
        <v>1400</v>
      </c>
      <c r="BM461" s="17"/>
      <c r="BN461" s="17"/>
      <c r="BO461" s="17"/>
      <c r="BP461" s="17"/>
      <c r="BQ461" s="17"/>
      <c r="BW461" s="17"/>
    </row>
    <row r="462" spans="1:75" hidden="1" x14ac:dyDescent="0.25">
      <c r="A462" s="15" t="s">
        <v>816</v>
      </c>
      <c r="B462" s="15" t="s">
        <v>30</v>
      </c>
      <c r="C462" s="15">
        <v>2011</v>
      </c>
      <c r="D462" s="15" t="s">
        <v>817</v>
      </c>
      <c r="E462" s="15">
        <v>9060</v>
      </c>
      <c r="F462" s="15">
        <v>28635128</v>
      </c>
      <c r="G462" s="15" t="s">
        <v>42</v>
      </c>
      <c r="H462" s="15" t="s">
        <v>77</v>
      </c>
      <c r="I462" s="15" t="s">
        <v>827</v>
      </c>
      <c r="J462" s="15" t="s">
        <v>828</v>
      </c>
      <c r="K462" s="15" t="s">
        <v>241</v>
      </c>
      <c r="L462" s="15" t="s">
        <v>1784</v>
      </c>
      <c r="M462" s="15" t="s">
        <v>1791</v>
      </c>
      <c r="N462" s="15" t="s">
        <v>1792</v>
      </c>
      <c r="O462" s="15"/>
      <c r="P462" s="15"/>
      <c r="Q462" s="15"/>
      <c r="R462" s="15"/>
      <c r="S462" s="15" t="s">
        <v>819</v>
      </c>
      <c r="T462" s="15" t="s">
        <v>1793</v>
      </c>
      <c r="U462" s="15" t="s">
        <v>1794</v>
      </c>
      <c r="V462" s="15" t="s">
        <v>1795</v>
      </c>
      <c r="W462" s="15" t="s">
        <v>1796</v>
      </c>
      <c r="X462" s="15" t="s">
        <v>819</v>
      </c>
      <c r="Y462" s="17">
        <v>496458</v>
      </c>
      <c r="Z462" s="17">
        <v>128787</v>
      </c>
      <c r="AA462" s="17">
        <v>19891</v>
      </c>
      <c r="AB462" s="17">
        <v>148678</v>
      </c>
      <c r="AC462" s="17">
        <v>645136</v>
      </c>
      <c r="AD462" s="17">
        <v>17803</v>
      </c>
      <c r="AE462" s="51">
        <f t="shared" si="58"/>
        <v>17.337376665471862</v>
      </c>
      <c r="AF462" s="51">
        <f t="shared" si="59"/>
        <v>5.1921541960629618</v>
      </c>
      <c r="AG462" s="51">
        <f t="shared" si="60"/>
        <v>22.529530861534827</v>
      </c>
      <c r="AH462" s="51">
        <f t="shared" si="61"/>
        <v>0.6217188901687466</v>
      </c>
      <c r="BG462" s="15"/>
      <c r="BL462" s="15" t="s">
        <v>1400</v>
      </c>
      <c r="BM462" s="17"/>
      <c r="BN462" s="17"/>
      <c r="BO462" s="17"/>
      <c r="BP462" s="17"/>
      <c r="BQ462" s="17"/>
      <c r="BW462" s="17"/>
    </row>
    <row r="463" spans="1:75" hidden="1" x14ac:dyDescent="0.25">
      <c r="A463" s="15" t="s">
        <v>816</v>
      </c>
      <c r="B463" s="15" t="s">
        <v>52</v>
      </c>
      <c r="C463" s="15">
        <v>2015</v>
      </c>
      <c r="D463" s="15" t="s">
        <v>817</v>
      </c>
      <c r="E463" s="15">
        <v>10450</v>
      </c>
      <c r="F463" s="15">
        <v>30723155</v>
      </c>
      <c r="G463" s="15" t="s">
        <v>42</v>
      </c>
      <c r="H463" s="15" t="s">
        <v>77</v>
      </c>
      <c r="I463" s="15" t="s">
        <v>1797</v>
      </c>
      <c r="J463" s="15" t="s">
        <v>1798</v>
      </c>
      <c r="K463" s="15" t="s">
        <v>241</v>
      </c>
      <c r="L463" s="15" t="s">
        <v>1784</v>
      </c>
      <c r="M463" s="15" t="s">
        <v>1791</v>
      </c>
      <c r="N463" s="15" t="s">
        <v>1792</v>
      </c>
      <c r="O463" s="15"/>
      <c r="P463" s="15"/>
      <c r="Q463" s="15"/>
      <c r="R463" s="15"/>
      <c r="S463" s="15" t="s">
        <v>819</v>
      </c>
      <c r="T463" s="15" t="s">
        <v>1793</v>
      </c>
      <c r="U463" s="15" t="s">
        <v>1794</v>
      </c>
      <c r="V463" s="15" t="s">
        <v>1795</v>
      </c>
      <c r="W463" s="15" t="s">
        <v>1796</v>
      </c>
      <c r="X463" s="15" t="s">
        <v>819</v>
      </c>
      <c r="AE463" s="51" t="str">
        <f t="shared" si="58"/>
        <v/>
      </c>
      <c r="AF463" s="51" t="str">
        <f t="shared" si="59"/>
        <v/>
      </c>
      <c r="AG463" s="51" t="str">
        <f t="shared" si="60"/>
        <v/>
      </c>
      <c r="AH463" s="51" t="str">
        <f t="shared" si="61"/>
        <v/>
      </c>
      <c r="AS463" s="17">
        <v>420253449000</v>
      </c>
      <c r="BE463" s="17">
        <v>263460000</v>
      </c>
      <c r="BF463" s="17"/>
      <c r="BL463" s="15" t="s">
        <v>1400</v>
      </c>
      <c r="BM463" s="17"/>
      <c r="BN463" s="17"/>
      <c r="BO463" s="17"/>
      <c r="BP463" s="17"/>
      <c r="BQ463" s="17"/>
      <c r="BW463" s="17"/>
    </row>
    <row r="464" spans="1:75" hidden="1" x14ac:dyDescent="0.25">
      <c r="A464" s="15" t="s">
        <v>829</v>
      </c>
      <c r="B464" s="15" t="s">
        <v>30</v>
      </c>
      <c r="C464" s="15">
        <v>2007</v>
      </c>
      <c r="D464" s="15" t="s">
        <v>830</v>
      </c>
      <c r="E464" s="15">
        <v>8740</v>
      </c>
      <c r="F464" s="15">
        <v>436330</v>
      </c>
      <c r="G464" s="15" t="s">
        <v>42</v>
      </c>
      <c r="H464" s="15" t="s">
        <v>33</v>
      </c>
      <c r="I464" s="15" t="s">
        <v>1735</v>
      </c>
      <c r="J464" s="15" t="s">
        <v>1724</v>
      </c>
      <c r="K464" s="15" t="s">
        <v>391</v>
      </c>
      <c r="L464" s="15" t="s">
        <v>478</v>
      </c>
      <c r="M464" s="15" t="s">
        <v>479</v>
      </c>
      <c r="N464" s="15" t="s">
        <v>37</v>
      </c>
      <c r="O464" s="15"/>
      <c r="P464" s="15"/>
      <c r="Q464" s="15"/>
      <c r="R464" s="15"/>
      <c r="S464" s="15" t="s">
        <v>1723</v>
      </c>
      <c r="T464" s="15"/>
      <c r="U464" s="15"/>
      <c r="V464" s="15"/>
      <c r="W464" s="15"/>
      <c r="X464" s="15" t="s">
        <v>1723</v>
      </c>
      <c r="Y464" s="17">
        <v>11169</v>
      </c>
      <c r="Z464" s="17">
        <v>17490</v>
      </c>
      <c r="AA464" s="17">
        <v>12325</v>
      </c>
      <c r="AB464" s="17">
        <f>+Z464+AA464</f>
        <v>29815</v>
      </c>
      <c r="AC464" s="17">
        <f>+Y464+AB464</f>
        <v>40984</v>
      </c>
      <c r="AD464" s="17">
        <v>566</v>
      </c>
      <c r="AE464" s="51">
        <f t="shared" si="58"/>
        <v>25.597598148190592</v>
      </c>
      <c r="AF464" s="51">
        <f t="shared" si="59"/>
        <v>68.331308871725525</v>
      </c>
      <c r="AG464" s="51">
        <f t="shared" si="60"/>
        <v>93.92890701991611</v>
      </c>
      <c r="AH464" s="51">
        <f t="shared" si="61"/>
        <v>1.2971833245479338</v>
      </c>
      <c r="AI464" s="17">
        <v>7455</v>
      </c>
      <c r="AJ464" s="17">
        <v>35563</v>
      </c>
      <c r="AK464" s="17">
        <v>42391</v>
      </c>
      <c r="AL464" s="17">
        <f>+AJ464+AK464</f>
        <v>77954</v>
      </c>
      <c r="AM464" s="17">
        <f>+AL464+AI464</f>
        <v>85409</v>
      </c>
      <c r="AN464" s="17">
        <v>106107</v>
      </c>
      <c r="AU464" s="15" t="s">
        <v>1724</v>
      </c>
      <c r="AV464" s="15" t="s">
        <v>1724</v>
      </c>
      <c r="BG464" s="15"/>
      <c r="BM464" s="17"/>
      <c r="BN464" s="17"/>
      <c r="BO464" s="17"/>
      <c r="BP464" s="17"/>
      <c r="BQ464" s="17"/>
      <c r="BW464" s="17"/>
    </row>
    <row r="465" spans="1:75" hidden="1" x14ac:dyDescent="0.25">
      <c r="A465" s="15" t="s">
        <v>831</v>
      </c>
      <c r="B465" s="15" t="s">
        <v>30</v>
      </c>
      <c r="C465" s="15">
        <v>2016</v>
      </c>
      <c r="D465" s="15" t="s">
        <v>832</v>
      </c>
      <c r="E465" s="15">
        <v>780</v>
      </c>
      <c r="F465" s="15">
        <v>18541980</v>
      </c>
      <c r="G465" s="15" t="s">
        <v>32</v>
      </c>
      <c r="H465" s="15" t="s">
        <v>89</v>
      </c>
      <c r="I465" s="15" t="s">
        <v>833</v>
      </c>
      <c r="J465" s="15" t="s">
        <v>834</v>
      </c>
      <c r="K465" s="15" t="s">
        <v>835</v>
      </c>
      <c r="L465" s="15" t="s">
        <v>836</v>
      </c>
      <c r="M465" s="15" t="s">
        <v>1705</v>
      </c>
      <c r="N465" s="15" t="s">
        <v>101</v>
      </c>
      <c r="O465" s="15" t="s">
        <v>502</v>
      </c>
      <c r="P465" s="15" t="s">
        <v>837</v>
      </c>
      <c r="Q465" s="15" t="s">
        <v>1706</v>
      </c>
      <c r="R465" s="15" t="s">
        <v>417</v>
      </c>
      <c r="S465" s="15" t="s">
        <v>489</v>
      </c>
      <c r="T465" s="15" t="s">
        <v>502</v>
      </c>
      <c r="U465" s="15" t="s">
        <v>837</v>
      </c>
      <c r="V465" s="15" t="s">
        <v>1706</v>
      </c>
      <c r="W465" s="15" t="s">
        <v>417</v>
      </c>
      <c r="X465" s="15" t="s">
        <v>489</v>
      </c>
      <c r="AE465" s="51" t="str">
        <f t="shared" si="58"/>
        <v/>
      </c>
      <c r="AF465" s="51" t="str">
        <f t="shared" si="59"/>
        <v/>
      </c>
      <c r="AG465" s="51" t="str">
        <f t="shared" si="60"/>
        <v/>
      </c>
      <c r="AH465" s="51" t="str">
        <f t="shared" si="61"/>
        <v/>
      </c>
      <c r="BG465" s="15"/>
      <c r="BM465" s="17"/>
      <c r="BN465" s="17"/>
      <c r="BO465" s="17"/>
      <c r="BP465" s="17"/>
      <c r="BQ465" s="17"/>
      <c r="BW465" s="17"/>
    </row>
    <row r="466" spans="1:75" hidden="1" x14ac:dyDescent="0.25">
      <c r="A466" s="15" t="s">
        <v>838</v>
      </c>
      <c r="B466" s="15" t="s">
        <v>30</v>
      </c>
      <c r="C466" s="15">
        <v>2016</v>
      </c>
      <c r="D466" s="15" t="s">
        <v>839</v>
      </c>
      <c r="E466" s="15">
        <v>23840</v>
      </c>
      <c r="F466" s="15">
        <v>465292</v>
      </c>
      <c r="G466" s="15" t="s">
        <v>109</v>
      </c>
      <c r="H466" s="15" t="s">
        <v>58</v>
      </c>
      <c r="I466" s="15" t="s">
        <v>188</v>
      </c>
      <c r="J466" s="15" t="s">
        <v>375</v>
      </c>
      <c r="K466" s="15" t="s">
        <v>190</v>
      </c>
      <c r="L466" s="15" t="s">
        <v>48</v>
      </c>
      <c r="M466" s="15" t="s">
        <v>62</v>
      </c>
      <c r="N466" s="15" t="s">
        <v>63</v>
      </c>
      <c r="O466" s="15"/>
      <c r="P466" s="15"/>
      <c r="Q466" s="15"/>
      <c r="R466" s="15"/>
      <c r="S466" s="15" t="s">
        <v>55</v>
      </c>
      <c r="T466" s="15"/>
      <c r="U466" s="15"/>
      <c r="V466" s="15"/>
      <c r="W466" s="15"/>
      <c r="X466" s="15" t="s">
        <v>55</v>
      </c>
      <c r="Y466" s="17">
        <v>26973</v>
      </c>
      <c r="Z466" s="17">
        <v>1682</v>
      </c>
      <c r="AA466" s="17">
        <v>332</v>
      </c>
      <c r="AB466" s="17">
        <v>2014</v>
      </c>
      <c r="AC466" s="17">
        <v>28987</v>
      </c>
      <c r="AD466" s="17">
        <v>60</v>
      </c>
      <c r="AE466" s="51">
        <f t="shared" si="58"/>
        <v>57.970048915519719</v>
      </c>
      <c r="AF466" s="51">
        <f t="shared" si="59"/>
        <v>4.32846470603406</v>
      </c>
      <c r="AG466" s="51">
        <f t="shared" si="60"/>
        <v>62.298513621553774</v>
      </c>
      <c r="AH466" s="51">
        <f t="shared" si="61"/>
        <v>0.12895128220558272</v>
      </c>
      <c r="AI466" s="17">
        <v>45922</v>
      </c>
      <c r="AJ466" s="17">
        <v>33881</v>
      </c>
      <c r="AK466" s="17">
        <v>31841</v>
      </c>
      <c r="AL466" s="17">
        <v>65722</v>
      </c>
      <c r="AM466" s="17">
        <v>111644</v>
      </c>
      <c r="AN466" s="17">
        <v>30962</v>
      </c>
      <c r="AO466" s="17">
        <v>1900400000</v>
      </c>
      <c r="AP466" s="17">
        <v>1392900000</v>
      </c>
      <c r="AQ466" s="17">
        <v>1066099999.9999999</v>
      </c>
      <c r="AR466" s="17">
        <v>2459000000</v>
      </c>
      <c r="AS466" s="17">
        <v>4359400000</v>
      </c>
      <c r="AT466" s="17">
        <v>1152500000</v>
      </c>
      <c r="BG466" s="15"/>
      <c r="BM466" s="17"/>
      <c r="BN466" s="17"/>
      <c r="BO466" s="17"/>
      <c r="BP466" s="17"/>
      <c r="BQ466" s="17"/>
      <c r="BW466" s="17"/>
    </row>
    <row r="467" spans="1:75" hidden="1" x14ac:dyDescent="0.25">
      <c r="A467" s="15" t="s">
        <v>838</v>
      </c>
      <c r="B467" s="15" t="s">
        <v>30</v>
      </c>
      <c r="C467" s="15">
        <v>2015</v>
      </c>
      <c r="D467" s="15" t="s">
        <v>839</v>
      </c>
      <c r="E467" s="15">
        <v>24690</v>
      </c>
      <c r="F467" s="15">
        <v>445053</v>
      </c>
      <c r="G467" s="15" t="s">
        <v>109</v>
      </c>
      <c r="H467" s="15" t="s">
        <v>58</v>
      </c>
      <c r="I467" s="15" t="s">
        <v>188</v>
      </c>
      <c r="J467" s="15" t="s">
        <v>375</v>
      </c>
      <c r="K467" s="15" t="s">
        <v>190</v>
      </c>
      <c r="L467" s="15" t="s">
        <v>48</v>
      </c>
      <c r="M467" s="15" t="s">
        <v>62</v>
      </c>
      <c r="N467" s="15" t="s">
        <v>63</v>
      </c>
      <c r="O467" s="15"/>
      <c r="P467" s="15"/>
      <c r="Q467" s="15"/>
      <c r="R467" s="15"/>
      <c r="S467" s="15" t="s">
        <v>55</v>
      </c>
      <c r="T467" s="15"/>
      <c r="U467" s="15"/>
      <c r="V467" s="15"/>
      <c r="W467" s="15"/>
      <c r="X467" s="15" t="s">
        <v>55</v>
      </c>
      <c r="Y467" s="17">
        <v>24123</v>
      </c>
      <c r="Z467" s="17">
        <v>1575</v>
      </c>
      <c r="AA467" s="17">
        <v>310</v>
      </c>
      <c r="AB467" s="17">
        <v>1885</v>
      </c>
      <c r="AC467" s="17">
        <v>26008</v>
      </c>
      <c r="AD467" s="17">
        <v>51</v>
      </c>
      <c r="AE467" s="51">
        <f t="shared" si="58"/>
        <v>54.202533181441311</v>
      </c>
      <c r="AF467" s="51">
        <f t="shared" si="59"/>
        <v>4.23545060925328</v>
      </c>
      <c r="AG467" s="51">
        <f t="shared" si="60"/>
        <v>58.437983790694595</v>
      </c>
      <c r="AH467" s="51">
        <f t="shared" si="61"/>
        <v>0.11459309340685267</v>
      </c>
      <c r="AI467" s="17">
        <v>43420</v>
      </c>
      <c r="AJ467" s="17">
        <v>31447</v>
      </c>
      <c r="AK467" s="17">
        <v>32042</v>
      </c>
      <c r="AL467" s="17">
        <v>63489</v>
      </c>
      <c r="AM467" s="17">
        <v>106909</v>
      </c>
      <c r="AN467" s="17">
        <v>27303</v>
      </c>
      <c r="AO467" s="17">
        <v>1890800000</v>
      </c>
      <c r="AP467" s="17">
        <v>1119500000</v>
      </c>
      <c r="AQ467" s="17">
        <v>1036099999.9999999</v>
      </c>
      <c r="AR467" s="17">
        <v>2155600000</v>
      </c>
      <c r="AS467" s="17">
        <v>4046400000</v>
      </c>
      <c r="AT467" s="17">
        <v>1062500000</v>
      </c>
      <c r="BG467" s="15"/>
      <c r="BM467" s="17"/>
      <c r="BN467" s="17"/>
      <c r="BO467" s="17"/>
      <c r="BP467" s="17"/>
      <c r="BQ467" s="17"/>
      <c r="BW467" s="17"/>
    </row>
    <row r="468" spans="1:75" hidden="1" x14ac:dyDescent="0.25">
      <c r="A468" s="15" t="s">
        <v>838</v>
      </c>
      <c r="B468" s="15" t="s">
        <v>30</v>
      </c>
      <c r="C468" s="15">
        <v>2014</v>
      </c>
      <c r="D468" s="15" t="s">
        <v>839</v>
      </c>
      <c r="E468" s="15">
        <v>23910</v>
      </c>
      <c r="F468" s="15">
        <v>434558</v>
      </c>
      <c r="G468" s="15" t="s">
        <v>109</v>
      </c>
      <c r="H468" s="15" t="s">
        <v>58</v>
      </c>
      <c r="I468" s="15" t="s">
        <v>188</v>
      </c>
      <c r="J468" s="15" t="s">
        <v>375</v>
      </c>
      <c r="K468" s="15" t="s">
        <v>190</v>
      </c>
      <c r="L468" s="15" t="s">
        <v>48</v>
      </c>
      <c r="M468" s="15" t="s">
        <v>62</v>
      </c>
      <c r="N468" s="15" t="s">
        <v>63</v>
      </c>
      <c r="O468" s="15"/>
      <c r="P468" s="15"/>
      <c r="Q468" s="15"/>
      <c r="R468" s="15"/>
      <c r="S468" s="15" t="s">
        <v>55</v>
      </c>
      <c r="T468" s="15"/>
      <c r="U468" s="15"/>
      <c r="V468" s="15"/>
      <c r="W468" s="15"/>
      <c r="X468" s="15" t="s">
        <v>55</v>
      </c>
      <c r="Y468" s="17">
        <v>24369</v>
      </c>
      <c r="Z468" s="17">
        <v>1467</v>
      </c>
      <c r="AA468" s="17">
        <v>302</v>
      </c>
      <c r="AB468" s="17">
        <v>1769</v>
      </c>
      <c r="AC468" s="17">
        <v>26138</v>
      </c>
      <c r="AD468" s="17">
        <v>55</v>
      </c>
      <c r="AE468" s="51">
        <f t="shared" si="58"/>
        <v>56.077669724179515</v>
      </c>
      <c r="AF468" s="51">
        <f t="shared" si="59"/>
        <v>4.0708029768178235</v>
      </c>
      <c r="AG468" s="51">
        <f t="shared" si="60"/>
        <v>60.148472700997338</v>
      </c>
      <c r="AH468" s="51">
        <f t="shared" si="61"/>
        <v>0.12656538367720765</v>
      </c>
      <c r="AI468" s="17">
        <v>38518</v>
      </c>
      <c r="AJ468" s="17">
        <v>29506</v>
      </c>
      <c r="AK468" s="17">
        <v>29954</v>
      </c>
      <c r="AL468" s="17">
        <v>59460</v>
      </c>
      <c r="AM468" s="17">
        <v>97978</v>
      </c>
      <c r="AN468" s="17">
        <v>27786</v>
      </c>
      <c r="AO468" s="17">
        <v>1384300000</v>
      </c>
      <c r="AP468" s="17">
        <v>882200000</v>
      </c>
      <c r="AQ468" s="17">
        <v>965600000</v>
      </c>
      <c r="AR468" s="17">
        <v>1847800000</v>
      </c>
      <c r="AS468" s="17">
        <v>3232100000</v>
      </c>
      <c r="AT468" s="17">
        <v>936700000</v>
      </c>
      <c r="BG468" s="15"/>
      <c r="BM468" s="17"/>
      <c r="BN468" s="17"/>
      <c r="BO468" s="17"/>
      <c r="BP468" s="17"/>
      <c r="BQ468" s="17"/>
      <c r="BW468" s="17"/>
    </row>
    <row r="469" spans="1:75" hidden="1" x14ac:dyDescent="0.25">
      <c r="A469" s="15" t="s">
        <v>838</v>
      </c>
      <c r="B469" s="15" t="s">
        <v>30</v>
      </c>
      <c r="C469" s="15">
        <v>2013</v>
      </c>
      <c r="D469" s="15" t="s">
        <v>839</v>
      </c>
      <c r="E469" s="15">
        <v>22670</v>
      </c>
      <c r="F469" s="15">
        <v>425967</v>
      </c>
      <c r="G469" s="15" t="s">
        <v>109</v>
      </c>
      <c r="H469" s="15" t="s">
        <v>58</v>
      </c>
      <c r="I469" s="15" t="s">
        <v>188</v>
      </c>
      <c r="J469" s="15" t="s">
        <v>375</v>
      </c>
      <c r="K469" s="15" t="s">
        <v>190</v>
      </c>
      <c r="L469" s="15" t="s">
        <v>48</v>
      </c>
      <c r="M469" s="15" t="s">
        <v>62</v>
      </c>
      <c r="N469" s="15" t="s">
        <v>63</v>
      </c>
      <c r="O469" s="15"/>
      <c r="P469" s="15"/>
      <c r="Q469" s="15"/>
      <c r="R469" s="15"/>
      <c r="S469" s="15" t="s">
        <v>55</v>
      </c>
      <c r="T469" s="15"/>
      <c r="U469" s="15"/>
      <c r="V469" s="15"/>
      <c r="W469" s="15"/>
      <c r="X469" s="15" t="s">
        <v>55</v>
      </c>
      <c r="Y469" s="17">
        <v>23512</v>
      </c>
      <c r="Z469" s="17">
        <v>1473</v>
      </c>
      <c r="AA469" s="17">
        <v>300</v>
      </c>
      <c r="AB469" s="17">
        <v>1773</v>
      </c>
      <c r="AC469" s="17">
        <v>25285</v>
      </c>
      <c r="AD469" s="17">
        <v>48</v>
      </c>
      <c r="AE469" s="51">
        <f t="shared" si="58"/>
        <v>55.196764068578084</v>
      </c>
      <c r="AF469" s="51">
        <f t="shared" si="59"/>
        <v>4.1622942622315815</v>
      </c>
      <c r="AG469" s="51">
        <f t="shared" si="60"/>
        <v>59.359058330809667</v>
      </c>
      <c r="AH469" s="51">
        <f t="shared" si="61"/>
        <v>0.11268478544112571</v>
      </c>
      <c r="AI469" s="17">
        <v>37982</v>
      </c>
      <c r="AJ469" s="17">
        <v>29014</v>
      </c>
      <c r="AK469" s="17">
        <v>29665</v>
      </c>
      <c r="AL469" s="17">
        <v>58679</v>
      </c>
      <c r="AM469" s="17">
        <v>96661</v>
      </c>
      <c r="AN469" s="17">
        <v>25311</v>
      </c>
      <c r="AO469" s="17">
        <v>1226200000</v>
      </c>
      <c r="AP469" s="17">
        <v>852500000</v>
      </c>
      <c r="AQ469" s="17">
        <v>857800000</v>
      </c>
      <c r="AR469" s="17">
        <v>1710300000</v>
      </c>
      <c r="AS469" s="17">
        <v>2936500000</v>
      </c>
      <c r="AT469" s="17">
        <v>925500000</v>
      </c>
      <c r="BG469" s="15"/>
      <c r="BM469" s="17"/>
      <c r="BN469" s="17"/>
      <c r="BO469" s="17"/>
      <c r="BP469" s="17"/>
      <c r="BQ469" s="17"/>
      <c r="BW469" s="17"/>
    </row>
    <row r="470" spans="1:75" hidden="1" x14ac:dyDescent="0.25">
      <c r="A470" s="15" t="s">
        <v>842</v>
      </c>
      <c r="B470" s="15" t="s">
        <v>30</v>
      </c>
      <c r="C470" s="15">
        <v>2015</v>
      </c>
      <c r="D470" s="15" t="s">
        <v>843</v>
      </c>
      <c r="E470" s="15">
        <v>9780</v>
      </c>
      <c r="F470" s="15">
        <v>1262605</v>
      </c>
      <c r="G470" s="15" t="s">
        <v>42</v>
      </c>
      <c r="H470" s="15" t="s">
        <v>89</v>
      </c>
      <c r="I470" s="15" t="s">
        <v>844</v>
      </c>
      <c r="J470" s="15" t="s">
        <v>1707</v>
      </c>
      <c r="K470" s="15" t="s">
        <v>845</v>
      </c>
      <c r="L470" s="15"/>
      <c r="M470" s="15"/>
      <c r="N470" s="15"/>
      <c r="O470" s="15"/>
      <c r="P470" s="15"/>
      <c r="Q470" s="15"/>
      <c r="R470" s="15"/>
      <c r="S470" s="15"/>
      <c r="T470" s="15" t="s">
        <v>1708</v>
      </c>
      <c r="U470" s="15" t="s">
        <v>1709</v>
      </c>
      <c r="V470" s="15" t="s">
        <v>1710</v>
      </c>
      <c r="W470" s="15" t="s">
        <v>1390</v>
      </c>
      <c r="X470" s="15" t="s">
        <v>846</v>
      </c>
      <c r="AE470" s="51" t="str">
        <f t="shared" si="58"/>
        <v/>
      </c>
      <c r="AF470" s="51" t="str">
        <f t="shared" si="59"/>
        <v/>
      </c>
      <c r="AG470" s="51" t="str">
        <f t="shared" si="60"/>
        <v/>
      </c>
      <c r="AH470" s="51" t="str">
        <f t="shared" si="61"/>
        <v/>
      </c>
      <c r="AL470" s="17">
        <v>276625</v>
      </c>
      <c r="AS470" s="17">
        <v>118110000</v>
      </c>
      <c r="BG470" s="15"/>
      <c r="BM470" s="17"/>
      <c r="BN470" s="17"/>
      <c r="BO470" s="17"/>
      <c r="BP470" s="17"/>
      <c r="BQ470" s="17"/>
      <c r="BW470" s="17" t="s">
        <v>1711</v>
      </c>
    </row>
    <row r="471" spans="1:75" hidden="1" x14ac:dyDescent="0.25">
      <c r="A471" s="15" t="s">
        <v>842</v>
      </c>
      <c r="B471" s="15" t="s">
        <v>30</v>
      </c>
      <c r="C471" s="15">
        <v>2013</v>
      </c>
      <c r="D471" s="15" t="s">
        <v>843</v>
      </c>
      <c r="E471" s="15">
        <v>9790</v>
      </c>
      <c r="F471" s="15">
        <v>1258653</v>
      </c>
      <c r="G471" s="15" t="s">
        <v>42</v>
      </c>
      <c r="H471" s="15" t="s">
        <v>89</v>
      </c>
      <c r="I471" s="15" t="s">
        <v>844</v>
      </c>
      <c r="J471" s="15" t="s">
        <v>1707</v>
      </c>
      <c r="K471" s="15" t="s">
        <v>845</v>
      </c>
      <c r="L471" s="15"/>
      <c r="M471" s="15"/>
      <c r="N471" s="15"/>
      <c r="O471" s="15"/>
      <c r="P471" s="15"/>
      <c r="Q471" s="15"/>
      <c r="R471" s="15"/>
      <c r="S471" s="15"/>
      <c r="T471" s="15" t="s">
        <v>1708</v>
      </c>
      <c r="U471" s="15" t="s">
        <v>1709</v>
      </c>
      <c r="V471" s="15" t="s">
        <v>1710</v>
      </c>
      <c r="W471" s="15" t="s">
        <v>1390</v>
      </c>
      <c r="X471" s="15" t="s">
        <v>846</v>
      </c>
      <c r="Y471" s="17">
        <v>139030</v>
      </c>
      <c r="Z471" s="17">
        <v>31970</v>
      </c>
      <c r="AA471" s="17">
        <v>1190</v>
      </c>
      <c r="AB471" s="17">
        <v>33160</v>
      </c>
      <c r="AC471" s="17">
        <v>172190</v>
      </c>
      <c r="AD471" s="17">
        <v>1230</v>
      </c>
      <c r="AE471" s="51">
        <f t="shared" si="58"/>
        <v>110.45935615296671</v>
      </c>
      <c r="AF471" s="51">
        <f t="shared" si="59"/>
        <v>26.345625045187195</v>
      </c>
      <c r="AG471" s="51">
        <f t="shared" si="60"/>
        <v>136.80498119815391</v>
      </c>
      <c r="AH471" s="51">
        <f t="shared" si="61"/>
        <v>0.97723518714053847</v>
      </c>
      <c r="AI471" s="17">
        <v>129430</v>
      </c>
      <c r="AJ471" s="17">
        <v>86470</v>
      </c>
      <c r="AK471" s="17">
        <v>49000</v>
      </c>
      <c r="AL471" s="17">
        <v>135490</v>
      </c>
      <c r="AM471" s="17">
        <v>264920</v>
      </c>
      <c r="AN471" s="17">
        <v>287080</v>
      </c>
      <c r="AO471" s="17">
        <v>52290000</v>
      </c>
      <c r="AP471" s="17">
        <v>31790000</v>
      </c>
      <c r="AQ471" s="17">
        <v>30014000</v>
      </c>
      <c r="AR471" s="17">
        <v>61804000</v>
      </c>
      <c r="AS471" s="17">
        <v>114094000</v>
      </c>
      <c r="AV471" s="15" t="s">
        <v>1707</v>
      </c>
      <c r="BG471" s="15"/>
      <c r="BM471" s="17"/>
      <c r="BN471" s="17"/>
      <c r="BO471" s="17"/>
      <c r="BP471" s="17"/>
      <c r="BQ471" s="17"/>
      <c r="BW471" s="17" t="s">
        <v>1712</v>
      </c>
    </row>
    <row r="472" spans="1:75" hidden="1" x14ac:dyDescent="0.25">
      <c r="A472" s="15" t="s">
        <v>847</v>
      </c>
      <c r="B472" s="15" t="s">
        <v>30</v>
      </c>
      <c r="C472" s="15">
        <v>2013</v>
      </c>
      <c r="D472" s="15" t="s">
        <v>848</v>
      </c>
      <c r="E472" s="15">
        <v>10010</v>
      </c>
      <c r="F472" s="15">
        <v>122535969</v>
      </c>
      <c r="G472" s="15" t="s">
        <v>42</v>
      </c>
      <c r="H472" s="15" t="s">
        <v>110</v>
      </c>
      <c r="I472" s="15" t="s">
        <v>849</v>
      </c>
      <c r="J472" s="15" t="s">
        <v>850</v>
      </c>
      <c r="K472" s="15" t="s">
        <v>504</v>
      </c>
      <c r="L472" s="15" t="s">
        <v>402</v>
      </c>
      <c r="M472" s="15" t="s">
        <v>166</v>
      </c>
      <c r="N472" s="15" t="s">
        <v>167</v>
      </c>
      <c r="O472" s="15"/>
      <c r="P472" s="15"/>
      <c r="Q472" s="15"/>
      <c r="R472" s="15"/>
      <c r="S472" s="15"/>
      <c r="T472" s="15" t="s">
        <v>326</v>
      </c>
      <c r="U472" s="15" t="s">
        <v>851</v>
      </c>
      <c r="V472" s="15" t="s">
        <v>852</v>
      </c>
      <c r="W472" s="15" t="s">
        <v>853</v>
      </c>
      <c r="X472" s="15" t="s">
        <v>848</v>
      </c>
      <c r="Y472" s="17">
        <v>4035903</v>
      </c>
      <c r="Z472" s="17">
        <v>153733</v>
      </c>
      <c r="AA472" s="17">
        <v>33334</v>
      </c>
      <c r="AB472" s="17">
        <v>187067</v>
      </c>
      <c r="AC472" s="17">
        <v>4222970</v>
      </c>
      <c r="AD472" s="17">
        <v>7775</v>
      </c>
      <c r="AE472" s="51">
        <f t="shared" si="58"/>
        <v>32.936475982819381</v>
      </c>
      <c r="AF472" s="51">
        <f t="shared" si="59"/>
        <v>1.5266292952724763</v>
      </c>
      <c r="AG472" s="51">
        <f t="shared" si="60"/>
        <v>34.463105278091859</v>
      </c>
      <c r="AH472" s="51">
        <f t="shared" si="61"/>
        <v>6.3450757058933438E-2</v>
      </c>
      <c r="AI472" s="17">
        <v>8580027</v>
      </c>
      <c r="AJ472" s="17">
        <v>3249203</v>
      </c>
      <c r="AK472" s="17">
        <v>3523566</v>
      </c>
      <c r="AL472" s="17">
        <v>6772769</v>
      </c>
      <c r="AM472" s="17">
        <v>15352796</v>
      </c>
      <c r="AN472" s="17">
        <v>6223562</v>
      </c>
      <c r="AO472" s="17">
        <v>1134695711000</v>
      </c>
      <c r="AP472" s="17">
        <v>906393934000</v>
      </c>
      <c r="AQ472" s="17">
        <v>1536203520000</v>
      </c>
      <c r="AR472" s="17">
        <v>2442597454000</v>
      </c>
      <c r="AS472" s="17">
        <v>3577293165000</v>
      </c>
      <c r="AT472" s="17">
        <v>10407020053000</v>
      </c>
      <c r="AU472" s="15" t="s">
        <v>850</v>
      </c>
      <c r="AV472" s="15" t="s">
        <v>850</v>
      </c>
      <c r="BG472" s="15"/>
      <c r="BM472" s="17"/>
      <c r="BN472" s="17"/>
      <c r="BO472" s="17"/>
      <c r="BP472" s="17"/>
      <c r="BQ472" s="17"/>
      <c r="BS472" s="15" t="s">
        <v>854</v>
      </c>
      <c r="BT472" s="15" t="s">
        <v>855</v>
      </c>
      <c r="BU472" s="15" t="s">
        <v>856</v>
      </c>
      <c r="BW472" s="17"/>
    </row>
    <row r="473" spans="1:75" hidden="1" x14ac:dyDescent="0.25">
      <c r="A473" s="15" t="s">
        <v>847</v>
      </c>
      <c r="B473" s="15" t="s">
        <v>30</v>
      </c>
      <c r="C473" s="15">
        <v>2008</v>
      </c>
      <c r="D473" s="15" t="s">
        <v>848</v>
      </c>
      <c r="E473" s="15">
        <v>9650</v>
      </c>
      <c r="F473" s="15">
        <v>113661809</v>
      </c>
      <c r="G473" s="15" t="s">
        <v>42</v>
      </c>
      <c r="H473" s="15" t="s">
        <v>110</v>
      </c>
      <c r="I473" s="15" t="s">
        <v>849</v>
      </c>
      <c r="J473" s="15" t="s">
        <v>850</v>
      </c>
      <c r="K473" s="15" t="s">
        <v>504</v>
      </c>
      <c r="L473" s="15" t="s">
        <v>402</v>
      </c>
      <c r="M473" s="15" t="s">
        <v>166</v>
      </c>
      <c r="N473" s="15" t="s">
        <v>167</v>
      </c>
      <c r="O473" s="15"/>
      <c r="P473" s="15"/>
      <c r="Q473" s="15"/>
      <c r="R473" s="15"/>
      <c r="S473" s="15"/>
      <c r="T473" s="15" t="s">
        <v>326</v>
      </c>
      <c r="U473" s="15" t="s">
        <v>851</v>
      </c>
      <c r="V473" s="15" t="s">
        <v>852</v>
      </c>
      <c r="W473" s="15" t="s">
        <v>853</v>
      </c>
      <c r="X473" s="15" t="s">
        <v>848</v>
      </c>
      <c r="Y473" s="17">
        <v>3536178</v>
      </c>
      <c r="Z473" s="17">
        <v>149968</v>
      </c>
      <c r="AA473" s="17">
        <v>30697</v>
      </c>
      <c r="AB473" s="17">
        <v>180665</v>
      </c>
      <c r="AC473" s="17">
        <v>3716843</v>
      </c>
      <c r="AD473" s="17">
        <v>7176</v>
      </c>
      <c r="AE473" s="51">
        <f t="shared" si="58"/>
        <v>31.111399960210029</v>
      </c>
      <c r="AF473" s="51">
        <f t="shared" si="59"/>
        <v>1.5894960813090702</v>
      </c>
      <c r="AG473" s="51">
        <f t="shared" si="60"/>
        <v>32.700896041519101</v>
      </c>
      <c r="AH473" s="51">
        <f t="shared" si="61"/>
        <v>6.3134662936782923E-2</v>
      </c>
      <c r="AI473" s="17">
        <v>8414444</v>
      </c>
      <c r="AJ473" s="17">
        <v>3078665</v>
      </c>
      <c r="AK473" s="17">
        <v>3199650</v>
      </c>
      <c r="AL473" s="17">
        <v>6278315</v>
      </c>
      <c r="AM473" s="17">
        <v>14692759</v>
      </c>
      <c r="AN473" s="17">
        <v>5424075</v>
      </c>
      <c r="AU473" s="15" t="s">
        <v>850</v>
      </c>
      <c r="AV473" s="15" t="s">
        <v>850</v>
      </c>
      <c r="BG473" s="15"/>
      <c r="BJ473" s="43"/>
      <c r="BM473" s="17"/>
      <c r="BN473" s="17"/>
      <c r="BO473" s="17"/>
      <c r="BP473" s="17"/>
      <c r="BQ473" s="17"/>
      <c r="BW473" s="17"/>
    </row>
    <row r="474" spans="1:75" hidden="1" x14ac:dyDescent="0.25">
      <c r="A474" s="15" t="s">
        <v>847</v>
      </c>
      <c r="B474" s="15" t="s">
        <v>30</v>
      </c>
      <c r="C474" s="15">
        <v>2003</v>
      </c>
      <c r="D474" s="15" t="s">
        <v>848</v>
      </c>
      <c r="E474" s="15">
        <v>7030</v>
      </c>
      <c r="F474" s="15">
        <v>105640453</v>
      </c>
      <c r="G474" s="15" t="s">
        <v>42</v>
      </c>
      <c r="H474" s="15" t="s">
        <v>110</v>
      </c>
      <c r="I474" s="15" t="s">
        <v>849</v>
      </c>
      <c r="J474" s="15" t="s">
        <v>850</v>
      </c>
      <c r="K474" s="15" t="s">
        <v>504</v>
      </c>
      <c r="L474" s="15" t="s">
        <v>402</v>
      </c>
      <c r="M474" s="15" t="s">
        <v>166</v>
      </c>
      <c r="N474" s="15" t="s">
        <v>167</v>
      </c>
      <c r="O474" s="15"/>
      <c r="P474" s="15"/>
      <c r="Q474" s="15"/>
      <c r="R474" s="15"/>
      <c r="S474" s="15"/>
      <c r="T474" s="15" t="s">
        <v>326</v>
      </c>
      <c r="U474" s="15" t="s">
        <v>851</v>
      </c>
      <c r="V474" s="15" t="s">
        <v>852</v>
      </c>
      <c r="W474" s="15" t="s">
        <v>853</v>
      </c>
      <c r="X474" s="15" t="s">
        <v>848</v>
      </c>
      <c r="Y474" s="17">
        <v>2853291</v>
      </c>
      <c r="Z474" s="17">
        <v>118085</v>
      </c>
      <c r="AA474" s="17">
        <v>27073</v>
      </c>
      <c r="AB474" s="17">
        <v>145158</v>
      </c>
      <c r="AC474" s="17">
        <v>2998449</v>
      </c>
      <c r="AD474" s="17">
        <v>6708</v>
      </c>
      <c r="AE474" s="51">
        <f t="shared" si="58"/>
        <v>27.009454417996483</v>
      </c>
      <c r="AF474" s="51">
        <f t="shared" si="59"/>
        <v>1.3740758949604277</v>
      </c>
      <c r="AG474" s="51">
        <f t="shared" si="60"/>
        <v>28.383530312956911</v>
      </c>
      <c r="AH474" s="51">
        <f t="shared" si="61"/>
        <v>6.3498402453840294E-2</v>
      </c>
      <c r="AI474" s="17">
        <v>6224965</v>
      </c>
      <c r="AJ474" s="17">
        <v>2478964</v>
      </c>
      <c r="AK474" s="17">
        <v>2828306</v>
      </c>
      <c r="AL474" s="17">
        <v>5307270</v>
      </c>
      <c r="AM474" s="17">
        <v>11532235</v>
      </c>
      <c r="AN474" s="17">
        <v>4707301</v>
      </c>
      <c r="AU474" s="15" t="s">
        <v>850</v>
      </c>
      <c r="AV474" s="15" t="s">
        <v>850</v>
      </c>
      <c r="BG474" s="15"/>
      <c r="BJ474" s="41"/>
      <c r="BM474" s="17"/>
      <c r="BN474" s="17"/>
      <c r="BO474" s="17"/>
      <c r="BP474" s="17"/>
      <c r="BQ474" s="17"/>
      <c r="BW474" s="17"/>
    </row>
    <row r="475" spans="1:75" hidden="1" x14ac:dyDescent="0.25">
      <c r="A475" s="15" t="s">
        <v>847</v>
      </c>
      <c r="B475" s="15" t="s">
        <v>52</v>
      </c>
      <c r="C475" s="15">
        <v>2016</v>
      </c>
      <c r="D475" s="15" t="s">
        <v>848</v>
      </c>
      <c r="E475" s="15">
        <v>9010</v>
      </c>
      <c r="F475" s="15">
        <v>129163276</v>
      </c>
      <c r="G475" s="15" t="s">
        <v>42</v>
      </c>
      <c r="H475" s="15" t="s">
        <v>110</v>
      </c>
      <c r="I475" s="15" t="s">
        <v>857</v>
      </c>
      <c r="J475" s="15" t="s">
        <v>462</v>
      </c>
      <c r="K475" s="15" t="s">
        <v>504</v>
      </c>
      <c r="L475" s="15" t="s">
        <v>858</v>
      </c>
      <c r="M475" s="15" t="s">
        <v>859</v>
      </c>
      <c r="N475" s="15" t="s">
        <v>860</v>
      </c>
      <c r="O475" s="15"/>
      <c r="P475" s="15"/>
      <c r="Q475" s="15"/>
      <c r="R475" s="15"/>
      <c r="S475" s="15"/>
      <c r="T475" s="15"/>
      <c r="U475" s="15"/>
      <c r="V475" s="15"/>
      <c r="W475" s="15"/>
      <c r="X475" s="15"/>
      <c r="Y475" s="17">
        <v>3896000</v>
      </c>
      <c r="AB475" s="17">
        <v>4000000</v>
      </c>
      <c r="AC475" s="17">
        <v>7896000</v>
      </c>
      <c r="AE475" s="51">
        <f t="shared" si="58"/>
        <v>30.163372443418048</v>
      </c>
      <c r="AF475" s="51">
        <f t="shared" si="59"/>
        <v>30.968554870039068</v>
      </c>
      <c r="AG475" s="51">
        <f t="shared" si="60"/>
        <v>61.131927313457119</v>
      </c>
      <c r="AH475" s="51" t="str">
        <f t="shared" si="61"/>
        <v/>
      </c>
      <c r="AX475" s="43">
        <v>0.38</v>
      </c>
      <c r="AZ475" s="43">
        <v>0.4</v>
      </c>
      <c r="BB475" s="43">
        <v>0.22</v>
      </c>
      <c r="BG475" s="15"/>
      <c r="BJ475" s="54">
        <v>2.3199999999999998E-2</v>
      </c>
      <c r="BM475" s="17"/>
      <c r="BN475" s="17"/>
      <c r="BO475" s="17"/>
      <c r="BP475" s="17"/>
      <c r="BQ475" s="17"/>
      <c r="BS475" s="15" t="s">
        <v>861</v>
      </c>
      <c r="BT475" s="15" t="s">
        <v>862</v>
      </c>
      <c r="BW475" s="17"/>
    </row>
    <row r="476" spans="1:75" hidden="1" x14ac:dyDescent="0.25">
      <c r="A476" s="15" t="s">
        <v>847</v>
      </c>
      <c r="B476" s="15" t="s">
        <v>52</v>
      </c>
      <c r="C476" s="15">
        <v>2015</v>
      </c>
      <c r="D476" s="15" t="s">
        <v>848</v>
      </c>
      <c r="E476" s="15">
        <v>9860</v>
      </c>
      <c r="F476" s="15">
        <v>125890949</v>
      </c>
      <c r="G476" s="15" t="s">
        <v>42</v>
      </c>
      <c r="H476" s="15" t="s">
        <v>110</v>
      </c>
      <c r="I476" s="15" t="s">
        <v>857</v>
      </c>
      <c r="J476" s="15" t="s">
        <v>462</v>
      </c>
      <c r="K476" s="15" t="s">
        <v>504</v>
      </c>
      <c r="L476" s="15" t="s">
        <v>858</v>
      </c>
      <c r="M476" s="15" t="s">
        <v>859</v>
      </c>
      <c r="N476" s="15" t="s">
        <v>860</v>
      </c>
      <c r="O476" s="15"/>
      <c r="P476" s="15"/>
      <c r="Q476" s="15"/>
      <c r="R476" s="15"/>
      <c r="S476" s="15"/>
      <c r="T476" s="15"/>
      <c r="U476" s="15"/>
      <c r="V476" s="15"/>
      <c r="W476" s="15"/>
      <c r="X476" s="15"/>
      <c r="AE476" s="51" t="str">
        <f t="shared" si="58"/>
        <v/>
      </c>
      <c r="AF476" s="51" t="str">
        <f t="shared" si="59"/>
        <v/>
      </c>
      <c r="AG476" s="51" t="str">
        <f t="shared" si="60"/>
        <v/>
      </c>
      <c r="AH476" s="51" t="str">
        <f t="shared" si="61"/>
        <v/>
      </c>
      <c r="BG476" s="15"/>
      <c r="BJ476" s="54">
        <v>3.1300000000000001E-2</v>
      </c>
      <c r="BM476" s="17"/>
      <c r="BN476" s="17"/>
      <c r="BO476" s="17"/>
      <c r="BP476" s="17"/>
      <c r="BQ476" s="17"/>
      <c r="BW476" s="17"/>
    </row>
    <row r="477" spans="1:75" hidden="1" x14ac:dyDescent="0.25">
      <c r="A477" s="15" t="s">
        <v>847</v>
      </c>
      <c r="B477" s="15" t="s">
        <v>52</v>
      </c>
      <c r="C477" s="15">
        <v>2014</v>
      </c>
      <c r="D477" s="15" t="s">
        <v>848</v>
      </c>
      <c r="E477" s="15">
        <v>10220</v>
      </c>
      <c r="F477" s="15">
        <v>124221600</v>
      </c>
      <c r="G477" s="15" t="s">
        <v>42</v>
      </c>
      <c r="H477" s="15" t="s">
        <v>110</v>
      </c>
      <c r="I477" s="15" t="s">
        <v>857</v>
      </c>
      <c r="J477" s="15" t="s">
        <v>462</v>
      </c>
      <c r="K477" s="15" t="s">
        <v>504</v>
      </c>
      <c r="L477" s="15" t="s">
        <v>858</v>
      </c>
      <c r="M477" s="15" t="s">
        <v>859</v>
      </c>
      <c r="N477" s="15" t="s">
        <v>860</v>
      </c>
      <c r="O477" s="15"/>
      <c r="P477" s="15"/>
      <c r="Q477" s="15"/>
      <c r="R477" s="15"/>
      <c r="S477" s="15"/>
      <c r="T477" s="15"/>
      <c r="U477" s="15"/>
      <c r="V477" s="15"/>
      <c r="W477" s="15"/>
      <c r="X477" s="15"/>
      <c r="AE477" s="51" t="str">
        <f t="shared" si="58"/>
        <v/>
      </c>
      <c r="AF477" s="51" t="str">
        <f t="shared" si="59"/>
        <v/>
      </c>
      <c r="AG477" s="51" t="str">
        <f t="shared" si="60"/>
        <v/>
      </c>
      <c r="AH477" s="51" t="str">
        <f t="shared" si="61"/>
        <v/>
      </c>
      <c r="BG477" s="15"/>
      <c r="BJ477" s="54">
        <v>3.1899999999999998E-2</v>
      </c>
      <c r="BM477" s="17"/>
      <c r="BN477" s="17"/>
      <c r="BO477" s="17"/>
      <c r="BP477" s="17"/>
      <c r="BQ477" s="17"/>
      <c r="BW477" s="17"/>
    </row>
    <row r="478" spans="1:75" hidden="1" x14ac:dyDescent="0.25">
      <c r="A478" s="15" t="s">
        <v>847</v>
      </c>
      <c r="B478" s="15" t="s">
        <v>52</v>
      </c>
      <c r="C478" s="15">
        <v>2013</v>
      </c>
      <c r="D478" s="15" t="s">
        <v>848</v>
      </c>
      <c r="E478" s="15">
        <v>10010</v>
      </c>
      <c r="F478" s="15">
        <v>122535969</v>
      </c>
      <c r="G478" s="15" t="s">
        <v>42</v>
      </c>
      <c r="H478" s="15" t="s">
        <v>110</v>
      </c>
      <c r="I478" s="15" t="s">
        <v>857</v>
      </c>
      <c r="J478" s="15" t="s">
        <v>462</v>
      </c>
      <c r="K478" s="15" t="s">
        <v>504</v>
      </c>
      <c r="L478" s="15" t="s">
        <v>858</v>
      </c>
      <c r="M478" s="15" t="s">
        <v>859</v>
      </c>
      <c r="N478" s="15" t="s">
        <v>860</v>
      </c>
      <c r="O478" s="15"/>
      <c r="P478" s="15"/>
      <c r="Q478" s="15"/>
      <c r="R478" s="15"/>
      <c r="S478" s="15"/>
      <c r="T478" s="15"/>
      <c r="U478" s="15"/>
      <c r="V478" s="15"/>
      <c r="W478" s="15"/>
      <c r="X478" s="15"/>
      <c r="AE478" s="51" t="str">
        <f t="shared" si="58"/>
        <v/>
      </c>
      <c r="AF478" s="51" t="str">
        <f t="shared" si="59"/>
        <v/>
      </c>
      <c r="AG478" s="51" t="str">
        <f t="shared" si="60"/>
        <v/>
      </c>
      <c r="AH478" s="51" t="str">
        <f t="shared" si="61"/>
        <v/>
      </c>
      <c r="BG478" s="15"/>
      <c r="BJ478" s="54">
        <v>3.61E-2</v>
      </c>
      <c r="BM478" s="17"/>
      <c r="BN478" s="17"/>
      <c r="BO478" s="17"/>
      <c r="BP478" s="17"/>
      <c r="BQ478" s="17"/>
      <c r="BW478" s="17"/>
    </row>
    <row r="479" spans="1:75" hidden="1" x14ac:dyDescent="0.25">
      <c r="A479" s="15" t="s">
        <v>847</v>
      </c>
      <c r="B479" s="15" t="s">
        <v>52</v>
      </c>
      <c r="C479" s="15">
        <v>2012</v>
      </c>
      <c r="D479" s="15" t="s">
        <v>848</v>
      </c>
      <c r="E479" s="15">
        <v>9810</v>
      </c>
      <c r="F479" s="15">
        <v>120828307</v>
      </c>
      <c r="G479" s="15" t="s">
        <v>42</v>
      </c>
      <c r="H479" s="15" t="s">
        <v>110</v>
      </c>
      <c r="I479" s="15" t="s">
        <v>857</v>
      </c>
      <c r="J479" s="15" t="s">
        <v>462</v>
      </c>
      <c r="K479" s="15" t="s">
        <v>504</v>
      </c>
      <c r="L479" s="15" t="s">
        <v>858</v>
      </c>
      <c r="M479" s="15" t="s">
        <v>859</v>
      </c>
      <c r="N479" s="15" t="s">
        <v>860</v>
      </c>
      <c r="O479" s="15"/>
      <c r="P479" s="15"/>
      <c r="Q479" s="15"/>
      <c r="R479" s="15"/>
      <c r="S479" s="15"/>
      <c r="T479" s="15"/>
      <c r="U479" s="15"/>
      <c r="V479" s="15"/>
      <c r="W479" s="15"/>
      <c r="X479" s="15"/>
      <c r="AE479" s="51" t="str">
        <f t="shared" si="58"/>
        <v/>
      </c>
      <c r="AF479" s="51" t="str">
        <f t="shared" si="59"/>
        <v/>
      </c>
      <c r="AG479" s="51" t="str">
        <f t="shared" si="60"/>
        <v/>
      </c>
      <c r="AH479" s="51" t="str">
        <f t="shared" si="61"/>
        <v/>
      </c>
      <c r="BG479" s="15"/>
      <c r="BJ479" s="54">
        <v>2.0899999999999998E-2</v>
      </c>
      <c r="BM479" s="17"/>
      <c r="BN479" s="17"/>
      <c r="BO479" s="17"/>
      <c r="BP479" s="17"/>
      <c r="BQ479" s="17"/>
      <c r="BW479" s="17"/>
    </row>
    <row r="480" spans="1:75" hidden="1" x14ac:dyDescent="0.25">
      <c r="A480" s="15" t="s">
        <v>847</v>
      </c>
      <c r="B480" s="15" t="s">
        <v>52</v>
      </c>
      <c r="C480" s="15">
        <v>2011</v>
      </c>
      <c r="D480" s="15" t="s">
        <v>848</v>
      </c>
      <c r="E480" s="15">
        <v>9140</v>
      </c>
      <c r="F480" s="15">
        <v>119090017</v>
      </c>
      <c r="G480" s="15" t="s">
        <v>42</v>
      </c>
      <c r="H480" s="15" t="s">
        <v>110</v>
      </c>
      <c r="I480" s="15" t="s">
        <v>857</v>
      </c>
      <c r="J480" s="15" t="s">
        <v>462</v>
      </c>
      <c r="K480" s="15" t="s">
        <v>504</v>
      </c>
      <c r="L480" s="15" t="s">
        <v>858</v>
      </c>
      <c r="M480" s="15" t="s">
        <v>859</v>
      </c>
      <c r="N480" s="15" t="s">
        <v>860</v>
      </c>
      <c r="O480" s="15"/>
      <c r="P480" s="15"/>
      <c r="Q480" s="15"/>
      <c r="R480" s="15"/>
      <c r="S480" s="15"/>
      <c r="T480" s="15"/>
      <c r="U480" s="15"/>
      <c r="V480" s="15"/>
      <c r="W480" s="15"/>
      <c r="X480" s="15"/>
      <c r="AE480" s="51" t="str">
        <f t="shared" si="58"/>
        <v/>
      </c>
      <c r="AF480" s="51" t="str">
        <f t="shared" si="59"/>
        <v/>
      </c>
      <c r="AG480" s="51" t="str">
        <f t="shared" si="60"/>
        <v/>
      </c>
      <c r="AH480" s="51" t="str">
        <f t="shared" si="61"/>
        <v/>
      </c>
      <c r="BG480" s="15"/>
      <c r="BJ480" s="54">
        <v>2.1700000000000001E-2</v>
      </c>
      <c r="BM480" s="17"/>
      <c r="BN480" s="17"/>
      <c r="BO480" s="17"/>
      <c r="BP480" s="17"/>
      <c r="BQ480" s="17"/>
      <c r="BW480" s="17"/>
    </row>
    <row r="481" spans="1:75" hidden="1" x14ac:dyDescent="0.25">
      <c r="A481" s="15" t="s">
        <v>847</v>
      </c>
      <c r="B481" s="15" t="s">
        <v>52</v>
      </c>
      <c r="C481" s="15">
        <v>2010</v>
      </c>
      <c r="D481" s="15" t="s">
        <v>848</v>
      </c>
      <c r="E481" s="15">
        <v>8930</v>
      </c>
      <c r="F481" s="15">
        <v>117318941</v>
      </c>
      <c r="G481" s="15" t="s">
        <v>42</v>
      </c>
      <c r="H481" s="15" t="s">
        <v>110</v>
      </c>
      <c r="I481" s="15" t="s">
        <v>857</v>
      </c>
      <c r="J481" s="15" t="s">
        <v>462</v>
      </c>
      <c r="K481" s="15" t="s">
        <v>504</v>
      </c>
      <c r="L481" s="15" t="s">
        <v>858</v>
      </c>
      <c r="M481" s="15" t="s">
        <v>859</v>
      </c>
      <c r="N481" s="15" t="s">
        <v>860</v>
      </c>
      <c r="O481" s="15"/>
      <c r="P481" s="15"/>
      <c r="Q481" s="15"/>
      <c r="R481" s="15"/>
      <c r="S481" s="15"/>
      <c r="T481" s="15"/>
      <c r="U481" s="15"/>
      <c r="V481" s="15"/>
      <c r="W481" s="15"/>
      <c r="X481" s="15"/>
      <c r="AE481" s="51" t="str">
        <f t="shared" si="58"/>
        <v/>
      </c>
      <c r="AF481" s="51" t="str">
        <f t="shared" si="59"/>
        <v/>
      </c>
      <c r="AG481" s="51" t="str">
        <f t="shared" si="60"/>
        <v/>
      </c>
      <c r="AH481" s="51" t="str">
        <f t="shared" si="61"/>
        <v/>
      </c>
      <c r="BG481" s="15"/>
      <c r="BJ481" s="54">
        <v>1.9300000000000001E-2</v>
      </c>
      <c r="BM481" s="17"/>
      <c r="BN481" s="17"/>
      <c r="BO481" s="17"/>
      <c r="BP481" s="17"/>
      <c r="BQ481" s="17"/>
      <c r="BW481" s="17"/>
    </row>
    <row r="482" spans="1:75" hidden="1" x14ac:dyDescent="0.25">
      <c r="A482" s="15" t="s">
        <v>847</v>
      </c>
      <c r="B482" s="15" t="s">
        <v>52</v>
      </c>
      <c r="C482" s="15">
        <v>2009</v>
      </c>
      <c r="D482" s="15" t="s">
        <v>848</v>
      </c>
      <c r="E482" s="15">
        <v>8760</v>
      </c>
      <c r="F482" s="15">
        <v>115505228</v>
      </c>
      <c r="G482" s="15" t="s">
        <v>42</v>
      </c>
      <c r="H482" s="15" t="s">
        <v>110</v>
      </c>
      <c r="I482" s="15" t="s">
        <v>857</v>
      </c>
      <c r="J482" s="15" t="s">
        <v>462</v>
      </c>
      <c r="K482" s="15" t="s">
        <v>504</v>
      </c>
      <c r="L482" s="15" t="s">
        <v>858</v>
      </c>
      <c r="M482" s="15" t="s">
        <v>859</v>
      </c>
      <c r="N482" s="15" t="s">
        <v>860</v>
      </c>
      <c r="O482" s="15"/>
      <c r="P482" s="15"/>
      <c r="Q482" s="15"/>
      <c r="R482" s="15"/>
      <c r="S482" s="15"/>
      <c r="T482" s="15"/>
      <c r="U482" s="15"/>
      <c r="V482" s="15"/>
      <c r="W482" s="15"/>
      <c r="X482" s="15"/>
      <c r="AE482" s="51" t="str">
        <f t="shared" si="58"/>
        <v/>
      </c>
      <c r="AF482" s="51" t="str">
        <f t="shared" si="59"/>
        <v/>
      </c>
      <c r="AG482" s="51" t="str">
        <f t="shared" si="60"/>
        <v/>
      </c>
      <c r="AH482" s="51" t="str">
        <f t="shared" si="61"/>
        <v/>
      </c>
      <c r="BG482" s="15"/>
      <c r="BJ482" s="54">
        <v>1.9199999999999998E-2</v>
      </c>
      <c r="BM482" s="17"/>
      <c r="BN482" s="17"/>
      <c r="BO482" s="17"/>
      <c r="BP482" s="17"/>
      <c r="BQ482" s="17"/>
      <c r="BW482" s="17"/>
    </row>
    <row r="483" spans="1:75" hidden="1" x14ac:dyDescent="0.25">
      <c r="A483" s="15" t="s">
        <v>847</v>
      </c>
      <c r="B483" s="15" t="s">
        <v>142</v>
      </c>
      <c r="C483" s="15">
        <v>2015</v>
      </c>
      <c r="D483" s="15" t="s">
        <v>848</v>
      </c>
      <c r="E483" s="15">
        <v>9860</v>
      </c>
      <c r="F483" s="15">
        <v>125890949</v>
      </c>
      <c r="G483" s="15" t="s">
        <v>42</v>
      </c>
      <c r="H483" s="15" t="s">
        <v>110</v>
      </c>
      <c r="I483" s="15" t="s">
        <v>863</v>
      </c>
      <c r="J483" s="15" t="s">
        <v>864</v>
      </c>
      <c r="K483" s="15" t="s">
        <v>504</v>
      </c>
      <c r="L483" s="15" t="s">
        <v>858</v>
      </c>
      <c r="M483" s="15" t="s">
        <v>859</v>
      </c>
      <c r="N483" s="15" t="s">
        <v>860</v>
      </c>
      <c r="O483" s="15"/>
      <c r="P483" s="15"/>
      <c r="Q483" s="15"/>
      <c r="R483" s="15"/>
      <c r="S483" s="15"/>
      <c r="T483" s="15"/>
      <c r="U483" s="15"/>
      <c r="V483" s="15"/>
      <c r="W483" s="15"/>
      <c r="X483" s="15"/>
      <c r="AE483" s="51" t="str">
        <f t="shared" si="58"/>
        <v/>
      </c>
      <c r="AF483" s="51" t="str">
        <f t="shared" si="59"/>
        <v/>
      </c>
      <c r="AG483" s="51" t="str">
        <f t="shared" si="60"/>
        <v/>
      </c>
      <c r="AH483" s="51" t="str">
        <f t="shared" si="61"/>
        <v/>
      </c>
      <c r="BE483" s="16">
        <v>438475650000</v>
      </c>
      <c r="BF483" s="42">
        <v>0.18099999999999999</v>
      </c>
      <c r="BG483" s="17">
        <v>1786773930000</v>
      </c>
      <c r="BH483" s="42">
        <v>0.73899999999999999</v>
      </c>
      <c r="BK483" s="21">
        <v>4.6699999999999998E-2</v>
      </c>
      <c r="BM483" s="17"/>
      <c r="BN483" s="17"/>
      <c r="BO483" s="17"/>
      <c r="BP483" s="17"/>
      <c r="BQ483" s="17"/>
      <c r="BW483" s="17"/>
    </row>
    <row r="484" spans="1:75" hidden="1" x14ac:dyDescent="0.25">
      <c r="A484" s="15" t="s">
        <v>847</v>
      </c>
      <c r="B484" s="15" t="s">
        <v>142</v>
      </c>
      <c r="C484" s="15">
        <v>2014</v>
      </c>
      <c r="D484" s="15" t="s">
        <v>848</v>
      </c>
      <c r="E484" s="15">
        <v>10220</v>
      </c>
      <c r="F484" s="15">
        <v>124221600</v>
      </c>
      <c r="G484" s="15" t="s">
        <v>42</v>
      </c>
      <c r="H484" s="15" t="s">
        <v>110</v>
      </c>
      <c r="I484" s="15" t="s">
        <v>863</v>
      </c>
      <c r="J484" s="15" t="s">
        <v>864</v>
      </c>
      <c r="K484" s="15" t="s">
        <v>504</v>
      </c>
      <c r="L484" s="15" t="s">
        <v>858</v>
      </c>
      <c r="M484" s="15" t="s">
        <v>859</v>
      </c>
      <c r="N484" s="15" t="s">
        <v>860</v>
      </c>
      <c r="O484" s="15"/>
      <c r="P484" s="15"/>
      <c r="Q484" s="15"/>
      <c r="R484" s="15"/>
      <c r="S484" s="15"/>
      <c r="T484" s="15"/>
      <c r="U484" s="15"/>
      <c r="V484" s="15"/>
      <c r="W484" s="15"/>
      <c r="X484" s="15"/>
      <c r="AE484" s="51" t="str">
        <f t="shared" si="58"/>
        <v/>
      </c>
      <c r="AF484" s="51" t="str">
        <f t="shared" si="59"/>
        <v/>
      </c>
      <c r="AG484" s="51" t="str">
        <f t="shared" si="60"/>
        <v/>
      </c>
      <c r="AH484" s="51" t="str">
        <f t="shared" si="61"/>
        <v/>
      </c>
      <c r="BE484" s="16">
        <v>433608040000</v>
      </c>
      <c r="BF484" s="42">
        <v>0.193</v>
      </c>
      <c r="BG484" s="17">
        <v>1631630610000</v>
      </c>
      <c r="BH484" s="42">
        <v>0.72799999999999998</v>
      </c>
      <c r="BK484" s="21">
        <v>4.5100000000000001E-2</v>
      </c>
      <c r="BM484" s="17"/>
      <c r="BN484" s="17"/>
      <c r="BO484" s="17"/>
      <c r="BP484" s="17"/>
      <c r="BQ484" s="17"/>
      <c r="BW484" s="17"/>
    </row>
    <row r="485" spans="1:75" hidden="1" x14ac:dyDescent="0.25">
      <c r="A485" s="15" t="s">
        <v>847</v>
      </c>
      <c r="B485" s="15" t="s">
        <v>142</v>
      </c>
      <c r="C485" s="15">
        <v>2013</v>
      </c>
      <c r="D485" s="15" t="s">
        <v>848</v>
      </c>
      <c r="E485" s="15">
        <v>10010</v>
      </c>
      <c r="F485" s="15">
        <v>122535969</v>
      </c>
      <c r="G485" s="15" t="s">
        <v>42</v>
      </c>
      <c r="H485" s="15" t="s">
        <v>110</v>
      </c>
      <c r="I485" s="15" t="s">
        <v>863</v>
      </c>
      <c r="J485" s="15" t="s">
        <v>864</v>
      </c>
      <c r="K485" s="15" t="s">
        <v>504</v>
      </c>
      <c r="L485" s="15" t="s">
        <v>858</v>
      </c>
      <c r="M485" s="15" t="s">
        <v>859</v>
      </c>
      <c r="N485" s="15" t="s">
        <v>860</v>
      </c>
      <c r="O485" s="15"/>
      <c r="P485" s="15"/>
      <c r="Q485" s="15"/>
      <c r="R485" s="15"/>
      <c r="S485" s="15"/>
      <c r="T485" s="15"/>
      <c r="U485" s="15"/>
      <c r="V485" s="15"/>
      <c r="W485" s="15"/>
      <c r="X485" s="15"/>
      <c r="AE485" s="51" t="str">
        <f t="shared" si="58"/>
        <v/>
      </c>
      <c r="AF485" s="51" t="str">
        <f t="shared" si="59"/>
        <v/>
      </c>
      <c r="AG485" s="51" t="str">
        <f t="shared" si="60"/>
        <v/>
      </c>
      <c r="AH485" s="51" t="str">
        <f t="shared" si="61"/>
        <v/>
      </c>
      <c r="BE485" s="16">
        <v>433660410000</v>
      </c>
      <c r="BF485" s="42">
        <v>0.222</v>
      </c>
      <c r="BG485" s="17">
        <v>1355834930000</v>
      </c>
      <c r="BH485" s="42">
        <v>0.69499999999999995</v>
      </c>
      <c r="BK485" s="21">
        <v>4.1399999999999999E-2</v>
      </c>
      <c r="BM485" s="17"/>
      <c r="BN485" s="17"/>
      <c r="BO485" s="17"/>
      <c r="BP485" s="17"/>
      <c r="BQ485" s="17"/>
      <c r="BW485" s="17"/>
    </row>
    <row r="486" spans="1:75" hidden="1" x14ac:dyDescent="0.25">
      <c r="A486" s="15" t="s">
        <v>867</v>
      </c>
      <c r="B486" s="15" t="s">
        <v>30</v>
      </c>
      <c r="C486" s="15">
        <v>2017</v>
      </c>
      <c r="D486" s="15" t="s">
        <v>868</v>
      </c>
      <c r="E486" s="17">
        <v>2200</v>
      </c>
      <c r="F486" s="17">
        <v>3549196</v>
      </c>
      <c r="G486" s="15" t="s">
        <v>88</v>
      </c>
      <c r="H486" s="15" t="s">
        <v>43</v>
      </c>
      <c r="I486" s="15" t="s">
        <v>1717</v>
      </c>
      <c r="J486" s="15" t="s">
        <v>1718</v>
      </c>
      <c r="K486" s="15"/>
      <c r="L486" s="15" t="s">
        <v>493</v>
      </c>
      <c r="M486" s="15" t="s">
        <v>1719</v>
      </c>
      <c r="N486" s="15"/>
      <c r="O486" s="15"/>
      <c r="P486" s="15" t="s">
        <v>1720</v>
      </c>
      <c r="Q486" s="15" t="s">
        <v>502</v>
      </c>
      <c r="R486" s="15"/>
      <c r="S486" s="15" t="s">
        <v>869</v>
      </c>
      <c r="T486" s="15"/>
      <c r="U486" s="15" t="s">
        <v>1720</v>
      </c>
      <c r="V486" s="15" t="s">
        <v>502</v>
      </c>
      <c r="W486" s="15"/>
      <c r="X486" s="15"/>
      <c r="AB486" s="17">
        <v>53600</v>
      </c>
      <c r="AE486" s="51" t="str">
        <f t="shared" si="58"/>
        <v/>
      </c>
      <c r="AF486" s="51">
        <f t="shared" si="59"/>
        <v>15.102011835920022</v>
      </c>
      <c r="AG486" s="51" t="str">
        <f t="shared" si="60"/>
        <v/>
      </c>
      <c r="AH486" s="51" t="str">
        <f t="shared" si="61"/>
        <v/>
      </c>
      <c r="AL486" s="17">
        <v>323300</v>
      </c>
      <c r="AV486" s="15" t="s">
        <v>1721</v>
      </c>
      <c r="BG486" s="15"/>
      <c r="BM486" s="17"/>
      <c r="BN486" s="17"/>
      <c r="BO486" s="17"/>
      <c r="BP486" s="17"/>
      <c r="BQ486" s="17"/>
      <c r="BW486" s="17"/>
    </row>
    <row r="487" spans="1:75" hidden="1" x14ac:dyDescent="0.25">
      <c r="A487" s="15" t="s">
        <v>870</v>
      </c>
      <c r="B487" s="15" t="s">
        <v>52</v>
      </c>
      <c r="C487" s="15">
        <v>2016</v>
      </c>
      <c r="D487" s="15" t="s">
        <v>871</v>
      </c>
      <c r="E487" s="15">
        <v>3590</v>
      </c>
      <c r="F487" s="15">
        <v>3075647</v>
      </c>
      <c r="G487" s="15" t="s">
        <v>88</v>
      </c>
      <c r="H487" s="15" t="s">
        <v>77</v>
      </c>
      <c r="I487" s="15" t="s">
        <v>866</v>
      </c>
      <c r="J487" s="15" t="s">
        <v>872</v>
      </c>
      <c r="K487" s="15" t="s">
        <v>1799</v>
      </c>
      <c r="L487" s="15" t="s">
        <v>1800</v>
      </c>
      <c r="M487" s="15" t="s">
        <v>1801</v>
      </c>
      <c r="N487" s="15" t="s">
        <v>1802</v>
      </c>
      <c r="O487" s="15"/>
      <c r="P487" s="15"/>
      <c r="Q487" s="15"/>
      <c r="R487" s="15"/>
      <c r="S487" s="15"/>
      <c r="T487" s="15" t="s">
        <v>1803</v>
      </c>
      <c r="U487" s="15" t="s">
        <v>1804</v>
      </c>
      <c r="V487" s="15" t="s">
        <v>1805</v>
      </c>
      <c r="W487" s="15" t="s">
        <v>1806</v>
      </c>
      <c r="X487" s="15" t="s">
        <v>873</v>
      </c>
      <c r="AB487" s="17">
        <v>56189</v>
      </c>
      <c r="AE487" s="51" t="str">
        <f>IF(ISERROR((Y487/$F487)*1000),"",IF((Y487/$F487)*1000=0,"",(Y487/$F487)*1000))</f>
        <v/>
      </c>
      <c r="AF487" s="51">
        <f t="shared" ref="AF487:AH491" si="62">IF(ISERROR((AB487/$F487)*1000),"",IF((AB487/$F487)*1000=0,"",(AB487/$F487)*1000))</f>
        <v>18.269001611693412</v>
      </c>
      <c r="AG487" s="51" t="str">
        <f t="shared" si="62"/>
        <v/>
      </c>
      <c r="AH487" s="51" t="str">
        <f t="shared" si="62"/>
        <v/>
      </c>
      <c r="BG487" s="15"/>
      <c r="BM487" s="17"/>
      <c r="BN487" s="17"/>
      <c r="BO487" s="17"/>
      <c r="BP487" s="17"/>
      <c r="BQ487" s="17"/>
      <c r="BW487" s="17"/>
    </row>
    <row r="488" spans="1:75" hidden="1" x14ac:dyDescent="0.25">
      <c r="A488" s="15" t="s">
        <v>870</v>
      </c>
      <c r="B488" s="15" t="s">
        <v>52</v>
      </c>
      <c r="C488" s="15">
        <v>2015</v>
      </c>
      <c r="D488" s="15" t="s">
        <v>871</v>
      </c>
      <c r="E488" s="15">
        <v>3850</v>
      </c>
      <c r="F488" s="15">
        <v>2976877</v>
      </c>
      <c r="G488" s="15" t="s">
        <v>88</v>
      </c>
      <c r="H488" s="15" t="s">
        <v>77</v>
      </c>
      <c r="I488" s="15" t="s">
        <v>866</v>
      </c>
      <c r="J488" s="15" t="s">
        <v>874</v>
      </c>
      <c r="K488" s="15" t="s">
        <v>1807</v>
      </c>
      <c r="L488" s="15" t="s">
        <v>1800</v>
      </c>
      <c r="M488" s="15" t="s">
        <v>1801</v>
      </c>
      <c r="N488" s="15" t="s">
        <v>1802</v>
      </c>
      <c r="O488" s="15"/>
      <c r="P488" s="15"/>
      <c r="Q488" s="15"/>
      <c r="R488" s="15"/>
      <c r="S488" s="15"/>
      <c r="T488" s="15" t="s">
        <v>1803</v>
      </c>
      <c r="U488" s="15" t="s">
        <v>1804</v>
      </c>
      <c r="V488" s="15" t="s">
        <v>1805</v>
      </c>
      <c r="W488" s="15" t="s">
        <v>1806</v>
      </c>
      <c r="X488" s="15" t="s">
        <v>873</v>
      </c>
      <c r="AB488" s="17">
        <v>50431</v>
      </c>
      <c r="AE488" s="51" t="str">
        <f>IF(ISERROR((Y488/$F488)*1000),"",IF((Y488/$F488)*1000=0,"",(Y488/$F488)*1000))</f>
        <v/>
      </c>
      <c r="AF488" s="51">
        <f t="shared" si="62"/>
        <v>16.940908206822115</v>
      </c>
      <c r="AG488" s="51" t="str">
        <f t="shared" si="62"/>
        <v/>
      </c>
      <c r="AH488" s="51" t="str">
        <f t="shared" si="62"/>
        <v/>
      </c>
      <c r="BG488" s="15"/>
      <c r="BM488" s="17"/>
      <c r="BN488" s="17"/>
      <c r="BO488" s="17"/>
      <c r="BP488" s="17"/>
      <c r="BQ488" s="17"/>
      <c r="BW488" s="17"/>
    </row>
    <row r="489" spans="1:75" hidden="1" x14ac:dyDescent="0.25">
      <c r="A489" s="15" t="s">
        <v>870</v>
      </c>
      <c r="B489" s="15" t="s">
        <v>52</v>
      </c>
      <c r="C489" s="15">
        <v>2014</v>
      </c>
      <c r="D489" s="15" t="s">
        <v>871</v>
      </c>
      <c r="E489" s="15">
        <v>4240</v>
      </c>
      <c r="F489" s="15">
        <v>2923896</v>
      </c>
      <c r="G489" s="15" t="s">
        <v>88</v>
      </c>
      <c r="H489" s="15" t="s">
        <v>77</v>
      </c>
      <c r="I489" s="15" t="s">
        <v>866</v>
      </c>
      <c r="J489" s="15" t="s">
        <v>875</v>
      </c>
      <c r="K489" s="15" t="s">
        <v>1807</v>
      </c>
      <c r="L489" s="15" t="s">
        <v>1800</v>
      </c>
      <c r="M489" s="15" t="s">
        <v>1801</v>
      </c>
      <c r="N489" s="15" t="s">
        <v>1802</v>
      </c>
      <c r="O489" s="15"/>
      <c r="P489" s="15"/>
      <c r="Q489" s="15"/>
      <c r="R489" s="15"/>
      <c r="S489" s="15"/>
      <c r="T489" s="15" t="s">
        <v>1803</v>
      </c>
      <c r="U489" s="15" t="s">
        <v>1804</v>
      </c>
      <c r="V489" s="15" t="s">
        <v>1805</v>
      </c>
      <c r="W489" s="15" t="s">
        <v>1806</v>
      </c>
      <c r="X489" s="15" t="s">
        <v>873</v>
      </c>
      <c r="AB489" s="17">
        <v>47722</v>
      </c>
      <c r="AE489" s="51" t="str">
        <f>IF(ISERROR((Y489/$F489)*1000),"",IF((Y489/$F489)*1000=0,"",(Y489/$F489)*1000))</f>
        <v/>
      </c>
      <c r="AF489" s="51">
        <f t="shared" si="62"/>
        <v>16.321373947636989</v>
      </c>
      <c r="AG489" s="51" t="str">
        <f t="shared" si="62"/>
        <v/>
      </c>
      <c r="AH489" s="51" t="str">
        <f t="shared" si="62"/>
        <v/>
      </c>
      <c r="BG489" s="15"/>
      <c r="BM489" s="17"/>
      <c r="BN489" s="17"/>
      <c r="BO489" s="17"/>
      <c r="BP489" s="17"/>
      <c r="BQ489" s="17"/>
      <c r="BW489" s="17"/>
    </row>
    <row r="490" spans="1:75" hidden="1" x14ac:dyDescent="0.25">
      <c r="A490" s="15" t="s">
        <v>870</v>
      </c>
      <c r="B490" s="15" t="s">
        <v>52</v>
      </c>
      <c r="C490" s="15">
        <v>2013</v>
      </c>
      <c r="D490" s="15" t="s">
        <v>871</v>
      </c>
      <c r="E490" s="15">
        <v>4350</v>
      </c>
      <c r="F490" s="15">
        <v>2869107</v>
      </c>
      <c r="G490" s="15" t="s">
        <v>88</v>
      </c>
      <c r="H490" s="15" t="s">
        <v>77</v>
      </c>
      <c r="I490" s="15" t="s">
        <v>866</v>
      </c>
      <c r="J490" s="15" t="s">
        <v>876</v>
      </c>
      <c r="K490" s="15" t="s">
        <v>1807</v>
      </c>
      <c r="L490" s="15" t="s">
        <v>1800</v>
      </c>
      <c r="M490" s="15" t="s">
        <v>1801</v>
      </c>
      <c r="N490" s="15" t="s">
        <v>1802</v>
      </c>
      <c r="O490" s="15"/>
      <c r="P490" s="15"/>
      <c r="Q490" s="15"/>
      <c r="R490" s="15"/>
      <c r="S490" s="15"/>
      <c r="T490" s="15" t="s">
        <v>1803</v>
      </c>
      <c r="U490" s="15" t="s">
        <v>1804</v>
      </c>
      <c r="V490" s="15" t="s">
        <v>1805</v>
      </c>
      <c r="W490" s="15" t="s">
        <v>1806</v>
      </c>
      <c r="X490" s="15" t="s">
        <v>873</v>
      </c>
      <c r="AB490" s="17">
        <v>43624</v>
      </c>
      <c r="AE490" s="51" t="str">
        <f>IF(ISERROR((Y490/$F490)*1000),"",IF((Y490/$F490)*1000=0,"",(Y490/$F490)*1000))</f>
        <v/>
      </c>
      <c r="AF490" s="51">
        <f t="shared" si="62"/>
        <v>15.204730949385993</v>
      </c>
      <c r="AG490" s="51" t="str">
        <f t="shared" si="62"/>
        <v/>
      </c>
      <c r="AH490" s="51" t="str">
        <f t="shared" si="62"/>
        <v/>
      </c>
      <c r="BG490" s="15"/>
      <c r="BM490" s="17"/>
      <c r="BN490" s="17"/>
      <c r="BO490" s="17"/>
      <c r="BP490" s="17"/>
      <c r="BQ490" s="17"/>
      <c r="BW490" s="17"/>
    </row>
    <row r="491" spans="1:75" hidden="1" x14ac:dyDescent="0.25">
      <c r="A491" s="15" t="s">
        <v>870</v>
      </c>
      <c r="B491" s="15" t="s">
        <v>2025</v>
      </c>
      <c r="C491" s="15">
        <v>2016</v>
      </c>
      <c r="D491" s="15" t="s">
        <v>871</v>
      </c>
      <c r="E491" s="15">
        <v>3590</v>
      </c>
      <c r="F491" s="15">
        <v>3075647</v>
      </c>
      <c r="G491" s="15" t="s">
        <v>88</v>
      </c>
      <c r="H491" s="15" t="s">
        <v>77</v>
      </c>
      <c r="I491" s="15" t="s">
        <v>1808</v>
      </c>
      <c r="J491" s="15" t="s">
        <v>1809</v>
      </c>
      <c r="K491" s="15" t="s">
        <v>1810</v>
      </c>
      <c r="L491" s="15" t="s">
        <v>1811</v>
      </c>
      <c r="M491" s="15" t="s">
        <v>1812</v>
      </c>
      <c r="N491" s="15" t="s">
        <v>1674</v>
      </c>
      <c r="O491" s="15"/>
      <c r="P491" s="15"/>
      <c r="Q491" s="15"/>
      <c r="R491" s="15"/>
      <c r="S491" s="15"/>
      <c r="T491" s="15"/>
      <c r="U491" s="15"/>
      <c r="V491" s="15"/>
      <c r="W491" s="15"/>
      <c r="X491" s="15" t="s">
        <v>873</v>
      </c>
      <c r="AC491" s="17">
        <f>1006+6627+51941+12089+9547+5346+2047+3893+1433+9669+374+3641+9956+3313</f>
        <v>120882</v>
      </c>
      <c r="AE491" s="51" t="str">
        <f>IF(ISERROR((Y491/$F491)*1000),"",IF((Y491/$F491)*1000=0,"",(Y491/$F491)*1000))</f>
        <v/>
      </c>
      <c r="AF491" s="51" t="str">
        <f t="shared" si="62"/>
        <v/>
      </c>
      <c r="AG491" s="51">
        <f t="shared" si="62"/>
        <v>39.302949915903874</v>
      </c>
      <c r="AH491" s="51" t="str">
        <f t="shared" si="62"/>
        <v/>
      </c>
      <c r="AM491" s="17">
        <f>46700+370000+131300+25800+64900+70800+17400+86300+62900+59200+21200+37500+27200+30200</f>
        <v>1051400</v>
      </c>
      <c r="BB491" s="43">
        <v>0.14399999999999999</v>
      </c>
      <c r="BE491" s="15">
        <f>0.174*12093000000</f>
        <v>2104181999.9999998</v>
      </c>
      <c r="BM491" s="17"/>
      <c r="BN491" s="17"/>
      <c r="BO491" s="17"/>
      <c r="BP491" s="17"/>
      <c r="BQ491" s="17"/>
      <c r="BW491" s="17"/>
    </row>
    <row r="492" spans="1:75" hidden="1" x14ac:dyDescent="0.25">
      <c r="A492" s="15" t="s">
        <v>877</v>
      </c>
      <c r="B492" s="15" t="s">
        <v>30</v>
      </c>
      <c r="C492" s="15">
        <v>2017</v>
      </c>
      <c r="D492" s="15" t="s">
        <v>878</v>
      </c>
      <c r="E492" s="15">
        <v>7280</v>
      </c>
      <c r="F492" s="15">
        <v>622159</v>
      </c>
      <c r="G492" s="15" t="s">
        <v>42</v>
      </c>
      <c r="H492" s="15" t="s">
        <v>43</v>
      </c>
      <c r="I492" s="15" t="s">
        <v>879</v>
      </c>
      <c r="J492" s="15" t="s">
        <v>1813</v>
      </c>
      <c r="K492" s="15"/>
      <c r="L492" s="15" t="s">
        <v>880</v>
      </c>
      <c r="M492" s="15" t="s">
        <v>62</v>
      </c>
      <c r="N492" s="15" t="s">
        <v>63</v>
      </c>
      <c r="O492" s="15"/>
      <c r="P492" s="15" t="s">
        <v>168</v>
      </c>
      <c r="Q492" s="15" t="s">
        <v>881</v>
      </c>
      <c r="R492" s="15" t="s">
        <v>501</v>
      </c>
      <c r="S492" s="15" t="s">
        <v>55</v>
      </c>
      <c r="T492" s="15"/>
      <c r="U492" s="15" t="s">
        <v>168</v>
      </c>
      <c r="V492" s="15" t="s">
        <v>169</v>
      </c>
      <c r="W492" s="15" t="s">
        <v>503</v>
      </c>
      <c r="X492" s="15" t="s">
        <v>55</v>
      </c>
      <c r="AE492" s="51" t="str">
        <f t="shared" si="58"/>
        <v/>
      </c>
      <c r="AF492" s="51" t="str">
        <f t="shared" si="59"/>
        <v/>
      </c>
      <c r="AG492" s="51" t="str">
        <f t="shared" si="60"/>
        <v/>
      </c>
      <c r="AH492" s="51" t="str">
        <f t="shared" si="61"/>
        <v/>
      </c>
      <c r="AP492" s="17">
        <v>764721000</v>
      </c>
      <c r="AQ492" s="17">
        <v>537747000</v>
      </c>
      <c r="AR492" s="17">
        <f>AQ492+AP492</f>
        <v>1302468000</v>
      </c>
      <c r="AS492" s="17">
        <f>AR492</f>
        <v>1302468000</v>
      </c>
      <c r="AT492" s="17">
        <v>572264000</v>
      </c>
      <c r="AU492" s="15" t="s">
        <v>882</v>
      </c>
      <c r="BG492" s="15"/>
      <c r="BM492" s="17"/>
      <c r="BN492" s="17"/>
      <c r="BO492" s="17"/>
      <c r="BP492" s="17"/>
      <c r="BQ492" s="17"/>
      <c r="BW492" s="17"/>
    </row>
    <row r="493" spans="1:75" hidden="1" x14ac:dyDescent="0.25">
      <c r="A493" s="15" t="s">
        <v>877</v>
      </c>
      <c r="B493" s="15" t="s">
        <v>30</v>
      </c>
      <c r="C493" s="15">
        <v>2016</v>
      </c>
      <c r="D493" s="15" t="s">
        <v>878</v>
      </c>
      <c r="E493" s="15">
        <v>7280</v>
      </c>
      <c r="F493" s="15">
        <v>622159</v>
      </c>
      <c r="G493" s="15" t="s">
        <v>42</v>
      </c>
      <c r="H493" s="15" t="s">
        <v>43</v>
      </c>
      <c r="I493" s="15" t="s">
        <v>879</v>
      </c>
      <c r="J493" s="15" t="s">
        <v>1813</v>
      </c>
      <c r="K493" s="15"/>
      <c r="L493" s="15" t="s">
        <v>880</v>
      </c>
      <c r="M493" s="15" t="s">
        <v>62</v>
      </c>
      <c r="N493" s="15" t="s">
        <v>63</v>
      </c>
      <c r="O493" s="15"/>
      <c r="P493" s="15" t="s">
        <v>168</v>
      </c>
      <c r="Q493" s="15" t="s">
        <v>881</v>
      </c>
      <c r="R493" s="15" t="s">
        <v>501</v>
      </c>
      <c r="S493" s="15" t="s">
        <v>55</v>
      </c>
      <c r="T493" s="15"/>
      <c r="U493" s="15" t="s">
        <v>168</v>
      </c>
      <c r="V493" s="15" t="s">
        <v>169</v>
      </c>
      <c r="W493" s="15" t="s">
        <v>503</v>
      </c>
      <c r="X493" s="15" t="s">
        <v>55</v>
      </c>
      <c r="AE493" s="51" t="str">
        <f t="shared" si="58"/>
        <v/>
      </c>
      <c r="AF493" s="51" t="str">
        <f t="shared" si="59"/>
        <v/>
      </c>
      <c r="AG493" s="51" t="str">
        <f t="shared" si="60"/>
        <v/>
      </c>
      <c r="AH493" s="51" t="str">
        <f t="shared" si="61"/>
        <v/>
      </c>
      <c r="AP493" s="17">
        <v>714843000</v>
      </c>
      <c r="AQ493" s="17">
        <v>412700000</v>
      </c>
      <c r="AR493" s="17">
        <f>AQ493+AP493</f>
        <v>1127543000</v>
      </c>
      <c r="AS493" s="17">
        <f>AR493</f>
        <v>1127543000</v>
      </c>
      <c r="AT493" s="17">
        <v>472291000</v>
      </c>
      <c r="AU493" s="15" t="s">
        <v>882</v>
      </c>
      <c r="BG493" s="15"/>
      <c r="BM493" s="17"/>
      <c r="BN493" s="17"/>
      <c r="BO493" s="17"/>
      <c r="BP493" s="17"/>
      <c r="BQ493" s="17"/>
      <c r="BW493" s="17"/>
    </row>
    <row r="494" spans="1:75" hidden="1" x14ac:dyDescent="0.25">
      <c r="A494" s="15" t="s">
        <v>877</v>
      </c>
      <c r="B494" s="15" t="s">
        <v>30</v>
      </c>
      <c r="C494" s="15">
        <v>2015</v>
      </c>
      <c r="D494" s="15" t="s">
        <v>878</v>
      </c>
      <c r="E494" s="15">
        <v>7280</v>
      </c>
      <c r="F494" s="15">
        <v>622159</v>
      </c>
      <c r="G494" s="15" t="s">
        <v>42</v>
      </c>
      <c r="H494" s="15" t="s">
        <v>43</v>
      </c>
      <c r="I494" s="15" t="s">
        <v>879</v>
      </c>
      <c r="J494" s="15" t="s">
        <v>1813</v>
      </c>
      <c r="K494" s="15"/>
      <c r="L494" s="15" t="s">
        <v>880</v>
      </c>
      <c r="M494" s="15" t="s">
        <v>62</v>
      </c>
      <c r="N494" s="15" t="s">
        <v>63</v>
      </c>
      <c r="O494" s="15"/>
      <c r="P494" s="15" t="s">
        <v>168</v>
      </c>
      <c r="Q494" s="15" t="s">
        <v>881</v>
      </c>
      <c r="R494" s="15" t="s">
        <v>501</v>
      </c>
      <c r="S494" s="15" t="s">
        <v>55</v>
      </c>
      <c r="T494" s="15"/>
      <c r="U494" s="15" t="s">
        <v>168</v>
      </c>
      <c r="V494" s="15" t="s">
        <v>169</v>
      </c>
      <c r="W494" s="15" t="s">
        <v>503</v>
      </c>
      <c r="X494" s="15" t="s">
        <v>55</v>
      </c>
      <c r="AE494" s="51" t="str">
        <f t="shared" si="58"/>
        <v/>
      </c>
      <c r="AF494" s="51" t="str">
        <f t="shared" si="59"/>
        <v/>
      </c>
      <c r="AG494" s="51" t="str">
        <f t="shared" si="60"/>
        <v/>
      </c>
      <c r="AH494" s="51" t="str">
        <f t="shared" si="61"/>
        <v/>
      </c>
      <c r="AP494" s="17">
        <v>571925000</v>
      </c>
      <c r="AQ494" s="17">
        <v>398888000</v>
      </c>
      <c r="AR494" s="17">
        <v>970813000</v>
      </c>
      <c r="AS494" s="17">
        <v>970813000</v>
      </c>
      <c r="AT494" s="17">
        <v>440827000</v>
      </c>
      <c r="AU494" s="15" t="s">
        <v>882</v>
      </c>
      <c r="BG494" s="15"/>
      <c r="BM494" s="17"/>
      <c r="BN494" s="17"/>
      <c r="BO494" s="17"/>
      <c r="BP494" s="17"/>
      <c r="BQ494" s="17"/>
      <c r="BW494" s="17"/>
    </row>
    <row r="495" spans="1:75" hidden="1" x14ac:dyDescent="0.25">
      <c r="A495" s="15" t="s">
        <v>877</v>
      </c>
      <c r="B495" s="15" t="s">
        <v>30</v>
      </c>
      <c r="C495" s="15">
        <v>2014</v>
      </c>
      <c r="D495" s="15" t="s">
        <v>878</v>
      </c>
      <c r="E495" s="15">
        <v>7320</v>
      </c>
      <c r="F495" s="15">
        <v>621810</v>
      </c>
      <c r="G495" s="15" t="s">
        <v>42</v>
      </c>
      <c r="H495" s="15" t="s">
        <v>43</v>
      </c>
      <c r="I495" s="15" t="s">
        <v>879</v>
      </c>
      <c r="J495" s="15" t="s">
        <v>1813</v>
      </c>
      <c r="K495" s="15"/>
      <c r="L495" s="15" t="s">
        <v>880</v>
      </c>
      <c r="M495" s="15" t="s">
        <v>62</v>
      </c>
      <c r="N495" s="15" t="s">
        <v>63</v>
      </c>
      <c r="O495" s="15"/>
      <c r="P495" s="15" t="s">
        <v>168</v>
      </c>
      <c r="Q495" s="15" t="s">
        <v>881</v>
      </c>
      <c r="R495" s="15" t="s">
        <v>501</v>
      </c>
      <c r="S495" s="15" t="s">
        <v>55</v>
      </c>
      <c r="T495" s="15"/>
      <c r="U495" s="15" t="s">
        <v>168</v>
      </c>
      <c r="V495" s="15" t="s">
        <v>169</v>
      </c>
      <c r="W495" s="15" t="s">
        <v>503</v>
      </c>
      <c r="X495" s="15" t="s">
        <v>55</v>
      </c>
      <c r="AE495" s="51" t="str">
        <f t="shared" si="58"/>
        <v/>
      </c>
      <c r="AF495" s="51" t="str">
        <f t="shared" si="59"/>
        <v/>
      </c>
      <c r="AG495" s="51" t="str">
        <f t="shared" si="60"/>
        <v/>
      </c>
      <c r="AH495" s="51" t="str">
        <f t="shared" si="61"/>
        <v/>
      </c>
      <c r="AP495" s="17">
        <v>540975000</v>
      </c>
      <c r="AQ495" s="17">
        <v>387790000</v>
      </c>
      <c r="AR495" s="17">
        <v>928765000</v>
      </c>
      <c r="AS495" s="17">
        <v>928765000</v>
      </c>
      <c r="AT495" s="17">
        <v>453233000</v>
      </c>
      <c r="BG495" s="15"/>
      <c r="BM495" s="17"/>
      <c r="BN495" s="17"/>
      <c r="BO495" s="17"/>
      <c r="BP495" s="17"/>
      <c r="BQ495" s="17"/>
      <c r="BW495" s="17"/>
    </row>
    <row r="496" spans="1:75" hidden="1" x14ac:dyDescent="0.25">
      <c r="A496" s="15" t="s">
        <v>877</v>
      </c>
      <c r="B496" s="15" t="s">
        <v>30</v>
      </c>
      <c r="C496" s="15">
        <v>2013</v>
      </c>
      <c r="D496" s="15" t="s">
        <v>878</v>
      </c>
      <c r="E496" s="15">
        <v>7330</v>
      </c>
      <c r="F496" s="15">
        <v>621207</v>
      </c>
      <c r="G496" s="15" t="s">
        <v>42</v>
      </c>
      <c r="H496" s="15" t="s">
        <v>43</v>
      </c>
      <c r="I496" s="15" t="s">
        <v>879</v>
      </c>
      <c r="J496" s="15" t="s">
        <v>1814</v>
      </c>
      <c r="K496" s="15"/>
      <c r="L496" s="15" t="s">
        <v>883</v>
      </c>
      <c r="M496" s="15" t="s">
        <v>62</v>
      </c>
      <c r="N496" s="15" t="s">
        <v>63</v>
      </c>
      <c r="O496" s="15"/>
      <c r="P496" s="15" t="s">
        <v>168</v>
      </c>
      <c r="Q496" s="15" t="s">
        <v>881</v>
      </c>
      <c r="R496" s="15" t="s">
        <v>501</v>
      </c>
      <c r="S496" s="15" t="s">
        <v>55</v>
      </c>
      <c r="T496" s="15"/>
      <c r="U496" s="15" t="s">
        <v>168</v>
      </c>
      <c r="V496" s="15" t="s">
        <v>169</v>
      </c>
      <c r="W496" s="15" t="s">
        <v>503</v>
      </c>
      <c r="X496" s="15" t="s">
        <v>55</v>
      </c>
      <c r="AA496" s="17">
        <v>198</v>
      </c>
      <c r="AD496" s="17">
        <v>38</v>
      </c>
      <c r="AE496" s="51" t="str">
        <f t="shared" si="58"/>
        <v/>
      </c>
      <c r="AF496" s="51" t="str">
        <f t="shared" si="59"/>
        <v/>
      </c>
      <c r="AG496" s="51" t="str">
        <f t="shared" si="60"/>
        <v/>
      </c>
      <c r="AH496" s="51">
        <f t="shared" si="61"/>
        <v>6.1171235997018708E-2</v>
      </c>
      <c r="AP496" s="17">
        <v>480038000</v>
      </c>
      <c r="AQ496" s="17">
        <v>384396000</v>
      </c>
      <c r="AR496" s="17">
        <v>864434000</v>
      </c>
      <c r="AS496" s="17">
        <v>864434000</v>
      </c>
      <c r="AT496" s="17">
        <v>474745000</v>
      </c>
      <c r="BG496" s="15"/>
      <c r="BM496" s="17"/>
      <c r="BN496" s="17"/>
      <c r="BO496" s="17"/>
      <c r="BP496" s="17"/>
      <c r="BQ496" s="17"/>
      <c r="BW496" s="17"/>
    </row>
    <row r="497" spans="1:75" hidden="1" x14ac:dyDescent="0.25">
      <c r="A497" s="15" t="s">
        <v>877</v>
      </c>
      <c r="B497" s="15" t="s">
        <v>30</v>
      </c>
      <c r="C497" s="15">
        <v>2012</v>
      </c>
      <c r="D497" s="15" t="s">
        <v>878</v>
      </c>
      <c r="E497" s="15">
        <v>7000</v>
      </c>
      <c r="F497" s="15">
        <v>620601</v>
      </c>
      <c r="G497" s="15" t="s">
        <v>42</v>
      </c>
      <c r="H497" s="15" t="s">
        <v>43</v>
      </c>
      <c r="I497" s="15" t="s">
        <v>879</v>
      </c>
      <c r="J497" s="15" t="s">
        <v>1814</v>
      </c>
      <c r="K497" s="15"/>
      <c r="L497" s="15" t="s">
        <v>883</v>
      </c>
      <c r="M497" s="15" t="s">
        <v>62</v>
      </c>
      <c r="N497" s="15" t="s">
        <v>63</v>
      </c>
      <c r="O497" s="15"/>
      <c r="P497" s="15" t="s">
        <v>168</v>
      </c>
      <c r="Q497" s="15" t="s">
        <v>881</v>
      </c>
      <c r="R497" s="15" t="s">
        <v>501</v>
      </c>
      <c r="S497" s="15" t="s">
        <v>55</v>
      </c>
      <c r="T497" s="15"/>
      <c r="U497" s="15" t="s">
        <v>168</v>
      </c>
      <c r="V497" s="15" t="s">
        <v>169</v>
      </c>
      <c r="W497" s="15" t="s">
        <v>503</v>
      </c>
      <c r="X497" s="15" t="s">
        <v>55</v>
      </c>
      <c r="Z497" s="17">
        <v>23482</v>
      </c>
      <c r="AA497" s="17">
        <v>260</v>
      </c>
      <c r="AB497" s="17">
        <v>23742</v>
      </c>
      <c r="AC497" s="17">
        <v>23742</v>
      </c>
      <c r="AD497" s="17">
        <v>47</v>
      </c>
      <c r="AE497" s="51" t="str">
        <f t="shared" si="58"/>
        <v/>
      </c>
      <c r="AF497" s="51">
        <f t="shared" si="59"/>
        <v>38.256464298317276</v>
      </c>
      <c r="AG497" s="51">
        <f t="shared" si="60"/>
        <v>38.256464298317276</v>
      </c>
      <c r="AH497" s="51">
        <f t="shared" si="61"/>
        <v>7.5733039424686718E-2</v>
      </c>
      <c r="AP497" s="17">
        <v>422270000</v>
      </c>
      <c r="AQ497" s="17">
        <v>377547000</v>
      </c>
      <c r="AR497" s="17">
        <v>799817000</v>
      </c>
      <c r="AS497" s="17">
        <v>799817000</v>
      </c>
      <c r="AT497" s="17">
        <v>385130000</v>
      </c>
      <c r="BG497" s="15"/>
      <c r="BM497" s="17"/>
      <c r="BN497" s="17"/>
      <c r="BO497" s="17"/>
      <c r="BP497" s="17"/>
      <c r="BQ497" s="17"/>
      <c r="BW497" s="17"/>
    </row>
    <row r="498" spans="1:75" hidden="1" x14ac:dyDescent="0.25">
      <c r="A498" s="15" t="s">
        <v>877</v>
      </c>
      <c r="B498" s="15" t="s">
        <v>30</v>
      </c>
      <c r="C498" s="15">
        <v>2011</v>
      </c>
      <c r="D498" s="15" t="s">
        <v>878</v>
      </c>
      <c r="E498" s="15">
        <v>7250</v>
      </c>
      <c r="F498" s="15">
        <v>620079</v>
      </c>
      <c r="G498" s="15" t="s">
        <v>42</v>
      </c>
      <c r="H498" s="15" t="s">
        <v>43</v>
      </c>
      <c r="I498" s="15" t="s">
        <v>879</v>
      </c>
      <c r="J498" s="15" t="s">
        <v>1814</v>
      </c>
      <c r="K498" s="15"/>
      <c r="L498" s="15" t="s">
        <v>883</v>
      </c>
      <c r="M498" s="15" t="s">
        <v>62</v>
      </c>
      <c r="N498" s="15" t="s">
        <v>63</v>
      </c>
      <c r="O498" s="15"/>
      <c r="P498" s="15" t="s">
        <v>168</v>
      </c>
      <c r="Q498" s="15" t="s">
        <v>881</v>
      </c>
      <c r="R498" s="15" t="s">
        <v>501</v>
      </c>
      <c r="S498" s="15" t="s">
        <v>55</v>
      </c>
      <c r="T498" s="15"/>
      <c r="U498" s="15" t="s">
        <v>168</v>
      </c>
      <c r="V498" s="15" t="s">
        <v>169</v>
      </c>
      <c r="W498" s="15" t="s">
        <v>503</v>
      </c>
      <c r="X498" s="15" t="s">
        <v>55</v>
      </c>
      <c r="Z498" s="17">
        <v>20838</v>
      </c>
      <c r="AA498" s="17">
        <v>242</v>
      </c>
      <c r="AB498" s="17">
        <v>21080</v>
      </c>
      <c r="AC498" s="17">
        <v>21080</v>
      </c>
      <c r="AD498" s="17">
        <v>47</v>
      </c>
      <c r="AE498" s="51" t="str">
        <f t="shared" si="58"/>
        <v/>
      </c>
      <c r="AF498" s="51">
        <f t="shared" si="59"/>
        <v>33.995668293878687</v>
      </c>
      <c r="AG498" s="51">
        <f t="shared" si="60"/>
        <v>33.995668293878687</v>
      </c>
      <c r="AH498" s="51">
        <f t="shared" si="61"/>
        <v>7.5796793634359483E-2</v>
      </c>
      <c r="BG498" s="15"/>
      <c r="BM498" s="17"/>
      <c r="BN498" s="17"/>
      <c r="BO498" s="17"/>
      <c r="BP498" s="17"/>
      <c r="BQ498" s="17"/>
      <c r="BW498" s="17"/>
    </row>
    <row r="499" spans="1:75" hidden="1" x14ac:dyDescent="0.25">
      <c r="A499" s="15" t="s">
        <v>877</v>
      </c>
      <c r="B499" s="15" t="s">
        <v>30</v>
      </c>
      <c r="C499" s="15">
        <v>2010</v>
      </c>
      <c r="D499" s="15" t="s">
        <v>878</v>
      </c>
      <c r="E499" s="15">
        <v>6920</v>
      </c>
      <c r="F499" s="15">
        <v>619428</v>
      </c>
      <c r="G499" s="15" t="s">
        <v>42</v>
      </c>
      <c r="H499" s="15" t="s">
        <v>43</v>
      </c>
      <c r="I499" s="15" t="s">
        <v>879</v>
      </c>
      <c r="J499" s="15" t="s">
        <v>1814</v>
      </c>
      <c r="K499" s="15"/>
      <c r="L499" s="15" t="s">
        <v>883</v>
      </c>
      <c r="M499" s="15" t="s">
        <v>62</v>
      </c>
      <c r="N499" s="15" t="s">
        <v>63</v>
      </c>
      <c r="O499" s="15"/>
      <c r="P499" s="15" t="s">
        <v>168</v>
      </c>
      <c r="Q499" s="15" t="s">
        <v>881</v>
      </c>
      <c r="R499" s="15" t="s">
        <v>501</v>
      </c>
      <c r="S499" s="15" t="s">
        <v>55</v>
      </c>
      <c r="T499" s="15"/>
      <c r="U499" s="15" t="s">
        <v>168</v>
      </c>
      <c r="V499" s="15" t="s">
        <v>169</v>
      </c>
      <c r="W499" s="15" t="s">
        <v>503</v>
      </c>
      <c r="X499" s="15" t="s">
        <v>55</v>
      </c>
      <c r="Z499" s="17">
        <v>19118</v>
      </c>
      <c r="AA499" s="17">
        <v>238</v>
      </c>
      <c r="AB499" s="17">
        <v>19356</v>
      </c>
      <c r="AC499" s="17">
        <v>19356</v>
      </c>
      <c r="AD499" s="17">
        <v>42</v>
      </c>
      <c r="AE499" s="51" t="str">
        <f t="shared" si="58"/>
        <v/>
      </c>
      <c r="AF499" s="51">
        <f t="shared" si="59"/>
        <v>31.248183808287646</v>
      </c>
      <c r="AG499" s="51">
        <f t="shared" si="60"/>
        <v>31.248183808287646</v>
      </c>
      <c r="AH499" s="51">
        <f t="shared" si="61"/>
        <v>6.7804490594548517E-2</v>
      </c>
      <c r="BG499" s="15"/>
      <c r="BM499" s="17"/>
      <c r="BN499" s="17"/>
      <c r="BO499" s="17"/>
      <c r="BP499" s="17"/>
      <c r="BQ499" s="17"/>
      <c r="BW499" s="17"/>
    </row>
    <row r="500" spans="1:75" hidden="1" x14ac:dyDescent="0.25">
      <c r="A500" s="15" t="s">
        <v>877</v>
      </c>
      <c r="B500" s="15" t="s">
        <v>30</v>
      </c>
      <c r="C500" s="15">
        <v>2009</v>
      </c>
      <c r="D500" s="15" t="s">
        <v>878</v>
      </c>
      <c r="E500" s="15">
        <v>6740</v>
      </c>
      <c r="F500" s="15">
        <v>618294</v>
      </c>
      <c r="G500" s="15" t="s">
        <v>42</v>
      </c>
      <c r="H500" s="15" t="s">
        <v>43</v>
      </c>
      <c r="I500" s="15" t="s">
        <v>879</v>
      </c>
      <c r="J500" s="15" t="s">
        <v>1814</v>
      </c>
      <c r="K500" s="15"/>
      <c r="L500" s="15" t="s">
        <v>883</v>
      </c>
      <c r="M500" s="15" t="s">
        <v>62</v>
      </c>
      <c r="N500" s="15" t="s">
        <v>63</v>
      </c>
      <c r="O500" s="15"/>
      <c r="P500" s="15" t="s">
        <v>168</v>
      </c>
      <c r="Q500" s="15" t="s">
        <v>881</v>
      </c>
      <c r="R500" s="15" t="s">
        <v>501</v>
      </c>
      <c r="S500" s="15" t="s">
        <v>55</v>
      </c>
      <c r="T500" s="15"/>
      <c r="U500" s="15" t="s">
        <v>168</v>
      </c>
      <c r="V500" s="15" t="s">
        <v>169</v>
      </c>
      <c r="W500" s="15" t="s">
        <v>503</v>
      </c>
      <c r="X500" s="15" t="s">
        <v>55</v>
      </c>
      <c r="Z500" s="17">
        <v>19933</v>
      </c>
      <c r="AA500" s="17">
        <v>308</v>
      </c>
      <c r="AB500" s="17">
        <v>20241</v>
      </c>
      <c r="AC500" s="17">
        <v>20241</v>
      </c>
      <c r="AD500" s="17">
        <v>53</v>
      </c>
      <c r="AE500" s="51" t="str">
        <f t="shared" si="58"/>
        <v/>
      </c>
      <c r="AF500" s="51">
        <f t="shared" si="59"/>
        <v>32.736853341614186</v>
      </c>
      <c r="AG500" s="51">
        <f t="shared" si="60"/>
        <v>32.736853341614186</v>
      </c>
      <c r="AH500" s="51">
        <f t="shared" si="61"/>
        <v>8.5719738506276955E-2</v>
      </c>
      <c r="BG500" s="15"/>
      <c r="BM500" s="17"/>
      <c r="BN500" s="17"/>
      <c r="BO500" s="17"/>
      <c r="BP500" s="17"/>
      <c r="BQ500" s="17"/>
      <c r="BW500" s="17"/>
    </row>
    <row r="501" spans="1:75" hidden="1" x14ac:dyDescent="0.25">
      <c r="A501" s="15" t="s">
        <v>884</v>
      </c>
      <c r="B501" s="15" t="s">
        <v>30</v>
      </c>
      <c r="C501" s="15">
        <v>2002</v>
      </c>
      <c r="D501" s="15" t="s">
        <v>885</v>
      </c>
      <c r="E501" s="15">
        <v>1370</v>
      </c>
      <c r="F501" s="15">
        <v>29512368</v>
      </c>
      <c r="G501" s="15" t="s">
        <v>88</v>
      </c>
      <c r="H501" s="15" t="s">
        <v>58</v>
      </c>
      <c r="I501" s="15" t="s">
        <v>1725</v>
      </c>
      <c r="J501" s="15" t="s">
        <v>887</v>
      </c>
      <c r="K501" s="15" t="s">
        <v>92</v>
      </c>
      <c r="L501" s="15" t="s">
        <v>48</v>
      </c>
      <c r="M501" s="15" t="s">
        <v>541</v>
      </c>
      <c r="N501" s="15" t="s">
        <v>1726</v>
      </c>
      <c r="O501" s="15"/>
      <c r="P501" s="15"/>
      <c r="Q501" s="15"/>
      <c r="R501" s="15"/>
      <c r="S501" s="15"/>
      <c r="T501" s="15"/>
      <c r="U501" s="15"/>
      <c r="V501" s="15"/>
      <c r="W501" s="15"/>
      <c r="X501" s="15"/>
      <c r="Y501" s="17">
        <v>733662</v>
      </c>
      <c r="Z501" s="17">
        <v>14123</v>
      </c>
      <c r="AA501" s="17">
        <v>2417</v>
      </c>
      <c r="AB501" s="17">
        <f>+Z501+AA501</f>
        <v>16540</v>
      </c>
      <c r="AC501" s="17">
        <f>+Y501+AB501</f>
        <v>750202</v>
      </c>
      <c r="AD501" s="17">
        <v>714</v>
      </c>
      <c r="AE501" s="51">
        <f t="shared" si="58"/>
        <v>24.859475864491795</v>
      </c>
      <c r="AF501" s="51">
        <f t="shared" si="59"/>
        <v>0.56044299800002495</v>
      </c>
      <c r="AG501" s="51">
        <f t="shared" si="60"/>
        <v>25.419918862491819</v>
      </c>
      <c r="AH501" s="51">
        <f t="shared" si="61"/>
        <v>2.4193246709311837E-2</v>
      </c>
      <c r="AI501" s="17">
        <f>332466+473122+277827+22874+141884</f>
        <v>1248173</v>
      </c>
      <c r="AJ501" s="17">
        <f>119588+140581</f>
        <v>260169</v>
      </c>
      <c r="AK501" s="17">
        <f>102303+120072</f>
        <v>222375</v>
      </c>
      <c r="AL501" s="17">
        <f>+AJ501+AK501</f>
        <v>482544</v>
      </c>
      <c r="AM501" s="17">
        <f>+AL501+AI501</f>
        <v>1730717</v>
      </c>
      <c r="AN501" s="17">
        <v>308575</v>
      </c>
      <c r="BG501" s="15"/>
      <c r="BM501" s="17"/>
      <c r="BN501" s="17"/>
      <c r="BO501" s="17"/>
      <c r="BP501" s="17"/>
      <c r="BQ501" s="17"/>
      <c r="BW501" s="17"/>
    </row>
    <row r="502" spans="1:75" hidden="1" x14ac:dyDescent="0.25">
      <c r="A502" s="15" t="s">
        <v>889</v>
      </c>
      <c r="B502" s="15" t="s">
        <v>30</v>
      </c>
      <c r="C502" s="15">
        <v>2015</v>
      </c>
      <c r="D502" s="15" t="s">
        <v>890</v>
      </c>
      <c r="E502" s="15">
        <v>580</v>
      </c>
      <c r="F502" s="15">
        <v>28010691</v>
      </c>
      <c r="G502" s="15" t="s">
        <v>32</v>
      </c>
      <c r="H502" s="15" t="s">
        <v>89</v>
      </c>
      <c r="I502" s="15" t="s">
        <v>891</v>
      </c>
      <c r="J502" s="15" t="s">
        <v>892</v>
      </c>
      <c r="K502" s="15"/>
      <c r="L502" s="15" t="s">
        <v>92</v>
      </c>
      <c r="M502" s="15" t="s">
        <v>893</v>
      </c>
      <c r="N502" s="15" t="s">
        <v>1670</v>
      </c>
      <c r="O502" s="15"/>
      <c r="P502" s="15"/>
      <c r="Q502" s="15"/>
      <c r="R502" s="15"/>
      <c r="S502" s="15" t="s">
        <v>1713</v>
      </c>
      <c r="T502" s="15"/>
      <c r="U502" s="15"/>
      <c r="V502" s="15"/>
      <c r="W502" s="15"/>
      <c r="X502" s="15" t="s">
        <v>1713</v>
      </c>
      <c r="Z502" s="17">
        <v>39873</v>
      </c>
      <c r="AA502" s="17">
        <v>1798</v>
      </c>
      <c r="AB502" s="17">
        <v>41671</v>
      </c>
      <c r="AC502" s="17">
        <f>AB502</f>
        <v>41671</v>
      </c>
      <c r="AD502" s="17">
        <v>1338</v>
      </c>
      <c r="AE502" s="51" t="str">
        <f t="shared" si="58"/>
        <v/>
      </c>
      <c r="AF502" s="51">
        <f t="shared" si="59"/>
        <v>1.4876819711445177</v>
      </c>
      <c r="AG502" s="51">
        <f t="shared" si="60"/>
        <v>1.4876819711445177</v>
      </c>
      <c r="AH502" s="51">
        <f t="shared" si="61"/>
        <v>4.7767475639926199E-2</v>
      </c>
      <c r="AJ502" s="17">
        <v>162492</v>
      </c>
      <c r="AK502" s="17">
        <v>45822</v>
      </c>
      <c r="AL502" s="17">
        <v>208314</v>
      </c>
      <c r="AM502" s="17">
        <f>AL502</f>
        <v>208314</v>
      </c>
      <c r="AN502" s="17">
        <v>254625</v>
      </c>
      <c r="AP502" s="17">
        <v>163406211000</v>
      </c>
      <c r="AQ502" s="17">
        <v>34323267000</v>
      </c>
      <c r="AR502" s="17">
        <v>197729000000</v>
      </c>
      <c r="AT502" s="17">
        <v>648664778000</v>
      </c>
      <c r="AV502" s="15" t="s">
        <v>892</v>
      </c>
      <c r="BG502" s="15"/>
      <c r="BM502" s="17"/>
      <c r="BN502" s="17"/>
      <c r="BO502" s="17"/>
      <c r="BP502" s="17"/>
      <c r="BQ502" s="17"/>
      <c r="BW502" s="17"/>
    </row>
    <row r="503" spans="1:75" hidden="1" x14ac:dyDescent="0.25">
      <c r="A503" s="15" t="s">
        <v>894</v>
      </c>
      <c r="B503" s="15" t="s">
        <v>30</v>
      </c>
      <c r="C503" s="15">
        <v>2014</v>
      </c>
      <c r="D503" s="15" t="s">
        <v>895</v>
      </c>
      <c r="E503" s="15">
        <v>1230</v>
      </c>
      <c r="F503" s="15">
        <v>51924182</v>
      </c>
      <c r="G503" s="15" t="s">
        <v>88</v>
      </c>
      <c r="H503" s="15" t="s">
        <v>77</v>
      </c>
      <c r="I503" s="15" t="s">
        <v>1815</v>
      </c>
      <c r="J503" s="15" t="s">
        <v>896</v>
      </c>
      <c r="K503" s="15" t="s">
        <v>61</v>
      </c>
      <c r="L503" s="15" t="s">
        <v>897</v>
      </c>
      <c r="M503" s="15" t="s">
        <v>898</v>
      </c>
      <c r="N503" s="15" t="s">
        <v>899</v>
      </c>
      <c r="O503" s="15"/>
      <c r="P503" s="15" t="s">
        <v>900</v>
      </c>
      <c r="Q503" s="15" t="s">
        <v>901</v>
      </c>
      <c r="R503" s="15" t="s">
        <v>902</v>
      </c>
      <c r="S503" s="15" t="s">
        <v>903</v>
      </c>
      <c r="T503" s="15"/>
      <c r="U503" s="15"/>
      <c r="V503" s="15"/>
      <c r="W503" s="15"/>
      <c r="X503" s="15" t="s">
        <v>903</v>
      </c>
      <c r="AE503" s="51" t="str">
        <f t="shared" si="58"/>
        <v/>
      </c>
      <c r="AF503" s="51" t="str">
        <f t="shared" si="59"/>
        <v/>
      </c>
      <c r="AG503" s="51" t="str">
        <f t="shared" si="60"/>
        <v/>
      </c>
      <c r="AH503" s="51" t="str">
        <f t="shared" si="61"/>
        <v/>
      </c>
      <c r="BG503" s="15"/>
      <c r="BM503" s="17"/>
      <c r="BN503" s="17"/>
      <c r="BO503" s="17"/>
      <c r="BP503" s="17"/>
      <c r="BQ503" s="17"/>
      <c r="BW503" s="17"/>
    </row>
    <row r="504" spans="1:75" hidden="1" x14ac:dyDescent="0.25">
      <c r="A504" s="15" t="s">
        <v>894</v>
      </c>
      <c r="B504" s="15" t="s">
        <v>30</v>
      </c>
      <c r="C504" s="15">
        <v>2013</v>
      </c>
      <c r="D504" s="15" t="s">
        <v>895</v>
      </c>
      <c r="E504" s="15">
        <v>1230</v>
      </c>
      <c r="F504" s="15">
        <v>51448196</v>
      </c>
      <c r="G504" s="15" t="s">
        <v>88</v>
      </c>
      <c r="H504" s="15" t="s">
        <v>77</v>
      </c>
      <c r="I504" s="15" t="s">
        <v>1815</v>
      </c>
      <c r="J504" s="15" t="s">
        <v>896</v>
      </c>
      <c r="K504" s="15" t="s">
        <v>61</v>
      </c>
      <c r="L504" s="15" t="s">
        <v>897</v>
      </c>
      <c r="M504" s="15" t="s">
        <v>898</v>
      </c>
      <c r="N504" s="15" t="s">
        <v>899</v>
      </c>
      <c r="O504" s="15"/>
      <c r="P504" s="15" t="s">
        <v>900</v>
      </c>
      <c r="Q504" s="15" t="s">
        <v>901</v>
      </c>
      <c r="R504" s="15" t="s">
        <v>902</v>
      </c>
      <c r="S504" s="15" t="s">
        <v>903</v>
      </c>
      <c r="T504" s="15"/>
      <c r="U504" s="15"/>
      <c r="V504" s="15"/>
      <c r="W504" s="15"/>
      <c r="X504" s="15" t="s">
        <v>903</v>
      </c>
      <c r="AE504" s="51" t="str">
        <f t="shared" si="58"/>
        <v/>
      </c>
      <c r="AF504" s="51" t="str">
        <f t="shared" si="59"/>
        <v/>
      </c>
      <c r="AG504" s="51" t="str">
        <f t="shared" si="60"/>
        <v/>
      </c>
      <c r="AH504" s="51" t="str">
        <f t="shared" si="61"/>
        <v/>
      </c>
      <c r="BG504" s="15"/>
      <c r="BM504" s="17"/>
      <c r="BN504" s="17"/>
      <c r="BO504" s="17"/>
      <c r="BP504" s="17"/>
      <c r="BQ504" s="17"/>
      <c r="BW504" s="17"/>
    </row>
    <row r="505" spans="1:75" hidden="1" x14ac:dyDescent="0.25">
      <c r="A505" s="15" t="s">
        <v>894</v>
      </c>
      <c r="B505" s="15" t="s">
        <v>30</v>
      </c>
      <c r="C505" s="15">
        <v>2012</v>
      </c>
      <c r="D505" s="15" t="s">
        <v>895</v>
      </c>
      <c r="E505" s="15">
        <v>1140</v>
      </c>
      <c r="F505" s="15">
        <v>50986514</v>
      </c>
      <c r="G505" s="15" t="s">
        <v>88</v>
      </c>
      <c r="H505" s="15" t="s">
        <v>77</v>
      </c>
      <c r="I505" s="15" t="s">
        <v>1815</v>
      </c>
      <c r="J505" s="15" t="s">
        <v>896</v>
      </c>
      <c r="K505" s="15" t="s">
        <v>61</v>
      </c>
      <c r="L505" s="15" t="s">
        <v>897</v>
      </c>
      <c r="M505" s="15" t="s">
        <v>898</v>
      </c>
      <c r="N505" s="15" t="s">
        <v>899</v>
      </c>
      <c r="O505" s="15"/>
      <c r="P505" s="15" t="s">
        <v>900</v>
      </c>
      <c r="Q505" s="15" t="s">
        <v>901</v>
      </c>
      <c r="R505" s="15" t="s">
        <v>902</v>
      </c>
      <c r="S505" s="15" t="s">
        <v>903</v>
      </c>
      <c r="T505" s="15"/>
      <c r="U505" s="15"/>
      <c r="V505" s="15"/>
      <c r="W505" s="15"/>
      <c r="X505" s="15" t="s">
        <v>903</v>
      </c>
      <c r="AE505" s="51" t="str">
        <f t="shared" si="58"/>
        <v/>
      </c>
      <c r="AF505" s="51" t="str">
        <f t="shared" si="59"/>
        <v/>
      </c>
      <c r="AG505" s="51" t="str">
        <f t="shared" si="60"/>
        <v/>
      </c>
      <c r="AH505" s="51" t="str">
        <f t="shared" si="61"/>
        <v/>
      </c>
      <c r="BG505" s="15"/>
      <c r="BM505" s="17"/>
      <c r="BN505" s="17"/>
      <c r="BO505" s="17"/>
      <c r="BP505" s="17"/>
      <c r="BQ505" s="17"/>
      <c r="BW505" s="17"/>
    </row>
    <row r="506" spans="1:75" hidden="1" x14ac:dyDescent="0.25">
      <c r="A506" s="15" t="s">
        <v>894</v>
      </c>
      <c r="B506" s="15" t="s">
        <v>30</v>
      </c>
      <c r="C506" s="15">
        <v>2011</v>
      </c>
      <c r="D506" s="15" t="s">
        <v>895</v>
      </c>
      <c r="E506" s="15">
        <v>1020</v>
      </c>
      <c r="F506" s="15">
        <v>50553031</v>
      </c>
      <c r="G506" s="15" t="s">
        <v>88</v>
      </c>
      <c r="H506" s="15" t="s">
        <v>77</v>
      </c>
      <c r="I506" s="15" t="s">
        <v>1815</v>
      </c>
      <c r="J506" s="15" t="s">
        <v>896</v>
      </c>
      <c r="K506" s="15" t="s">
        <v>61</v>
      </c>
      <c r="L506" s="15" t="s">
        <v>897</v>
      </c>
      <c r="M506" s="15" t="s">
        <v>898</v>
      </c>
      <c r="N506" s="15" t="s">
        <v>899</v>
      </c>
      <c r="O506" s="15"/>
      <c r="P506" s="15" t="s">
        <v>900</v>
      </c>
      <c r="Q506" s="15" t="s">
        <v>901</v>
      </c>
      <c r="R506" s="15" t="s">
        <v>902</v>
      </c>
      <c r="S506" s="15" t="s">
        <v>903</v>
      </c>
      <c r="T506" s="15"/>
      <c r="U506" s="15"/>
      <c r="V506" s="15"/>
      <c r="W506" s="15"/>
      <c r="X506" s="15" t="s">
        <v>903</v>
      </c>
      <c r="AE506" s="51" t="str">
        <f t="shared" si="58"/>
        <v/>
      </c>
      <c r="AF506" s="51" t="str">
        <f t="shared" si="59"/>
        <v/>
      </c>
      <c r="AG506" s="51" t="str">
        <f t="shared" si="60"/>
        <v/>
      </c>
      <c r="AH506" s="51" t="str">
        <f t="shared" si="61"/>
        <v/>
      </c>
      <c r="BG506" s="15"/>
      <c r="BM506" s="17"/>
      <c r="BN506" s="17"/>
      <c r="BO506" s="17"/>
      <c r="BP506" s="17"/>
      <c r="BQ506" s="17"/>
      <c r="BW506" s="17"/>
    </row>
    <row r="507" spans="1:75" hidden="1" x14ac:dyDescent="0.25">
      <c r="A507" s="15" t="s">
        <v>894</v>
      </c>
      <c r="B507" s="15" t="s">
        <v>30</v>
      </c>
      <c r="C507" s="15">
        <v>2010</v>
      </c>
      <c r="D507" s="15" t="s">
        <v>895</v>
      </c>
      <c r="E507" s="15">
        <v>860</v>
      </c>
      <c r="F507" s="15">
        <v>50155896</v>
      </c>
      <c r="G507" s="15" t="s">
        <v>88</v>
      </c>
      <c r="H507" s="15" t="s">
        <v>77</v>
      </c>
      <c r="I507" s="15" t="s">
        <v>1815</v>
      </c>
      <c r="J507" s="15" t="s">
        <v>896</v>
      </c>
      <c r="K507" s="15" t="s">
        <v>61</v>
      </c>
      <c r="L507" s="15" t="s">
        <v>897</v>
      </c>
      <c r="M507" s="15" t="s">
        <v>898</v>
      </c>
      <c r="N507" s="15" t="s">
        <v>899</v>
      </c>
      <c r="O507" s="15"/>
      <c r="P507" s="15" t="s">
        <v>900</v>
      </c>
      <c r="Q507" s="15" t="s">
        <v>901</v>
      </c>
      <c r="R507" s="15" t="s">
        <v>902</v>
      </c>
      <c r="S507" s="15" t="s">
        <v>903</v>
      </c>
      <c r="T507" s="15"/>
      <c r="U507" s="15"/>
      <c r="V507" s="15"/>
      <c r="W507" s="15"/>
      <c r="X507" s="15" t="s">
        <v>903</v>
      </c>
      <c r="AE507" s="51" t="str">
        <f t="shared" si="58"/>
        <v/>
      </c>
      <c r="AF507" s="51" t="str">
        <f t="shared" si="59"/>
        <v/>
      </c>
      <c r="AG507" s="51" t="str">
        <f t="shared" si="60"/>
        <v/>
      </c>
      <c r="AH507" s="51" t="str">
        <f t="shared" si="61"/>
        <v/>
      </c>
      <c r="BG507" s="15"/>
      <c r="BM507" s="17"/>
      <c r="BN507" s="17"/>
      <c r="BO507" s="17"/>
      <c r="BP507" s="17"/>
      <c r="BQ507" s="17"/>
      <c r="BW507" s="17"/>
    </row>
    <row r="508" spans="1:75" hidden="1" x14ac:dyDescent="0.25">
      <c r="A508" s="15" t="s">
        <v>904</v>
      </c>
      <c r="B508" s="15" t="s">
        <v>30</v>
      </c>
      <c r="C508" s="15">
        <v>2016</v>
      </c>
      <c r="D508" s="15" t="s">
        <v>905</v>
      </c>
      <c r="E508" s="15">
        <v>4720</v>
      </c>
      <c r="F508" s="15">
        <v>2533794</v>
      </c>
      <c r="G508" s="15" t="s">
        <v>42</v>
      </c>
      <c r="H508" s="15" t="s">
        <v>89</v>
      </c>
      <c r="I508" s="15" t="s">
        <v>1816</v>
      </c>
      <c r="J508" s="15" t="s">
        <v>906</v>
      </c>
      <c r="K508" s="15" t="s">
        <v>401</v>
      </c>
      <c r="L508" s="15" t="s">
        <v>907</v>
      </c>
      <c r="M508" s="15" t="s">
        <v>479</v>
      </c>
      <c r="N508" s="15" t="s">
        <v>37</v>
      </c>
      <c r="O508" s="15"/>
      <c r="P508" s="15"/>
      <c r="Q508" s="15"/>
      <c r="R508" s="15"/>
      <c r="S508" s="15"/>
      <c r="T508" s="15" t="s">
        <v>908</v>
      </c>
      <c r="U508" s="15" t="s">
        <v>909</v>
      </c>
      <c r="V508" s="15" t="s">
        <v>910</v>
      </c>
      <c r="W508" s="15"/>
      <c r="X508" s="15"/>
      <c r="AE508" s="51" t="str">
        <f t="shared" si="58"/>
        <v/>
      </c>
      <c r="AF508" s="51" t="str">
        <f t="shared" si="59"/>
        <v/>
      </c>
      <c r="AG508" s="51" t="str">
        <f t="shared" si="60"/>
        <v/>
      </c>
      <c r="AH508" s="51" t="str">
        <f t="shared" si="61"/>
        <v/>
      </c>
      <c r="BG508" s="15"/>
      <c r="BM508" s="17"/>
      <c r="BN508" s="17"/>
      <c r="BO508" s="17"/>
      <c r="BP508" s="17"/>
      <c r="BQ508" s="17"/>
      <c r="BW508" s="17"/>
    </row>
    <row r="509" spans="1:75" hidden="1" x14ac:dyDescent="0.25">
      <c r="A509" s="15" t="s">
        <v>912</v>
      </c>
      <c r="B509" s="15" t="s">
        <v>30</v>
      </c>
      <c r="C509" s="15">
        <v>2000</v>
      </c>
      <c r="D509" s="15" t="s">
        <v>913</v>
      </c>
      <c r="E509" s="15">
        <v>230</v>
      </c>
      <c r="F509" s="15">
        <v>23740911</v>
      </c>
      <c r="G509" s="15" t="s">
        <v>32</v>
      </c>
      <c r="H509" s="15" t="s">
        <v>33</v>
      </c>
      <c r="I509" s="15" t="s">
        <v>914</v>
      </c>
      <c r="J509" s="15" t="s">
        <v>915</v>
      </c>
      <c r="K509" s="15" t="s">
        <v>241</v>
      </c>
      <c r="L509" s="15" t="s">
        <v>600</v>
      </c>
      <c r="M509" s="15"/>
      <c r="N509" s="15"/>
      <c r="O509" s="15"/>
      <c r="P509" s="15"/>
      <c r="Q509" s="15"/>
      <c r="R509" s="15"/>
      <c r="S509" s="15"/>
      <c r="T509" s="15" t="s">
        <v>916</v>
      </c>
      <c r="U509" s="15"/>
      <c r="V509" s="15"/>
      <c r="W509" s="15"/>
      <c r="X509" s="15"/>
      <c r="Z509" s="17">
        <v>87342</v>
      </c>
      <c r="AB509" s="17">
        <v>43671</v>
      </c>
      <c r="AE509" s="51" t="str">
        <f t="shared" si="58"/>
        <v/>
      </c>
      <c r="AF509" s="51">
        <f t="shared" si="59"/>
        <v>1.8394829077957453</v>
      </c>
      <c r="AG509" s="51" t="str">
        <f t="shared" si="60"/>
        <v/>
      </c>
      <c r="AH509" s="51" t="str">
        <f t="shared" si="61"/>
        <v/>
      </c>
      <c r="AL509" s="17">
        <v>121270</v>
      </c>
      <c r="BG509" s="15"/>
      <c r="BM509" s="17"/>
      <c r="BN509" s="17"/>
      <c r="BO509" s="17"/>
      <c r="BP509" s="17"/>
      <c r="BQ509" s="17"/>
      <c r="BW509" s="17"/>
    </row>
    <row r="510" spans="1:75" hidden="1" x14ac:dyDescent="0.25">
      <c r="A510" s="15" t="s">
        <v>917</v>
      </c>
      <c r="B510" s="15" t="s">
        <v>30</v>
      </c>
      <c r="C510" s="15">
        <v>2015</v>
      </c>
      <c r="D510" s="15" t="s">
        <v>918</v>
      </c>
      <c r="E510" s="15">
        <v>49030</v>
      </c>
      <c r="F510" s="15">
        <v>16939923</v>
      </c>
      <c r="G510" s="15" t="s">
        <v>109</v>
      </c>
      <c r="H510" s="15" t="s">
        <v>43</v>
      </c>
      <c r="I510" s="15" t="s">
        <v>188</v>
      </c>
      <c r="J510" s="15" t="s">
        <v>1140</v>
      </c>
      <c r="K510" s="15" t="s">
        <v>190</v>
      </c>
      <c r="L510" s="15" t="s">
        <v>48</v>
      </c>
      <c r="M510" s="15" t="s">
        <v>62</v>
      </c>
      <c r="N510" s="15" t="s">
        <v>63</v>
      </c>
      <c r="O510" s="15"/>
      <c r="P510" s="15"/>
      <c r="Q510" s="15"/>
      <c r="R510" s="15"/>
      <c r="S510" s="15" t="s">
        <v>55</v>
      </c>
      <c r="T510" s="15"/>
      <c r="U510" s="15"/>
      <c r="V510" s="15"/>
      <c r="W510" s="15"/>
      <c r="X510" s="15" t="s">
        <v>55</v>
      </c>
      <c r="Y510" s="17">
        <v>1084394</v>
      </c>
      <c r="Z510" s="17">
        <v>40221</v>
      </c>
      <c r="AA510" s="17">
        <v>8452</v>
      </c>
      <c r="AB510" s="17">
        <v>48673</v>
      </c>
      <c r="AC510" s="17">
        <v>1133067</v>
      </c>
      <c r="AD510" s="17">
        <v>1614</v>
      </c>
      <c r="AE510" s="51">
        <f t="shared" si="58"/>
        <v>64.014104432469964</v>
      </c>
      <c r="AF510" s="51">
        <f t="shared" si="59"/>
        <v>2.8732716199477415</v>
      </c>
      <c r="AG510" s="51">
        <f t="shared" si="60"/>
        <v>66.887376052417707</v>
      </c>
      <c r="AH510" s="51">
        <f t="shared" si="61"/>
        <v>9.52778829041903E-2</v>
      </c>
      <c r="AI510" s="17">
        <v>1612301</v>
      </c>
      <c r="AJ510" s="17">
        <v>1036452</v>
      </c>
      <c r="AK510" s="17">
        <v>1014667</v>
      </c>
      <c r="AL510" s="17">
        <v>2051119</v>
      </c>
      <c r="AM510" s="17">
        <v>3663420</v>
      </c>
      <c r="AN510" s="17">
        <v>1935584</v>
      </c>
      <c r="BG510" s="15"/>
      <c r="BM510" s="17"/>
      <c r="BN510" s="17"/>
      <c r="BO510" s="17"/>
      <c r="BP510" s="17"/>
      <c r="BQ510" s="17"/>
      <c r="BW510" s="17"/>
    </row>
    <row r="511" spans="1:75" hidden="1" x14ac:dyDescent="0.25">
      <c r="A511" s="15" t="s">
        <v>917</v>
      </c>
      <c r="B511" s="15" t="s">
        <v>30</v>
      </c>
      <c r="C511" s="15">
        <v>2014</v>
      </c>
      <c r="D511" s="15" t="s">
        <v>918</v>
      </c>
      <c r="E511" s="15">
        <v>51330</v>
      </c>
      <c r="F511" s="15">
        <v>16865008</v>
      </c>
      <c r="G511" s="15" t="s">
        <v>109</v>
      </c>
      <c r="H511" s="15" t="s">
        <v>43</v>
      </c>
      <c r="I511" s="15" t="s">
        <v>188</v>
      </c>
      <c r="J511" s="15" t="s">
        <v>1140</v>
      </c>
      <c r="K511" s="15" t="s">
        <v>190</v>
      </c>
      <c r="L511" s="15" t="s">
        <v>48</v>
      </c>
      <c r="M511" s="15" t="s">
        <v>62</v>
      </c>
      <c r="N511" s="15" t="s">
        <v>63</v>
      </c>
      <c r="O511" s="15"/>
      <c r="P511" s="15"/>
      <c r="Q511" s="15"/>
      <c r="R511" s="15"/>
      <c r="S511" s="15" t="s">
        <v>55</v>
      </c>
      <c r="T511" s="15"/>
      <c r="U511" s="15"/>
      <c r="V511" s="15"/>
      <c r="W511" s="15"/>
      <c r="X511" s="15" t="s">
        <v>55</v>
      </c>
      <c r="Y511" s="17">
        <v>1042588</v>
      </c>
      <c r="Z511" s="17">
        <v>39887</v>
      </c>
      <c r="AA511" s="17">
        <v>8228</v>
      </c>
      <c r="AB511" s="17">
        <v>48115</v>
      </c>
      <c r="AC511" s="17">
        <v>1090703</v>
      </c>
      <c r="AD511" s="17">
        <v>1540</v>
      </c>
      <c r="AE511" s="51">
        <f t="shared" si="58"/>
        <v>61.819597120855207</v>
      </c>
      <c r="AF511" s="51">
        <f t="shared" si="59"/>
        <v>2.8529485429239045</v>
      </c>
      <c r="AG511" s="51">
        <f t="shared" si="60"/>
        <v>64.672545663779118</v>
      </c>
      <c r="AH511" s="51">
        <f t="shared" si="61"/>
        <v>9.1313327571501887E-2</v>
      </c>
      <c r="AI511" s="17">
        <v>1576224</v>
      </c>
      <c r="AJ511" s="17">
        <v>1016380</v>
      </c>
      <c r="AK511" s="17">
        <v>992658</v>
      </c>
      <c r="AL511" s="17">
        <v>2009038</v>
      </c>
      <c r="AM511" s="17">
        <v>3585262</v>
      </c>
      <c r="AN511" s="17">
        <v>1875814</v>
      </c>
      <c r="BG511" s="15"/>
      <c r="BM511" s="17"/>
      <c r="BN511" s="17"/>
      <c r="BO511" s="17"/>
      <c r="BP511" s="17"/>
      <c r="BQ511" s="17"/>
      <c r="BW511" s="17"/>
    </row>
    <row r="512" spans="1:75" hidden="1" x14ac:dyDescent="0.25">
      <c r="A512" s="15" t="s">
        <v>917</v>
      </c>
      <c r="B512" s="15" t="s">
        <v>30</v>
      </c>
      <c r="C512" s="15">
        <v>2013</v>
      </c>
      <c r="D512" s="15" t="s">
        <v>918</v>
      </c>
      <c r="E512" s="15">
        <v>52330</v>
      </c>
      <c r="F512" s="15">
        <v>16804432</v>
      </c>
      <c r="G512" s="15" t="s">
        <v>109</v>
      </c>
      <c r="H512" s="15" t="s">
        <v>43</v>
      </c>
      <c r="I512" s="15" t="s">
        <v>188</v>
      </c>
      <c r="J512" s="15" t="s">
        <v>1140</v>
      </c>
      <c r="K512" s="15" t="s">
        <v>190</v>
      </c>
      <c r="L512" s="15" t="s">
        <v>48</v>
      </c>
      <c r="M512" s="15" t="s">
        <v>62</v>
      </c>
      <c r="N512" s="15" t="s">
        <v>63</v>
      </c>
      <c r="O512" s="15"/>
      <c r="P512" s="15"/>
      <c r="Q512" s="15"/>
      <c r="R512" s="15"/>
      <c r="S512" s="15" t="s">
        <v>55</v>
      </c>
      <c r="T512" s="15"/>
      <c r="U512" s="15"/>
      <c r="V512" s="15"/>
      <c r="W512" s="15"/>
      <c r="X512" s="15" t="s">
        <v>55</v>
      </c>
      <c r="Y512" s="17">
        <v>1004784</v>
      </c>
      <c r="Z512" s="17">
        <v>40084</v>
      </c>
      <c r="AA512" s="17">
        <v>8166</v>
      </c>
      <c r="AB512" s="17">
        <v>48250</v>
      </c>
      <c r="AC512" s="17">
        <v>1053034</v>
      </c>
      <c r="AD512" s="17">
        <v>1528</v>
      </c>
      <c r="AE512" s="51">
        <f t="shared" si="58"/>
        <v>59.792797519130673</v>
      </c>
      <c r="AF512" s="51">
        <f t="shared" si="59"/>
        <v>2.871266342117365</v>
      </c>
      <c r="AG512" s="51">
        <f t="shared" si="60"/>
        <v>62.664063861248039</v>
      </c>
      <c r="AH512" s="51">
        <f t="shared" si="61"/>
        <v>9.0928393176276351E-2</v>
      </c>
      <c r="AI512" s="17">
        <v>1547967</v>
      </c>
      <c r="AJ512" s="17">
        <v>1006137</v>
      </c>
      <c r="AK512" s="17">
        <v>957697</v>
      </c>
      <c r="AL512" s="17">
        <v>1963834</v>
      </c>
      <c r="AM512" s="17">
        <v>3511801</v>
      </c>
      <c r="AN512" s="17">
        <v>1815604</v>
      </c>
      <c r="BG512" s="15"/>
      <c r="BM512" s="17"/>
      <c r="BN512" s="17"/>
      <c r="BO512" s="17"/>
      <c r="BP512" s="17"/>
      <c r="BQ512" s="17"/>
      <c r="BW512" s="17"/>
    </row>
    <row r="513" spans="1:75" hidden="1" x14ac:dyDescent="0.25">
      <c r="A513" s="15" t="s">
        <v>917</v>
      </c>
      <c r="B513" s="15" t="s">
        <v>30</v>
      </c>
      <c r="C513" s="15">
        <v>2012</v>
      </c>
      <c r="D513" s="15" t="s">
        <v>918</v>
      </c>
      <c r="E513" s="15">
        <v>52500</v>
      </c>
      <c r="F513" s="15">
        <v>16754962</v>
      </c>
      <c r="G513" s="15" t="s">
        <v>109</v>
      </c>
      <c r="H513" s="15" t="s">
        <v>43</v>
      </c>
      <c r="I513" s="15" t="s">
        <v>188</v>
      </c>
      <c r="J513" s="15" t="s">
        <v>1140</v>
      </c>
      <c r="K513" s="15" t="s">
        <v>190</v>
      </c>
      <c r="L513" s="15" t="s">
        <v>48</v>
      </c>
      <c r="M513" s="15" t="s">
        <v>62</v>
      </c>
      <c r="N513" s="15" t="s">
        <v>63</v>
      </c>
      <c r="O513" s="15"/>
      <c r="P513" s="15"/>
      <c r="Q513" s="15"/>
      <c r="R513" s="15"/>
      <c r="S513" s="15" t="s">
        <v>55</v>
      </c>
      <c r="T513" s="15"/>
      <c r="U513" s="15"/>
      <c r="V513" s="15"/>
      <c r="W513" s="15"/>
      <c r="X513" s="15" t="s">
        <v>55</v>
      </c>
      <c r="Y513" s="17">
        <v>977545</v>
      </c>
      <c r="Z513" s="17">
        <v>41671</v>
      </c>
      <c r="AA513" s="17">
        <v>8381</v>
      </c>
      <c r="AB513" s="17">
        <v>50052</v>
      </c>
      <c r="AC513" s="17">
        <v>1027597</v>
      </c>
      <c r="AD513" s="17">
        <v>1556</v>
      </c>
      <c r="AE513" s="51">
        <f t="shared" si="58"/>
        <v>58.343611880468607</v>
      </c>
      <c r="AF513" s="51">
        <f t="shared" si="59"/>
        <v>2.9872941520249343</v>
      </c>
      <c r="AG513" s="51">
        <f t="shared" si="60"/>
        <v>61.330906032493537</v>
      </c>
      <c r="AH513" s="51">
        <f t="shared" si="61"/>
        <v>9.2868011279285512E-2</v>
      </c>
      <c r="AI513" s="17">
        <v>1519937</v>
      </c>
      <c r="AJ513" s="17">
        <v>1007885</v>
      </c>
      <c r="AK513" s="17">
        <v>966461</v>
      </c>
      <c r="AL513" s="17">
        <v>1974346</v>
      </c>
      <c r="AM513" s="17">
        <v>3494283</v>
      </c>
      <c r="AN513" s="17">
        <v>1796477</v>
      </c>
      <c r="BG513" s="15"/>
      <c r="BM513" s="17"/>
      <c r="BN513" s="17"/>
      <c r="BO513" s="17"/>
      <c r="BP513" s="17"/>
      <c r="BQ513" s="17"/>
      <c r="BW513" s="17"/>
    </row>
    <row r="514" spans="1:75" hidden="1" x14ac:dyDescent="0.25">
      <c r="A514" s="15" t="s">
        <v>919</v>
      </c>
      <c r="B514" s="15" t="s">
        <v>30</v>
      </c>
      <c r="C514" s="15">
        <v>2016</v>
      </c>
      <c r="D514" s="15" t="s">
        <v>920</v>
      </c>
      <c r="E514" s="15">
        <v>38560</v>
      </c>
      <c r="F514" s="15">
        <v>4793900</v>
      </c>
      <c r="G514" s="15" t="s">
        <v>109</v>
      </c>
      <c r="H514" s="15" t="s">
        <v>77</v>
      </c>
      <c r="I514" s="15" t="s">
        <v>921</v>
      </c>
      <c r="J514" s="15" t="s">
        <v>922</v>
      </c>
      <c r="K514" s="15" t="s">
        <v>391</v>
      </c>
      <c r="L514" s="15" t="s">
        <v>923</v>
      </c>
      <c r="M514" s="15" t="s">
        <v>924</v>
      </c>
      <c r="N514" s="15" t="s">
        <v>394</v>
      </c>
      <c r="O514" s="15"/>
      <c r="P514" s="15"/>
      <c r="Q514" s="15"/>
      <c r="R514" s="15"/>
      <c r="S514" s="15"/>
      <c r="T514" s="15"/>
      <c r="U514" s="15"/>
      <c r="V514" s="15"/>
      <c r="W514" s="15"/>
      <c r="X514" s="15"/>
      <c r="Y514" s="17">
        <v>461604</v>
      </c>
      <c r="AB514" s="17">
        <v>38340</v>
      </c>
      <c r="AC514" s="17">
        <v>499944</v>
      </c>
      <c r="AD514" s="17">
        <v>15105</v>
      </c>
      <c r="AE514" s="51">
        <f t="shared" si="58"/>
        <v>96.289868374392455</v>
      </c>
      <c r="AF514" s="51">
        <f t="shared" si="59"/>
        <v>7.9976636976157209</v>
      </c>
      <c r="AG514" s="51">
        <f t="shared" si="60"/>
        <v>104.28753207200818</v>
      </c>
      <c r="AH514" s="51">
        <f t="shared" si="61"/>
        <v>3.1508792423705128</v>
      </c>
      <c r="AI514" s="17">
        <v>231400</v>
      </c>
      <c r="AL514" s="17">
        <v>383450</v>
      </c>
      <c r="AM514" s="17">
        <v>614850</v>
      </c>
      <c r="AN514" s="17">
        <v>1487500</v>
      </c>
      <c r="AS514" s="17">
        <v>64853000000</v>
      </c>
      <c r="AT514" s="17">
        <v>93926000000</v>
      </c>
      <c r="AU514" s="15" t="s">
        <v>922</v>
      </c>
      <c r="AV514" s="15" t="s">
        <v>922</v>
      </c>
      <c r="BG514" s="15"/>
      <c r="BM514" s="17"/>
      <c r="BN514" s="17"/>
      <c r="BO514" s="17"/>
      <c r="BP514" s="17"/>
      <c r="BQ514" s="17"/>
      <c r="BW514" s="17" t="s">
        <v>925</v>
      </c>
    </row>
    <row r="515" spans="1:75" hidden="1" x14ac:dyDescent="0.25">
      <c r="A515" s="15" t="s">
        <v>919</v>
      </c>
      <c r="B515" s="15" t="s">
        <v>30</v>
      </c>
      <c r="C515" s="15">
        <v>2015</v>
      </c>
      <c r="D515" s="15" t="s">
        <v>920</v>
      </c>
      <c r="E515" s="15">
        <v>40270</v>
      </c>
      <c r="F515" s="15">
        <v>4595700</v>
      </c>
      <c r="G515" s="15" t="s">
        <v>109</v>
      </c>
      <c r="H515" s="15" t="s">
        <v>77</v>
      </c>
      <c r="I515" s="15" t="s">
        <v>921</v>
      </c>
      <c r="J515" s="15" t="s">
        <v>922</v>
      </c>
      <c r="K515" s="15" t="s">
        <v>391</v>
      </c>
      <c r="L515" s="15" t="s">
        <v>923</v>
      </c>
      <c r="M515" s="15" t="s">
        <v>924</v>
      </c>
      <c r="N515" s="15" t="s">
        <v>394</v>
      </c>
      <c r="O515" s="15"/>
      <c r="P515" s="15"/>
      <c r="Q515" s="15"/>
      <c r="R515" s="15"/>
      <c r="S515" s="15"/>
      <c r="T515" s="15"/>
      <c r="U515" s="15"/>
      <c r="V515" s="15"/>
      <c r="W515" s="15"/>
      <c r="X515" s="15"/>
      <c r="Y515" s="17">
        <v>450363</v>
      </c>
      <c r="AB515" s="17">
        <v>37239</v>
      </c>
      <c r="AC515" s="17">
        <v>487602</v>
      </c>
      <c r="AD515" s="17">
        <v>14568</v>
      </c>
      <c r="AE515" s="51">
        <f t="shared" si="58"/>
        <v>97.996605522553693</v>
      </c>
      <c r="AF515" s="51">
        <f t="shared" si="59"/>
        <v>8.1030093348129775</v>
      </c>
      <c r="AG515" s="51">
        <f t="shared" si="60"/>
        <v>106.09961485736667</v>
      </c>
      <c r="AH515" s="51">
        <f t="shared" si="61"/>
        <v>3.1699197075527126</v>
      </c>
      <c r="AI515" s="17">
        <v>227850</v>
      </c>
      <c r="AL515" s="17">
        <v>372030</v>
      </c>
      <c r="AM515" s="17">
        <v>599880</v>
      </c>
      <c r="AN515" s="17">
        <v>1445750</v>
      </c>
      <c r="AS515" s="17">
        <v>57163000000</v>
      </c>
      <c r="AT515" s="17">
        <v>114525000000</v>
      </c>
      <c r="AU515" s="15" t="s">
        <v>922</v>
      </c>
      <c r="AV515" s="15" t="s">
        <v>922</v>
      </c>
      <c r="BG515" s="15"/>
      <c r="BM515" s="17"/>
      <c r="BN515" s="17"/>
      <c r="BO515" s="17"/>
      <c r="BP515" s="17"/>
      <c r="BQ515" s="17"/>
      <c r="BW515" s="17"/>
    </row>
    <row r="516" spans="1:75" hidden="1" x14ac:dyDescent="0.25">
      <c r="A516" s="15" t="s">
        <v>919</v>
      </c>
      <c r="B516" s="15" t="s">
        <v>30</v>
      </c>
      <c r="C516" s="15">
        <v>2014</v>
      </c>
      <c r="D516" s="15" t="s">
        <v>920</v>
      </c>
      <c r="E516" s="15">
        <v>41490</v>
      </c>
      <c r="F516" s="15">
        <v>4509700</v>
      </c>
      <c r="G516" s="15" t="s">
        <v>109</v>
      </c>
      <c r="H516" s="15" t="s">
        <v>77</v>
      </c>
      <c r="I516" s="15" t="s">
        <v>921</v>
      </c>
      <c r="J516" s="15" t="s">
        <v>922</v>
      </c>
      <c r="K516" s="15" t="s">
        <v>391</v>
      </c>
      <c r="L516" s="15" t="s">
        <v>923</v>
      </c>
      <c r="M516" s="15" t="s">
        <v>924</v>
      </c>
      <c r="N516" s="15" t="s">
        <v>394</v>
      </c>
      <c r="O516" s="15"/>
      <c r="P516" s="15"/>
      <c r="Q516" s="15"/>
      <c r="R516" s="15"/>
      <c r="S516" s="15"/>
      <c r="T516" s="15"/>
      <c r="U516" s="15"/>
      <c r="V516" s="15"/>
      <c r="W516" s="15"/>
      <c r="X516" s="15"/>
      <c r="Y516" s="17">
        <v>436775</v>
      </c>
      <c r="AB516" s="17">
        <v>37071</v>
      </c>
      <c r="AC516" s="17">
        <v>473846</v>
      </c>
      <c r="AD516" s="17">
        <v>14029</v>
      </c>
      <c r="AE516" s="51">
        <f t="shared" si="58"/>
        <v>96.85234051045525</v>
      </c>
      <c r="AF516" s="51">
        <f t="shared" si="59"/>
        <v>8.2202807282080848</v>
      </c>
      <c r="AG516" s="51">
        <f t="shared" si="60"/>
        <v>105.07262123866333</v>
      </c>
      <c r="AH516" s="51">
        <f t="shared" si="61"/>
        <v>3.110849945672661</v>
      </c>
      <c r="AI516" s="17">
        <v>228880</v>
      </c>
      <c r="AL516" s="17">
        <v>368620</v>
      </c>
      <c r="AM516" s="17">
        <v>597500</v>
      </c>
      <c r="AN516" s="17">
        <v>1397820</v>
      </c>
      <c r="AS516" s="17">
        <v>56785000000</v>
      </c>
      <c r="AT516" s="17">
        <v>108279000000</v>
      </c>
      <c r="AU516" s="15" t="s">
        <v>922</v>
      </c>
      <c r="AV516" s="15" t="s">
        <v>922</v>
      </c>
      <c r="BG516" s="15"/>
      <c r="BM516" s="17"/>
      <c r="BN516" s="17"/>
      <c r="BO516" s="17"/>
      <c r="BP516" s="17"/>
      <c r="BQ516" s="17"/>
      <c r="BW516" s="17"/>
    </row>
    <row r="517" spans="1:75" hidden="1" x14ac:dyDescent="0.25">
      <c r="A517" s="15" t="s">
        <v>919</v>
      </c>
      <c r="B517" s="15" t="s">
        <v>30</v>
      </c>
      <c r="C517" s="15">
        <v>2013</v>
      </c>
      <c r="D517" s="15" t="s">
        <v>920</v>
      </c>
      <c r="E517" s="15">
        <v>39730</v>
      </c>
      <c r="F517" s="15">
        <v>4442100</v>
      </c>
      <c r="G517" s="15" t="s">
        <v>109</v>
      </c>
      <c r="H517" s="15" t="s">
        <v>77</v>
      </c>
      <c r="I517" s="15" t="s">
        <v>921</v>
      </c>
      <c r="J517" s="15" t="s">
        <v>922</v>
      </c>
      <c r="K517" s="15" t="s">
        <v>391</v>
      </c>
      <c r="L517" s="15" t="s">
        <v>923</v>
      </c>
      <c r="M517" s="15" t="s">
        <v>924</v>
      </c>
      <c r="N517" s="15" t="s">
        <v>394</v>
      </c>
      <c r="O517" s="15"/>
      <c r="P517" s="15"/>
      <c r="Q517" s="15"/>
      <c r="R517" s="15"/>
      <c r="S517" s="15"/>
      <c r="T517" s="15"/>
      <c r="U517" s="15"/>
      <c r="V517" s="15"/>
      <c r="W517" s="15"/>
      <c r="X517" s="15"/>
      <c r="Y517" s="17">
        <v>423113</v>
      </c>
      <c r="AB517" s="17">
        <v>35922</v>
      </c>
      <c r="AC517" s="17">
        <v>459035</v>
      </c>
      <c r="AD517" s="17">
        <v>13566</v>
      </c>
      <c r="AE517" s="51">
        <f t="shared" si="58"/>
        <v>95.250669728281665</v>
      </c>
      <c r="AF517" s="51">
        <f t="shared" si="59"/>
        <v>8.0867157425541958</v>
      </c>
      <c r="AG517" s="51">
        <f t="shared" si="60"/>
        <v>103.33738547083586</v>
      </c>
      <c r="AH517" s="51">
        <f t="shared" si="61"/>
        <v>3.0539609644087258</v>
      </c>
      <c r="AI517" s="17">
        <v>225670</v>
      </c>
      <c r="AL517" s="17">
        <v>357930</v>
      </c>
      <c r="AM517" s="17">
        <v>583600</v>
      </c>
      <c r="AN517" s="17">
        <v>1357450</v>
      </c>
      <c r="AS517" s="17">
        <v>56616000000</v>
      </c>
      <c r="AT517" s="17">
        <v>109911000000</v>
      </c>
      <c r="AU517" s="15" t="s">
        <v>922</v>
      </c>
      <c r="AV517" s="15" t="s">
        <v>922</v>
      </c>
      <c r="BG517" s="15"/>
      <c r="BM517" s="17"/>
      <c r="BN517" s="17"/>
      <c r="BO517" s="17"/>
      <c r="BP517" s="17"/>
      <c r="BQ517" s="17"/>
      <c r="BW517" s="17"/>
    </row>
    <row r="518" spans="1:75" hidden="1" x14ac:dyDescent="0.25">
      <c r="A518" s="15" t="s">
        <v>919</v>
      </c>
      <c r="B518" s="15" t="s">
        <v>30</v>
      </c>
      <c r="C518" s="15">
        <v>2011</v>
      </c>
      <c r="D518" s="15" t="s">
        <v>920</v>
      </c>
      <c r="E518" s="15">
        <v>32270</v>
      </c>
      <c r="F518" s="15">
        <v>4384000</v>
      </c>
      <c r="G518" s="15" t="s">
        <v>109</v>
      </c>
      <c r="H518" s="15" t="s">
        <v>77</v>
      </c>
      <c r="I518" s="15" t="s">
        <v>921</v>
      </c>
      <c r="J518" s="15" t="s">
        <v>922</v>
      </c>
      <c r="K518" s="15" t="s">
        <v>391</v>
      </c>
      <c r="L518" s="15" t="s">
        <v>923</v>
      </c>
      <c r="M518" s="15" t="s">
        <v>924</v>
      </c>
      <c r="N518" s="15" t="s">
        <v>394</v>
      </c>
      <c r="O518" s="15"/>
      <c r="P518" s="15"/>
      <c r="Q518" s="15"/>
      <c r="R518" s="15"/>
      <c r="S518" s="15"/>
      <c r="T518" s="15"/>
      <c r="U518" s="15"/>
      <c r="V518" s="15"/>
      <c r="W518" s="15"/>
      <c r="X518" s="15"/>
      <c r="Y518" s="17">
        <v>421823</v>
      </c>
      <c r="Z518" s="17">
        <v>19571</v>
      </c>
      <c r="AA518" s="17">
        <v>15980</v>
      </c>
      <c r="AB518" s="17">
        <v>35551</v>
      </c>
      <c r="AC518" s="17">
        <v>457374</v>
      </c>
      <c r="AE518" s="51">
        <f t="shared" si="58"/>
        <v>96.21875</v>
      </c>
      <c r="AF518" s="51">
        <f t="shared" si="59"/>
        <v>8.10926094890511</v>
      </c>
      <c r="AG518" s="51">
        <f t="shared" si="60"/>
        <v>104.3280109489051</v>
      </c>
      <c r="AH518" s="51" t="str">
        <f t="shared" si="61"/>
        <v/>
      </c>
      <c r="AI518" s="17">
        <v>225930</v>
      </c>
      <c r="AL518" s="17">
        <v>354760</v>
      </c>
      <c r="AM518" s="17">
        <v>580690</v>
      </c>
      <c r="AN518" s="17">
        <v>1309220</v>
      </c>
      <c r="AU518" s="15" t="s">
        <v>922</v>
      </c>
      <c r="AV518" s="15" t="s">
        <v>922</v>
      </c>
      <c r="BG518" s="15"/>
      <c r="BM518" s="17"/>
      <c r="BN518" s="17"/>
      <c r="BO518" s="17"/>
      <c r="BP518" s="17"/>
      <c r="BQ518" s="17"/>
      <c r="BW518" s="17"/>
    </row>
    <row r="519" spans="1:75" hidden="1" x14ac:dyDescent="0.25">
      <c r="A519" s="15" t="s">
        <v>919</v>
      </c>
      <c r="B519" s="15" t="s">
        <v>52</v>
      </c>
      <c r="C519" s="15">
        <v>2016</v>
      </c>
      <c r="D519" s="15" t="s">
        <v>920</v>
      </c>
      <c r="E519" s="15">
        <v>38560</v>
      </c>
      <c r="F519" s="15">
        <v>4793900</v>
      </c>
      <c r="G519" s="15" t="s">
        <v>109</v>
      </c>
      <c r="H519" s="15" t="s">
        <v>77</v>
      </c>
      <c r="I519" s="15" t="s">
        <v>1730</v>
      </c>
      <c r="J519" s="15" t="s">
        <v>806</v>
      </c>
      <c r="K519" s="15"/>
      <c r="L519" s="15"/>
      <c r="M519" s="15"/>
      <c r="N519" s="15"/>
      <c r="O519" s="15"/>
      <c r="P519" s="15"/>
      <c r="Q519" s="15"/>
      <c r="R519" s="15"/>
      <c r="S519" s="15"/>
      <c r="T519" s="15"/>
      <c r="U519" s="15"/>
      <c r="V519" s="15"/>
      <c r="W519" s="15"/>
      <c r="X519" s="15"/>
      <c r="AE519" s="51" t="str">
        <f t="shared" ref="AE519:AE582" si="63">IF(ISERROR((Y519/$F519)*1000),"",IF((Y519/$F519)*1000=0,"",(Y519/$F519)*1000))</f>
        <v/>
      </c>
      <c r="AF519" s="51" t="str">
        <f t="shared" ref="AF519:AF582" si="64">IF(ISERROR((AB519/$F519)*1000),"",IF((AB519/$F519)*1000=0,"",(AB519/$F519)*1000))</f>
        <v/>
      </c>
      <c r="AG519" s="51" t="str">
        <f t="shared" ref="AG519:AG582" si="65">IF(ISERROR((AC519/$F519)*1000),"",IF((AC519/$F519)*1000=0,"",(AC519/$F519)*1000))</f>
        <v/>
      </c>
      <c r="AH519" s="51" t="str">
        <f t="shared" ref="AH519:AH582" si="66">IF(ISERROR((AD519/$F519)*1000),"",IF((AD519/$F519)*1000=0,"",(AD519/$F519)*1000))</f>
        <v/>
      </c>
      <c r="BF519" s="44">
        <v>0.41</v>
      </c>
      <c r="BK519" s="21">
        <v>8.0000000000000002E-3</v>
      </c>
      <c r="BM519" s="17"/>
      <c r="BN519" s="17"/>
      <c r="BO519" s="17"/>
      <c r="BP519" s="17"/>
      <c r="BQ519" s="17"/>
      <c r="BW519" s="17"/>
    </row>
    <row r="520" spans="1:75" hidden="1" x14ac:dyDescent="0.25">
      <c r="A520" s="15" t="s">
        <v>919</v>
      </c>
      <c r="B520" s="15" t="s">
        <v>52</v>
      </c>
      <c r="C520" s="15">
        <v>2015</v>
      </c>
      <c r="D520" s="15" t="s">
        <v>920</v>
      </c>
      <c r="E520" s="15">
        <v>40270</v>
      </c>
      <c r="F520" s="15">
        <v>4595700</v>
      </c>
      <c r="G520" s="15" t="s">
        <v>109</v>
      </c>
      <c r="H520" s="15" t="s">
        <v>77</v>
      </c>
      <c r="I520" s="15" t="s">
        <v>1730</v>
      </c>
      <c r="J520" s="15" t="s">
        <v>806</v>
      </c>
      <c r="K520" s="15"/>
      <c r="L520" s="15"/>
      <c r="M520" s="15"/>
      <c r="N520" s="15"/>
      <c r="O520" s="15"/>
      <c r="P520" s="15"/>
      <c r="Q520" s="15"/>
      <c r="R520" s="15"/>
      <c r="S520" s="15"/>
      <c r="T520" s="15"/>
      <c r="U520" s="15"/>
      <c r="V520" s="15"/>
      <c r="W520" s="15"/>
      <c r="X520" s="15"/>
      <c r="AE520" s="51" t="str">
        <f t="shared" si="63"/>
        <v/>
      </c>
      <c r="AF520" s="51" t="str">
        <f t="shared" si="64"/>
        <v/>
      </c>
      <c r="AG520" s="51" t="str">
        <f t="shared" si="65"/>
        <v/>
      </c>
      <c r="AH520" s="51" t="str">
        <f t="shared" si="66"/>
        <v/>
      </c>
      <c r="BF520" s="44">
        <v>0.4078</v>
      </c>
      <c r="BK520" s="21">
        <v>7.0000000000000001E-3</v>
      </c>
      <c r="BM520" s="17"/>
      <c r="BN520" s="17"/>
      <c r="BO520" s="17"/>
      <c r="BP520" s="17"/>
      <c r="BQ520" s="17"/>
      <c r="BW520" s="17"/>
    </row>
    <row r="521" spans="1:75" hidden="1" x14ac:dyDescent="0.25">
      <c r="A521" s="15" t="s">
        <v>919</v>
      </c>
      <c r="B521" s="15" t="s">
        <v>52</v>
      </c>
      <c r="C521" s="15">
        <v>2014</v>
      </c>
      <c r="D521" s="15" t="s">
        <v>920</v>
      </c>
      <c r="E521" s="15">
        <v>41490</v>
      </c>
      <c r="F521" s="15">
        <v>4509700</v>
      </c>
      <c r="G521" s="15" t="s">
        <v>109</v>
      </c>
      <c r="H521" s="15" t="s">
        <v>77</v>
      </c>
      <c r="I521" s="15" t="s">
        <v>1730</v>
      </c>
      <c r="J521" s="15" t="s">
        <v>806</v>
      </c>
      <c r="K521" s="15"/>
      <c r="L521" s="15"/>
      <c r="M521" s="15"/>
      <c r="N521" s="15"/>
      <c r="O521" s="15"/>
      <c r="P521" s="15"/>
      <c r="Q521" s="15"/>
      <c r="R521" s="15"/>
      <c r="S521" s="15"/>
      <c r="T521" s="15"/>
      <c r="U521" s="15"/>
      <c r="V521" s="15"/>
      <c r="W521" s="15"/>
      <c r="X521" s="15"/>
      <c r="AE521" s="51" t="str">
        <f t="shared" si="63"/>
        <v/>
      </c>
      <c r="AF521" s="51" t="str">
        <f t="shared" si="64"/>
        <v/>
      </c>
      <c r="AG521" s="51" t="str">
        <f t="shared" si="65"/>
        <v/>
      </c>
      <c r="AH521" s="51" t="str">
        <f t="shared" si="66"/>
        <v/>
      </c>
      <c r="BF521" s="44">
        <v>0.40760000000000002</v>
      </c>
      <c r="BK521" s="21">
        <v>1.6E-2</v>
      </c>
      <c r="BM521" s="17"/>
      <c r="BN521" s="17"/>
      <c r="BO521" s="17"/>
      <c r="BP521" s="17"/>
      <c r="BQ521" s="17"/>
      <c r="BW521" s="17"/>
    </row>
    <row r="522" spans="1:75" hidden="1" x14ac:dyDescent="0.25">
      <c r="A522" s="15" t="s">
        <v>919</v>
      </c>
      <c r="B522" s="15" t="s">
        <v>52</v>
      </c>
      <c r="C522" s="15">
        <v>2013</v>
      </c>
      <c r="D522" s="15" t="s">
        <v>920</v>
      </c>
      <c r="E522" s="15">
        <v>39730</v>
      </c>
      <c r="F522" s="15">
        <v>4442100</v>
      </c>
      <c r="G522" s="15" t="s">
        <v>109</v>
      </c>
      <c r="H522" s="15" t="s">
        <v>77</v>
      </c>
      <c r="I522" s="15" t="s">
        <v>1730</v>
      </c>
      <c r="J522" s="15" t="s">
        <v>806</v>
      </c>
      <c r="K522" s="15"/>
      <c r="L522" s="15"/>
      <c r="M522" s="15"/>
      <c r="N522" s="15"/>
      <c r="O522" s="15"/>
      <c r="P522" s="15"/>
      <c r="Q522" s="15"/>
      <c r="R522" s="15"/>
      <c r="S522" s="15"/>
      <c r="T522" s="15"/>
      <c r="U522" s="15"/>
      <c r="V522" s="15"/>
      <c r="W522" s="15"/>
      <c r="X522" s="15"/>
      <c r="AE522" s="51" t="str">
        <f t="shared" si="63"/>
        <v/>
      </c>
      <c r="AF522" s="51" t="str">
        <f t="shared" si="64"/>
        <v/>
      </c>
      <c r="AG522" s="51" t="str">
        <f t="shared" si="65"/>
        <v/>
      </c>
      <c r="AH522" s="51" t="str">
        <f t="shared" si="66"/>
        <v/>
      </c>
      <c r="BF522" s="44">
        <v>0.40350000000000003</v>
      </c>
      <c r="BK522" s="21">
        <v>2.4E-2</v>
      </c>
      <c r="BM522" s="17"/>
      <c r="BN522" s="17"/>
      <c r="BO522" s="17"/>
      <c r="BP522" s="17"/>
      <c r="BQ522" s="17"/>
      <c r="BW522" s="17"/>
    </row>
    <row r="523" spans="1:75" hidden="1" x14ac:dyDescent="0.25">
      <c r="A523" s="15" t="s">
        <v>919</v>
      </c>
      <c r="B523" s="15" t="s">
        <v>52</v>
      </c>
      <c r="C523" s="15">
        <v>2012</v>
      </c>
      <c r="D523" s="15" t="s">
        <v>920</v>
      </c>
      <c r="E523" s="15">
        <v>36840</v>
      </c>
      <c r="F523" s="15">
        <v>4408100</v>
      </c>
      <c r="G523" s="15" t="s">
        <v>109</v>
      </c>
      <c r="H523" s="15" t="s">
        <v>77</v>
      </c>
      <c r="I523" s="15" t="s">
        <v>1730</v>
      </c>
      <c r="J523" s="15" t="s">
        <v>806</v>
      </c>
      <c r="K523" s="15"/>
      <c r="L523" s="15"/>
      <c r="M523" s="15"/>
      <c r="N523" s="15"/>
      <c r="O523" s="15"/>
      <c r="P523" s="15"/>
      <c r="Q523" s="15"/>
      <c r="R523" s="15"/>
      <c r="S523" s="15"/>
      <c r="T523" s="15"/>
      <c r="U523" s="15"/>
      <c r="V523" s="15"/>
      <c r="W523" s="15"/>
      <c r="X523" s="15"/>
      <c r="AE523" s="51" t="str">
        <f t="shared" si="63"/>
        <v/>
      </c>
      <c r="AF523" s="51" t="str">
        <f t="shared" si="64"/>
        <v/>
      </c>
      <c r="AG523" s="51" t="str">
        <f t="shared" si="65"/>
        <v/>
      </c>
      <c r="AH523" s="51" t="str">
        <f t="shared" si="66"/>
        <v/>
      </c>
      <c r="BF523" s="44">
        <v>0.43669999999999998</v>
      </c>
      <c r="BK523" s="21">
        <v>2.7E-2</v>
      </c>
      <c r="BM523" s="17"/>
      <c r="BN523" s="17"/>
      <c r="BO523" s="17"/>
      <c r="BP523" s="17"/>
      <c r="BQ523" s="17"/>
      <c r="BW523" s="17"/>
    </row>
    <row r="524" spans="1:75" hidden="1" x14ac:dyDescent="0.25">
      <c r="A524" s="15" t="s">
        <v>919</v>
      </c>
      <c r="B524" s="15" t="s">
        <v>52</v>
      </c>
      <c r="C524" s="15">
        <v>2011</v>
      </c>
      <c r="D524" s="15" t="s">
        <v>920</v>
      </c>
      <c r="E524" s="15">
        <v>32270</v>
      </c>
      <c r="F524" s="15">
        <v>4384000</v>
      </c>
      <c r="G524" s="15" t="s">
        <v>109</v>
      </c>
      <c r="H524" s="15" t="s">
        <v>77</v>
      </c>
      <c r="I524" s="15" t="s">
        <v>1730</v>
      </c>
      <c r="J524" s="15" t="s">
        <v>806</v>
      </c>
      <c r="K524" s="15"/>
      <c r="L524" s="15"/>
      <c r="M524" s="15"/>
      <c r="N524" s="15"/>
      <c r="O524" s="15"/>
      <c r="P524" s="15"/>
      <c r="Q524" s="15"/>
      <c r="R524" s="15"/>
      <c r="S524" s="15"/>
      <c r="T524" s="15"/>
      <c r="U524" s="15"/>
      <c r="V524" s="15"/>
      <c r="W524" s="15"/>
      <c r="X524" s="15"/>
      <c r="AE524" s="51" t="str">
        <f t="shared" si="63"/>
        <v/>
      </c>
      <c r="AF524" s="51" t="str">
        <f t="shared" si="64"/>
        <v/>
      </c>
      <c r="AG524" s="51" t="str">
        <f t="shared" si="65"/>
        <v/>
      </c>
      <c r="AH524" s="51" t="str">
        <f t="shared" si="66"/>
        <v/>
      </c>
      <c r="BF524" s="44">
        <v>0.42970000000000003</v>
      </c>
      <c r="BK524" s="21">
        <v>2.8000000000000001E-2</v>
      </c>
      <c r="BM524" s="17"/>
      <c r="BN524" s="17"/>
      <c r="BO524" s="17"/>
      <c r="BP524" s="17"/>
      <c r="BQ524" s="17"/>
      <c r="BW524" s="17"/>
    </row>
    <row r="525" spans="1:75" hidden="1" x14ac:dyDescent="0.25">
      <c r="A525" s="15" t="s">
        <v>926</v>
      </c>
      <c r="B525" s="15" t="s">
        <v>52</v>
      </c>
      <c r="C525" s="15">
        <v>2017</v>
      </c>
      <c r="D525" s="15" t="s">
        <v>927</v>
      </c>
      <c r="E525" s="15">
        <v>2130</v>
      </c>
      <c r="F525" s="15">
        <v>6217581</v>
      </c>
      <c r="G525" s="15" t="s">
        <v>88</v>
      </c>
      <c r="H525" s="15" t="s">
        <v>110</v>
      </c>
      <c r="I525" s="15" t="s">
        <v>928</v>
      </c>
      <c r="J525" s="15" t="s">
        <v>929</v>
      </c>
      <c r="K525" s="15" t="s">
        <v>562</v>
      </c>
      <c r="L525" s="15" t="s">
        <v>930</v>
      </c>
      <c r="M525" s="15" t="s">
        <v>931</v>
      </c>
      <c r="N525" s="15" t="s">
        <v>244</v>
      </c>
      <c r="O525" s="15"/>
      <c r="P525" s="15"/>
      <c r="Q525" s="15"/>
      <c r="R525" s="15"/>
      <c r="S525" s="15"/>
      <c r="T525" s="15"/>
      <c r="U525" s="15"/>
      <c r="V525" s="15"/>
      <c r="W525" s="15"/>
      <c r="X525" s="15"/>
      <c r="AA525" s="17">
        <v>14492</v>
      </c>
      <c r="AC525" s="17">
        <v>121111</v>
      </c>
      <c r="AD525" s="17">
        <v>808</v>
      </c>
      <c r="AE525" s="51" t="str">
        <f t="shared" si="63"/>
        <v/>
      </c>
      <c r="AF525" s="51" t="str">
        <f t="shared" si="64"/>
        <v/>
      </c>
      <c r="AG525" s="51">
        <f t="shared" si="65"/>
        <v>19.478797300750887</v>
      </c>
      <c r="AH525" s="51">
        <f t="shared" si="66"/>
        <v>0.12995407699553893</v>
      </c>
      <c r="BG525" s="15"/>
      <c r="BM525" s="17"/>
      <c r="BN525" s="17"/>
      <c r="BO525" s="17"/>
      <c r="BP525" s="17"/>
      <c r="BQ525" s="17"/>
      <c r="BW525" s="17" t="s">
        <v>932</v>
      </c>
    </row>
    <row r="526" spans="1:75" hidden="1" x14ac:dyDescent="0.25">
      <c r="A526" s="15" t="s">
        <v>926</v>
      </c>
      <c r="B526" s="15" t="s">
        <v>30</v>
      </c>
      <c r="C526" s="15">
        <v>2017</v>
      </c>
      <c r="D526" s="15" t="s">
        <v>927</v>
      </c>
      <c r="E526" s="15">
        <v>2130</v>
      </c>
      <c r="F526" s="15">
        <v>6217581</v>
      </c>
      <c r="G526" s="15" t="s">
        <v>88</v>
      </c>
      <c r="H526" s="15" t="s">
        <v>110</v>
      </c>
      <c r="I526" s="15" t="s">
        <v>933</v>
      </c>
      <c r="J526" s="15" t="s">
        <v>934</v>
      </c>
      <c r="K526" s="15" t="s">
        <v>562</v>
      </c>
      <c r="L526" s="15" t="s">
        <v>930</v>
      </c>
      <c r="M526" s="15" t="s">
        <v>931</v>
      </c>
      <c r="N526" s="15" t="s">
        <v>244</v>
      </c>
      <c r="O526" s="15"/>
      <c r="P526" s="15"/>
      <c r="Q526" s="15"/>
      <c r="R526" s="15"/>
      <c r="S526" s="15"/>
      <c r="T526" s="15"/>
      <c r="U526" s="15"/>
      <c r="V526" s="15"/>
      <c r="W526" s="15"/>
      <c r="X526" s="15"/>
      <c r="Y526" s="17">
        <v>153379</v>
      </c>
      <c r="Z526" s="17">
        <v>19968</v>
      </c>
      <c r="AA526" s="17">
        <v>395</v>
      </c>
      <c r="AB526" s="17">
        <v>20363</v>
      </c>
      <c r="AC526" s="17">
        <v>173742</v>
      </c>
      <c r="AD526" s="17">
        <v>432</v>
      </c>
      <c r="AE526" s="51">
        <f t="shared" si="63"/>
        <v>24.668596999379663</v>
      </c>
      <c r="AF526" s="51">
        <f t="shared" si="64"/>
        <v>3.2750679082427716</v>
      </c>
      <c r="AG526" s="51">
        <f t="shared" si="65"/>
        <v>27.943664907622434</v>
      </c>
      <c r="AH526" s="51">
        <f t="shared" si="66"/>
        <v>6.9480397601575275E-2</v>
      </c>
      <c r="BG526" s="15"/>
      <c r="BM526" s="17"/>
      <c r="BN526" s="17"/>
      <c r="BO526" s="17"/>
      <c r="BP526" s="17"/>
      <c r="BQ526" s="17"/>
      <c r="BW526" s="17"/>
    </row>
    <row r="527" spans="1:75" hidden="1" x14ac:dyDescent="0.25">
      <c r="A527" s="15" t="s">
        <v>935</v>
      </c>
      <c r="B527" s="15" t="s">
        <v>30</v>
      </c>
      <c r="C527" s="15">
        <v>2010</v>
      </c>
      <c r="D527" s="15" t="s">
        <v>936</v>
      </c>
      <c r="E527" s="17">
        <v>350</v>
      </c>
      <c r="F527" s="17">
        <v>16425578</v>
      </c>
      <c r="G527" s="15" t="s">
        <v>32</v>
      </c>
      <c r="H527" s="15" t="s">
        <v>89</v>
      </c>
      <c r="I527" s="15" t="s">
        <v>1817</v>
      </c>
      <c r="J527" s="15" t="s">
        <v>937</v>
      </c>
      <c r="K527" s="15" t="s">
        <v>562</v>
      </c>
      <c r="L527" s="15" t="s">
        <v>560</v>
      </c>
      <c r="M527" s="15" t="s">
        <v>402</v>
      </c>
      <c r="N527" s="15" t="s">
        <v>244</v>
      </c>
      <c r="O527" s="15"/>
      <c r="P527" s="15"/>
      <c r="Q527" s="15"/>
      <c r="R527" s="15"/>
      <c r="S527" s="15" t="s">
        <v>1818</v>
      </c>
      <c r="T527" s="15" t="s">
        <v>1819</v>
      </c>
      <c r="U527" s="15" t="s">
        <v>1820</v>
      </c>
      <c r="V527" s="15" t="s">
        <v>1821</v>
      </c>
      <c r="W527" s="15" t="s">
        <v>1822</v>
      </c>
      <c r="X527" s="15" t="s">
        <v>1818</v>
      </c>
      <c r="AE527" s="51" t="str">
        <f t="shared" si="63"/>
        <v/>
      </c>
      <c r="AF527" s="51" t="str">
        <f t="shared" si="64"/>
        <v/>
      </c>
      <c r="AG527" s="51" t="str">
        <f t="shared" si="65"/>
        <v/>
      </c>
      <c r="AH527" s="51" t="str">
        <f t="shared" si="66"/>
        <v/>
      </c>
      <c r="BG527" s="15"/>
      <c r="BM527" s="17"/>
      <c r="BN527" s="17"/>
      <c r="BO527" s="17"/>
      <c r="BP527" s="17"/>
      <c r="BQ527" s="17"/>
      <c r="BW527" s="17"/>
    </row>
    <row r="528" spans="1:75" hidden="1" x14ac:dyDescent="0.25">
      <c r="A528" s="15" t="s">
        <v>938</v>
      </c>
      <c r="B528" s="15" t="s">
        <v>30</v>
      </c>
      <c r="C528" s="15">
        <v>2013</v>
      </c>
      <c r="D528" s="15" t="s">
        <v>939</v>
      </c>
      <c r="E528" s="15">
        <v>2700</v>
      </c>
      <c r="F528" s="15">
        <v>171829303</v>
      </c>
      <c r="G528" s="15" t="s">
        <v>88</v>
      </c>
      <c r="H528" s="15" t="s">
        <v>89</v>
      </c>
      <c r="I528" s="15" t="s">
        <v>940</v>
      </c>
      <c r="J528" s="15" t="s">
        <v>941</v>
      </c>
      <c r="K528" s="15" t="s">
        <v>92</v>
      </c>
      <c r="L528" s="15" t="s">
        <v>48</v>
      </c>
      <c r="M528" s="15" t="s">
        <v>541</v>
      </c>
      <c r="N528" s="15" t="s">
        <v>1726</v>
      </c>
      <c r="O528" s="15" t="s">
        <v>602</v>
      </c>
      <c r="P528" s="15" t="s">
        <v>1823</v>
      </c>
      <c r="Q528" s="15" t="s">
        <v>1824</v>
      </c>
      <c r="R528" s="15" t="s">
        <v>1825</v>
      </c>
      <c r="S528" s="15" t="s">
        <v>942</v>
      </c>
      <c r="T528" s="15"/>
      <c r="U528" s="15"/>
      <c r="V528" s="15"/>
      <c r="W528" s="15"/>
      <c r="X528" s="15"/>
      <c r="Y528" s="17">
        <v>36994578</v>
      </c>
      <c r="Z528" s="17">
        <v>68168</v>
      </c>
      <c r="AA528" s="17">
        <v>4670</v>
      </c>
      <c r="AB528" s="17">
        <v>72838</v>
      </c>
      <c r="AC528" s="17">
        <v>37067416</v>
      </c>
      <c r="AE528" s="51">
        <f t="shared" si="63"/>
        <v>215.2984232264505</v>
      </c>
      <c r="AF528" s="51">
        <f t="shared" si="64"/>
        <v>0.42389743034690658</v>
      </c>
      <c r="AG528" s="51">
        <f t="shared" si="65"/>
        <v>215.72232065679739</v>
      </c>
      <c r="AH528" s="51" t="str">
        <f t="shared" si="66"/>
        <v/>
      </c>
      <c r="AI528" s="17">
        <f>AM528-AL528</f>
        <v>57837391</v>
      </c>
      <c r="AL528" s="17">
        <v>1903820</v>
      </c>
      <c r="AM528" s="17">
        <v>59741211</v>
      </c>
      <c r="AU528" s="15" t="s">
        <v>943</v>
      </c>
      <c r="AV528" s="15" t="s">
        <v>944</v>
      </c>
      <c r="BG528" s="15"/>
      <c r="BM528" s="17">
        <v>16026051</v>
      </c>
      <c r="BN528" s="17">
        <v>16571</v>
      </c>
      <c r="BO528" s="17">
        <f>BN528+BM528</f>
        <v>16042622</v>
      </c>
      <c r="BP528" s="17">
        <v>35513121</v>
      </c>
      <c r="BQ528" s="17"/>
      <c r="BS528" s="15" t="s">
        <v>945</v>
      </c>
      <c r="BW528" s="17" t="s">
        <v>1930</v>
      </c>
    </row>
    <row r="529" spans="1:75" hidden="1" x14ac:dyDescent="0.25">
      <c r="A529" s="15" t="s">
        <v>938</v>
      </c>
      <c r="B529" s="15" t="s">
        <v>30</v>
      </c>
      <c r="C529" s="15">
        <v>2012</v>
      </c>
      <c r="D529" s="15" t="s">
        <v>939</v>
      </c>
      <c r="E529" s="15">
        <v>2480</v>
      </c>
      <c r="F529" s="15">
        <v>167297284</v>
      </c>
      <c r="G529" s="15" t="s">
        <v>88</v>
      </c>
      <c r="H529" s="15" t="s">
        <v>89</v>
      </c>
      <c r="I529" s="15" t="s">
        <v>940</v>
      </c>
      <c r="J529" s="15" t="s">
        <v>941</v>
      </c>
      <c r="K529" s="15" t="s">
        <v>92</v>
      </c>
      <c r="L529" s="15" t="s">
        <v>48</v>
      </c>
      <c r="M529" s="15" t="s">
        <v>541</v>
      </c>
      <c r="N529" s="15" t="s">
        <v>1726</v>
      </c>
      <c r="O529" s="15" t="s">
        <v>602</v>
      </c>
      <c r="P529" s="15" t="s">
        <v>1823</v>
      </c>
      <c r="Q529" s="15" t="s">
        <v>1824</v>
      </c>
      <c r="R529" s="15" t="s">
        <v>1825</v>
      </c>
      <c r="S529" s="15" t="s">
        <v>942</v>
      </c>
      <c r="T529" s="15"/>
      <c r="U529" s="15"/>
      <c r="V529" s="15"/>
      <c r="W529" s="15"/>
      <c r="X529" s="15"/>
      <c r="AE529" s="51" t="str">
        <f t="shared" si="63"/>
        <v/>
      </c>
      <c r="AF529" s="51" t="str">
        <f t="shared" si="64"/>
        <v/>
      </c>
      <c r="AG529" s="51" t="str">
        <f t="shared" si="65"/>
        <v/>
      </c>
      <c r="AH529" s="51" t="str">
        <f t="shared" si="66"/>
        <v/>
      </c>
      <c r="AR529" s="17">
        <v>194806045</v>
      </c>
      <c r="BG529" s="15"/>
      <c r="BM529" s="17"/>
      <c r="BN529" s="17"/>
      <c r="BO529" s="17"/>
      <c r="BP529" s="17"/>
      <c r="BQ529" s="17"/>
      <c r="BW529" s="17"/>
    </row>
    <row r="530" spans="1:75" hidden="1" x14ac:dyDescent="0.25">
      <c r="A530" s="15" t="s">
        <v>938</v>
      </c>
      <c r="B530" s="15" t="s">
        <v>30</v>
      </c>
      <c r="C530" s="15">
        <v>2011</v>
      </c>
      <c r="D530" s="15" t="s">
        <v>939</v>
      </c>
      <c r="E530" s="15">
        <v>1730</v>
      </c>
      <c r="F530" s="15">
        <v>162877076</v>
      </c>
      <c r="G530" s="15" t="s">
        <v>88</v>
      </c>
      <c r="H530" s="15" t="s">
        <v>89</v>
      </c>
      <c r="I530" s="15" t="s">
        <v>940</v>
      </c>
      <c r="J530" s="15" t="s">
        <v>941</v>
      </c>
      <c r="K530" s="15" t="s">
        <v>92</v>
      </c>
      <c r="L530" s="15" t="s">
        <v>48</v>
      </c>
      <c r="M530" s="15" t="s">
        <v>541</v>
      </c>
      <c r="N530" s="15" t="s">
        <v>1726</v>
      </c>
      <c r="O530" s="15" t="s">
        <v>602</v>
      </c>
      <c r="P530" s="15" t="s">
        <v>1823</v>
      </c>
      <c r="Q530" s="15" t="s">
        <v>1824</v>
      </c>
      <c r="R530" s="15" t="s">
        <v>1825</v>
      </c>
      <c r="S530" s="15" t="s">
        <v>942</v>
      </c>
      <c r="T530" s="15"/>
      <c r="U530" s="15"/>
      <c r="V530" s="15"/>
      <c r="W530" s="15"/>
      <c r="X530" s="15"/>
      <c r="AE530" s="51" t="str">
        <f t="shared" si="63"/>
        <v/>
      </c>
      <c r="AF530" s="51" t="str">
        <f t="shared" si="64"/>
        <v/>
      </c>
      <c r="AG530" s="51" t="str">
        <f t="shared" si="65"/>
        <v/>
      </c>
      <c r="AH530" s="51" t="str">
        <f t="shared" si="66"/>
        <v/>
      </c>
      <c r="BG530" s="15"/>
      <c r="BM530" s="17"/>
      <c r="BN530" s="17"/>
      <c r="BO530" s="17"/>
      <c r="BP530" s="17"/>
      <c r="BQ530" s="17"/>
      <c r="BW530" s="17"/>
    </row>
    <row r="531" spans="1:75" hidden="1" x14ac:dyDescent="0.25">
      <c r="A531" s="15" t="s">
        <v>938</v>
      </c>
      <c r="B531" s="15" t="s">
        <v>30</v>
      </c>
      <c r="C531" s="15">
        <v>2010</v>
      </c>
      <c r="D531" s="15" t="s">
        <v>939</v>
      </c>
      <c r="E531" s="15">
        <v>1470</v>
      </c>
      <c r="F531" s="15">
        <v>158578261</v>
      </c>
      <c r="G531" s="15" t="s">
        <v>88</v>
      </c>
      <c r="H531" s="15" t="s">
        <v>89</v>
      </c>
      <c r="I531" s="15" t="s">
        <v>940</v>
      </c>
      <c r="J531" s="15" t="s">
        <v>941</v>
      </c>
      <c r="K531" s="15" t="s">
        <v>92</v>
      </c>
      <c r="L531" s="15" t="s">
        <v>48</v>
      </c>
      <c r="M531" s="15" t="s">
        <v>541</v>
      </c>
      <c r="N531" s="15" t="s">
        <v>1726</v>
      </c>
      <c r="O531" s="15" t="s">
        <v>602</v>
      </c>
      <c r="P531" s="15" t="s">
        <v>1823</v>
      </c>
      <c r="Q531" s="15" t="s">
        <v>1824</v>
      </c>
      <c r="R531" s="15" t="s">
        <v>1825</v>
      </c>
      <c r="S531" s="15" t="s">
        <v>942</v>
      </c>
      <c r="T531" s="15"/>
      <c r="U531" s="15"/>
      <c r="V531" s="15"/>
      <c r="W531" s="15"/>
      <c r="X531" s="15"/>
      <c r="AE531" s="51" t="str">
        <f t="shared" si="63"/>
        <v/>
      </c>
      <c r="AF531" s="51" t="str">
        <f t="shared" si="64"/>
        <v/>
      </c>
      <c r="AG531" s="51" t="str">
        <f t="shared" si="65"/>
        <v/>
      </c>
      <c r="AH531" s="51" t="str">
        <f t="shared" si="66"/>
        <v/>
      </c>
      <c r="AL531" s="17">
        <v>1066766</v>
      </c>
      <c r="BG531" s="15"/>
      <c r="BM531" s="17"/>
      <c r="BN531" s="17"/>
      <c r="BO531" s="17"/>
      <c r="BP531" s="17"/>
      <c r="BQ531" s="17"/>
      <c r="BW531" s="17"/>
    </row>
    <row r="532" spans="1:75" hidden="1" x14ac:dyDescent="0.25">
      <c r="A532" s="15" t="s">
        <v>938</v>
      </c>
      <c r="B532" s="15" t="s">
        <v>30</v>
      </c>
      <c r="C532" s="15">
        <v>2009</v>
      </c>
      <c r="D532" s="15" t="s">
        <v>939</v>
      </c>
      <c r="E532" s="15">
        <v>1160</v>
      </c>
      <c r="F532" s="15">
        <v>154402181</v>
      </c>
      <c r="G532" s="15" t="s">
        <v>88</v>
      </c>
      <c r="H532" s="15" t="s">
        <v>89</v>
      </c>
      <c r="I532" s="15" t="s">
        <v>940</v>
      </c>
      <c r="J532" s="15" t="s">
        <v>941</v>
      </c>
      <c r="K532" s="15" t="s">
        <v>92</v>
      </c>
      <c r="L532" s="15" t="s">
        <v>48</v>
      </c>
      <c r="M532" s="15" t="s">
        <v>541</v>
      </c>
      <c r="N532" s="15" t="s">
        <v>1726</v>
      </c>
      <c r="O532" s="15" t="s">
        <v>602</v>
      </c>
      <c r="P532" s="15" t="s">
        <v>1823</v>
      </c>
      <c r="Q532" s="15" t="s">
        <v>1824</v>
      </c>
      <c r="R532" s="15" t="s">
        <v>1825</v>
      </c>
      <c r="S532" s="15" t="s">
        <v>942</v>
      </c>
      <c r="T532" s="15"/>
      <c r="U532" s="15"/>
      <c r="V532" s="15"/>
      <c r="W532" s="15"/>
      <c r="X532" s="15"/>
      <c r="AE532" s="51" t="str">
        <f t="shared" si="63"/>
        <v/>
      </c>
      <c r="AF532" s="51" t="str">
        <f t="shared" si="64"/>
        <v/>
      </c>
      <c r="AG532" s="51" t="str">
        <f t="shared" si="65"/>
        <v/>
      </c>
      <c r="AH532" s="51" t="str">
        <f t="shared" si="66"/>
        <v/>
      </c>
      <c r="BG532" s="15"/>
      <c r="BM532" s="17"/>
      <c r="BN532" s="17"/>
      <c r="BO532" s="17"/>
      <c r="BP532" s="17"/>
      <c r="BQ532" s="17"/>
      <c r="BW532" s="17"/>
    </row>
    <row r="533" spans="1:75" hidden="1" x14ac:dyDescent="0.25">
      <c r="A533" s="15" t="s">
        <v>938</v>
      </c>
      <c r="B533" s="15" t="s">
        <v>30</v>
      </c>
      <c r="C533" s="15">
        <v>2008</v>
      </c>
      <c r="D533" s="15" t="s">
        <v>939</v>
      </c>
      <c r="E533" s="15">
        <v>1160</v>
      </c>
      <c r="F533" s="15">
        <v>150347390</v>
      </c>
      <c r="G533" s="15" t="s">
        <v>88</v>
      </c>
      <c r="H533" s="15" t="s">
        <v>89</v>
      </c>
      <c r="I533" s="15" t="s">
        <v>940</v>
      </c>
      <c r="J533" s="15" t="s">
        <v>941</v>
      </c>
      <c r="K533" s="15" t="s">
        <v>92</v>
      </c>
      <c r="L533" s="15" t="s">
        <v>48</v>
      </c>
      <c r="M533" s="15" t="s">
        <v>541</v>
      </c>
      <c r="N533" s="15" t="s">
        <v>1726</v>
      </c>
      <c r="O533" s="15" t="s">
        <v>602</v>
      </c>
      <c r="P533" s="15" t="s">
        <v>1823</v>
      </c>
      <c r="Q533" s="15" t="s">
        <v>1824</v>
      </c>
      <c r="R533" s="15" t="s">
        <v>1825</v>
      </c>
      <c r="S533" s="15" t="s">
        <v>942</v>
      </c>
      <c r="T533" s="15"/>
      <c r="U533" s="15"/>
      <c r="V533" s="15"/>
      <c r="W533" s="15"/>
      <c r="X533" s="15"/>
      <c r="AE533" s="51" t="str">
        <f t="shared" si="63"/>
        <v/>
      </c>
      <c r="AF533" s="51" t="str">
        <f t="shared" si="64"/>
        <v/>
      </c>
      <c r="AG533" s="51" t="str">
        <f t="shared" si="65"/>
        <v/>
      </c>
      <c r="AH533" s="51" t="str">
        <f t="shared" si="66"/>
        <v/>
      </c>
      <c r="BG533" s="15"/>
      <c r="BM533" s="17"/>
      <c r="BN533" s="17"/>
      <c r="BO533" s="17"/>
      <c r="BP533" s="17"/>
      <c r="BQ533" s="17"/>
      <c r="BW533" s="17"/>
    </row>
    <row r="534" spans="1:75" hidden="1" x14ac:dyDescent="0.25">
      <c r="A534" s="15" t="s">
        <v>1871</v>
      </c>
      <c r="B534" s="15" t="s">
        <v>30</v>
      </c>
      <c r="C534" s="15">
        <v>2016</v>
      </c>
      <c r="D534" s="15" t="s">
        <v>807</v>
      </c>
      <c r="E534" s="17">
        <v>4980</v>
      </c>
      <c r="F534" s="17">
        <v>2081206</v>
      </c>
      <c r="G534" s="15" t="s">
        <v>42</v>
      </c>
      <c r="H534" s="15" t="s">
        <v>43</v>
      </c>
      <c r="I534" s="15" t="s">
        <v>1857</v>
      </c>
      <c r="J534" s="15" t="s">
        <v>375</v>
      </c>
      <c r="K534" s="15" t="s">
        <v>190</v>
      </c>
      <c r="L534" s="15" t="s">
        <v>48</v>
      </c>
      <c r="M534" s="15" t="s">
        <v>62</v>
      </c>
      <c r="N534" s="15" t="s">
        <v>63</v>
      </c>
      <c r="O534" s="15"/>
      <c r="P534" s="15"/>
      <c r="Q534" s="15"/>
      <c r="R534" s="15"/>
      <c r="S534" s="15"/>
      <c r="T534" s="15"/>
      <c r="U534" s="15"/>
      <c r="V534" s="15"/>
      <c r="W534" s="15"/>
      <c r="X534" s="15"/>
      <c r="Y534" s="17">
        <v>50224</v>
      </c>
      <c r="Z534" s="17">
        <v>2379</v>
      </c>
      <c r="AA534" s="17">
        <v>766</v>
      </c>
      <c r="AB534" s="17">
        <f>AA534+Z534</f>
        <v>3145</v>
      </c>
      <c r="AC534" s="17">
        <f>AB534+Y534</f>
        <v>53369</v>
      </c>
      <c r="AD534" s="17">
        <v>150</v>
      </c>
      <c r="AE534" s="51">
        <f t="shared" si="63"/>
        <v>24.132161833091004</v>
      </c>
      <c r="AF534" s="51">
        <f t="shared" si="64"/>
        <v>1.5111430583997931</v>
      </c>
      <c r="AG534" s="51">
        <f t="shared" si="65"/>
        <v>25.6433048914908</v>
      </c>
      <c r="AH534" s="51">
        <f t="shared" si="66"/>
        <v>7.2073595790133227E-2</v>
      </c>
      <c r="AI534" s="17">
        <v>125694</v>
      </c>
      <c r="AJ534" s="17">
        <v>83496</v>
      </c>
      <c r="AK534" s="17">
        <v>76492</v>
      </c>
      <c r="AL534" s="17">
        <f>AK534+AJ534</f>
        <v>159988</v>
      </c>
      <c r="AM534" s="17">
        <f>AL534+AI534</f>
        <v>285682</v>
      </c>
      <c r="AN534" s="17">
        <v>93055</v>
      </c>
      <c r="AO534" s="17">
        <v>869400000</v>
      </c>
      <c r="AP534" s="17">
        <v>912500000</v>
      </c>
      <c r="AQ534" s="17">
        <v>825100000</v>
      </c>
      <c r="AR534" s="17">
        <f>AQ534+AP534</f>
        <v>1737600000</v>
      </c>
      <c r="AS534" s="17">
        <f>AR534+AO534</f>
        <v>2607000000</v>
      </c>
      <c r="AT534" s="17">
        <v>1423900000</v>
      </c>
      <c r="BG534" s="15"/>
      <c r="BM534" s="17"/>
      <c r="BN534" s="17"/>
      <c r="BO534" s="17"/>
      <c r="BP534" s="17"/>
      <c r="BQ534" s="17"/>
      <c r="BW534" s="17"/>
    </row>
    <row r="535" spans="1:75" hidden="1" x14ac:dyDescent="0.25">
      <c r="A535" s="15" t="s">
        <v>1871</v>
      </c>
      <c r="B535" s="15" t="s">
        <v>30</v>
      </c>
      <c r="C535" s="15">
        <v>2015</v>
      </c>
      <c r="D535" s="15" t="s">
        <v>807</v>
      </c>
      <c r="E535" s="17">
        <v>5110</v>
      </c>
      <c r="F535" s="17">
        <v>2079308</v>
      </c>
      <c r="G535" s="15" t="s">
        <v>42</v>
      </c>
      <c r="H535" s="15" t="s">
        <v>43</v>
      </c>
      <c r="I535" s="15" t="s">
        <v>1857</v>
      </c>
      <c r="J535" s="15" t="s">
        <v>375</v>
      </c>
      <c r="K535" s="15" t="s">
        <v>190</v>
      </c>
      <c r="L535" s="15" t="s">
        <v>48</v>
      </c>
      <c r="M535" s="15" t="s">
        <v>62</v>
      </c>
      <c r="N535" s="15" t="s">
        <v>63</v>
      </c>
      <c r="O535" s="15"/>
      <c r="P535" s="15"/>
      <c r="Q535" s="15"/>
      <c r="R535" s="15"/>
      <c r="S535" s="15"/>
      <c r="T535" s="15"/>
      <c r="U535" s="15"/>
      <c r="V535" s="15"/>
      <c r="W535" s="15"/>
      <c r="X535" s="15"/>
      <c r="Y535" s="17">
        <v>49502</v>
      </c>
      <c r="Z535" s="17">
        <v>2270</v>
      </c>
      <c r="AA535" s="17">
        <v>739</v>
      </c>
      <c r="AB535" s="17">
        <f>AA535+Z535</f>
        <v>3009</v>
      </c>
      <c r="AC535" s="17">
        <f>AB535+Y535</f>
        <v>52511</v>
      </c>
      <c r="AD535" s="17">
        <v>157</v>
      </c>
      <c r="AE535" s="51">
        <f t="shared" si="63"/>
        <v>23.80695885361861</v>
      </c>
      <c r="AF535" s="51">
        <f t="shared" si="64"/>
        <v>1.4471160597660377</v>
      </c>
      <c r="AG535" s="51">
        <f t="shared" si="65"/>
        <v>25.254074913384642</v>
      </c>
      <c r="AH535" s="51">
        <f t="shared" si="66"/>
        <v>7.5505889459377834E-2</v>
      </c>
      <c r="AO535" s="17">
        <v>820800000</v>
      </c>
      <c r="AP535" s="17">
        <v>835400000</v>
      </c>
      <c r="AQ535" s="17">
        <v>756600000</v>
      </c>
      <c r="AR535" s="17">
        <f>AQ535+AP535</f>
        <v>1592000000</v>
      </c>
      <c r="AS535" s="17">
        <f>AR535+AO535</f>
        <v>2412800000</v>
      </c>
      <c r="AT535" s="17">
        <v>1327200000</v>
      </c>
      <c r="BG535" s="15"/>
      <c r="BM535" s="17"/>
      <c r="BN535" s="17"/>
      <c r="BO535" s="17"/>
      <c r="BP535" s="17"/>
      <c r="BQ535" s="17"/>
      <c r="BW535" s="17"/>
    </row>
    <row r="536" spans="1:75" hidden="1" x14ac:dyDescent="0.25">
      <c r="A536" s="15" t="s">
        <v>1871</v>
      </c>
      <c r="B536" s="15" t="s">
        <v>30</v>
      </c>
      <c r="C536" s="15">
        <v>2014</v>
      </c>
      <c r="D536" s="15" t="s">
        <v>807</v>
      </c>
      <c r="E536" s="17">
        <v>5200</v>
      </c>
      <c r="F536" s="17">
        <v>2077495</v>
      </c>
      <c r="G536" s="15" t="s">
        <v>42</v>
      </c>
      <c r="H536" s="15" t="s">
        <v>43</v>
      </c>
      <c r="I536" s="15" t="s">
        <v>1857</v>
      </c>
      <c r="J536" s="15" t="s">
        <v>375</v>
      </c>
      <c r="K536" s="15" t="s">
        <v>190</v>
      </c>
      <c r="L536" s="15" t="s">
        <v>48</v>
      </c>
      <c r="M536" s="15" t="s">
        <v>62</v>
      </c>
      <c r="N536" s="15" t="s">
        <v>63</v>
      </c>
      <c r="O536" s="15"/>
      <c r="P536" s="15"/>
      <c r="Q536" s="15"/>
      <c r="R536" s="15"/>
      <c r="S536" s="15"/>
      <c r="T536" s="15"/>
      <c r="U536" s="15"/>
      <c r="V536" s="15"/>
      <c r="W536" s="15"/>
      <c r="X536" s="15"/>
      <c r="Y536" s="17">
        <v>48740</v>
      </c>
      <c r="Z536" s="17">
        <v>2158</v>
      </c>
      <c r="AA536" s="17">
        <v>706</v>
      </c>
      <c r="AB536" s="17">
        <f>AA536+Z536</f>
        <v>2864</v>
      </c>
      <c r="AC536" s="17">
        <f>AB536+Y536</f>
        <v>51604</v>
      </c>
      <c r="AD536" s="17">
        <v>147</v>
      </c>
      <c r="AE536" s="51">
        <f t="shared" si="63"/>
        <v>23.460946957754409</v>
      </c>
      <c r="AF536" s="51">
        <f t="shared" si="64"/>
        <v>1.3785833419575018</v>
      </c>
      <c r="AG536" s="51">
        <f t="shared" si="65"/>
        <v>24.839530299711914</v>
      </c>
      <c r="AH536" s="51">
        <f t="shared" si="66"/>
        <v>7.0758293040416462E-2</v>
      </c>
      <c r="AO536" s="17">
        <v>793300000</v>
      </c>
      <c r="AP536" s="17">
        <v>767400000</v>
      </c>
      <c r="AQ536" s="17">
        <v>696000000</v>
      </c>
      <c r="AR536" s="17">
        <f>AQ536+AP536</f>
        <v>1463400000</v>
      </c>
      <c r="AS536" s="17">
        <f>AR536+AO536</f>
        <v>2256700000</v>
      </c>
      <c r="AT536" s="17">
        <v>1203100000</v>
      </c>
      <c r="BG536" s="15"/>
      <c r="BM536" s="17"/>
      <c r="BN536" s="17"/>
      <c r="BO536" s="17"/>
      <c r="BP536" s="17"/>
      <c r="BQ536" s="17"/>
      <c r="BW536" s="17"/>
    </row>
    <row r="537" spans="1:75" hidden="1" x14ac:dyDescent="0.25">
      <c r="A537" s="15" t="s">
        <v>1871</v>
      </c>
      <c r="B537" s="15" t="s">
        <v>30</v>
      </c>
      <c r="C537" s="15">
        <v>2013</v>
      </c>
      <c r="D537" s="15" t="s">
        <v>807</v>
      </c>
      <c r="E537" s="15">
        <v>5000</v>
      </c>
      <c r="F537" s="15">
        <v>2075739</v>
      </c>
      <c r="G537" s="15" t="s">
        <v>42</v>
      </c>
      <c r="H537" s="15" t="s">
        <v>43</v>
      </c>
      <c r="I537" s="15" t="s">
        <v>1857</v>
      </c>
      <c r="J537" s="15" t="s">
        <v>375</v>
      </c>
      <c r="K537" s="15" t="s">
        <v>190</v>
      </c>
      <c r="L537" s="15" t="s">
        <v>48</v>
      </c>
      <c r="M537" s="15" t="s">
        <v>62</v>
      </c>
      <c r="N537" s="15" t="s">
        <v>63</v>
      </c>
      <c r="O537" s="15"/>
      <c r="P537" s="15"/>
      <c r="Q537" s="15"/>
      <c r="R537" s="15"/>
      <c r="S537" s="15"/>
      <c r="T537" s="15"/>
      <c r="U537" s="15"/>
      <c r="V537" s="15"/>
      <c r="W537" s="15"/>
      <c r="X537" s="15"/>
      <c r="Y537" s="17">
        <v>48372</v>
      </c>
      <c r="Z537" s="17">
        <v>2117</v>
      </c>
      <c r="AA537" s="17">
        <v>713</v>
      </c>
      <c r="AB537" s="17">
        <f>AA537+Z537</f>
        <v>2830</v>
      </c>
      <c r="AC537" s="17">
        <f>AB537+Y537</f>
        <v>51202</v>
      </c>
      <c r="AD537" s="17">
        <v>124</v>
      </c>
      <c r="AE537" s="51">
        <f t="shared" si="63"/>
        <v>23.303507810953111</v>
      </c>
      <c r="AF537" s="51">
        <f t="shared" si="64"/>
        <v>1.3633698649011268</v>
      </c>
      <c r="AG537" s="51">
        <f t="shared" si="65"/>
        <v>24.666877675854238</v>
      </c>
      <c r="AH537" s="51">
        <f t="shared" si="66"/>
        <v>5.9737760864925701E-2</v>
      </c>
      <c r="AO537" s="17">
        <v>816100000</v>
      </c>
      <c r="AP537" s="17">
        <v>777600000</v>
      </c>
      <c r="AQ537" s="17">
        <v>660400000</v>
      </c>
      <c r="AR537" s="17">
        <f>AQ537+AP537</f>
        <v>1438000000</v>
      </c>
      <c r="AS537" s="17">
        <f>AR537+AO537</f>
        <v>2254100000</v>
      </c>
      <c r="AT537" s="17">
        <v>1145200000</v>
      </c>
      <c r="BG537" s="15"/>
      <c r="BM537" s="17"/>
      <c r="BN537" s="17"/>
      <c r="BO537" s="17"/>
      <c r="BP537" s="17"/>
      <c r="BQ537" s="17"/>
      <c r="BW537" s="17"/>
    </row>
    <row r="538" spans="1:75" hidden="1" x14ac:dyDescent="0.25">
      <c r="A538" s="15" t="s">
        <v>946</v>
      </c>
      <c r="B538" s="15" t="s">
        <v>30</v>
      </c>
      <c r="C538" s="15">
        <v>2012</v>
      </c>
      <c r="D538" s="15" t="s">
        <v>947</v>
      </c>
      <c r="E538" s="15">
        <v>13600</v>
      </c>
      <c r="F538" s="15">
        <v>53305</v>
      </c>
      <c r="G538" s="15" t="s">
        <v>109</v>
      </c>
      <c r="H538" s="15" t="s">
        <v>77</v>
      </c>
      <c r="I538" s="15" t="s">
        <v>948</v>
      </c>
      <c r="J538" s="15" t="s">
        <v>949</v>
      </c>
      <c r="K538" s="15" t="s">
        <v>181</v>
      </c>
      <c r="L538" s="15" t="s">
        <v>47</v>
      </c>
      <c r="M538" s="15" t="s">
        <v>80</v>
      </c>
      <c r="N538" s="15" t="s">
        <v>1889</v>
      </c>
      <c r="O538" s="15"/>
      <c r="P538" s="15"/>
      <c r="Q538" s="15"/>
      <c r="R538" s="15"/>
      <c r="S538" s="15" t="s">
        <v>102</v>
      </c>
      <c r="T538" s="15"/>
      <c r="U538" s="15"/>
      <c r="V538" s="15"/>
      <c r="W538" s="15"/>
      <c r="X538" s="15" t="s">
        <v>102</v>
      </c>
      <c r="Y538" s="17">
        <v>688</v>
      </c>
      <c r="Z538" s="17" t="s">
        <v>950</v>
      </c>
      <c r="AA538" s="17">
        <v>206</v>
      </c>
      <c r="AB538" s="17">
        <v>508</v>
      </c>
      <c r="AC538" s="17">
        <v>1196</v>
      </c>
      <c r="AD538" s="17" t="s">
        <v>951</v>
      </c>
      <c r="AE538" s="51">
        <f t="shared" si="63"/>
        <v>12.906856767657819</v>
      </c>
      <c r="AF538" s="51">
        <f t="shared" si="64"/>
        <v>9.5300628458868761</v>
      </c>
      <c r="AG538" s="51">
        <f t="shared" si="65"/>
        <v>22.436919613544696</v>
      </c>
      <c r="AH538" s="51">
        <f t="shared" si="66"/>
        <v>2.6826751711846915</v>
      </c>
      <c r="AI538" s="17">
        <v>1489</v>
      </c>
      <c r="AJ538" s="17">
        <v>2003</v>
      </c>
      <c r="AK538" s="17">
        <v>2743</v>
      </c>
      <c r="AL538" s="17">
        <v>4746</v>
      </c>
      <c r="AM538" s="17">
        <v>6235</v>
      </c>
      <c r="AN538" s="17">
        <v>7977</v>
      </c>
      <c r="BG538" s="15"/>
      <c r="BM538" s="17"/>
      <c r="BN538" s="17"/>
      <c r="BO538" s="17"/>
      <c r="BP538" s="17"/>
      <c r="BQ538" s="17"/>
      <c r="BW538" s="17"/>
    </row>
    <row r="539" spans="1:75" hidden="1" x14ac:dyDescent="0.25">
      <c r="A539" s="15" t="s">
        <v>952</v>
      </c>
      <c r="B539" s="15" t="s">
        <v>30</v>
      </c>
      <c r="C539" s="15">
        <v>2015</v>
      </c>
      <c r="D539" s="15" t="s">
        <v>953</v>
      </c>
      <c r="E539" s="15">
        <v>93050</v>
      </c>
      <c r="F539" s="15">
        <v>5190239</v>
      </c>
      <c r="G539" s="15" t="s">
        <v>109</v>
      </c>
      <c r="H539" s="15" t="s">
        <v>43</v>
      </c>
      <c r="I539" s="15" t="s">
        <v>1857</v>
      </c>
      <c r="J539" s="15" t="s">
        <v>189</v>
      </c>
      <c r="K539" s="15" t="s">
        <v>190</v>
      </c>
      <c r="L539" s="15" t="s">
        <v>48</v>
      </c>
      <c r="M539" s="15" t="s">
        <v>62</v>
      </c>
      <c r="N539" s="15" t="s">
        <v>63</v>
      </c>
      <c r="O539" s="15"/>
      <c r="P539" s="15"/>
      <c r="Q539" s="15"/>
      <c r="R539" s="15"/>
      <c r="S539" s="15" t="s">
        <v>55</v>
      </c>
      <c r="T539" s="15"/>
      <c r="U539" s="15"/>
      <c r="V539" s="15"/>
      <c r="W539" s="15"/>
      <c r="X539" s="15" t="s">
        <v>55</v>
      </c>
      <c r="Y539" s="17">
        <v>267922</v>
      </c>
      <c r="Z539" s="17">
        <v>21764</v>
      </c>
      <c r="AA539" s="17">
        <v>3095</v>
      </c>
      <c r="AB539" s="17">
        <v>24859</v>
      </c>
      <c r="AC539" s="17">
        <v>292781</v>
      </c>
      <c r="AD539" s="17">
        <v>622</v>
      </c>
      <c r="AE539" s="51">
        <f t="shared" si="63"/>
        <v>51.620358908327731</v>
      </c>
      <c r="AF539" s="51">
        <f t="shared" si="64"/>
        <v>4.7895674939053867</v>
      </c>
      <c r="AG539" s="51">
        <f t="shared" si="65"/>
        <v>56.409926402233111</v>
      </c>
      <c r="AH539" s="51">
        <f t="shared" si="66"/>
        <v>0.11984033875896659</v>
      </c>
      <c r="AI539" s="17">
        <v>378732</v>
      </c>
      <c r="AJ539" s="17">
        <v>410734</v>
      </c>
      <c r="AK539" s="17">
        <v>306455</v>
      </c>
      <c r="AL539" s="17">
        <v>717189</v>
      </c>
      <c r="AM539" s="17">
        <v>1095921</v>
      </c>
      <c r="AN539" s="17">
        <v>514953</v>
      </c>
      <c r="AO539" s="17">
        <v>36817700000</v>
      </c>
      <c r="AU539" s="15" t="s">
        <v>189</v>
      </c>
      <c r="AV539" s="15" t="s">
        <v>189</v>
      </c>
      <c r="BG539" s="15"/>
      <c r="BM539" s="17"/>
      <c r="BN539" s="17"/>
      <c r="BO539" s="17"/>
      <c r="BP539" s="17"/>
      <c r="BQ539" s="17"/>
      <c r="BW539" s="17"/>
    </row>
    <row r="540" spans="1:75" hidden="1" x14ac:dyDescent="0.25">
      <c r="A540" s="15" t="s">
        <v>952</v>
      </c>
      <c r="B540" s="15" t="s">
        <v>30</v>
      </c>
      <c r="C540" s="15">
        <v>2014</v>
      </c>
      <c r="D540" s="15" t="s">
        <v>953</v>
      </c>
      <c r="E540" s="15">
        <v>104540</v>
      </c>
      <c r="F540" s="15">
        <v>5137232</v>
      </c>
      <c r="G540" s="15" t="s">
        <v>109</v>
      </c>
      <c r="H540" s="15" t="s">
        <v>43</v>
      </c>
      <c r="I540" s="15" t="s">
        <v>1857</v>
      </c>
      <c r="J540" s="15" t="s">
        <v>189</v>
      </c>
      <c r="K540" s="15" t="s">
        <v>190</v>
      </c>
      <c r="L540" s="15" t="s">
        <v>48</v>
      </c>
      <c r="M540" s="15" t="s">
        <v>62</v>
      </c>
      <c r="N540" s="15" t="s">
        <v>63</v>
      </c>
      <c r="O540" s="15"/>
      <c r="P540" s="15"/>
      <c r="Q540" s="15"/>
      <c r="R540" s="15"/>
      <c r="S540" s="15" t="s">
        <v>55</v>
      </c>
      <c r="T540" s="15"/>
      <c r="U540" s="15"/>
      <c r="V540" s="15"/>
      <c r="W540" s="15"/>
      <c r="X540" s="15" t="s">
        <v>55</v>
      </c>
      <c r="Y540" s="17">
        <v>262366</v>
      </c>
      <c r="Z540" s="17">
        <v>20215</v>
      </c>
      <c r="AA540" s="17">
        <v>3037</v>
      </c>
      <c r="AB540" s="17">
        <v>23252</v>
      </c>
      <c r="AC540" s="17">
        <v>285618</v>
      </c>
      <c r="AD540" s="17">
        <v>635</v>
      </c>
      <c r="AE540" s="51">
        <f t="shared" si="63"/>
        <v>51.071471952210835</v>
      </c>
      <c r="AF540" s="51">
        <f t="shared" si="64"/>
        <v>4.5261728495033902</v>
      </c>
      <c r="AG540" s="51">
        <f t="shared" si="65"/>
        <v>55.597644801714232</v>
      </c>
      <c r="AH540" s="51">
        <f t="shared" si="66"/>
        <v>0.12360742127277881</v>
      </c>
      <c r="AI540" s="17">
        <v>368983</v>
      </c>
      <c r="AJ540" s="17">
        <v>382602</v>
      </c>
      <c r="AK540" s="17">
        <v>299721</v>
      </c>
      <c r="AL540" s="17">
        <v>682323</v>
      </c>
      <c r="AM540" s="17">
        <v>1051306</v>
      </c>
      <c r="AN540" s="17">
        <v>517609</v>
      </c>
      <c r="AO540" s="17">
        <v>78495700000</v>
      </c>
      <c r="AT540" s="17">
        <v>62354600000</v>
      </c>
      <c r="AU540" s="15" t="s">
        <v>189</v>
      </c>
      <c r="AV540" s="15" t="s">
        <v>189</v>
      </c>
      <c r="BG540" s="15"/>
      <c r="BM540" s="17"/>
      <c r="BN540" s="17"/>
      <c r="BO540" s="17"/>
      <c r="BP540" s="17"/>
      <c r="BQ540" s="17"/>
      <c r="BW540" s="17"/>
    </row>
    <row r="541" spans="1:75" hidden="1" x14ac:dyDescent="0.25">
      <c r="A541" s="15" t="s">
        <v>952</v>
      </c>
      <c r="B541" s="15" t="s">
        <v>30</v>
      </c>
      <c r="C541" s="15">
        <v>2013</v>
      </c>
      <c r="D541" s="15" t="s">
        <v>953</v>
      </c>
      <c r="E541" s="15">
        <v>104340</v>
      </c>
      <c r="F541" s="15">
        <v>5079623</v>
      </c>
      <c r="G541" s="15" t="s">
        <v>109</v>
      </c>
      <c r="H541" s="15" t="s">
        <v>43</v>
      </c>
      <c r="I541" s="15" t="s">
        <v>1857</v>
      </c>
      <c r="J541" s="15" t="s">
        <v>189</v>
      </c>
      <c r="K541" s="15" t="s">
        <v>190</v>
      </c>
      <c r="L541" s="15" t="s">
        <v>48</v>
      </c>
      <c r="M541" s="15" t="s">
        <v>62</v>
      </c>
      <c r="N541" s="15" t="s">
        <v>63</v>
      </c>
      <c r="O541" s="15"/>
      <c r="P541" s="15"/>
      <c r="Q541" s="15"/>
      <c r="R541" s="15"/>
      <c r="S541" s="15" t="s">
        <v>55</v>
      </c>
      <c r="T541" s="15"/>
      <c r="U541" s="15"/>
      <c r="V541" s="15"/>
      <c r="W541" s="15"/>
      <c r="X541" s="15" t="s">
        <v>55</v>
      </c>
      <c r="Y541" s="17">
        <v>258657</v>
      </c>
      <c r="Z541" s="17">
        <v>19810</v>
      </c>
      <c r="AA541" s="17">
        <v>2969</v>
      </c>
      <c r="AB541" s="17">
        <v>22779</v>
      </c>
      <c r="AC541" s="17">
        <v>281436</v>
      </c>
      <c r="AD541" s="17">
        <v>610</v>
      </c>
      <c r="AE541" s="51">
        <f t="shared" si="63"/>
        <v>50.920511226915856</v>
      </c>
      <c r="AF541" s="51">
        <f t="shared" si="64"/>
        <v>4.484387916189843</v>
      </c>
      <c r="AG541" s="51">
        <f t="shared" si="65"/>
        <v>55.404899143105702</v>
      </c>
      <c r="AH541" s="51">
        <f t="shared" si="66"/>
        <v>0.12008765217418695</v>
      </c>
      <c r="AI541" s="17">
        <v>367699</v>
      </c>
      <c r="AJ541" s="17">
        <v>375488</v>
      </c>
      <c r="AK541" s="17">
        <v>292449</v>
      </c>
      <c r="AL541" s="17">
        <v>667937</v>
      </c>
      <c r="AM541" s="17">
        <v>1035636</v>
      </c>
      <c r="AN541" s="17">
        <v>504554</v>
      </c>
      <c r="AO541" s="17">
        <v>65202700000</v>
      </c>
      <c r="AQ541" s="17">
        <v>36875600000</v>
      </c>
      <c r="AU541" s="15" t="s">
        <v>189</v>
      </c>
      <c r="AV541" s="15" t="s">
        <v>189</v>
      </c>
      <c r="BG541" s="15"/>
      <c r="BM541" s="17"/>
      <c r="BN541" s="17"/>
      <c r="BO541" s="17"/>
      <c r="BP541" s="17"/>
      <c r="BQ541" s="17"/>
      <c r="BW541" s="17"/>
    </row>
    <row r="542" spans="1:75" hidden="1" x14ac:dyDescent="0.25">
      <c r="A542" s="15" t="s">
        <v>952</v>
      </c>
      <c r="B542" s="15" t="s">
        <v>30</v>
      </c>
      <c r="C542" s="15">
        <v>2012</v>
      </c>
      <c r="D542" s="15" t="s">
        <v>953</v>
      </c>
      <c r="E542" s="15">
        <v>99100</v>
      </c>
      <c r="F542" s="15">
        <v>5018573</v>
      </c>
      <c r="G542" s="15" t="s">
        <v>109</v>
      </c>
      <c r="H542" s="15" t="s">
        <v>43</v>
      </c>
      <c r="I542" s="15" t="s">
        <v>1857</v>
      </c>
      <c r="J542" s="15" t="s">
        <v>189</v>
      </c>
      <c r="K542" s="15" t="s">
        <v>190</v>
      </c>
      <c r="L542" s="15" t="s">
        <v>48</v>
      </c>
      <c r="M542" s="15" t="s">
        <v>62</v>
      </c>
      <c r="N542" s="15" t="s">
        <v>63</v>
      </c>
      <c r="O542" s="15"/>
      <c r="P542" s="15"/>
      <c r="Q542" s="15"/>
      <c r="R542" s="15"/>
      <c r="S542" s="15" t="s">
        <v>55</v>
      </c>
      <c r="T542" s="15"/>
      <c r="U542" s="15"/>
      <c r="V542" s="15"/>
      <c r="W542" s="15"/>
      <c r="X542" s="15" t="s">
        <v>55</v>
      </c>
      <c r="Y542" s="17">
        <v>255951</v>
      </c>
      <c r="Z542" s="17">
        <v>19455</v>
      </c>
      <c r="AA542" s="17">
        <v>2894</v>
      </c>
      <c r="AB542" s="17">
        <v>22349</v>
      </c>
      <c r="AC542" s="17">
        <v>278300</v>
      </c>
      <c r="AD542" s="17">
        <v>599</v>
      </c>
      <c r="AE542" s="51">
        <f t="shared" si="63"/>
        <v>51.000752604375791</v>
      </c>
      <c r="AF542" s="51">
        <f t="shared" si="64"/>
        <v>4.4532579281002782</v>
      </c>
      <c r="AG542" s="51">
        <f t="shared" si="65"/>
        <v>55.454010532476062</v>
      </c>
      <c r="AH542" s="51">
        <f t="shared" si="66"/>
        <v>0.11935663783310516</v>
      </c>
      <c r="AI542" s="17">
        <v>369568</v>
      </c>
      <c r="AJ542" s="17">
        <v>368119</v>
      </c>
      <c r="AK542" s="17">
        <v>284087</v>
      </c>
      <c r="AL542" s="17">
        <v>652206</v>
      </c>
      <c r="AM542" s="17">
        <v>1021774</v>
      </c>
      <c r="AN542" s="17">
        <v>489064</v>
      </c>
      <c r="AO542" s="17">
        <v>67958800000</v>
      </c>
      <c r="AP542" s="17">
        <v>31922500000</v>
      </c>
      <c r="AQ542" s="17">
        <v>35274200000</v>
      </c>
      <c r="AR542" s="17">
        <v>67196700000</v>
      </c>
      <c r="AS542" s="17">
        <v>135155500000</v>
      </c>
      <c r="AT542" s="17">
        <v>95505100000</v>
      </c>
      <c r="AU542" s="15" t="s">
        <v>189</v>
      </c>
      <c r="AV542" s="15" t="s">
        <v>189</v>
      </c>
      <c r="BG542" s="15"/>
      <c r="BM542" s="17"/>
      <c r="BN542" s="17"/>
      <c r="BO542" s="17"/>
      <c r="BP542" s="17"/>
      <c r="BQ542" s="17"/>
      <c r="BW542" s="17"/>
    </row>
    <row r="543" spans="1:75" hidden="1" x14ac:dyDescent="0.25">
      <c r="A543" s="15" t="s">
        <v>952</v>
      </c>
      <c r="B543" s="15" t="s">
        <v>52</v>
      </c>
      <c r="C543" s="15">
        <v>2016</v>
      </c>
      <c r="D543" s="15" t="s">
        <v>953</v>
      </c>
      <c r="E543" s="15">
        <v>82010</v>
      </c>
      <c r="F543" s="15">
        <v>5282223</v>
      </c>
      <c r="G543" s="15" t="s">
        <v>109</v>
      </c>
      <c r="H543" s="15" t="s">
        <v>43</v>
      </c>
      <c r="I543" s="15" t="s">
        <v>1734</v>
      </c>
      <c r="J543" s="15" t="s">
        <v>271</v>
      </c>
      <c r="K543" s="15" t="s">
        <v>190</v>
      </c>
      <c r="L543" s="15" t="s">
        <v>955</v>
      </c>
      <c r="M543" s="15" t="s">
        <v>62</v>
      </c>
      <c r="N543" s="15" t="s">
        <v>63</v>
      </c>
      <c r="O543" s="15"/>
      <c r="P543" s="15"/>
      <c r="Q543" s="15"/>
      <c r="R543" s="15"/>
      <c r="S543" s="15"/>
      <c r="T543" s="15" t="s">
        <v>115</v>
      </c>
      <c r="U543" s="15" t="s">
        <v>168</v>
      </c>
      <c r="V543" s="15" t="s">
        <v>502</v>
      </c>
      <c r="W543" s="15" t="s">
        <v>503</v>
      </c>
      <c r="X543" s="15" t="s">
        <v>55</v>
      </c>
      <c r="AE543" s="51" t="str">
        <f t="shared" si="63"/>
        <v/>
      </c>
      <c r="AF543" s="51" t="str">
        <f t="shared" si="64"/>
        <v/>
      </c>
      <c r="AG543" s="51" t="str">
        <f t="shared" si="65"/>
        <v/>
      </c>
      <c r="AH543" s="51" t="str">
        <f t="shared" si="66"/>
        <v/>
      </c>
      <c r="BC543" s="17"/>
      <c r="BD543" s="43">
        <v>0.36620000000000003</v>
      </c>
      <c r="BG543" s="15"/>
      <c r="BM543" s="17"/>
      <c r="BN543" s="17"/>
      <c r="BO543" s="17"/>
      <c r="BP543" s="17"/>
      <c r="BQ543" s="17"/>
      <c r="BW543" s="17"/>
    </row>
    <row r="544" spans="1:75" hidden="1" x14ac:dyDescent="0.25">
      <c r="A544" s="15" t="s">
        <v>952</v>
      </c>
      <c r="B544" s="15" t="s">
        <v>52</v>
      </c>
      <c r="C544" s="15">
        <v>2015</v>
      </c>
      <c r="D544" s="15" t="s">
        <v>953</v>
      </c>
      <c r="E544" s="15">
        <v>93050</v>
      </c>
      <c r="F544" s="15">
        <v>5190239</v>
      </c>
      <c r="G544" s="15" t="s">
        <v>109</v>
      </c>
      <c r="H544" s="15" t="s">
        <v>43</v>
      </c>
      <c r="I544" s="15" t="s">
        <v>1734</v>
      </c>
      <c r="J544" s="15" t="s">
        <v>271</v>
      </c>
      <c r="K544" s="15" t="s">
        <v>190</v>
      </c>
      <c r="L544" s="15" t="s">
        <v>48</v>
      </c>
      <c r="M544" s="15" t="s">
        <v>62</v>
      </c>
      <c r="N544" s="15" t="s">
        <v>63</v>
      </c>
      <c r="O544" s="15"/>
      <c r="P544" s="15"/>
      <c r="Q544" s="15"/>
      <c r="R544" s="15"/>
      <c r="S544" s="15"/>
      <c r="T544" s="15" t="s">
        <v>115</v>
      </c>
      <c r="U544" s="15" t="s">
        <v>168</v>
      </c>
      <c r="V544" s="15" t="s">
        <v>502</v>
      </c>
      <c r="W544" s="15" t="s">
        <v>503</v>
      </c>
      <c r="X544" s="15" t="s">
        <v>55</v>
      </c>
      <c r="AE544" s="51" t="str">
        <f t="shared" si="63"/>
        <v/>
      </c>
      <c r="AF544" s="51" t="str">
        <f t="shared" si="64"/>
        <v/>
      </c>
      <c r="AG544" s="51" t="str">
        <f t="shared" si="65"/>
        <v/>
      </c>
      <c r="AH544" s="51" t="str">
        <f t="shared" si="66"/>
        <v/>
      </c>
      <c r="BC544" s="17"/>
      <c r="BD544" s="43">
        <v>0.39040000000000002</v>
      </c>
      <c r="BG544" s="15"/>
      <c r="BM544" s="17"/>
      <c r="BN544" s="17"/>
      <c r="BO544" s="17"/>
      <c r="BP544" s="17"/>
      <c r="BQ544" s="17"/>
      <c r="BW544" s="17"/>
    </row>
    <row r="545" spans="1:75" hidden="1" x14ac:dyDescent="0.25">
      <c r="A545" s="15" t="s">
        <v>952</v>
      </c>
      <c r="B545" s="15" t="s">
        <v>52</v>
      </c>
      <c r="C545" s="15">
        <v>2014</v>
      </c>
      <c r="D545" s="15" t="s">
        <v>953</v>
      </c>
      <c r="E545" s="15">
        <v>104540</v>
      </c>
      <c r="F545" s="15">
        <v>5137232</v>
      </c>
      <c r="G545" s="15" t="s">
        <v>109</v>
      </c>
      <c r="H545" s="15" t="s">
        <v>43</v>
      </c>
      <c r="I545" s="15" t="s">
        <v>1734</v>
      </c>
      <c r="J545" s="15" t="s">
        <v>271</v>
      </c>
      <c r="K545" s="15" t="s">
        <v>190</v>
      </c>
      <c r="L545" s="15" t="s">
        <v>48</v>
      </c>
      <c r="M545" s="15" t="s">
        <v>62</v>
      </c>
      <c r="N545" s="15" t="s">
        <v>63</v>
      </c>
      <c r="O545" s="15"/>
      <c r="P545" s="15"/>
      <c r="Q545" s="15"/>
      <c r="R545" s="15"/>
      <c r="S545" s="15"/>
      <c r="T545" s="15" t="s">
        <v>115</v>
      </c>
      <c r="U545" s="15" t="s">
        <v>168</v>
      </c>
      <c r="V545" s="15" t="s">
        <v>502</v>
      </c>
      <c r="W545" s="15" t="s">
        <v>503</v>
      </c>
      <c r="X545" s="15" t="s">
        <v>55</v>
      </c>
      <c r="AE545" s="51" t="str">
        <f t="shared" si="63"/>
        <v/>
      </c>
      <c r="AF545" s="51" t="str">
        <f t="shared" si="64"/>
        <v/>
      </c>
      <c r="AG545" s="51" t="str">
        <f t="shared" si="65"/>
        <v/>
      </c>
      <c r="AH545" s="51" t="str">
        <f t="shared" si="66"/>
        <v/>
      </c>
      <c r="BC545" s="17"/>
      <c r="BD545" s="43">
        <v>0.36840000000000001</v>
      </c>
      <c r="BG545" s="15"/>
      <c r="BM545" s="17"/>
      <c r="BN545" s="17"/>
      <c r="BO545" s="17"/>
      <c r="BP545" s="17"/>
      <c r="BQ545" s="17"/>
      <c r="BW545" s="17"/>
    </row>
    <row r="546" spans="1:75" hidden="1" x14ac:dyDescent="0.25">
      <c r="A546" s="15" t="s">
        <v>952</v>
      </c>
      <c r="B546" s="15" t="s">
        <v>52</v>
      </c>
      <c r="C546" s="15">
        <v>2013</v>
      </c>
      <c r="D546" s="15" t="s">
        <v>953</v>
      </c>
      <c r="E546" s="15">
        <v>104340</v>
      </c>
      <c r="F546" s="15">
        <v>5079623</v>
      </c>
      <c r="G546" s="15" t="s">
        <v>109</v>
      </c>
      <c r="H546" s="15" t="s">
        <v>43</v>
      </c>
      <c r="I546" s="15" t="s">
        <v>1734</v>
      </c>
      <c r="J546" s="15" t="s">
        <v>271</v>
      </c>
      <c r="K546" s="15" t="s">
        <v>190</v>
      </c>
      <c r="L546" s="15" t="s">
        <v>48</v>
      </c>
      <c r="M546" s="15" t="s">
        <v>62</v>
      </c>
      <c r="N546" s="15" t="s">
        <v>63</v>
      </c>
      <c r="O546" s="15"/>
      <c r="P546" s="15"/>
      <c r="Q546" s="15"/>
      <c r="R546" s="15"/>
      <c r="S546" s="15"/>
      <c r="T546" s="15" t="s">
        <v>115</v>
      </c>
      <c r="U546" s="15" t="s">
        <v>168</v>
      </c>
      <c r="V546" s="15" t="s">
        <v>502</v>
      </c>
      <c r="W546" s="15" t="s">
        <v>503</v>
      </c>
      <c r="X546" s="15" t="s">
        <v>55</v>
      </c>
      <c r="AE546" s="51" t="str">
        <f t="shared" si="63"/>
        <v/>
      </c>
      <c r="AF546" s="51" t="str">
        <f t="shared" si="64"/>
        <v/>
      </c>
      <c r="AG546" s="51" t="str">
        <f t="shared" si="65"/>
        <v/>
      </c>
      <c r="AH546" s="51" t="str">
        <f t="shared" si="66"/>
        <v/>
      </c>
      <c r="BD546" s="43">
        <v>0.36230000000000001</v>
      </c>
      <c r="BG546" s="15"/>
      <c r="BM546" s="17"/>
      <c r="BN546" s="17"/>
      <c r="BO546" s="17"/>
      <c r="BP546" s="17"/>
      <c r="BQ546" s="17"/>
      <c r="BW546" s="17"/>
    </row>
    <row r="547" spans="1:75" hidden="1" x14ac:dyDescent="0.25">
      <c r="A547" s="15" t="s">
        <v>952</v>
      </c>
      <c r="B547" s="15" t="s">
        <v>52</v>
      </c>
      <c r="C547" s="15">
        <v>2011</v>
      </c>
      <c r="D547" s="15" t="s">
        <v>953</v>
      </c>
      <c r="E547" s="15">
        <v>90280</v>
      </c>
      <c r="F547" s="15">
        <v>4953088</v>
      </c>
      <c r="G547" s="15" t="s">
        <v>109</v>
      </c>
      <c r="H547" s="15" t="s">
        <v>43</v>
      </c>
      <c r="I547" s="15" t="s">
        <v>1734</v>
      </c>
      <c r="J547" s="15" t="s">
        <v>271</v>
      </c>
      <c r="K547" s="15" t="s">
        <v>190</v>
      </c>
      <c r="L547" s="15" t="s">
        <v>48</v>
      </c>
      <c r="M547" s="15" t="s">
        <v>62</v>
      </c>
      <c r="N547" s="15" t="s">
        <v>63</v>
      </c>
      <c r="O547" s="15"/>
      <c r="P547" s="15"/>
      <c r="Q547" s="15"/>
      <c r="R547" s="15"/>
      <c r="S547" s="15"/>
      <c r="T547" s="15" t="s">
        <v>115</v>
      </c>
      <c r="U547" s="15" t="s">
        <v>168</v>
      </c>
      <c r="V547" s="15" t="s">
        <v>502</v>
      </c>
      <c r="W547" s="15" t="s">
        <v>503</v>
      </c>
      <c r="X547" s="15" t="s">
        <v>55</v>
      </c>
      <c r="AE547" s="51" t="str">
        <f t="shared" si="63"/>
        <v/>
      </c>
      <c r="AF547" s="51" t="str">
        <f t="shared" si="64"/>
        <v/>
      </c>
      <c r="AG547" s="51" t="str">
        <f t="shared" si="65"/>
        <v/>
      </c>
      <c r="AH547" s="51" t="str">
        <f t="shared" si="66"/>
        <v/>
      </c>
      <c r="BD547" s="43">
        <v>0.40350000000000003</v>
      </c>
      <c r="BG547" s="15"/>
      <c r="BM547" s="17"/>
      <c r="BN547" s="17"/>
      <c r="BO547" s="17"/>
      <c r="BP547" s="17"/>
      <c r="BQ547" s="17"/>
      <c r="BW547" s="17"/>
    </row>
    <row r="548" spans="1:75" hidden="1" x14ac:dyDescent="0.25">
      <c r="A548" s="15" t="s">
        <v>956</v>
      </c>
      <c r="B548" s="15" t="s">
        <v>30</v>
      </c>
      <c r="C548" s="15">
        <v>2018</v>
      </c>
      <c r="D548" s="15" t="s">
        <v>957</v>
      </c>
      <c r="E548" s="15">
        <v>14440</v>
      </c>
      <c r="F548" s="15">
        <v>4636262</v>
      </c>
      <c r="G548" s="15" t="s">
        <v>109</v>
      </c>
      <c r="H548" s="15" t="s">
        <v>58</v>
      </c>
      <c r="I548" s="15" t="s">
        <v>958</v>
      </c>
      <c r="J548" s="15" t="s">
        <v>959</v>
      </c>
      <c r="K548" s="15" t="s">
        <v>34</v>
      </c>
      <c r="L548" s="15" t="s">
        <v>960</v>
      </c>
      <c r="M548" s="15" t="s">
        <v>961</v>
      </c>
      <c r="N548" s="15" t="s">
        <v>310</v>
      </c>
      <c r="O548" s="15"/>
      <c r="P548" s="15"/>
      <c r="Q548" s="15"/>
      <c r="R548" s="15"/>
      <c r="S548" s="15"/>
      <c r="T548" s="15" t="s">
        <v>962</v>
      </c>
      <c r="U548" s="15" t="s">
        <v>963</v>
      </c>
      <c r="V548" s="15" t="s">
        <v>964</v>
      </c>
      <c r="W548" s="15" t="s">
        <v>965</v>
      </c>
      <c r="X548" s="15" t="s">
        <v>966</v>
      </c>
      <c r="AB548" s="17">
        <v>32000</v>
      </c>
      <c r="AE548" s="51" t="str">
        <f t="shared" si="63"/>
        <v/>
      </c>
      <c r="AF548" s="51">
        <f t="shared" si="64"/>
        <v>6.9021120894375683</v>
      </c>
      <c r="AG548" s="51" t="str">
        <f t="shared" si="65"/>
        <v/>
      </c>
      <c r="AH548" s="51" t="str">
        <f t="shared" si="66"/>
        <v/>
      </c>
      <c r="BG548" s="15"/>
      <c r="BM548" s="17"/>
      <c r="BN548" s="17"/>
      <c r="BO548" s="17"/>
      <c r="BP548" s="17"/>
      <c r="BQ548" s="17"/>
      <c r="BW548" s="17"/>
    </row>
    <row r="549" spans="1:75" hidden="1" x14ac:dyDescent="0.25">
      <c r="A549" s="15" t="s">
        <v>956</v>
      </c>
      <c r="B549" s="15" t="s">
        <v>30</v>
      </c>
      <c r="C549" s="15">
        <v>2017</v>
      </c>
      <c r="D549" s="15" t="s">
        <v>957</v>
      </c>
      <c r="E549" s="15">
        <v>14440</v>
      </c>
      <c r="F549" s="15">
        <v>4636262</v>
      </c>
      <c r="G549" s="15" t="s">
        <v>109</v>
      </c>
      <c r="H549" s="15" t="s">
        <v>58</v>
      </c>
      <c r="I549" s="15" t="s">
        <v>958</v>
      </c>
      <c r="J549" s="15" t="s">
        <v>959</v>
      </c>
      <c r="K549" s="15" t="s">
        <v>34</v>
      </c>
      <c r="L549" s="15" t="s">
        <v>960</v>
      </c>
      <c r="M549" s="15" t="s">
        <v>961</v>
      </c>
      <c r="N549" s="15" t="s">
        <v>310</v>
      </c>
      <c r="O549" s="15"/>
      <c r="P549" s="15"/>
      <c r="Q549" s="15"/>
      <c r="R549" s="15"/>
      <c r="S549" s="15"/>
      <c r="T549" s="15" t="s">
        <v>962</v>
      </c>
      <c r="U549" s="15" t="s">
        <v>963</v>
      </c>
      <c r="V549" s="15" t="s">
        <v>964</v>
      </c>
      <c r="W549" s="15" t="s">
        <v>965</v>
      </c>
      <c r="X549" s="15" t="s">
        <v>966</v>
      </c>
      <c r="AB549" s="17">
        <v>23221</v>
      </c>
      <c r="AE549" s="51" t="str">
        <f t="shared" si="63"/>
        <v/>
      </c>
      <c r="AF549" s="51">
        <f t="shared" si="64"/>
        <v>5.0085607759009312</v>
      </c>
      <c r="AG549" s="51" t="str">
        <f t="shared" si="65"/>
        <v/>
      </c>
      <c r="AH549" s="51" t="str">
        <f t="shared" si="66"/>
        <v/>
      </c>
      <c r="BG549" s="15"/>
      <c r="BM549" s="17"/>
      <c r="BN549" s="17"/>
      <c r="BO549" s="17"/>
      <c r="BP549" s="17"/>
      <c r="BQ549" s="17"/>
      <c r="BW549" s="17"/>
    </row>
    <row r="550" spans="1:75" hidden="1" x14ac:dyDescent="0.25">
      <c r="A550" s="15" t="s">
        <v>956</v>
      </c>
      <c r="B550" s="15" t="s">
        <v>30</v>
      </c>
      <c r="C550" s="15">
        <v>2016</v>
      </c>
      <c r="D550" s="15" t="s">
        <v>957</v>
      </c>
      <c r="E550" s="15">
        <v>16200</v>
      </c>
      <c r="F550" s="15">
        <v>4636262</v>
      </c>
      <c r="G550" s="15" t="s">
        <v>109</v>
      </c>
      <c r="H550" s="15" t="s">
        <v>58</v>
      </c>
      <c r="I550" s="15" t="s">
        <v>958</v>
      </c>
      <c r="J550" s="15" t="s">
        <v>959</v>
      </c>
      <c r="K550" s="15" t="s">
        <v>34</v>
      </c>
      <c r="L550" s="15" t="s">
        <v>960</v>
      </c>
      <c r="M550" s="15" t="s">
        <v>961</v>
      </c>
      <c r="N550" s="15" t="s">
        <v>310</v>
      </c>
      <c r="O550" s="15"/>
      <c r="P550" s="15"/>
      <c r="Q550" s="15"/>
      <c r="R550" s="15"/>
      <c r="S550" s="15"/>
      <c r="T550" s="15" t="s">
        <v>962</v>
      </c>
      <c r="U550" s="15" t="s">
        <v>963</v>
      </c>
      <c r="V550" s="15" t="s">
        <v>964</v>
      </c>
      <c r="W550" s="15" t="s">
        <v>965</v>
      </c>
      <c r="X550" s="15" t="s">
        <v>966</v>
      </c>
      <c r="AB550" s="17">
        <v>27923</v>
      </c>
      <c r="AE550" s="51" t="str">
        <f t="shared" si="63"/>
        <v/>
      </c>
      <c r="AF550" s="51">
        <f t="shared" si="64"/>
        <v>6.0227398710426634</v>
      </c>
      <c r="AG550" s="51" t="str">
        <f t="shared" si="65"/>
        <v/>
      </c>
      <c r="AH550" s="51" t="str">
        <f t="shared" si="66"/>
        <v/>
      </c>
      <c r="BG550" s="15"/>
      <c r="BM550" s="17"/>
      <c r="BN550" s="17"/>
      <c r="BO550" s="17"/>
      <c r="BP550" s="17"/>
      <c r="BQ550" s="17"/>
      <c r="BW550" s="17"/>
    </row>
    <row r="551" spans="1:75" hidden="1" x14ac:dyDescent="0.25">
      <c r="A551" s="15" t="s">
        <v>967</v>
      </c>
      <c r="B551" s="15" t="s">
        <v>30</v>
      </c>
      <c r="C551" s="15">
        <v>2005</v>
      </c>
      <c r="D551" s="15" t="s">
        <v>968</v>
      </c>
      <c r="E551" s="15">
        <v>710</v>
      </c>
      <c r="F551" s="15">
        <v>157971415</v>
      </c>
      <c r="G551" s="15" t="s">
        <v>88</v>
      </c>
      <c r="H551" s="15" t="s">
        <v>33</v>
      </c>
      <c r="I551" s="15" t="s">
        <v>1727</v>
      </c>
      <c r="J551" s="15" t="s">
        <v>969</v>
      </c>
      <c r="K551" s="15" t="s">
        <v>401</v>
      </c>
      <c r="L551" s="15" t="s">
        <v>402</v>
      </c>
      <c r="M551" s="15" t="s">
        <v>166</v>
      </c>
      <c r="N551" s="15" t="s">
        <v>167</v>
      </c>
      <c r="O551" s="15"/>
      <c r="P551" s="15"/>
      <c r="Q551" s="15"/>
      <c r="R551" s="15"/>
      <c r="S551" s="15"/>
      <c r="T551" s="15"/>
      <c r="U551" s="15"/>
      <c r="V551" s="15"/>
      <c r="W551" s="15"/>
      <c r="X551" s="15"/>
      <c r="Y551" s="17">
        <v>2930352</v>
      </c>
      <c r="Z551" s="17">
        <v>26352</v>
      </c>
      <c r="AA551" s="17">
        <v>1425</v>
      </c>
      <c r="AB551" s="17">
        <v>27777</v>
      </c>
      <c r="AC551" s="17">
        <v>2958129</v>
      </c>
      <c r="AE551" s="51">
        <f t="shared" si="63"/>
        <v>18.549887648977506</v>
      </c>
      <c r="AF551" s="51">
        <f t="shared" si="64"/>
        <v>0.17583560924614114</v>
      </c>
      <c r="AG551" s="51">
        <f t="shared" si="65"/>
        <v>18.725723258223645</v>
      </c>
      <c r="AH551" s="51" t="str">
        <f t="shared" si="66"/>
        <v/>
      </c>
      <c r="BG551" s="15"/>
      <c r="BM551" s="17"/>
      <c r="BN551" s="17"/>
      <c r="BO551" s="17"/>
      <c r="BP551" s="17"/>
      <c r="BQ551" s="17"/>
    </row>
    <row r="552" spans="1:75" hidden="1" x14ac:dyDescent="0.25">
      <c r="A552" s="15" t="s">
        <v>971</v>
      </c>
      <c r="B552" s="15" t="s">
        <v>30</v>
      </c>
      <c r="C552" s="15">
        <v>2009</v>
      </c>
      <c r="D552" s="15" t="s">
        <v>972</v>
      </c>
      <c r="E552" s="15">
        <v>6800</v>
      </c>
      <c r="F552" s="15">
        <v>3579385</v>
      </c>
      <c r="G552" s="15" t="s">
        <v>109</v>
      </c>
      <c r="H552" s="15" t="s">
        <v>110</v>
      </c>
      <c r="I552" s="15" t="s">
        <v>973</v>
      </c>
      <c r="J552" s="15" t="s">
        <v>974</v>
      </c>
      <c r="K552" s="15"/>
      <c r="L552" s="15"/>
      <c r="M552" s="15"/>
      <c r="N552" s="15"/>
      <c r="O552" s="15"/>
      <c r="P552" s="15"/>
      <c r="Q552" s="15"/>
      <c r="R552" s="15"/>
      <c r="S552" s="15"/>
      <c r="T552" s="15" t="s">
        <v>975</v>
      </c>
      <c r="U552" s="15" t="s">
        <v>976</v>
      </c>
      <c r="V552" s="15" t="s">
        <v>977</v>
      </c>
      <c r="W552" s="15" t="s">
        <v>978</v>
      </c>
      <c r="X552" s="15" t="s">
        <v>979</v>
      </c>
      <c r="Y552" s="17">
        <v>49979</v>
      </c>
      <c r="Z552" s="17">
        <v>6751</v>
      </c>
      <c r="AA552" s="17">
        <v>1558</v>
      </c>
      <c r="AB552" s="17">
        <v>8309</v>
      </c>
      <c r="AC552" s="17">
        <v>58288</v>
      </c>
      <c r="AD552" s="17">
        <v>2156</v>
      </c>
      <c r="AE552" s="51">
        <f t="shared" si="63"/>
        <v>13.963013199194833</v>
      </c>
      <c r="AF552" s="51">
        <f t="shared" si="64"/>
        <v>2.3213484998121188</v>
      </c>
      <c r="AG552" s="51">
        <f t="shared" si="65"/>
        <v>16.284361699006954</v>
      </c>
      <c r="AH552" s="51">
        <f t="shared" si="66"/>
        <v>0.60233811115596669</v>
      </c>
      <c r="AI552" s="17">
        <v>129733</v>
      </c>
      <c r="AJ552" s="17">
        <v>73854</v>
      </c>
      <c r="AK552" s="17">
        <v>43454</v>
      </c>
      <c r="AL552" s="17">
        <v>117308</v>
      </c>
      <c r="AM552" s="17">
        <v>247041</v>
      </c>
      <c r="AN552" s="17">
        <v>245438</v>
      </c>
      <c r="AO552" s="17">
        <v>1240692585</v>
      </c>
      <c r="AP552" s="17">
        <v>2732872335</v>
      </c>
      <c r="AQ552" s="17">
        <v>2480901251</v>
      </c>
      <c r="AR552" s="17">
        <v>5213773586</v>
      </c>
      <c r="AS552" s="17">
        <v>6454466171</v>
      </c>
      <c r="AT552" s="17">
        <v>46736942093</v>
      </c>
      <c r="BG552" s="15"/>
      <c r="BM552" s="17"/>
      <c r="BN552" s="17"/>
      <c r="BO552" s="17"/>
      <c r="BP552" s="17"/>
      <c r="BQ552" s="17"/>
      <c r="BS552" s="15" t="s">
        <v>980</v>
      </c>
      <c r="BT552" s="15" t="s">
        <v>981</v>
      </c>
      <c r="BW552" s="17"/>
    </row>
    <row r="553" spans="1:75" hidden="1" x14ac:dyDescent="0.25">
      <c r="A553" s="15" t="s">
        <v>971</v>
      </c>
      <c r="B553" s="15" t="s">
        <v>52</v>
      </c>
      <c r="C553" s="15">
        <v>2018</v>
      </c>
      <c r="D553" s="15" t="s">
        <v>972</v>
      </c>
      <c r="E553" s="15">
        <v>13100</v>
      </c>
      <c r="F553" s="15">
        <v>4098587</v>
      </c>
      <c r="G553" s="15" t="s">
        <v>109</v>
      </c>
      <c r="H553" s="15" t="s">
        <v>110</v>
      </c>
      <c r="I553" s="15" t="s">
        <v>982</v>
      </c>
      <c r="J553" s="15" t="s">
        <v>983</v>
      </c>
      <c r="K553" s="15"/>
      <c r="L553" s="15"/>
      <c r="M553" s="15"/>
      <c r="N553" s="15"/>
      <c r="O553" s="15"/>
      <c r="P553" s="15"/>
      <c r="Q553" s="15"/>
      <c r="R553" s="15"/>
      <c r="S553" s="15"/>
      <c r="T553" s="15" t="s">
        <v>975</v>
      </c>
      <c r="U553" s="15" t="s">
        <v>976</v>
      </c>
      <c r="V553" s="15" t="s">
        <v>977</v>
      </c>
      <c r="W553" s="15" t="s">
        <v>978</v>
      </c>
      <c r="X553" s="15" t="s">
        <v>979</v>
      </c>
      <c r="AE553" s="51" t="str">
        <f t="shared" si="63"/>
        <v/>
      </c>
      <c r="AF553" s="51" t="str">
        <f t="shared" si="64"/>
        <v/>
      </c>
      <c r="AG553" s="51" t="str">
        <f t="shared" si="65"/>
        <v/>
      </c>
      <c r="AH553" s="51" t="str">
        <f t="shared" si="66"/>
        <v/>
      </c>
      <c r="AW553" s="17">
        <v>3521540000</v>
      </c>
      <c r="AX553" s="17"/>
      <c r="AY553" s="17">
        <v>3089380000</v>
      </c>
      <c r="AZ553" s="17"/>
      <c r="BA553" s="17">
        <v>2825500000</v>
      </c>
      <c r="BB553" s="17"/>
      <c r="BC553" s="17">
        <v>5914880000</v>
      </c>
      <c r="BE553" s="17">
        <v>9436420000</v>
      </c>
      <c r="BG553" s="17">
        <v>16285200000</v>
      </c>
      <c r="BM553" s="17"/>
      <c r="BN553" s="17"/>
      <c r="BO553" s="17"/>
      <c r="BP553" s="17"/>
      <c r="BQ553" s="17"/>
      <c r="BS553" s="15" t="s">
        <v>984</v>
      </c>
      <c r="BW553" s="17"/>
    </row>
    <row r="554" spans="1:75" hidden="1" x14ac:dyDescent="0.25">
      <c r="A554" s="15" t="s">
        <v>971</v>
      </c>
      <c r="B554" s="15" t="s">
        <v>52</v>
      </c>
      <c r="C554" s="15">
        <v>2017</v>
      </c>
      <c r="D554" s="15" t="s">
        <v>972</v>
      </c>
      <c r="E554" s="15">
        <v>13100</v>
      </c>
      <c r="F554" s="15">
        <v>4098587</v>
      </c>
      <c r="G554" s="15" t="s">
        <v>109</v>
      </c>
      <c r="H554" s="15" t="s">
        <v>110</v>
      </c>
      <c r="I554" s="15" t="s">
        <v>985</v>
      </c>
      <c r="J554" s="15" t="s">
        <v>983</v>
      </c>
      <c r="K554" s="15"/>
      <c r="L554" s="15"/>
      <c r="M554" s="15"/>
      <c r="N554" s="15"/>
      <c r="O554" s="15"/>
      <c r="P554" s="15"/>
      <c r="Q554" s="15"/>
      <c r="R554" s="15"/>
      <c r="S554" s="15"/>
      <c r="T554" s="15" t="s">
        <v>975</v>
      </c>
      <c r="U554" s="15" t="s">
        <v>976</v>
      </c>
      <c r="V554" s="15" t="s">
        <v>977</v>
      </c>
      <c r="W554" s="15" t="s">
        <v>978</v>
      </c>
      <c r="X554" s="15" t="s">
        <v>979</v>
      </c>
      <c r="AE554" s="51" t="str">
        <f t="shared" si="63"/>
        <v/>
      </c>
      <c r="AF554" s="51" t="str">
        <f t="shared" si="64"/>
        <v/>
      </c>
      <c r="AG554" s="51" t="str">
        <f t="shared" si="65"/>
        <v/>
      </c>
      <c r="AH554" s="51" t="str">
        <f t="shared" si="66"/>
        <v/>
      </c>
      <c r="AW554" s="17">
        <v>3481610000</v>
      </c>
      <c r="AX554" s="17"/>
      <c r="AY554" s="17">
        <v>3136160000</v>
      </c>
      <c r="AZ554" s="17"/>
      <c r="BA554" s="17">
        <v>2803660000</v>
      </c>
      <c r="BB554" s="17"/>
      <c r="BC554" s="17">
        <v>5939820000</v>
      </c>
      <c r="BE554" s="17">
        <v>9421430000</v>
      </c>
      <c r="BG554" s="17">
        <v>16537670000</v>
      </c>
      <c r="BM554" s="17"/>
      <c r="BN554" s="17"/>
      <c r="BO554" s="17"/>
      <c r="BP554" s="17"/>
      <c r="BQ554" s="17"/>
      <c r="BW554" s="17"/>
    </row>
    <row r="555" spans="1:75" hidden="1" x14ac:dyDescent="0.25">
      <c r="A555" s="15" t="s">
        <v>971</v>
      </c>
      <c r="B555" s="15" t="s">
        <v>52</v>
      </c>
      <c r="C555" s="15">
        <v>2016</v>
      </c>
      <c r="D555" s="15" t="s">
        <v>972</v>
      </c>
      <c r="E555" s="15">
        <v>11990</v>
      </c>
      <c r="F555" s="15">
        <v>4098587</v>
      </c>
      <c r="G555" s="15" t="s">
        <v>109</v>
      </c>
      <c r="H555" s="15" t="s">
        <v>110</v>
      </c>
      <c r="I555" s="15" t="s">
        <v>986</v>
      </c>
      <c r="J555" s="15" t="s">
        <v>983</v>
      </c>
      <c r="K555" s="15"/>
      <c r="L555" s="15"/>
      <c r="M555" s="15"/>
      <c r="N555" s="15"/>
      <c r="O555" s="15"/>
      <c r="P555" s="15"/>
      <c r="Q555" s="15"/>
      <c r="R555" s="15"/>
      <c r="S555" s="15"/>
      <c r="T555" s="15" t="s">
        <v>975</v>
      </c>
      <c r="U555" s="15" t="s">
        <v>976</v>
      </c>
      <c r="V555" s="15" t="s">
        <v>977</v>
      </c>
      <c r="W555" s="15" t="s">
        <v>978</v>
      </c>
      <c r="X555" s="15" t="s">
        <v>979</v>
      </c>
      <c r="AE555" s="51" t="str">
        <f t="shared" si="63"/>
        <v/>
      </c>
      <c r="AF555" s="51" t="str">
        <f t="shared" si="64"/>
        <v/>
      </c>
      <c r="AG555" s="51" t="str">
        <f t="shared" si="65"/>
        <v/>
      </c>
      <c r="AH555" s="51" t="str">
        <f t="shared" si="66"/>
        <v/>
      </c>
      <c r="AW555" s="17">
        <v>2764960000</v>
      </c>
      <c r="AX555" s="17"/>
      <c r="AY555" s="17">
        <v>2446190000</v>
      </c>
      <c r="AZ555" s="17"/>
      <c r="BA555" s="17">
        <v>2628320000</v>
      </c>
      <c r="BB555" s="17"/>
      <c r="BC555" s="17">
        <v>5074510000</v>
      </c>
      <c r="BE555" s="17">
        <v>7839470000</v>
      </c>
      <c r="BG555" s="17">
        <v>16547050000</v>
      </c>
      <c r="BM555" s="17"/>
      <c r="BN555" s="17"/>
      <c r="BO555" s="17"/>
      <c r="BP555" s="17"/>
      <c r="BQ555" s="17"/>
      <c r="BW555" s="17"/>
    </row>
    <row r="556" spans="1:75" hidden="1" x14ac:dyDescent="0.25">
      <c r="A556" s="15" t="s">
        <v>971</v>
      </c>
      <c r="B556" s="15" t="s">
        <v>52</v>
      </c>
      <c r="C556" s="15">
        <v>2015</v>
      </c>
      <c r="D556" s="15" t="s">
        <v>972</v>
      </c>
      <c r="E556" s="15">
        <v>11480</v>
      </c>
      <c r="F556" s="15">
        <v>3969249</v>
      </c>
      <c r="G556" s="15" t="s">
        <v>109</v>
      </c>
      <c r="H556" s="15" t="s">
        <v>110</v>
      </c>
      <c r="I556" s="15" t="s">
        <v>987</v>
      </c>
      <c r="J556" s="15" t="s">
        <v>983</v>
      </c>
      <c r="K556" s="15"/>
      <c r="L556" s="15"/>
      <c r="M556" s="15"/>
      <c r="N556" s="15"/>
      <c r="O556" s="15"/>
      <c r="P556" s="15"/>
      <c r="Q556" s="15"/>
      <c r="R556" s="15"/>
      <c r="S556" s="15"/>
      <c r="T556" s="15" t="s">
        <v>975</v>
      </c>
      <c r="U556" s="15" t="s">
        <v>976</v>
      </c>
      <c r="V556" s="15" t="s">
        <v>977</v>
      </c>
      <c r="W556" s="15" t="s">
        <v>978</v>
      </c>
      <c r="X556" s="15" t="s">
        <v>979</v>
      </c>
      <c r="AE556" s="51" t="str">
        <f t="shared" si="63"/>
        <v/>
      </c>
      <c r="AF556" s="51" t="str">
        <f t="shared" si="64"/>
        <v/>
      </c>
      <c r="AG556" s="51" t="str">
        <f t="shared" si="65"/>
        <v/>
      </c>
      <c r="AH556" s="51" t="str">
        <f t="shared" si="66"/>
        <v/>
      </c>
      <c r="AW556" s="17">
        <v>2833830000</v>
      </c>
      <c r="AX556" s="17"/>
      <c r="AY556" s="17">
        <v>2285610000</v>
      </c>
      <c r="AZ556" s="17"/>
      <c r="BA556" s="17">
        <v>2381230000</v>
      </c>
      <c r="BB556" s="17"/>
      <c r="BC556" s="17">
        <v>4666840000</v>
      </c>
      <c r="BE556" s="17">
        <v>7500670000</v>
      </c>
      <c r="BG556" s="17">
        <v>15781000000</v>
      </c>
      <c r="BM556" s="17"/>
      <c r="BN556" s="17"/>
      <c r="BO556" s="17"/>
      <c r="BP556" s="17"/>
      <c r="BQ556" s="17"/>
      <c r="BW556" s="17"/>
    </row>
    <row r="557" spans="1:75" hidden="1" x14ac:dyDescent="0.25">
      <c r="A557" s="15" t="s">
        <v>971</v>
      </c>
      <c r="B557" s="15" t="s">
        <v>52</v>
      </c>
      <c r="C557" s="15">
        <v>2014</v>
      </c>
      <c r="D557" s="15" t="s">
        <v>972</v>
      </c>
      <c r="E557" s="15">
        <v>11440</v>
      </c>
      <c r="F557" s="15">
        <v>3903986</v>
      </c>
      <c r="G557" s="15" t="s">
        <v>109</v>
      </c>
      <c r="H557" s="15" t="s">
        <v>110</v>
      </c>
      <c r="I557" s="15" t="s">
        <v>988</v>
      </c>
      <c r="J557" s="15" t="s">
        <v>983</v>
      </c>
      <c r="K557" s="15"/>
      <c r="L557" s="15"/>
      <c r="M557" s="15"/>
      <c r="N557" s="15"/>
      <c r="O557" s="15"/>
      <c r="P557" s="15"/>
      <c r="Q557" s="15"/>
      <c r="R557" s="15"/>
      <c r="S557" s="15"/>
      <c r="T557" s="15" t="s">
        <v>975</v>
      </c>
      <c r="U557" s="15" t="s">
        <v>976</v>
      </c>
      <c r="V557" s="15" t="s">
        <v>977</v>
      </c>
      <c r="W557" s="15" t="s">
        <v>978</v>
      </c>
      <c r="X557" s="15" t="s">
        <v>979</v>
      </c>
      <c r="AE557" s="51" t="str">
        <f t="shared" si="63"/>
        <v/>
      </c>
      <c r="AF557" s="51" t="str">
        <f t="shared" si="64"/>
        <v/>
      </c>
      <c r="AG557" s="51" t="str">
        <f t="shared" si="65"/>
        <v/>
      </c>
      <c r="AH557" s="51" t="str">
        <f t="shared" si="66"/>
        <v/>
      </c>
      <c r="AW557" s="17">
        <v>3035790000</v>
      </c>
      <c r="AX557" s="17"/>
      <c r="AY557" s="17">
        <v>2159120000</v>
      </c>
      <c r="AZ557" s="17"/>
      <c r="BA557" s="17">
        <v>1840970000</v>
      </c>
      <c r="BB557" s="17"/>
      <c r="BC557" s="17">
        <v>4000090000</v>
      </c>
      <c r="BE557" s="17">
        <v>7035880000</v>
      </c>
      <c r="BG557" s="17">
        <v>14447040000</v>
      </c>
      <c r="BM557" s="17"/>
      <c r="BN557" s="17"/>
      <c r="BO557" s="17"/>
      <c r="BP557" s="17"/>
      <c r="BQ557" s="17"/>
      <c r="BW557" s="17"/>
    </row>
    <row r="558" spans="1:75" hidden="1" x14ac:dyDescent="0.25">
      <c r="A558" s="15" t="s">
        <v>971</v>
      </c>
      <c r="B558" s="15" t="s">
        <v>52</v>
      </c>
      <c r="C558" s="15">
        <v>2013</v>
      </c>
      <c r="D558" s="15" t="s">
        <v>972</v>
      </c>
      <c r="E558" s="15">
        <v>10500</v>
      </c>
      <c r="F558" s="15">
        <v>3838462</v>
      </c>
      <c r="G558" s="15" t="s">
        <v>109</v>
      </c>
      <c r="H558" s="15" t="s">
        <v>110</v>
      </c>
      <c r="I558" s="15" t="s">
        <v>989</v>
      </c>
      <c r="J558" s="15" t="s">
        <v>983</v>
      </c>
      <c r="K558" s="15"/>
      <c r="L558" s="15"/>
      <c r="M558" s="15"/>
      <c r="N558" s="15"/>
      <c r="O558" s="15"/>
      <c r="P558" s="15"/>
      <c r="Q558" s="15"/>
      <c r="R558" s="15"/>
      <c r="S558" s="15"/>
      <c r="T558" s="15" t="s">
        <v>975</v>
      </c>
      <c r="U558" s="15" t="s">
        <v>976</v>
      </c>
      <c r="V558" s="15" t="s">
        <v>977</v>
      </c>
      <c r="W558" s="15" t="s">
        <v>978</v>
      </c>
      <c r="X558" s="15" t="s">
        <v>979</v>
      </c>
      <c r="AE558" s="51" t="str">
        <f t="shared" si="63"/>
        <v/>
      </c>
      <c r="AF558" s="51" t="str">
        <f t="shared" si="64"/>
        <v/>
      </c>
      <c r="AG558" s="51" t="str">
        <f t="shared" si="65"/>
        <v/>
      </c>
      <c r="AH558" s="51" t="str">
        <f t="shared" si="66"/>
        <v/>
      </c>
      <c r="AW558" s="17">
        <v>2125260000</v>
      </c>
      <c r="AX558" s="17"/>
      <c r="AY558" s="17">
        <v>2222640000</v>
      </c>
      <c r="AZ558" s="17"/>
      <c r="BA558" s="17">
        <v>1861140000</v>
      </c>
      <c r="BB558" s="17"/>
      <c r="BC558" s="17">
        <v>4083780000</v>
      </c>
      <c r="BE558" s="17">
        <v>6209040000</v>
      </c>
      <c r="BG558" s="17">
        <v>14259440000</v>
      </c>
      <c r="BM558" s="17"/>
      <c r="BN558" s="17"/>
      <c r="BO558" s="17"/>
      <c r="BP558" s="17"/>
      <c r="BQ558" s="17"/>
      <c r="BW558" s="17"/>
    </row>
    <row r="559" spans="1:75" hidden="1" x14ac:dyDescent="0.25">
      <c r="A559" s="15" t="s">
        <v>990</v>
      </c>
      <c r="B559" s="15" t="s">
        <v>30</v>
      </c>
      <c r="C559" s="15">
        <v>2014</v>
      </c>
      <c r="D559" s="15" t="s">
        <v>991</v>
      </c>
      <c r="E559" s="15">
        <v>3010</v>
      </c>
      <c r="F559" s="15">
        <v>7755785</v>
      </c>
      <c r="G559" s="15" t="s">
        <v>88</v>
      </c>
      <c r="H559" s="15" t="s">
        <v>77</v>
      </c>
      <c r="I559" s="15" t="s">
        <v>1728</v>
      </c>
      <c r="J559" s="15" t="s">
        <v>774</v>
      </c>
      <c r="K559" s="15"/>
      <c r="L559" s="15"/>
      <c r="M559" s="15" t="s">
        <v>992</v>
      </c>
      <c r="N559" s="15" t="s">
        <v>423</v>
      </c>
      <c r="O559" s="15"/>
      <c r="P559" s="15"/>
      <c r="Q559" s="15"/>
      <c r="R559" s="15"/>
      <c r="S559" s="15" t="s">
        <v>1729</v>
      </c>
      <c r="T559" s="15"/>
      <c r="U559" s="15"/>
      <c r="V559" s="15"/>
      <c r="W559" s="15"/>
      <c r="X559" s="15" t="s">
        <v>1729</v>
      </c>
      <c r="AE559" s="51" t="str">
        <f t="shared" si="63"/>
        <v/>
      </c>
      <c r="AF559" s="51" t="str">
        <f t="shared" si="64"/>
        <v/>
      </c>
      <c r="AG559" s="51" t="str">
        <f t="shared" si="65"/>
        <v/>
      </c>
      <c r="AH559" s="51" t="str">
        <f t="shared" si="66"/>
        <v/>
      </c>
      <c r="AU559" s="15" t="s">
        <v>774</v>
      </c>
      <c r="AV559" s="15" t="s">
        <v>774</v>
      </c>
      <c r="AW559" s="17">
        <v>1726234</v>
      </c>
      <c r="AX559" s="17"/>
      <c r="AY559" s="17"/>
      <c r="AZ559" s="17"/>
      <c r="BA559" s="17"/>
      <c r="BB559" s="17"/>
      <c r="BC559" s="17">
        <v>201186066</v>
      </c>
      <c r="BE559" s="17">
        <v>202912300</v>
      </c>
      <c r="BM559" s="17"/>
      <c r="BN559" s="17"/>
      <c r="BO559" s="17"/>
      <c r="BP559" s="17"/>
      <c r="BQ559" s="17"/>
      <c r="BW559" s="17"/>
    </row>
    <row r="560" spans="1:75" hidden="1" x14ac:dyDescent="0.25">
      <c r="A560" s="15" t="s">
        <v>990</v>
      </c>
      <c r="B560" s="15" t="s">
        <v>30</v>
      </c>
      <c r="C560" s="15">
        <v>2013</v>
      </c>
      <c r="D560" s="15" t="s">
        <v>991</v>
      </c>
      <c r="E560" s="15">
        <v>2630</v>
      </c>
      <c r="F560" s="15">
        <v>7592865</v>
      </c>
      <c r="G560" s="15" t="s">
        <v>88</v>
      </c>
      <c r="H560" s="15" t="s">
        <v>77</v>
      </c>
      <c r="I560" s="15" t="s">
        <v>1728</v>
      </c>
      <c r="J560" s="15" t="s">
        <v>774</v>
      </c>
      <c r="K560" s="15"/>
      <c r="L560" s="15"/>
      <c r="M560" s="15" t="s">
        <v>992</v>
      </c>
      <c r="N560" s="15" t="s">
        <v>423</v>
      </c>
      <c r="O560" s="15"/>
      <c r="P560" s="15"/>
      <c r="Q560" s="15"/>
      <c r="R560" s="15"/>
      <c r="S560" s="15" t="s">
        <v>1729</v>
      </c>
      <c r="T560" s="15"/>
      <c r="U560" s="15"/>
      <c r="V560" s="15"/>
      <c r="W560" s="15"/>
      <c r="X560" s="15" t="s">
        <v>1729</v>
      </c>
      <c r="AE560" s="51" t="str">
        <f t="shared" si="63"/>
        <v/>
      </c>
      <c r="AF560" s="51" t="str">
        <f t="shared" si="64"/>
        <v/>
      </c>
      <c r="AG560" s="51" t="str">
        <f t="shared" si="65"/>
        <v/>
      </c>
      <c r="AH560" s="51" t="str">
        <f t="shared" si="66"/>
        <v/>
      </c>
      <c r="AU560" s="15" t="s">
        <v>774</v>
      </c>
      <c r="AV560" s="15" t="s">
        <v>774</v>
      </c>
      <c r="AW560" s="17">
        <v>1661025</v>
      </c>
      <c r="AX560" s="17"/>
      <c r="AY560" s="17"/>
      <c r="AZ560" s="17"/>
      <c r="BA560" s="17"/>
      <c r="BB560" s="17"/>
      <c r="BC560" s="17">
        <v>187162206</v>
      </c>
      <c r="BE560" s="17">
        <v>188823231</v>
      </c>
      <c r="BM560" s="17"/>
      <c r="BN560" s="17"/>
      <c r="BO560" s="17"/>
      <c r="BP560" s="17"/>
      <c r="BQ560" s="17"/>
      <c r="BW560" s="17"/>
    </row>
    <row r="561" spans="1:75" hidden="1" x14ac:dyDescent="0.25">
      <c r="A561" s="15" t="s">
        <v>990</v>
      </c>
      <c r="B561" s="15" t="s">
        <v>30</v>
      </c>
      <c r="C561" s="15">
        <v>2012</v>
      </c>
      <c r="D561" s="15" t="s">
        <v>991</v>
      </c>
      <c r="E561" s="15">
        <v>2310</v>
      </c>
      <c r="F561" s="15">
        <v>7430836</v>
      </c>
      <c r="G561" s="15" t="s">
        <v>88</v>
      </c>
      <c r="H561" s="15" t="s">
        <v>77</v>
      </c>
      <c r="I561" s="15" t="s">
        <v>1728</v>
      </c>
      <c r="J561" s="15" t="s">
        <v>774</v>
      </c>
      <c r="K561" s="15"/>
      <c r="L561" s="15"/>
      <c r="M561" s="15" t="s">
        <v>992</v>
      </c>
      <c r="N561" s="15" t="s">
        <v>423</v>
      </c>
      <c r="O561" s="15"/>
      <c r="P561" s="15"/>
      <c r="Q561" s="15"/>
      <c r="R561" s="15"/>
      <c r="S561" s="15" t="s">
        <v>1729</v>
      </c>
      <c r="T561" s="15"/>
      <c r="U561" s="15"/>
      <c r="V561" s="15"/>
      <c r="W561" s="15"/>
      <c r="X561" s="15" t="s">
        <v>1729</v>
      </c>
      <c r="AE561" s="51" t="str">
        <f t="shared" si="63"/>
        <v/>
      </c>
      <c r="AF561" s="51" t="str">
        <f t="shared" si="64"/>
        <v/>
      </c>
      <c r="AG561" s="51" t="str">
        <f t="shared" si="65"/>
        <v/>
      </c>
      <c r="AH561" s="51" t="str">
        <f t="shared" si="66"/>
        <v/>
      </c>
      <c r="AU561" s="15" t="s">
        <v>774</v>
      </c>
      <c r="AV561" s="15" t="s">
        <v>774</v>
      </c>
      <c r="AW561" s="17">
        <v>2678644</v>
      </c>
      <c r="AX561" s="17"/>
      <c r="AY561" s="17"/>
      <c r="AZ561" s="17"/>
      <c r="BA561" s="17"/>
      <c r="BB561" s="17"/>
      <c r="BC561" s="17">
        <v>146776005</v>
      </c>
      <c r="BE561" s="17">
        <v>149454649</v>
      </c>
      <c r="BM561" s="17"/>
      <c r="BN561" s="17"/>
      <c r="BO561" s="17"/>
      <c r="BP561" s="17"/>
      <c r="BQ561" s="17"/>
      <c r="BW561" s="17"/>
    </row>
    <row r="562" spans="1:75" hidden="1" x14ac:dyDescent="0.25">
      <c r="A562" s="15" t="s">
        <v>990</v>
      </c>
      <c r="B562" s="15" t="s">
        <v>30</v>
      </c>
      <c r="C562" s="15">
        <v>2011</v>
      </c>
      <c r="D562" s="15" t="s">
        <v>991</v>
      </c>
      <c r="E562" s="15">
        <v>1940</v>
      </c>
      <c r="F562" s="15">
        <v>7269348</v>
      </c>
      <c r="G562" s="15" t="s">
        <v>88</v>
      </c>
      <c r="H562" s="15" t="s">
        <v>77</v>
      </c>
      <c r="I562" s="15" t="s">
        <v>1728</v>
      </c>
      <c r="J562" s="15" t="s">
        <v>774</v>
      </c>
      <c r="K562" s="15"/>
      <c r="L562" s="15"/>
      <c r="M562" s="15" t="s">
        <v>992</v>
      </c>
      <c r="N562" s="15" t="s">
        <v>423</v>
      </c>
      <c r="O562" s="15"/>
      <c r="P562" s="15"/>
      <c r="Q562" s="15"/>
      <c r="R562" s="15"/>
      <c r="S562" s="15" t="s">
        <v>1729</v>
      </c>
      <c r="T562" s="15"/>
      <c r="U562" s="15"/>
      <c r="V562" s="15"/>
      <c r="W562" s="15"/>
      <c r="X562" s="15" t="s">
        <v>1729</v>
      </c>
      <c r="Y562" s="17">
        <v>8489</v>
      </c>
      <c r="Z562" s="17">
        <v>2090</v>
      </c>
      <c r="AA562" s="17">
        <v>975</v>
      </c>
      <c r="AB562" s="17">
        <v>3065</v>
      </c>
      <c r="AC562" s="17">
        <v>11554</v>
      </c>
      <c r="AE562" s="51">
        <f t="shared" si="63"/>
        <v>1.1677801090276598</v>
      </c>
      <c r="AF562" s="51">
        <f t="shared" si="64"/>
        <v>0.42163341196486948</v>
      </c>
      <c r="AG562" s="51">
        <f t="shared" si="65"/>
        <v>1.5894135209925291</v>
      </c>
      <c r="AH562" s="51" t="str">
        <f t="shared" si="66"/>
        <v/>
      </c>
      <c r="AI562" s="17">
        <v>28237</v>
      </c>
      <c r="AJ562" s="17">
        <v>17227</v>
      </c>
      <c r="AK562" s="17">
        <v>18604</v>
      </c>
      <c r="AL562" s="17">
        <f>+AJ562+AK562</f>
        <v>35831</v>
      </c>
      <c r="AM562" s="17">
        <f>+AL562+AI562</f>
        <v>64068</v>
      </c>
      <c r="AU562" s="15" t="s">
        <v>774</v>
      </c>
      <c r="AV562" s="15" t="s">
        <v>774</v>
      </c>
      <c r="AW562" s="17">
        <v>3067782</v>
      </c>
      <c r="AX562" s="17"/>
      <c r="AY562" s="17"/>
      <c r="AZ562" s="17"/>
      <c r="BA562" s="17"/>
      <c r="BB562" s="17"/>
      <c r="BC562" s="17">
        <v>99693972</v>
      </c>
      <c r="BE562" s="17">
        <v>102761754</v>
      </c>
      <c r="BM562" s="17"/>
      <c r="BN562" s="17"/>
      <c r="BO562" s="17"/>
      <c r="BP562" s="17"/>
      <c r="BQ562" s="17"/>
      <c r="BW562" s="17"/>
    </row>
    <row r="563" spans="1:75" hidden="1" x14ac:dyDescent="0.25">
      <c r="A563" s="15" t="s">
        <v>990</v>
      </c>
      <c r="B563" s="15" t="s">
        <v>30</v>
      </c>
      <c r="C563" s="15">
        <v>2010</v>
      </c>
      <c r="D563" s="15" t="s">
        <v>991</v>
      </c>
      <c r="E563" s="15">
        <v>1780</v>
      </c>
      <c r="F563" s="15">
        <v>7108239</v>
      </c>
      <c r="G563" s="15" t="s">
        <v>88</v>
      </c>
      <c r="H563" s="15" t="s">
        <v>77</v>
      </c>
      <c r="I563" s="15" t="s">
        <v>1728</v>
      </c>
      <c r="J563" s="15" t="s">
        <v>774</v>
      </c>
      <c r="K563" s="15"/>
      <c r="L563" s="15"/>
      <c r="M563" s="15" t="s">
        <v>992</v>
      </c>
      <c r="N563" s="15" t="s">
        <v>423</v>
      </c>
      <c r="O563" s="15"/>
      <c r="P563" s="15"/>
      <c r="Q563" s="15"/>
      <c r="R563" s="15"/>
      <c r="S563" s="15" t="s">
        <v>1729</v>
      </c>
      <c r="T563" s="15"/>
      <c r="U563" s="15"/>
      <c r="V563" s="15"/>
      <c r="W563" s="15"/>
      <c r="X563" s="15" t="s">
        <v>1729</v>
      </c>
      <c r="AE563" s="51" t="str">
        <f t="shared" si="63"/>
        <v/>
      </c>
      <c r="AF563" s="51" t="str">
        <f t="shared" si="64"/>
        <v/>
      </c>
      <c r="AG563" s="51" t="str">
        <f t="shared" si="65"/>
        <v/>
      </c>
      <c r="AH563" s="51" t="str">
        <f t="shared" si="66"/>
        <v/>
      </c>
      <c r="AU563" s="15" t="s">
        <v>774</v>
      </c>
      <c r="AV563" s="15" t="s">
        <v>774</v>
      </c>
      <c r="AW563" s="17">
        <v>2597848</v>
      </c>
      <c r="AX563" s="17"/>
      <c r="AY563" s="17"/>
      <c r="AZ563" s="17"/>
      <c r="BA563" s="17"/>
      <c r="BB563" s="17"/>
      <c r="BC563" s="17">
        <v>70458559</v>
      </c>
      <c r="BE563" s="17">
        <v>73056407</v>
      </c>
      <c r="BM563" s="17"/>
      <c r="BN563" s="17"/>
      <c r="BO563" s="17"/>
      <c r="BP563" s="17"/>
      <c r="BQ563" s="17"/>
      <c r="BW563" s="17"/>
    </row>
    <row r="564" spans="1:75" hidden="1" x14ac:dyDescent="0.25">
      <c r="A564" s="15" t="s">
        <v>990</v>
      </c>
      <c r="B564" s="15" t="s">
        <v>30</v>
      </c>
      <c r="C564" s="15">
        <v>2009</v>
      </c>
      <c r="D564" s="15" t="s">
        <v>991</v>
      </c>
      <c r="E564" s="15">
        <v>1590</v>
      </c>
      <c r="F564" s="15">
        <v>6947447</v>
      </c>
      <c r="G564" s="15" t="s">
        <v>88</v>
      </c>
      <c r="H564" s="15" t="s">
        <v>77</v>
      </c>
      <c r="I564" s="15" t="s">
        <v>1728</v>
      </c>
      <c r="J564" s="15" t="s">
        <v>774</v>
      </c>
      <c r="K564" s="15"/>
      <c r="L564" s="15"/>
      <c r="M564" s="15" t="s">
        <v>992</v>
      </c>
      <c r="N564" s="15" t="s">
        <v>423</v>
      </c>
      <c r="O564" s="15"/>
      <c r="P564" s="15"/>
      <c r="Q564" s="15"/>
      <c r="R564" s="15"/>
      <c r="S564" s="15" t="s">
        <v>1729</v>
      </c>
      <c r="T564" s="15"/>
      <c r="U564" s="15"/>
      <c r="V564" s="15"/>
      <c r="W564" s="15"/>
      <c r="X564" s="15" t="s">
        <v>1729</v>
      </c>
      <c r="AE564" s="51" t="str">
        <f t="shared" si="63"/>
        <v/>
      </c>
      <c r="AF564" s="51" t="str">
        <f t="shared" si="64"/>
        <v/>
      </c>
      <c r="AG564" s="51" t="str">
        <f t="shared" si="65"/>
        <v/>
      </c>
      <c r="AH564" s="51" t="str">
        <f t="shared" si="66"/>
        <v/>
      </c>
      <c r="AU564" s="15" t="s">
        <v>774</v>
      </c>
      <c r="AV564" s="15" t="s">
        <v>774</v>
      </c>
      <c r="AW564" s="17">
        <v>874470</v>
      </c>
      <c r="AX564" s="17"/>
      <c r="AY564" s="17"/>
      <c r="AZ564" s="17"/>
      <c r="BA564" s="17"/>
      <c r="BB564" s="17"/>
      <c r="BC564" s="17">
        <v>38228234</v>
      </c>
      <c r="BE564" s="17">
        <v>39102704</v>
      </c>
      <c r="BM564" s="17"/>
      <c r="BN564" s="17"/>
      <c r="BO564" s="17"/>
      <c r="BP564" s="17"/>
      <c r="BQ564" s="17"/>
      <c r="BW564" s="17"/>
    </row>
    <row r="565" spans="1:75" hidden="1" x14ac:dyDescent="0.25">
      <c r="A565" s="15" t="s">
        <v>993</v>
      </c>
      <c r="B565" s="15" t="s">
        <v>30</v>
      </c>
      <c r="C565" s="15">
        <v>2010</v>
      </c>
      <c r="D565" s="15" t="s">
        <v>994</v>
      </c>
      <c r="E565" s="15">
        <v>2930</v>
      </c>
      <c r="F565" s="15">
        <v>6209877</v>
      </c>
      <c r="G565" s="15" t="s">
        <v>42</v>
      </c>
      <c r="H565" s="15" t="s">
        <v>110</v>
      </c>
      <c r="I565" s="15" t="s">
        <v>995</v>
      </c>
      <c r="J565" s="15" t="s">
        <v>996</v>
      </c>
      <c r="K565" s="15" t="s">
        <v>401</v>
      </c>
      <c r="L565" s="15" t="s">
        <v>997</v>
      </c>
      <c r="M565" s="15" t="s">
        <v>622</v>
      </c>
      <c r="N565" s="15" t="s">
        <v>49</v>
      </c>
      <c r="O565" s="15"/>
      <c r="P565" s="15"/>
      <c r="Q565" s="15"/>
      <c r="R565" s="15"/>
      <c r="S565" s="15"/>
      <c r="T565" s="15"/>
      <c r="U565" s="15"/>
      <c r="V565" s="15"/>
      <c r="W565" s="15"/>
      <c r="X565" s="15"/>
      <c r="Y565" s="17">
        <v>216228</v>
      </c>
      <c r="Z565" s="17">
        <v>3829</v>
      </c>
      <c r="AA565" s="17">
        <v>2628</v>
      </c>
      <c r="AB565" s="17">
        <v>6457</v>
      </c>
      <c r="AC565" s="17">
        <v>222685</v>
      </c>
      <c r="AD565" s="17">
        <v>1497</v>
      </c>
      <c r="AE565" s="51">
        <f t="shared" si="63"/>
        <v>34.820013343259454</v>
      </c>
      <c r="AF565" s="51">
        <f t="shared" si="64"/>
        <v>1.0397951521423048</v>
      </c>
      <c r="AG565" s="51">
        <f t="shared" si="65"/>
        <v>35.859808495401758</v>
      </c>
      <c r="AH565" s="51">
        <f t="shared" si="66"/>
        <v>0.24106757670079457</v>
      </c>
      <c r="AI565" s="17">
        <v>449579</v>
      </c>
      <c r="AJ565" s="17">
        <v>53530</v>
      </c>
      <c r="AK565" s="17">
        <v>78106</v>
      </c>
      <c r="AL565" s="17">
        <v>131636</v>
      </c>
      <c r="AM565" s="17">
        <v>581215</v>
      </c>
      <c r="AN565" s="17">
        <v>217938</v>
      </c>
      <c r="AU565" s="15" t="s">
        <v>998</v>
      </c>
      <c r="AV565" s="15" t="s">
        <v>998</v>
      </c>
      <c r="BG565" s="15"/>
      <c r="BM565" s="17"/>
      <c r="BN565" s="17"/>
      <c r="BO565" s="17"/>
      <c r="BP565" s="17"/>
      <c r="BQ565" s="17"/>
      <c r="BS565" s="15" t="s">
        <v>999</v>
      </c>
      <c r="BW565" s="17"/>
    </row>
    <row r="566" spans="1:75" hidden="1" x14ac:dyDescent="0.25">
      <c r="A566" s="15" t="s">
        <v>1000</v>
      </c>
      <c r="B566" s="15" t="s">
        <v>30</v>
      </c>
      <c r="C566" s="15">
        <v>2016</v>
      </c>
      <c r="D566" s="15" t="s">
        <v>1001</v>
      </c>
      <c r="E566" s="15">
        <v>5950</v>
      </c>
      <c r="F566" s="15">
        <v>32165485</v>
      </c>
      <c r="G566" s="15" t="s">
        <v>42</v>
      </c>
      <c r="H566" s="15" t="s">
        <v>110</v>
      </c>
      <c r="I566" s="15" t="s">
        <v>1002</v>
      </c>
      <c r="J566" s="15" t="s">
        <v>1003</v>
      </c>
      <c r="K566" s="15"/>
      <c r="L566" s="15"/>
      <c r="M566" s="15"/>
      <c r="N566" s="15"/>
      <c r="O566" s="15"/>
      <c r="P566" s="15"/>
      <c r="Q566" s="15"/>
      <c r="R566" s="15"/>
      <c r="S566" s="15"/>
      <c r="T566" s="15" t="s">
        <v>1004</v>
      </c>
      <c r="U566" s="15" t="s">
        <v>1005</v>
      </c>
      <c r="V566" s="15" t="s">
        <v>1006</v>
      </c>
      <c r="W566" s="15" t="s">
        <v>1007</v>
      </c>
      <c r="X566" s="15" t="s">
        <v>1008</v>
      </c>
      <c r="Y566" s="17">
        <v>1652071</v>
      </c>
      <c r="Z566" s="17">
        <v>74085</v>
      </c>
      <c r="AA566" s="17">
        <v>2621</v>
      </c>
      <c r="AB566" s="17">
        <v>76706</v>
      </c>
      <c r="AC566" s="17">
        <v>1728777</v>
      </c>
      <c r="AD566" s="17">
        <v>8966</v>
      </c>
      <c r="AE566" s="51">
        <f t="shared" si="63"/>
        <v>51.361607014475297</v>
      </c>
      <c r="AF566" s="51">
        <f t="shared" si="64"/>
        <v>2.3847300918981946</v>
      </c>
      <c r="AG566" s="51">
        <f t="shared" si="65"/>
        <v>53.746337106373488</v>
      </c>
      <c r="AH566" s="51">
        <f t="shared" si="66"/>
        <v>0.27874599123874549</v>
      </c>
      <c r="AI566" s="17">
        <v>7803352</v>
      </c>
      <c r="AJ566" s="17">
        <v>1548375</v>
      </c>
      <c r="AK566" s="17">
        <v>356642</v>
      </c>
      <c r="AL566" s="17">
        <v>1905017</v>
      </c>
      <c r="AM566" s="17">
        <v>9708369</v>
      </c>
      <c r="AN566" s="17">
        <v>1230801</v>
      </c>
      <c r="AU566" s="15" t="s">
        <v>1009</v>
      </c>
      <c r="AV566" s="15" t="s">
        <v>1010</v>
      </c>
      <c r="BG566" s="15"/>
      <c r="BI566" s="21">
        <v>0.192</v>
      </c>
      <c r="BK566" s="21">
        <v>0.106</v>
      </c>
      <c r="BL566" s="15" t="s">
        <v>1011</v>
      </c>
      <c r="BM566" s="17">
        <v>515446</v>
      </c>
      <c r="BN566" s="17"/>
      <c r="BO566" s="17"/>
      <c r="BP566" s="17">
        <v>1969274</v>
      </c>
      <c r="BQ566" s="17"/>
      <c r="BS566" s="15" t="s">
        <v>1012</v>
      </c>
      <c r="BT566" s="15" t="s">
        <v>1013</v>
      </c>
      <c r="BU566" s="15" t="s">
        <v>1014</v>
      </c>
      <c r="BV566" s="15" t="s">
        <v>1015</v>
      </c>
      <c r="BW566" s="17"/>
    </row>
    <row r="567" spans="1:75" hidden="1" x14ac:dyDescent="0.25">
      <c r="A567" s="15" t="s">
        <v>1000</v>
      </c>
      <c r="B567" s="15" t="s">
        <v>30</v>
      </c>
      <c r="C567" s="15">
        <v>2015</v>
      </c>
      <c r="D567" s="15" t="s">
        <v>1001</v>
      </c>
      <c r="E567" s="15">
        <v>6160</v>
      </c>
      <c r="F567" s="15">
        <v>31376671</v>
      </c>
      <c r="G567" s="15" t="s">
        <v>42</v>
      </c>
      <c r="H567" s="15" t="s">
        <v>110</v>
      </c>
      <c r="I567" s="15" t="s">
        <v>1002</v>
      </c>
      <c r="J567" s="15" t="s">
        <v>1003</v>
      </c>
      <c r="K567" s="15"/>
      <c r="L567" s="15"/>
      <c r="M567" s="15"/>
      <c r="N567" s="15"/>
      <c r="O567" s="15"/>
      <c r="P567" s="15"/>
      <c r="Q567" s="15"/>
      <c r="R567" s="15"/>
      <c r="S567" s="15"/>
      <c r="T567" s="15" t="s">
        <v>1016</v>
      </c>
      <c r="U567" s="15" t="s">
        <v>1017</v>
      </c>
      <c r="V567" s="15" t="s">
        <v>1018</v>
      </c>
      <c r="W567" s="15" t="s">
        <v>1019</v>
      </c>
      <c r="X567" s="15" t="s">
        <v>1008</v>
      </c>
      <c r="Y567" s="17">
        <v>1607305</v>
      </c>
      <c r="Z567" s="17">
        <v>72664</v>
      </c>
      <c r="AA567" s="17">
        <v>2712</v>
      </c>
      <c r="AB567" s="17">
        <v>75376</v>
      </c>
      <c r="AC567" s="17">
        <v>1682681</v>
      </c>
      <c r="AD567" s="17">
        <v>8781</v>
      </c>
      <c r="AE567" s="51">
        <f t="shared" si="63"/>
        <v>51.226116371618907</v>
      </c>
      <c r="AF567" s="51">
        <f t="shared" si="64"/>
        <v>2.4022943670474155</v>
      </c>
      <c r="AG567" s="51">
        <f t="shared" si="65"/>
        <v>53.628410738666318</v>
      </c>
      <c r="AH567" s="51">
        <f t="shared" si="66"/>
        <v>0.27985760503400758</v>
      </c>
      <c r="AI567" s="17">
        <v>7697698</v>
      </c>
      <c r="AJ567" s="17">
        <v>1622896</v>
      </c>
      <c r="AK567" s="17">
        <v>326711</v>
      </c>
      <c r="AL567" s="17">
        <v>1949607</v>
      </c>
      <c r="AM567" s="17">
        <v>9647305</v>
      </c>
      <c r="AN567" s="17">
        <v>1178202</v>
      </c>
      <c r="AO567" s="17">
        <v>18016000000</v>
      </c>
      <c r="AP567" s="17">
        <v>35574000000</v>
      </c>
      <c r="AQ567" s="17">
        <v>11450000000</v>
      </c>
      <c r="AR567" s="17">
        <v>47024000000</v>
      </c>
      <c r="AS567" s="17">
        <v>65040000000</v>
      </c>
      <c r="AT567" s="17">
        <v>163335000000</v>
      </c>
      <c r="BG567" s="15"/>
      <c r="BI567" s="21">
        <v>0.188</v>
      </c>
      <c r="BK567" s="21">
        <v>0.1</v>
      </c>
      <c r="BM567" s="17">
        <v>475762</v>
      </c>
      <c r="BN567" s="17"/>
      <c r="BO567" s="17"/>
      <c r="BP567" s="17">
        <v>1852351</v>
      </c>
      <c r="BQ567" s="17"/>
      <c r="BS567" s="15" t="s">
        <v>1012</v>
      </c>
      <c r="BT567" s="15" t="s">
        <v>1013</v>
      </c>
      <c r="BU567" s="15" t="s">
        <v>1014</v>
      </c>
      <c r="BV567" s="15" t="s">
        <v>1015</v>
      </c>
      <c r="BW567" s="17"/>
    </row>
    <row r="568" spans="1:75" hidden="1" x14ac:dyDescent="0.25">
      <c r="A568" s="15" t="s">
        <v>1000</v>
      </c>
      <c r="B568" s="15" t="s">
        <v>30</v>
      </c>
      <c r="C568" s="15">
        <v>2014</v>
      </c>
      <c r="D568" s="15" t="s">
        <v>1001</v>
      </c>
      <c r="E568" s="15">
        <v>6340</v>
      </c>
      <c r="F568" s="15">
        <v>30973354</v>
      </c>
      <c r="G568" s="15" t="s">
        <v>42</v>
      </c>
      <c r="H568" s="15" t="s">
        <v>110</v>
      </c>
      <c r="I568" s="15" t="s">
        <v>1002</v>
      </c>
      <c r="J568" s="15" t="s">
        <v>1003</v>
      </c>
      <c r="K568" s="15"/>
      <c r="L568" s="15"/>
      <c r="M568" s="15"/>
      <c r="N568" s="15"/>
      <c r="O568" s="15"/>
      <c r="P568" s="15"/>
      <c r="Q568" s="15"/>
      <c r="R568" s="15"/>
      <c r="S568" s="15"/>
      <c r="T568" s="15" t="s">
        <v>1020</v>
      </c>
      <c r="U568" s="15" t="s">
        <v>1021</v>
      </c>
      <c r="V568" s="15" t="s">
        <v>1022</v>
      </c>
      <c r="W568" s="15" t="s">
        <v>1023</v>
      </c>
      <c r="X568" s="15" t="s">
        <v>1008</v>
      </c>
      <c r="Y568" s="17">
        <v>1518284</v>
      </c>
      <c r="Z568" s="17">
        <v>71313</v>
      </c>
      <c r="AA568" s="17">
        <v>2635</v>
      </c>
      <c r="AB568" s="17">
        <v>73948</v>
      </c>
      <c r="AC568" s="17">
        <v>1592232</v>
      </c>
      <c r="AD568" s="17">
        <v>8388</v>
      </c>
      <c r="AE568" s="51">
        <f t="shared" si="63"/>
        <v>49.019037460392568</v>
      </c>
      <c r="AF568" s="51">
        <f t="shared" si="64"/>
        <v>2.3874715021175943</v>
      </c>
      <c r="AG568" s="51">
        <f t="shared" si="65"/>
        <v>51.406508962510166</v>
      </c>
      <c r="AH568" s="51">
        <f t="shared" si="66"/>
        <v>0.27081342240171991</v>
      </c>
      <c r="BG568" s="15"/>
      <c r="BI568" s="21">
        <v>0.17</v>
      </c>
      <c r="BK568" s="21">
        <v>8.5000000000000006E-2</v>
      </c>
      <c r="BM568" s="17"/>
      <c r="BN568" s="17"/>
      <c r="BO568" s="17"/>
      <c r="BP568" s="17" t="s">
        <v>1024</v>
      </c>
      <c r="BQ568" s="17"/>
      <c r="BS568" s="15" t="s">
        <v>1012</v>
      </c>
      <c r="BT568" s="15" t="s">
        <v>1013</v>
      </c>
      <c r="BU568" s="15" t="s">
        <v>1014</v>
      </c>
      <c r="BV568" s="15" t="s">
        <v>1015</v>
      </c>
      <c r="BW568" s="17"/>
    </row>
    <row r="569" spans="1:75" hidden="1" x14ac:dyDescent="0.25">
      <c r="A569" s="15" t="s">
        <v>1000</v>
      </c>
      <c r="B569" s="15" t="s">
        <v>30</v>
      </c>
      <c r="C569" s="15">
        <v>2013</v>
      </c>
      <c r="D569" s="15" t="s">
        <v>1001</v>
      </c>
      <c r="E569" s="15">
        <v>6270</v>
      </c>
      <c r="F569" s="15">
        <v>30565716</v>
      </c>
      <c r="G569" s="15" t="s">
        <v>42</v>
      </c>
      <c r="H569" s="15" t="s">
        <v>110</v>
      </c>
      <c r="I569" s="15" t="s">
        <v>1002</v>
      </c>
      <c r="J569" s="15" t="s">
        <v>1003</v>
      </c>
      <c r="K569" s="15"/>
      <c r="L569" s="15"/>
      <c r="M569" s="15"/>
      <c r="N569" s="15"/>
      <c r="O569" s="15"/>
      <c r="P569" s="15"/>
      <c r="Q569" s="15"/>
      <c r="R569" s="15"/>
      <c r="S569" s="15"/>
      <c r="T569" s="15" t="s">
        <v>1025</v>
      </c>
      <c r="U569" s="15" t="s">
        <v>1026</v>
      </c>
      <c r="V569" s="15" t="s">
        <v>1027</v>
      </c>
      <c r="W569" s="15" t="s">
        <v>1028</v>
      </c>
      <c r="X569" s="15" t="s">
        <v>1008</v>
      </c>
      <c r="Y569" s="17">
        <v>1439778</v>
      </c>
      <c r="Z569" s="17">
        <v>70708</v>
      </c>
      <c r="AA569" s="17">
        <v>2520</v>
      </c>
      <c r="AB569" s="17">
        <v>73228</v>
      </c>
      <c r="AC569" s="17">
        <v>1513006</v>
      </c>
      <c r="AD569" s="17">
        <v>8306</v>
      </c>
      <c r="AE569" s="51">
        <f t="shared" si="63"/>
        <v>47.104343964983507</v>
      </c>
      <c r="AF569" s="51">
        <f t="shared" si="64"/>
        <v>2.3957560817485839</v>
      </c>
      <c r="AG569" s="51">
        <f t="shared" si="65"/>
        <v>49.500100046732094</v>
      </c>
      <c r="AH569" s="51">
        <f t="shared" si="66"/>
        <v>0.27174236651286038</v>
      </c>
      <c r="AI569" s="17">
        <v>7593363</v>
      </c>
      <c r="AJ569" s="17">
        <v>1621759</v>
      </c>
      <c r="AK569" s="17">
        <v>315728</v>
      </c>
      <c r="AL569" s="17">
        <v>1937487</v>
      </c>
      <c r="AM569" s="17">
        <v>9530850</v>
      </c>
      <c r="AN569" s="17">
        <v>1232253</v>
      </c>
      <c r="BG569" s="15"/>
      <c r="BI569" s="21">
        <v>0.155</v>
      </c>
      <c r="BK569" s="21">
        <v>7.6999999999999999E-2</v>
      </c>
      <c r="BM569" s="17"/>
      <c r="BN569" s="17"/>
      <c r="BO569" s="17"/>
      <c r="BP569" s="17" t="s">
        <v>1029</v>
      </c>
      <c r="BQ569" s="17"/>
      <c r="BS569" s="15" t="s">
        <v>1012</v>
      </c>
      <c r="BT569" s="15" t="s">
        <v>1013</v>
      </c>
      <c r="BU569" s="15" t="s">
        <v>1014</v>
      </c>
      <c r="BV569" s="15" t="s">
        <v>1015</v>
      </c>
      <c r="BW569" s="17"/>
    </row>
    <row r="570" spans="1:75" hidden="1" x14ac:dyDescent="0.25">
      <c r="A570" s="15" t="s">
        <v>1000</v>
      </c>
      <c r="B570" s="15" t="s">
        <v>30</v>
      </c>
      <c r="C570" s="15">
        <v>2012</v>
      </c>
      <c r="D570" s="15" t="s">
        <v>1001</v>
      </c>
      <c r="E570" s="15">
        <v>5670</v>
      </c>
      <c r="F570" s="15">
        <v>30158966</v>
      </c>
      <c r="G570" s="15" t="s">
        <v>42</v>
      </c>
      <c r="H570" s="15" t="s">
        <v>110</v>
      </c>
      <c r="I570" s="15" t="s">
        <v>1002</v>
      </c>
      <c r="J570" s="15" t="s">
        <v>1003</v>
      </c>
      <c r="K570" s="15"/>
      <c r="L570" s="15"/>
      <c r="M570" s="15"/>
      <c r="N570" s="15"/>
      <c r="O570" s="15"/>
      <c r="P570" s="15"/>
      <c r="Q570" s="15"/>
      <c r="R570" s="15"/>
      <c r="S570" s="15"/>
      <c r="T570" s="15" t="s">
        <v>1030</v>
      </c>
      <c r="U570" s="15" t="s">
        <v>1031</v>
      </c>
      <c r="V570" s="15" t="s">
        <v>1032</v>
      </c>
      <c r="W570" s="15" t="s">
        <v>1033</v>
      </c>
      <c r="X570" s="15" t="s">
        <v>1008</v>
      </c>
      <c r="Y570" s="17">
        <v>1270009</v>
      </c>
      <c r="Z570" s="17">
        <v>68243</v>
      </c>
      <c r="AA570" s="17">
        <v>2451</v>
      </c>
      <c r="AB570" s="17">
        <v>70694</v>
      </c>
      <c r="AC570" s="17">
        <v>1340703</v>
      </c>
      <c r="AD570" s="17">
        <v>7908</v>
      </c>
      <c r="AE570" s="51">
        <f t="shared" si="63"/>
        <v>42.11049543276782</v>
      </c>
      <c r="AF570" s="51">
        <f t="shared" si="64"/>
        <v>2.3440458800875335</v>
      </c>
      <c r="AG570" s="51">
        <f t="shared" si="65"/>
        <v>44.454541312855355</v>
      </c>
      <c r="AH570" s="51">
        <f t="shared" si="66"/>
        <v>0.26221058109220324</v>
      </c>
      <c r="AI570" s="17">
        <v>7595779</v>
      </c>
      <c r="AJ570" s="17">
        <v>1536616</v>
      </c>
      <c r="AK570" s="17">
        <v>321968</v>
      </c>
      <c r="AL570" s="17">
        <v>1858584</v>
      </c>
      <c r="AM570" s="17">
        <v>9454363</v>
      </c>
      <c r="AN570" s="17">
        <v>1193104</v>
      </c>
      <c r="BG570" s="15"/>
      <c r="BM570" s="17"/>
      <c r="BN570" s="17"/>
      <c r="BO570" s="17"/>
      <c r="BP570" s="17" t="s">
        <v>1034</v>
      </c>
      <c r="BQ570" s="17"/>
      <c r="BS570" s="15" t="s">
        <v>1012</v>
      </c>
      <c r="BT570" s="15" t="s">
        <v>1013</v>
      </c>
      <c r="BU570" s="15" t="s">
        <v>1014</v>
      </c>
      <c r="BV570" s="15" t="s">
        <v>1015</v>
      </c>
      <c r="BW570" s="17"/>
    </row>
    <row r="571" spans="1:75" hidden="1" x14ac:dyDescent="0.25">
      <c r="A571" s="15" t="s">
        <v>1000</v>
      </c>
      <c r="B571" s="15" t="s">
        <v>30</v>
      </c>
      <c r="C571" s="15">
        <v>2011</v>
      </c>
      <c r="D571" s="15" t="s">
        <v>1001</v>
      </c>
      <c r="E571" s="15">
        <v>4880</v>
      </c>
      <c r="F571" s="15">
        <v>29759989</v>
      </c>
      <c r="G571" s="15" t="s">
        <v>42</v>
      </c>
      <c r="H571" s="15" t="s">
        <v>110</v>
      </c>
      <c r="I571" s="15" t="s">
        <v>1002</v>
      </c>
      <c r="J571" s="15" t="s">
        <v>1003</v>
      </c>
      <c r="K571" s="15"/>
      <c r="L571" s="15"/>
      <c r="M571" s="15"/>
      <c r="N571" s="15"/>
      <c r="O571" s="15"/>
      <c r="P571" s="15"/>
      <c r="Q571" s="15"/>
      <c r="R571" s="15"/>
      <c r="S571" s="15"/>
      <c r="T571" s="15" t="s">
        <v>1035</v>
      </c>
      <c r="U571" s="15" t="s">
        <v>1036</v>
      </c>
      <c r="V571" s="15" t="s">
        <v>1037</v>
      </c>
      <c r="W571" s="15" t="s">
        <v>1038</v>
      </c>
      <c r="X571" s="15" t="s">
        <v>1008</v>
      </c>
      <c r="Y571" s="17">
        <v>1221343</v>
      </c>
      <c r="Z571" s="17">
        <v>61171</v>
      </c>
      <c r="AA571" s="17">
        <v>2325</v>
      </c>
      <c r="AB571" s="17">
        <v>63496</v>
      </c>
      <c r="AC571" s="17">
        <v>1284839</v>
      </c>
      <c r="AD571" s="17">
        <v>7285</v>
      </c>
      <c r="AE571" s="51">
        <f t="shared" si="63"/>
        <v>41.039766513354557</v>
      </c>
      <c r="AF571" s="51">
        <f t="shared" si="64"/>
        <v>2.1336029391677531</v>
      </c>
      <c r="AG571" s="51">
        <f t="shared" si="65"/>
        <v>43.173369452522316</v>
      </c>
      <c r="AH571" s="51">
        <f t="shared" si="66"/>
        <v>0.24479175714749088</v>
      </c>
      <c r="AI571" s="17">
        <v>7666112</v>
      </c>
      <c r="AJ571" s="17">
        <v>1455828</v>
      </c>
      <c r="AK571" s="17">
        <v>335332</v>
      </c>
      <c r="AL571" s="17">
        <v>1791160</v>
      </c>
      <c r="AM571" s="17">
        <v>9457272</v>
      </c>
      <c r="AN571" s="17">
        <v>1007158</v>
      </c>
      <c r="BG571" s="15"/>
      <c r="BM571" s="17"/>
      <c r="BN571" s="17"/>
      <c r="BO571" s="17"/>
      <c r="BP571" s="17"/>
      <c r="BQ571" s="17"/>
      <c r="BS571" s="15" t="s">
        <v>1012</v>
      </c>
      <c r="BW571" s="17"/>
    </row>
    <row r="572" spans="1:75" hidden="1" x14ac:dyDescent="0.25">
      <c r="A572" s="15" t="s">
        <v>1000</v>
      </c>
      <c r="B572" s="15" t="s">
        <v>30</v>
      </c>
      <c r="C572" s="15">
        <v>2010</v>
      </c>
      <c r="D572" s="15" t="s">
        <v>1001</v>
      </c>
      <c r="E572" s="15">
        <v>4360</v>
      </c>
      <c r="F572" s="15">
        <v>29373646</v>
      </c>
      <c r="G572" s="15" t="s">
        <v>42</v>
      </c>
      <c r="H572" s="15" t="s">
        <v>110</v>
      </c>
      <c r="I572" s="15" t="s">
        <v>1002</v>
      </c>
      <c r="J572" s="15" t="s">
        <v>1003</v>
      </c>
      <c r="K572" s="15"/>
      <c r="L572" s="15"/>
      <c r="M572" s="15"/>
      <c r="N572" s="15"/>
      <c r="O572" s="15"/>
      <c r="P572" s="15"/>
      <c r="Q572" s="15"/>
      <c r="R572" s="15"/>
      <c r="S572" s="15"/>
      <c r="T572" s="15" t="s">
        <v>1035</v>
      </c>
      <c r="U572" s="15" t="s">
        <v>1036</v>
      </c>
      <c r="V572" s="15" t="s">
        <v>1037</v>
      </c>
      <c r="W572" s="15" t="s">
        <v>1038</v>
      </c>
      <c r="X572" s="15" t="s">
        <v>1008</v>
      </c>
      <c r="Y572" s="17">
        <v>1138091</v>
      </c>
      <c r="Z572" s="17">
        <v>55589</v>
      </c>
      <c r="AA572" s="17">
        <v>2031</v>
      </c>
      <c r="AB572" s="17">
        <v>57620</v>
      </c>
      <c r="AC572" s="17">
        <v>1195711</v>
      </c>
      <c r="AE572" s="51">
        <f t="shared" si="63"/>
        <v>38.74530931570429</v>
      </c>
      <c r="AF572" s="51">
        <f t="shared" si="64"/>
        <v>1.961622333162182</v>
      </c>
      <c r="AG572" s="51">
        <f t="shared" si="65"/>
        <v>40.706931648866473</v>
      </c>
      <c r="AH572" s="51" t="str">
        <f t="shared" si="66"/>
        <v/>
      </c>
      <c r="AI572" s="17">
        <v>7634484</v>
      </c>
      <c r="AJ572" s="17">
        <v>1451395</v>
      </c>
      <c r="AK572" s="17">
        <v>300647</v>
      </c>
      <c r="AL572" s="17">
        <v>1752042</v>
      </c>
      <c r="AM572" s="17">
        <v>9386526</v>
      </c>
      <c r="AN572" s="17">
        <v>933965</v>
      </c>
      <c r="BG572" s="15"/>
      <c r="BM572" s="17"/>
      <c r="BN572" s="17"/>
      <c r="BO572" s="17"/>
      <c r="BP572" s="17"/>
      <c r="BQ572" s="17"/>
      <c r="BS572" s="15" t="s">
        <v>1012</v>
      </c>
      <c r="BW572" s="17"/>
    </row>
    <row r="573" spans="1:75" hidden="1" x14ac:dyDescent="0.25">
      <c r="A573" s="15" t="s">
        <v>1000</v>
      </c>
      <c r="B573" s="15" t="s">
        <v>30</v>
      </c>
      <c r="C573" s="15">
        <v>2009</v>
      </c>
      <c r="D573" s="15" t="s">
        <v>1001</v>
      </c>
      <c r="E573" s="15">
        <v>3940</v>
      </c>
      <c r="F573" s="15">
        <v>29001507</v>
      </c>
      <c r="G573" s="15" t="s">
        <v>42</v>
      </c>
      <c r="H573" s="15" t="s">
        <v>110</v>
      </c>
      <c r="I573" s="15" t="s">
        <v>1002</v>
      </c>
      <c r="J573" s="15" t="s">
        <v>1003</v>
      </c>
      <c r="K573" s="15"/>
      <c r="L573" s="15"/>
      <c r="M573" s="15"/>
      <c r="N573" s="15"/>
      <c r="O573" s="15"/>
      <c r="P573" s="15"/>
      <c r="Q573" s="15"/>
      <c r="R573" s="15"/>
      <c r="S573" s="15"/>
      <c r="T573" s="15" t="s">
        <v>1039</v>
      </c>
      <c r="U573" s="15" t="s">
        <v>1040</v>
      </c>
      <c r="V573" s="15" t="s">
        <v>1041</v>
      </c>
      <c r="W573" s="15" t="s">
        <v>1042</v>
      </c>
      <c r="X573" s="15" t="s">
        <v>1008</v>
      </c>
      <c r="Y573" s="17">
        <v>1074235</v>
      </c>
      <c r="Z573" s="17">
        <v>50637</v>
      </c>
      <c r="AA573" s="17">
        <v>1885</v>
      </c>
      <c r="AB573" s="17">
        <v>52522</v>
      </c>
      <c r="AC573" s="17">
        <v>1126757</v>
      </c>
      <c r="AE573" s="51">
        <f t="shared" si="63"/>
        <v>37.040661369769509</v>
      </c>
      <c r="AF573" s="51">
        <f t="shared" si="64"/>
        <v>1.8110093382388714</v>
      </c>
      <c r="AG573" s="51">
        <f t="shared" si="65"/>
        <v>38.851670708008378</v>
      </c>
      <c r="AH573" s="51" t="str">
        <f t="shared" si="66"/>
        <v/>
      </c>
      <c r="AI573" s="17">
        <v>7499505</v>
      </c>
      <c r="AJ573" s="17">
        <v>1423622</v>
      </c>
      <c r="AK573" s="17">
        <v>286000</v>
      </c>
      <c r="AL573" s="17">
        <v>1709622</v>
      </c>
      <c r="AM573" s="17">
        <v>9209127</v>
      </c>
      <c r="AN573" s="17">
        <v>921272</v>
      </c>
      <c r="BG573" s="15"/>
      <c r="BM573" s="17"/>
      <c r="BN573" s="17"/>
      <c r="BO573" s="17"/>
      <c r="BP573" s="17"/>
      <c r="BQ573" s="17"/>
      <c r="BS573" s="15" t="s">
        <v>1012</v>
      </c>
      <c r="BW573" s="17"/>
    </row>
    <row r="574" spans="1:75" hidden="1" x14ac:dyDescent="0.25">
      <c r="A574" s="15" t="s">
        <v>1000</v>
      </c>
      <c r="B574" s="15" t="s">
        <v>52</v>
      </c>
      <c r="C574" s="15">
        <v>2016</v>
      </c>
      <c r="D574" s="15" t="s">
        <v>1001</v>
      </c>
      <c r="E574" s="15">
        <v>5950</v>
      </c>
      <c r="F574" s="15">
        <v>32165485</v>
      </c>
      <c r="G574" s="15" t="s">
        <v>42</v>
      </c>
      <c r="H574" s="15" t="s">
        <v>110</v>
      </c>
      <c r="I574" s="15" t="s">
        <v>1043</v>
      </c>
      <c r="J574" s="15" t="s">
        <v>1044</v>
      </c>
      <c r="K574" s="15" t="s">
        <v>61</v>
      </c>
      <c r="L574" s="15" t="s">
        <v>547</v>
      </c>
      <c r="M574" s="15" t="s">
        <v>37</v>
      </c>
      <c r="N574" s="15"/>
      <c r="O574" s="15"/>
      <c r="P574" s="15"/>
      <c r="Q574" s="15"/>
      <c r="R574" s="15"/>
      <c r="S574" s="15"/>
      <c r="T574" s="15" t="s">
        <v>1004</v>
      </c>
      <c r="U574" s="15" t="s">
        <v>1005</v>
      </c>
      <c r="V574" s="15" t="s">
        <v>1045</v>
      </c>
      <c r="W574" s="15"/>
      <c r="X574" s="15" t="s">
        <v>1008</v>
      </c>
      <c r="Y574" s="17">
        <v>2011153</v>
      </c>
      <c r="Z574" s="17">
        <v>92789</v>
      </c>
      <c r="AE574" s="51">
        <f t="shared" si="63"/>
        <v>62.525188101469631</v>
      </c>
      <c r="AF574" s="51" t="str">
        <f t="shared" si="64"/>
        <v/>
      </c>
      <c r="AG574" s="51" t="str">
        <f t="shared" si="65"/>
        <v/>
      </c>
      <c r="AH574" s="51" t="str">
        <f t="shared" si="66"/>
        <v/>
      </c>
      <c r="AU574" s="15" t="s">
        <v>1047</v>
      </c>
      <c r="BG574" s="15"/>
      <c r="BL574" s="15" t="s">
        <v>1048</v>
      </c>
      <c r="BM574" s="17">
        <v>1593825</v>
      </c>
      <c r="BN574" s="17">
        <v>14758</v>
      </c>
      <c r="BO574" s="17">
        <f>BN574+BM574</f>
        <v>1608583</v>
      </c>
      <c r="BP574" s="17"/>
      <c r="BQ574" s="17"/>
      <c r="BS574" s="15" t="s">
        <v>1012</v>
      </c>
      <c r="BT574" s="15" t="s">
        <v>1049</v>
      </c>
      <c r="BU574" s="15" t="s">
        <v>1050</v>
      </c>
      <c r="BW574" s="17" t="s">
        <v>1046</v>
      </c>
    </row>
    <row r="575" spans="1:75" hidden="1" x14ac:dyDescent="0.25">
      <c r="A575" s="15" t="s">
        <v>1000</v>
      </c>
      <c r="B575" s="15" t="s">
        <v>52</v>
      </c>
      <c r="C575" s="15">
        <v>2015</v>
      </c>
      <c r="D575" s="15" t="s">
        <v>1001</v>
      </c>
      <c r="E575" s="15">
        <v>6160</v>
      </c>
      <c r="F575" s="15">
        <v>31376671</v>
      </c>
      <c r="G575" s="15" t="s">
        <v>42</v>
      </c>
      <c r="H575" s="15" t="s">
        <v>110</v>
      </c>
      <c r="I575" s="15" t="s">
        <v>1043</v>
      </c>
      <c r="J575" s="15" t="s">
        <v>1044</v>
      </c>
      <c r="K575" s="15" t="s">
        <v>61</v>
      </c>
      <c r="L575" s="15" t="s">
        <v>547</v>
      </c>
      <c r="M575" s="15" t="s">
        <v>37</v>
      </c>
      <c r="N575" s="15"/>
      <c r="O575" s="15"/>
      <c r="P575" s="15"/>
      <c r="Q575" s="15"/>
      <c r="R575" s="15"/>
      <c r="S575" s="15"/>
      <c r="T575" s="15" t="s">
        <v>1016</v>
      </c>
      <c r="U575" s="15" t="s">
        <v>1017</v>
      </c>
      <c r="V575" s="15" t="s">
        <v>1051</v>
      </c>
      <c r="W575" s="15"/>
      <c r="X575" s="15" t="s">
        <v>1008</v>
      </c>
      <c r="Y575" s="17">
        <v>1933525</v>
      </c>
      <c r="Z575" s="17">
        <v>89993</v>
      </c>
      <c r="AE575" s="51">
        <f t="shared" si="63"/>
        <v>61.623012842885721</v>
      </c>
      <c r="AF575" s="51" t="str">
        <f t="shared" si="64"/>
        <v/>
      </c>
      <c r="AG575" s="51" t="str">
        <f t="shared" si="65"/>
        <v/>
      </c>
      <c r="AH575" s="51" t="str">
        <f t="shared" si="66"/>
        <v/>
      </c>
      <c r="BG575" s="15"/>
      <c r="BM575" s="17"/>
      <c r="BN575" s="17"/>
      <c r="BO575" s="17"/>
      <c r="BP575" s="17"/>
      <c r="BQ575" s="17"/>
      <c r="BS575" s="15" t="s">
        <v>1012</v>
      </c>
      <c r="BW575" s="17" t="s">
        <v>1046</v>
      </c>
    </row>
    <row r="576" spans="1:75" hidden="1" x14ac:dyDescent="0.25">
      <c r="A576" s="15" t="s">
        <v>1000</v>
      </c>
      <c r="B576" s="15" t="s">
        <v>52</v>
      </c>
      <c r="C576" s="15">
        <v>2014</v>
      </c>
      <c r="D576" s="15" t="s">
        <v>1001</v>
      </c>
      <c r="E576" s="15">
        <v>6340</v>
      </c>
      <c r="F576" s="15">
        <v>30973354</v>
      </c>
      <c r="G576" s="15" t="s">
        <v>42</v>
      </c>
      <c r="H576" s="15" t="s">
        <v>110</v>
      </c>
      <c r="I576" s="15" t="s">
        <v>1043</v>
      </c>
      <c r="J576" s="15" t="s">
        <v>1044</v>
      </c>
      <c r="K576" s="15" t="s">
        <v>61</v>
      </c>
      <c r="L576" s="15" t="s">
        <v>547</v>
      </c>
      <c r="M576" s="15" t="s">
        <v>37</v>
      </c>
      <c r="N576" s="15"/>
      <c r="O576" s="15"/>
      <c r="P576" s="15"/>
      <c r="Q576" s="15"/>
      <c r="R576" s="15"/>
      <c r="S576" s="15"/>
      <c r="T576" s="15" t="s">
        <v>1020</v>
      </c>
      <c r="U576" s="15" t="s">
        <v>1021</v>
      </c>
      <c r="V576" s="15" t="s">
        <v>1052</v>
      </c>
      <c r="W576" s="15"/>
      <c r="X576" s="15" t="s">
        <v>1008</v>
      </c>
      <c r="Y576" s="17">
        <v>1787857</v>
      </c>
      <c r="Z576" s="17">
        <v>77503</v>
      </c>
      <c r="AE576" s="51">
        <f t="shared" si="63"/>
        <v>57.722421666055283</v>
      </c>
      <c r="AF576" s="51" t="str">
        <f t="shared" si="64"/>
        <v/>
      </c>
      <c r="AG576" s="51" t="str">
        <f t="shared" si="65"/>
        <v/>
      </c>
      <c r="AH576" s="51" t="str">
        <f t="shared" si="66"/>
        <v/>
      </c>
      <c r="BG576" s="15"/>
      <c r="BM576" s="17"/>
      <c r="BN576" s="17"/>
      <c r="BO576" s="17"/>
      <c r="BP576" s="17"/>
      <c r="BQ576" s="17"/>
      <c r="BS576" s="15" t="s">
        <v>1012</v>
      </c>
      <c r="BW576" s="17" t="s">
        <v>1046</v>
      </c>
    </row>
    <row r="577" spans="1:75" hidden="1" x14ac:dyDescent="0.25">
      <c r="A577" s="15" t="s">
        <v>1000</v>
      </c>
      <c r="B577" s="15" t="s">
        <v>52</v>
      </c>
      <c r="C577" s="15">
        <v>2013</v>
      </c>
      <c r="D577" s="15" t="s">
        <v>1001</v>
      </c>
      <c r="E577" s="15">
        <v>6270</v>
      </c>
      <c r="F577" s="15">
        <v>30565716</v>
      </c>
      <c r="G577" s="15" t="s">
        <v>42</v>
      </c>
      <c r="H577" s="15" t="s">
        <v>110</v>
      </c>
      <c r="I577" s="15" t="s">
        <v>1043</v>
      </c>
      <c r="J577" s="15" t="s">
        <v>1044</v>
      </c>
      <c r="K577" s="15" t="s">
        <v>61</v>
      </c>
      <c r="L577" s="15" t="s">
        <v>547</v>
      </c>
      <c r="M577" s="15" t="s">
        <v>37</v>
      </c>
      <c r="N577" s="15"/>
      <c r="O577" s="15"/>
      <c r="P577" s="15"/>
      <c r="Q577" s="15"/>
      <c r="R577" s="15"/>
      <c r="S577" s="15"/>
      <c r="T577" s="15" t="s">
        <v>1025</v>
      </c>
      <c r="U577" s="15" t="s">
        <v>1026</v>
      </c>
      <c r="V577" s="15" t="s">
        <v>1053</v>
      </c>
      <c r="W577" s="15"/>
      <c r="X577" s="15" t="s">
        <v>1008</v>
      </c>
      <c r="Y577" s="17">
        <v>1689366</v>
      </c>
      <c r="Z577" s="17">
        <v>71442</v>
      </c>
      <c r="AE577" s="51">
        <f t="shared" si="63"/>
        <v>55.269963249020563</v>
      </c>
      <c r="AF577" s="51" t="str">
        <f t="shared" si="64"/>
        <v/>
      </c>
      <c r="AG577" s="51" t="str">
        <f t="shared" si="65"/>
        <v/>
      </c>
      <c r="AH577" s="51" t="str">
        <f t="shared" si="66"/>
        <v/>
      </c>
      <c r="BG577" s="15"/>
      <c r="BM577" s="17"/>
      <c r="BN577" s="17"/>
      <c r="BO577" s="17"/>
      <c r="BP577" s="17"/>
      <c r="BQ577" s="17"/>
      <c r="BS577" s="15" t="s">
        <v>1012</v>
      </c>
      <c r="BW577" s="17" t="s">
        <v>1046</v>
      </c>
    </row>
    <row r="578" spans="1:75" hidden="1" x14ac:dyDescent="0.25">
      <c r="A578" s="15" t="s">
        <v>1054</v>
      </c>
      <c r="B578" s="15" t="s">
        <v>30</v>
      </c>
      <c r="C578" s="15">
        <v>2016</v>
      </c>
      <c r="D578" s="15" t="s">
        <v>1055</v>
      </c>
      <c r="E578" s="15">
        <v>3580</v>
      </c>
      <c r="F578" s="15">
        <v>103320222</v>
      </c>
      <c r="G578" s="15" t="s">
        <v>88</v>
      </c>
      <c r="H578" s="15" t="s">
        <v>77</v>
      </c>
      <c r="I578" s="15" t="s">
        <v>1057</v>
      </c>
      <c r="J578" s="15" t="s">
        <v>1058</v>
      </c>
      <c r="K578" s="15" t="s">
        <v>92</v>
      </c>
      <c r="L578" s="15" t="s">
        <v>893</v>
      </c>
      <c r="M578" s="15" t="s">
        <v>1059</v>
      </c>
      <c r="N578" s="15" t="s">
        <v>184</v>
      </c>
      <c r="O578" s="15" t="s">
        <v>113</v>
      </c>
      <c r="P578" s="15" t="s">
        <v>1633</v>
      </c>
      <c r="Q578" s="15" t="s">
        <v>1060</v>
      </c>
      <c r="R578" s="15" t="s">
        <v>295</v>
      </c>
      <c r="S578" s="15" t="s">
        <v>1056</v>
      </c>
      <c r="T578" s="15"/>
      <c r="U578" s="15"/>
      <c r="V578" s="15"/>
      <c r="W578" s="15"/>
      <c r="X578" s="15"/>
      <c r="Y578" s="17">
        <v>820795</v>
      </c>
      <c r="Z578" s="17">
        <v>86955</v>
      </c>
      <c r="AA578" s="17">
        <v>4018</v>
      </c>
      <c r="AB578" s="17">
        <v>90973</v>
      </c>
      <c r="AC578" s="17">
        <f>Y578+AB578</f>
        <v>911768</v>
      </c>
      <c r="AD578" s="17">
        <v>3958</v>
      </c>
      <c r="AE578" s="51">
        <f t="shared" si="63"/>
        <v>7.9441854083511352</v>
      </c>
      <c r="AF578" s="51">
        <f t="shared" si="64"/>
        <v>0.88049559165678137</v>
      </c>
      <c r="AG578" s="51">
        <f t="shared" si="65"/>
        <v>8.8246810000079172</v>
      </c>
      <c r="AH578" s="51">
        <f t="shared" si="66"/>
        <v>3.8308086484754166E-2</v>
      </c>
      <c r="AI578" s="17">
        <v>2345992</v>
      </c>
      <c r="AJ578" s="17">
        <v>1981316</v>
      </c>
      <c r="AK578" s="17">
        <v>551871</v>
      </c>
      <c r="AL578" s="17">
        <v>2533187</v>
      </c>
      <c r="AM578" s="17">
        <v>4879179</v>
      </c>
      <c r="AN578" s="17">
        <v>2831729</v>
      </c>
      <c r="AU578" s="15" t="s">
        <v>1058</v>
      </c>
      <c r="AV578" s="15" t="s">
        <v>1058</v>
      </c>
      <c r="BG578" s="15"/>
      <c r="BM578" s="17"/>
      <c r="BN578" s="17"/>
      <c r="BO578" s="17"/>
      <c r="BP578" s="17"/>
      <c r="BQ578" s="17"/>
      <c r="BW578" s="17"/>
    </row>
    <row r="579" spans="1:75" hidden="1" x14ac:dyDescent="0.25">
      <c r="A579" s="15" t="s">
        <v>1054</v>
      </c>
      <c r="B579" s="15" t="s">
        <v>30</v>
      </c>
      <c r="C579" s="15">
        <v>2015</v>
      </c>
      <c r="D579" s="15" t="s">
        <v>1055</v>
      </c>
      <c r="E579" s="15">
        <v>3520</v>
      </c>
      <c r="F579" s="15">
        <v>101716359</v>
      </c>
      <c r="G579" s="15" t="s">
        <v>88</v>
      </c>
      <c r="H579" s="15" t="s">
        <v>77</v>
      </c>
      <c r="I579" s="15" t="s">
        <v>1057</v>
      </c>
      <c r="J579" s="15" t="s">
        <v>1058</v>
      </c>
      <c r="K579" s="15" t="s">
        <v>92</v>
      </c>
      <c r="L579" s="15" t="s">
        <v>893</v>
      </c>
      <c r="M579" s="15" t="s">
        <v>1059</v>
      </c>
      <c r="N579" s="15" t="s">
        <v>184</v>
      </c>
      <c r="O579" s="15" t="s">
        <v>113</v>
      </c>
      <c r="P579" s="15" t="s">
        <v>1633</v>
      </c>
      <c r="Q579" s="15" t="s">
        <v>1060</v>
      </c>
      <c r="R579" s="15" t="s">
        <v>295</v>
      </c>
      <c r="S579" s="15" t="s">
        <v>1056</v>
      </c>
      <c r="T579" s="15"/>
      <c r="U579" s="15"/>
      <c r="V579" s="15"/>
      <c r="W579" s="15"/>
      <c r="X579" s="15"/>
      <c r="Y579" s="17">
        <v>806609</v>
      </c>
      <c r="Z579" s="17">
        <v>86367</v>
      </c>
      <c r="AA579" s="17">
        <v>3863</v>
      </c>
      <c r="AB579" s="17">
        <f>Z579+AA579</f>
        <v>90230</v>
      </c>
      <c r="AC579" s="17">
        <f>Y579+AB579</f>
        <v>896839</v>
      </c>
      <c r="AD579" s="17">
        <v>4075</v>
      </c>
      <c r="AE579" s="51">
        <f t="shared" si="63"/>
        <v>7.9299830226915624</v>
      </c>
      <c r="AF579" s="51">
        <f t="shared" si="64"/>
        <v>0.88707461500858487</v>
      </c>
      <c r="AG579" s="51">
        <f t="shared" si="65"/>
        <v>8.8170576377001453</v>
      </c>
      <c r="AH579" s="51">
        <f t="shared" si="66"/>
        <v>4.0062385638479255E-2</v>
      </c>
      <c r="BG579" s="15"/>
      <c r="BM579" s="17"/>
      <c r="BN579" s="17"/>
      <c r="BO579" s="17"/>
      <c r="BP579" s="17"/>
      <c r="BQ579" s="17"/>
      <c r="BW579" s="17"/>
    </row>
    <row r="580" spans="1:75" hidden="1" x14ac:dyDescent="0.25">
      <c r="A580" s="15" t="s">
        <v>1061</v>
      </c>
      <c r="B580" s="15" t="s">
        <v>30</v>
      </c>
      <c r="C580" s="15">
        <v>2016</v>
      </c>
      <c r="D580" s="15" t="s">
        <v>1062</v>
      </c>
      <c r="E580" s="15">
        <v>12680</v>
      </c>
      <c r="F580" s="15">
        <v>37975841</v>
      </c>
      <c r="G580" s="15" t="s">
        <v>109</v>
      </c>
      <c r="H580" s="15" t="s">
        <v>43</v>
      </c>
      <c r="I580" s="15" t="s">
        <v>188</v>
      </c>
      <c r="J580" s="15" t="s">
        <v>500</v>
      </c>
      <c r="K580" s="15" t="s">
        <v>190</v>
      </c>
      <c r="L580" s="15" t="s">
        <v>48</v>
      </c>
      <c r="M580" s="15" t="s">
        <v>62</v>
      </c>
      <c r="N580" s="15" t="s">
        <v>63</v>
      </c>
      <c r="O580" s="15"/>
      <c r="P580" s="15"/>
      <c r="Q580" s="15"/>
      <c r="R580" s="15"/>
      <c r="S580" s="15" t="s">
        <v>55</v>
      </c>
      <c r="T580" s="15"/>
      <c r="U580" s="15"/>
      <c r="V580" s="15"/>
      <c r="W580" s="15"/>
      <c r="X580" s="15" t="s">
        <v>55</v>
      </c>
      <c r="Y580" s="17">
        <v>1620219</v>
      </c>
      <c r="Z580" s="17">
        <v>56105</v>
      </c>
      <c r="AA580" s="17">
        <v>15273</v>
      </c>
      <c r="AB580" s="17">
        <v>71378</v>
      </c>
      <c r="AC580" s="17">
        <v>1691597</v>
      </c>
      <c r="AD580" s="17">
        <v>3315</v>
      </c>
      <c r="AE580" s="51">
        <f t="shared" si="63"/>
        <v>42.664466601279486</v>
      </c>
      <c r="AF580" s="51">
        <f t="shared" si="64"/>
        <v>1.8795633782014201</v>
      </c>
      <c r="AG580" s="51">
        <f t="shared" si="65"/>
        <v>44.544029979480904</v>
      </c>
      <c r="AH580" s="51">
        <f t="shared" si="66"/>
        <v>8.7292339358593804E-2</v>
      </c>
      <c r="AI580" s="17">
        <v>3375788</v>
      </c>
      <c r="AJ580" s="17">
        <v>1176411</v>
      </c>
      <c r="AK580" s="17">
        <v>1591891</v>
      </c>
      <c r="AL580" s="17">
        <v>2768302</v>
      </c>
      <c r="AM580" s="17">
        <v>6144090</v>
      </c>
      <c r="AN580" s="17">
        <v>2865583</v>
      </c>
      <c r="BG580" s="15"/>
      <c r="BM580" s="17"/>
      <c r="BN580" s="17"/>
      <c r="BO580" s="17"/>
      <c r="BP580" s="17"/>
      <c r="BQ580" s="17"/>
      <c r="BW580" s="17"/>
    </row>
    <row r="581" spans="1:75" hidden="1" x14ac:dyDescent="0.25">
      <c r="A581" s="15" t="s">
        <v>1061</v>
      </c>
      <c r="B581" s="15" t="s">
        <v>30</v>
      </c>
      <c r="C581" s="15">
        <v>2015</v>
      </c>
      <c r="D581" s="15" t="s">
        <v>1062</v>
      </c>
      <c r="E581" s="15">
        <v>13340</v>
      </c>
      <c r="F581" s="15">
        <v>37986412</v>
      </c>
      <c r="G581" s="15" t="s">
        <v>109</v>
      </c>
      <c r="H581" s="15" t="s">
        <v>43</v>
      </c>
      <c r="I581" s="15" t="s">
        <v>188</v>
      </c>
      <c r="J581" s="15" t="s">
        <v>500</v>
      </c>
      <c r="K581" s="15" t="s">
        <v>190</v>
      </c>
      <c r="L581" s="15" t="s">
        <v>48</v>
      </c>
      <c r="M581" s="15" t="s">
        <v>62</v>
      </c>
      <c r="N581" s="15" t="s">
        <v>63</v>
      </c>
      <c r="O581" s="15"/>
      <c r="P581" s="15"/>
      <c r="Q581" s="15"/>
      <c r="R581" s="15"/>
      <c r="S581" s="15" t="s">
        <v>55</v>
      </c>
      <c r="T581" s="15"/>
      <c r="U581" s="15"/>
      <c r="V581" s="15"/>
      <c r="W581" s="15"/>
      <c r="X581" s="15" t="s">
        <v>55</v>
      </c>
      <c r="Y581" s="17">
        <v>1534086</v>
      </c>
      <c r="Z581" s="17">
        <v>54369</v>
      </c>
      <c r="AA581" s="17">
        <v>14913</v>
      </c>
      <c r="AB581" s="17">
        <v>69282</v>
      </c>
      <c r="AC581" s="17">
        <v>1603368</v>
      </c>
      <c r="AD581" s="17">
        <v>3191</v>
      </c>
      <c r="AE581" s="51">
        <f t="shared" si="63"/>
        <v>40.38512508104214</v>
      </c>
      <c r="AF581" s="51">
        <f t="shared" si="64"/>
        <v>1.8238627012206365</v>
      </c>
      <c r="AG581" s="51">
        <f t="shared" si="65"/>
        <v>42.208987782262774</v>
      </c>
      <c r="AH581" s="51">
        <f t="shared" si="66"/>
        <v>8.4003722173076001E-2</v>
      </c>
      <c r="AI581" s="17">
        <v>3212130</v>
      </c>
      <c r="AJ581" s="17">
        <v>1144916</v>
      </c>
      <c r="AK581" s="17">
        <v>1549796</v>
      </c>
      <c r="AL581" s="17">
        <v>2694712</v>
      </c>
      <c r="AM581" s="17">
        <v>5906842</v>
      </c>
      <c r="AN581" s="17">
        <v>2745221</v>
      </c>
      <c r="BG581" s="15"/>
      <c r="BM581" s="17"/>
      <c r="BN581" s="17"/>
      <c r="BO581" s="17"/>
      <c r="BP581" s="17"/>
      <c r="BQ581" s="17"/>
      <c r="BW581" s="17"/>
    </row>
    <row r="582" spans="1:75" hidden="1" x14ac:dyDescent="0.25">
      <c r="A582" s="15" t="s">
        <v>1061</v>
      </c>
      <c r="B582" s="15" t="s">
        <v>30</v>
      </c>
      <c r="C582" s="15">
        <v>2014</v>
      </c>
      <c r="D582" s="15" t="s">
        <v>1062</v>
      </c>
      <c r="E582" s="15">
        <v>13680</v>
      </c>
      <c r="F582" s="15">
        <v>38011735</v>
      </c>
      <c r="G582" s="15" t="s">
        <v>109</v>
      </c>
      <c r="H582" s="15" t="s">
        <v>43</v>
      </c>
      <c r="I582" s="15" t="s">
        <v>188</v>
      </c>
      <c r="J582" s="15" t="s">
        <v>500</v>
      </c>
      <c r="K582" s="15" t="s">
        <v>190</v>
      </c>
      <c r="L582" s="15" t="s">
        <v>48</v>
      </c>
      <c r="M582" s="15" t="s">
        <v>62</v>
      </c>
      <c r="N582" s="15" t="s">
        <v>63</v>
      </c>
      <c r="O582" s="15"/>
      <c r="P582" s="15"/>
      <c r="Q582" s="15"/>
      <c r="R582" s="15"/>
      <c r="S582" s="15" t="s">
        <v>55</v>
      </c>
      <c r="T582" s="15"/>
      <c r="U582" s="15"/>
      <c r="V582" s="15"/>
      <c r="W582" s="15"/>
      <c r="X582" s="15" t="s">
        <v>55</v>
      </c>
      <c r="Y582" s="17">
        <v>1474457</v>
      </c>
      <c r="Z582" s="17">
        <v>57152</v>
      </c>
      <c r="AA582" s="17">
        <v>14620</v>
      </c>
      <c r="AB582" s="17">
        <v>71772</v>
      </c>
      <c r="AC582" s="17">
        <v>1546229</v>
      </c>
      <c r="AD582" s="17">
        <v>3097</v>
      </c>
      <c r="AE582" s="51">
        <f t="shared" si="63"/>
        <v>38.789521183392445</v>
      </c>
      <c r="AF582" s="51">
        <f t="shared" si="64"/>
        <v>1.8881537504141814</v>
      </c>
      <c r="AG582" s="51">
        <f t="shared" si="65"/>
        <v>40.677674933806628</v>
      </c>
      <c r="AH582" s="51">
        <f t="shared" si="66"/>
        <v>8.1474839283184525E-2</v>
      </c>
      <c r="AI582" s="17">
        <v>3058644</v>
      </c>
      <c r="AJ582" s="17">
        <v>1178860</v>
      </c>
      <c r="AK582" s="17">
        <v>1518681</v>
      </c>
      <c r="AL582" s="17">
        <v>2697541</v>
      </c>
      <c r="AM582" s="17">
        <v>5756185</v>
      </c>
      <c r="AN582" s="17">
        <v>2658923</v>
      </c>
      <c r="BG582" s="15"/>
      <c r="BM582" s="17"/>
      <c r="BN582" s="17"/>
      <c r="BO582" s="17"/>
      <c r="BP582" s="17"/>
      <c r="BQ582" s="17"/>
      <c r="BW582" s="17"/>
    </row>
    <row r="583" spans="1:75" hidden="1" x14ac:dyDescent="0.25">
      <c r="A583" s="15" t="s">
        <v>1061</v>
      </c>
      <c r="B583" s="15" t="s">
        <v>30</v>
      </c>
      <c r="C583" s="15">
        <v>2013</v>
      </c>
      <c r="D583" s="15" t="s">
        <v>1062</v>
      </c>
      <c r="E583" s="15">
        <v>13520</v>
      </c>
      <c r="F583" s="15">
        <v>38040196</v>
      </c>
      <c r="G583" s="15" t="s">
        <v>109</v>
      </c>
      <c r="H583" s="15" t="s">
        <v>43</v>
      </c>
      <c r="I583" s="15" t="s">
        <v>188</v>
      </c>
      <c r="J583" s="15" t="s">
        <v>500</v>
      </c>
      <c r="K583" s="15" t="s">
        <v>190</v>
      </c>
      <c r="L583" s="15" t="s">
        <v>48</v>
      </c>
      <c r="M583" s="15" t="s">
        <v>62</v>
      </c>
      <c r="N583" s="15" t="s">
        <v>63</v>
      </c>
      <c r="O583" s="15"/>
      <c r="P583" s="15"/>
      <c r="Q583" s="15"/>
      <c r="R583" s="15"/>
      <c r="S583" s="15" t="s">
        <v>55</v>
      </c>
      <c r="T583" s="15"/>
      <c r="U583" s="15"/>
      <c r="V583" s="15"/>
      <c r="W583" s="15"/>
      <c r="X583" s="15" t="s">
        <v>55</v>
      </c>
      <c r="Y583" s="17">
        <v>1418595</v>
      </c>
      <c r="Z583" s="17">
        <v>57305</v>
      </c>
      <c r="AA583" s="17">
        <v>14550</v>
      </c>
      <c r="AB583" s="17">
        <v>71855</v>
      </c>
      <c r="AC583" s="17">
        <v>1490450</v>
      </c>
      <c r="AD583" s="17">
        <v>2981</v>
      </c>
      <c r="AE583" s="51">
        <f t="shared" ref="AE583:AE646" si="67">IF(ISERROR((Y583/$F583)*1000),"",IF((Y583/$F583)*1000=0,"",(Y583/$F583)*1000))</f>
        <v>37.292000283068994</v>
      </c>
      <c r="AF583" s="51">
        <f t="shared" ref="AF583:AF646" si="68">IF(ISERROR((AB583/$F583)*1000),"",IF((AB583/$F583)*1000=0,"",(AB583/$F583)*1000))</f>
        <v>1.8889229697975267</v>
      </c>
      <c r="AG583" s="51">
        <f t="shared" ref="AG583:AG646" si="69">IF(ISERROR((AC583/$F583)*1000),"",IF((AC583/$F583)*1000=0,"",(AC583/$F583)*1000))</f>
        <v>39.180923252866521</v>
      </c>
      <c r="AH583" s="51">
        <f t="shared" ref="AH583:AH646" si="70">IF(ISERROR((AD583/$F583)*1000),"",IF((AD583/$F583)*1000=0,"",(AD583/$F583)*1000))</f>
        <v>7.83644753039653E-2</v>
      </c>
      <c r="AI583" s="17">
        <v>2942625</v>
      </c>
      <c r="AJ583" s="17">
        <v>1181103</v>
      </c>
      <c r="AK583" s="17">
        <v>1509245</v>
      </c>
      <c r="AL583" s="17">
        <v>2690348</v>
      </c>
      <c r="AM583" s="17">
        <v>5632973</v>
      </c>
      <c r="AN583" s="17">
        <v>2572507</v>
      </c>
      <c r="BG583" s="15"/>
      <c r="BM583" s="17"/>
      <c r="BN583" s="17"/>
      <c r="BO583" s="17"/>
      <c r="BP583" s="17"/>
      <c r="BQ583" s="17"/>
      <c r="BW583" s="17"/>
    </row>
    <row r="584" spans="1:75" hidden="1" x14ac:dyDescent="0.25">
      <c r="A584" s="15" t="s">
        <v>1063</v>
      </c>
      <c r="B584" s="15" t="s">
        <v>30</v>
      </c>
      <c r="C584" s="15">
        <v>2016</v>
      </c>
      <c r="D584" s="15" t="s">
        <v>1064</v>
      </c>
      <c r="E584" s="15">
        <v>19850</v>
      </c>
      <c r="F584" s="15">
        <v>10293718</v>
      </c>
      <c r="G584" s="15" t="s">
        <v>109</v>
      </c>
      <c r="H584" s="15" t="s">
        <v>43</v>
      </c>
      <c r="I584" s="15" t="s">
        <v>188</v>
      </c>
      <c r="J584" s="15" t="s">
        <v>1069</v>
      </c>
      <c r="K584" s="15" t="s">
        <v>190</v>
      </c>
      <c r="L584" s="15" t="s">
        <v>48</v>
      </c>
      <c r="M584" s="15" t="s">
        <v>62</v>
      </c>
      <c r="N584" s="15" t="s">
        <v>63</v>
      </c>
      <c r="O584" s="15"/>
      <c r="P584" s="15"/>
      <c r="Q584" s="15"/>
      <c r="R584" s="15"/>
      <c r="S584" s="15"/>
      <c r="T584" s="15"/>
      <c r="U584" s="15"/>
      <c r="V584" s="15"/>
      <c r="W584" s="15"/>
      <c r="X584" s="15"/>
      <c r="Y584" s="17">
        <v>793477</v>
      </c>
      <c r="Z584" s="17">
        <v>33553</v>
      </c>
      <c r="AA584" s="17">
        <v>5190</v>
      </c>
      <c r="AB584" s="17">
        <f t="shared" ref="AB584:AB590" si="71">+Z584+AA584</f>
        <v>38743</v>
      </c>
      <c r="AC584" s="17">
        <f t="shared" ref="AC584:AC590" si="72">+AB584+Y584</f>
        <v>832220</v>
      </c>
      <c r="AD584" s="17">
        <v>808</v>
      </c>
      <c r="AE584" s="51">
        <f t="shared" si="67"/>
        <v>77.083615463334041</v>
      </c>
      <c r="AF584" s="51">
        <f t="shared" si="68"/>
        <v>3.7637518338854825</v>
      </c>
      <c r="AG584" s="51">
        <f t="shared" si="69"/>
        <v>80.847367297219535</v>
      </c>
      <c r="AH584" s="51">
        <f t="shared" si="70"/>
        <v>7.849447595125493E-2</v>
      </c>
      <c r="AI584" s="17">
        <v>1274600</v>
      </c>
      <c r="AJ584" s="17">
        <v>640885</v>
      </c>
      <c r="AK584" s="17" t="s">
        <v>192</v>
      </c>
      <c r="AL584" s="17" t="s">
        <v>192</v>
      </c>
      <c r="AM584" s="17" t="s">
        <v>192</v>
      </c>
      <c r="AN584" s="17" t="s">
        <v>192</v>
      </c>
      <c r="AO584" s="17">
        <v>18704200000</v>
      </c>
      <c r="AP584" s="17">
        <v>16815800000</v>
      </c>
      <c r="BG584" s="15"/>
      <c r="BM584" s="17"/>
      <c r="BN584" s="17"/>
      <c r="BO584" s="17"/>
      <c r="BP584" s="17"/>
      <c r="BQ584" s="17"/>
      <c r="BS584" s="15" t="s">
        <v>1070</v>
      </c>
      <c r="BT584" s="15" t="s">
        <v>1071</v>
      </c>
      <c r="BU584" s="15" t="s">
        <v>1072</v>
      </c>
      <c r="BV584" s="15" t="s">
        <v>1073</v>
      </c>
      <c r="BW584" s="17"/>
    </row>
    <row r="585" spans="1:75" hidden="1" x14ac:dyDescent="0.25">
      <c r="A585" s="15" t="s">
        <v>1063</v>
      </c>
      <c r="B585" s="15" t="s">
        <v>30</v>
      </c>
      <c r="C585" s="15">
        <v>2015</v>
      </c>
      <c r="D585" s="15" t="s">
        <v>1064</v>
      </c>
      <c r="E585" s="15">
        <v>20440</v>
      </c>
      <c r="F585" s="15">
        <v>10358076</v>
      </c>
      <c r="G585" s="15" t="s">
        <v>109</v>
      </c>
      <c r="H585" s="15" t="s">
        <v>43</v>
      </c>
      <c r="I585" s="15" t="s">
        <v>188</v>
      </c>
      <c r="J585" s="15" t="s">
        <v>1069</v>
      </c>
      <c r="K585" s="15" t="s">
        <v>190</v>
      </c>
      <c r="L585" s="15" t="s">
        <v>48</v>
      </c>
      <c r="M585" s="15" t="s">
        <v>62</v>
      </c>
      <c r="N585" s="15" t="s">
        <v>63</v>
      </c>
      <c r="O585" s="15"/>
      <c r="P585" s="15"/>
      <c r="Q585" s="15"/>
      <c r="R585" s="15"/>
      <c r="S585" s="15"/>
      <c r="T585" s="15"/>
      <c r="U585" s="15"/>
      <c r="V585" s="15"/>
      <c r="W585" s="15"/>
      <c r="X585" s="15"/>
      <c r="Y585" s="17">
        <v>769043</v>
      </c>
      <c r="Z585" s="17">
        <v>32420</v>
      </c>
      <c r="AA585" s="17">
        <v>4933</v>
      </c>
      <c r="AB585" s="17">
        <f t="shared" si="71"/>
        <v>37353</v>
      </c>
      <c r="AC585" s="17">
        <f t="shared" si="72"/>
        <v>806396</v>
      </c>
      <c r="AD585" s="17">
        <v>787</v>
      </c>
      <c r="AE585" s="51">
        <f t="shared" si="67"/>
        <v>74.245738301205748</v>
      </c>
      <c r="AF585" s="51">
        <f t="shared" si="68"/>
        <v>3.6061716480937194</v>
      </c>
      <c r="AG585" s="51">
        <f t="shared" si="69"/>
        <v>77.851909949299468</v>
      </c>
      <c r="AH585" s="51">
        <f t="shared" si="70"/>
        <v>7.5979361418085756E-2</v>
      </c>
      <c r="AI585" s="17">
        <v>1240232</v>
      </c>
      <c r="AJ585" s="17">
        <v>616843</v>
      </c>
      <c r="AK585" s="17" t="s">
        <v>192</v>
      </c>
      <c r="AL585" s="17" t="s">
        <v>192</v>
      </c>
      <c r="AM585" s="17" t="s">
        <v>192</v>
      </c>
      <c r="AN585" s="17" t="s">
        <v>192</v>
      </c>
      <c r="AO585" s="17">
        <v>17464300000</v>
      </c>
      <c r="AP585" s="17">
        <v>15779500000</v>
      </c>
      <c r="BG585" s="15"/>
      <c r="BM585" s="17"/>
      <c r="BN585" s="17"/>
      <c r="BO585" s="17"/>
      <c r="BP585" s="17"/>
      <c r="BQ585" s="17"/>
      <c r="BW585" s="17"/>
    </row>
    <row r="586" spans="1:75" hidden="1" x14ac:dyDescent="0.25">
      <c r="A586" s="15" t="s">
        <v>1063</v>
      </c>
      <c r="B586" s="15" t="s">
        <v>30</v>
      </c>
      <c r="C586" s="15">
        <v>2014</v>
      </c>
      <c r="D586" s="15" t="s">
        <v>1064</v>
      </c>
      <c r="E586" s="15">
        <v>21260</v>
      </c>
      <c r="F586" s="15">
        <v>10401062</v>
      </c>
      <c r="G586" s="15" t="s">
        <v>109</v>
      </c>
      <c r="H586" s="15" t="s">
        <v>43</v>
      </c>
      <c r="I586" s="15" t="s">
        <v>188</v>
      </c>
      <c r="J586" s="15" t="s">
        <v>1074</v>
      </c>
      <c r="K586" s="15" t="s">
        <v>190</v>
      </c>
      <c r="L586" s="15" t="s">
        <v>48</v>
      </c>
      <c r="M586" s="15" t="s">
        <v>62</v>
      </c>
      <c r="N586" s="15" t="s">
        <v>63</v>
      </c>
      <c r="O586" s="15"/>
      <c r="P586" s="15"/>
      <c r="Q586" s="15"/>
      <c r="R586" s="15"/>
      <c r="S586" s="15"/>
      <c r="T586" s="15"/>
      <c r="U586" s="15"/>
      <c r="V586" s="15"/>
      <c r="W586" s="15"/>
      <c r="X586" s="15"/>
      <c r="Y586" s="17">
        <v>746238</v>
      </c>
      <c r="Z586" s="17">
        <v>31003</v>
      </c>
      <c r="AA586" s="17">
        <v>4779</v>
      </c>
      <c r="AB586" s="17">
        <f t="shared" si="71"/>
        <v>35782</v>
      </c>
      <c r="AC586" s="17">
        <f t="shared" si="72"/>
        <v>782020</v>
      </c>
      <c r="AD586" s="17">
        <v>744</v>
      </c>
      <c r="AE586" s="51">
        <f t="shared" si="67"/>
        <v>71.74632744233233</v>
      </c>
      <c r="AF586" s="51">
        <f t="shared" si="68"/>
        <v>3.4402256231142552</v>
      </c>
      <c r="AG586" s="51">
        <f t="shared" si="69"/>
        <v>75.186553065446589</v>
      </c>
      <c r="AH586" s="51">
        <f t="shared" si="70"/>
        <v>7.1531157106841589E-2</v>
      </c>
      <c r="AI586" s="17">
        <v>1209062</v>
      </c>
      <c r="AJ586" s="17">
        <v>590462</v>
      </c>
      <c r="AK586" s="17" t="s">
        <v>192</v>
      </c>
      <c r="AL586" s="17" t="s">
        <v>192</v>
      </c>
      <c r="AM586" s="17" t="s">
        <v>192</v>
      </c>
      <c r="AN586" s="17" t="s">
        <v>192</v>
      </c>
      <c r="AO586" s="17">
        <v>16442800000</v>
      </c>
      <c r="AP586" s="17">
        <v>15129699999.999998</v>
      </c>
      <c r="BG586" s="15"/>
      <c r="BM586" s="17"/>
      <c r="BN586" s="17"/>
      <c r="BO586" s="17"/>
      <c r="BP586" s="17"/>
      <c r="BQ586" s="17"/>
      <c r="BW586" s="17"/>
    </row>
    <row r="587" spans="1:75" hidden="1" x14ac:dyDescent="0.25">
      <c r="A587" s="15" t="s">
        <v>1063</v>
      </c>
      <c r="B587" s="15" t="s">
        <v>30</v>
      </c>
      <c r="C587" s="15">
        <v>2013</v>
      </c>
      <c r="D587" s="15" t="s">
        <v>1064</v>
      </c>
      <c r="E587" s="15">
        <v>21340</v>
      </c>
      <c r="F587" s="15">
        <v>10457295</v>
      </c>
      <c r="G587" s="15" t="s">
        <v>109</v>
      </c>
      <c r="H587" s="15" t="s">
        <v>43</v>
      </c>
      <c r="I587" s="15" t="s">
        <v>188</v>
      </c>
      <c r="J587" s="15" t="s">
        <v>1075</v>
      </c>
      <c r="K587" s="15" t="s">
        <v>190</v>
      </c>
      <c r="L587" s="15" t="s">
        <v>48</v>
      </c>
      <c r="M587" s="15" t="s">
        <v>62</v>
      </c>
      <c r="N587" s="15" t="s">
        <v>63</v>
      </c>
      <c r="O587" s="15"/>
      <c r="P587" s="15"/>
      <c r="Q587" s="15"/>
      <c r="R587" s="15"/>
      <c r="S587" s="15"/>
      <c r="T587" s="15"/>
      <c r="U587" s="15"/>
      <c r="V587" s="15"/>
      <c r="W587" s="15"/>
      <c r="X587" s="15"/>
      <c r="Y587" s="17">
        <v>741181</v>
      </c>
      <c r="Z587" s="17">
        <v>30719</v>
      </c>
      <c r="AA587" s="17">
        <v>4719</v>
      </c>
      <c r="AB587" s="17">
        <f t="shared" si="71"/>
        <v>35438</v>
      </c>
      <c r="AC587" s="17">
        <f t="shared" si="72"/>
        <v>776619</v>
      </c>
      <c r="AD587" s="17">
        <v>727</v>
      </c>
      <c r="AE587" s="51">
        <f t="shared" si="67"/>
        <v>70.876933279590958</v>
      </c>
      <c r="AF587" s="51">
        <f t="shared" si="68"/>
        <v>3.3888304767150585</v>
      </c>
      <c r="AG587" s="51">
        <f t="shared" si="69"/>
        <v>74.265763756306001</v>
      </c>
      <c r="AH587" s="51">
        <f t="shared" si="70"/>
        <v>6.9520846452165691E-2</v>
      </c>
      <c r="AI587" s="17">
        <v>1206234</v>
      </c>
      <c r="AJ587" s="17">
        <v>583899</v>
      </c>
      <c r="AK587" s="17" t="s">
        <v>192</v>
      </c>
      <c r="AL587" s="17" t="s">
        <v>192</v>
      </c>
      <c r="AM587" s="17" t="s">
        <v>192</v>
      </c>
      <c r="AN587" s="17" t="s">
        <v>192</v>
      </c>
      <c r="AO587" s="17">
        <v>15469200000</v>
      </c>
      <c r="AP587" s="17">
        <v>14633700000</v>
      </c>
      <c r="BG587" s="15"/>
      <c r="BM587" s="17"/>
      <c r="BN587" s="17"/>
      <c r="BO587" s="17"/>
      <c r="BP587" s="17"/>
      <c r="BQ587" s="17"/>
      <c r="BW587" s="17"/>
    </row>
    <row r="588" spans="1:75" hidden="1" x14ac:dyDescent="0.25">
      <c r="A588" s="15" t="s">
        <v>1063</v>
      </c>
      <c r="B588" s="15" t="s">
        <v>30</v>
      </c>
      <c r="C588" s="15">
        <v>2012</v>
      </c>
      <c r="D588" s="15" t="s">
        <v>1064</v>
      </c>
      <c r="E588" s="15">
        <v>21150</v>
      </c>
      <c r="F588" s="15">
        <v>10514844</v>
      </c>
      <c r="G588" s="15" t="s">
        <v>109</v>
      </c>
      <c r="H588" s="15" t="s">
        <v>43</v>
      </c>
      <c r="I588" s="15" t="s">
        <v>188</v>
      </c>
      <c r="J588" s="15" t="s">
        <v>1076</v>
      </c>
      <c r="K588" s="15" t="s">
        <v>190</v>
      </c>
      <c r="L588" s="15" t="s">
        <v>48</v>
      </c>
      <c r="M588" s="15" t="s">
        <v>62</v>
      </c>
      <c r="N588" s="15" t="s">
        <v>63</v>
      </c>
      <c r="O588" s="15"/>
      <c r="P588" s="15"/>
      <c r="Q588" s="15"/>
      <c r="R588" s="15"/>
      <c r="S588" s="15"/>
      <c r="T588" s="15"/>
      <c r="U588" s="15"/>
      <c r="V588" s="15"/>
      <c r="W588" s="15"/>
      <c r="X588" s="15"/>
      <c r="Y588" s="17">
        <v>755075</v>
      </c>
      <c r="Z588" s="17">
        <v>32425</v>
      </c>
      <c r="AA588" s="17">
        <v>4828</v>
      </c>
      <c r="AB588" s="17">
        <f t="shared" si="71"/>
        <v>37253</v>
      </c>
      <c r="AC588" s="17">
        <f t="shared" si="72"/>
        <v>792328</v>
      </c>
      <c r="AD588" s="17">
        <v>731</v>
      </c>
      <c r="AE588" s="51">
        <f t="shared" si="67"/>
        <v>71.810385394210329</v>
      </c>
      <c r="AF588" s="51">
        <f t="shared" si="68"/>
        <v>3.5428961190484616</v>
      </c>
      <c r="AG588" s="51">
        <f t="shared" si="69"/>
        <v>75.353281513258779</v>
      </c>
      <c r="AH588" s="51">
        <f t="shared" si="70"/>
        <v>6.9520765120243341E-2</v>
      </c>
      <c r="AI588" s="17">
        <v>1245857</v>
      </c>
      <c r="AJ588" s="17">
        <v>615316</v>
      </c>
      <c r="AK588" s="17" t="s">
        <v>192</v>
      </c>
      <c r="AL588" s="17" t="s">
        <v>192</v>
      </c>
      <c r="AM588" s="17" t="s">
        <v>192</v>
      </c>
      <c r="AN588" s="17" t="s">
        <v>192</v>
      </c>
      <c r="AO588" s="17">
        <v>15223200000</v>
      </c>
      <c r="AP588" s="17">
        <v>14649400000</v>
      </c>
      <c r="BG588" s="15"/>
      <c r="BM588" s="17"/>
      <c r="BN588" s="17"/>
      <c r="BO588" s="17"/>
      <c r="BP588" s="17"/>
      <c r="BQ588" s="17"/>
      <c r="BW588" s="17"/>
    </row>
    <row r="589" spans="1:75" hidden="1" x14ac:dyDescent="0.25">
      <c r="A589" s="15" t="s">
        <v>1063</v>
      </c>
      <c r="B589" s="15" t="s">
        <v>30</v>
      </c>
      <c r="C589" s="15">
        <v>2011</v>
      </c>
      <c r="D589" s="15" t="s">
        <v>1064</v>
      </c>
      <c r="E589" s="15">
        <v>22660</v>
      </c>
      <c r="F589" s="15">
        <v>10557560</v>
      </c>
      <c r="G589" s="15" t="s">
        <v>109</v>
      </c>
      <c r="H589" s="15" t="s">
        <v>43</v>
      </c>
      <c r="I589" s="15" t="s">
        <v>188</v>
      </c>
      <c r="J589" s="15" t="s">
        <v>1077</v>
      </c>
      <c r="K589" s="15" t="s">
        <v>190</v>
      </c>
      <c r="L589" s="15" t="s">
        <v>48</v>
      </c>
      <c r="M589" s="15" t="s">
        <v>62</v>
      </c>
      <c r="N589" s="15" t="s">
        <v>63</v>
      </c>
      <c r="O589" s="15"/>
      <c r="P589" s="15"/>
      <c r="Q589" s="15"/>
      <c r="R589" s="15"/>
      <c r="S589" s="15"/>
      <c r="T589" s="15"/>
      <c r="U589" s="15"/>
      <c r="V589" s="15"/>
      <c r="W589" s="15"/>
      <c r="X589" s="15"/>
      <c r="Y589" s="17">
        <v>789149</v>
      </c>
      <c r="Z589" s="17">
        <v>35779</v>
      </c>
      <c r="AA589" s="17">
        <v>5232</v>
      </c>
      <c r="AB589" s="17">
        <f t="shared" si="71"/>
        <v>41011</v>
      </c>
      <c r="AC589" s="17">
        <f t="shared" si="72"/>
        <v>830160</v>
      </c>
      <c r="AD589" s="17">
        <v>797</v>
      </c>
      <c r="AE589" s="51">
        <f t="shared" si="67"/>
        <v>74.74729009354435</v>
      </c>
      <c r="AF589" s="51">
        <f t="shared" si="68"/>
        <v>3.8845149826285619</v>
      </c>
      <c r="AG589" s="51">
        <f t="shared" si="69"/>
        <v>78.631805076172895</v>
      </c>
      <c r="AH589" s="51">
        <f t="shared" si="70"/>
        <v>7.5490927828020873E-2</v>
      </c>
      <c r="AI589" s="17">
        <v>1317166</v>
      </c>
      <c r="AJ589" s="17">
        <v>676311</v>
      </c>
      <c r="AK589" s="17" t="s">
        <v>192</v>
      </c>
      <c r="AL589" s="17" t="s">
        <v>192</v>
      </c>
      <c r="AM589" s="17" t="s">
        <v>192</v>
      </c>
      <c r="AN589" s="17" t="s">
        <v>192</v>
      </c>
      <c r="AO589" s="17">
        <v>17120400000.000002</v>
      </c>
      <c r="AP589" s="17">
        <v>16252200000</v>
      </c>
      <c r="BG589" s="15"/>
      <c r="BM589" s="17"/>
      <c r="BN589" s="17"/>
      <c r="BO589" s="17"/>
      <c r="BP589" s="17"/>
      <c r="BQ589" s="17"/>
      <c r="BW589" s="17"/>
    </row>
    <row r="590" spans="1:75" hidden="1" x14ac:dyDescent="0.25">
      <c r="A590" s="15" t="s">
        <v>1063</v>
      </c>
      <c r="B590" s="15" t="s">
        <v>30</v>
      </c>
      <c r="C590" s="15">
        <v>2010</v>
      </c>
      <c r="D590" s="15" t="s">
        <v>1064</v>
      </c>
      <c r="E590" s="15">
        <v>22960</v>
      </c>
      <c r="F590" s="15">
        <v>10573100</v>
      </c>
      <c r="G590" s="15" t="s">
        <v>109</v>
      </c>
      <c r="H590" s="15" t="s">
        <v>43</v>
      </c>
      <c r="I590" s="15" t="s">
        <v>188</v>
      </c>
      <c r="J590" s="15" t="s">
        <v>1078</v>
      </c>
      <c r="K590" s="15" t="s">
        <v>190</v>
      </c>
      <c r="L590" s="15" t="s">
        <v>48</v>
      </c>
      <c r="M590" s="15" t="s">
        <v>62</v>
      </c>
      <c r="N590" s="15" t="s">
        <v>63</v>
      </c>
      <c r="O590" s="15"/>
      <c r="P590" s="15"/>
      <c r="Q590" s="15"/>
      <c r="R590" s="15"/>
      <c r="S590" s="15"/>
      <c r="T590" s="15"/>
      <c r="U590" s="15"/>
      <c r="V590" s="15"/>
      <c r="W590" s="15"/>
      <c r="X590" s="15"/>
      <c r="Y590" s="17">
        <v>816261</v>
      </c>
      <c r="Z590" s="17">
        <v>37588</v>
      </c>
      <c r="AA590" s="17">
        <v>5389</v>
      </c>
      <c r="AB590" s="17">
        <f t="shared" si="71"/>
        <v>42977</v>
      </c>
      <c r="AC590" s="17">
        <f t="shared" si="72"/>
        <v>859238</v>
      </c>
      <c r="AD590" s="17">
        <v>799</v>
      </c>
      <c r="AE590" s="51">
        <f t="shared" si="67"/>
        <v>77.2016721680491</v>
      </c>
      <c r="AF590" s="51">
        <f t="shared" si="68"/>
        <v>4.0647492220824546</v>
      </c>
      <c r="AG590" s="51">
        <f t="shared" si="69"/>
        <v>81.266421390131555</v>
      </c>
      <c r="AH590" s="51">
        <f t="shared" si="70"/>
        <v>7.5569132988432916E-2</v>
      </c>
      <c r="AI590" s="17">
        <v>1357039</v>
      </c>
      <c r="AJ590" s="17">
        <v>710201</v>
      </c>
      <c r="AK590" s="17" t="s">
        <v>192</v>
      </c>
      <c r="AL590" s="17" t="s">
        <v>192</v>
      </c>
      <c r="AM590" s="17" t="s">
        <v>192</v>
      </c>
      <c r="AN590" s="17" t="s">
        <v>192</v>
      </c>
      <c r="AO590" s="17">
        <v>19047900000</v>
      </c>
      <c r="AP590" s="17">
        <v>16900700000</v>
      </c>
      <c r="BG590" s="15"/>
      <c r="BM590" s="17"/>
      <c r="BN590" s="17"/>
      <c r="BO590" s="17"/>
      <c r="BP590" s="17"/>
      <c r="BQ590" s="17"/>
      <c r="BW590" s="17"/>
    </row>
    <row r="591" spans="1:75" hidden="1" x14ac:dyDescent="0.25">
      <c r="A591" s="15" t="s">
        <v>1063</v>
      </c>
      <c r="B591" s="15" t="s">
        <v>52</v>
      </c>
      <c r="C591" s="15">
        <v>2016</v>
      </c>
      <c r="D591" s="15" t="s">
        <v>1064</v>
      </c>
      <c r="E591" s="15">
        <v>19850</v>
      </c>
      <c r="F591" s="15">
        <v>10293718</v>
      </c>
      <c r="G591" s="15" t="s">
        <v>109</v>
      </c>
      <c r="H591" s="15" t="s">
        <v>43</v>
      </c>
      <c r="I591" s="15" t="s">
        <v>1065</v>
      </c>
      <c r="J591" s="15" t="s">
        <v>1066</v>
      </c>
      <c r="K591" s="15" t="s">
        <v>61</v>
      </c>
      <c r="L591" s="15" t="s">
        <v>165</v>
      </c>
      <c r="M591" s="15" t="s">
        <v>660</v>
      </c>
      <c r="N591" s="15" t="s">
        <v>167</v>
      </c>
      <c r="O591" s="15" t="s">
        <v>115</v>
      </c>
      <c r="P591" s="15" t="s">
        <v>1067</v>
      </c>
      <c r="Q591" s="15" t="s">
        <v>881</v>
      </c>
      <c r="R591" s="15" t="s">
        <v>501</v>
      </c>
      <c r="S591" s="15" t="s">
        <v>55</v>
      </c>
      <c r="T591" s="15" t="s">
        <v>115</v>
      </c>
      <c r="U591" s="15" t="s">
        <v>1067</v>
      </c>
      <c r="V591" s="15" t="s">
        <v>169</v>
      </c>
      <c r="W591" s="15" t="s">
        <v>503</v>
      </c>
      <c r="X591" s="15" t="s">
        <v>55</v>
      </c>
      <c r="Y591" s="17">
        <v>1150336</v>
      </c>
      <c r="Z591" s="17">
        <v>38600</v>
      </c>
      <c r="AA591" s="17">
        <v>6128</v>
      </c>
      <c r="AB591" s="17">
        <v>44728</v>
      </c>
      <c r="AC591" s="17">
        <v>1195064</v>
      </c>
      <c r="AD591" s="17">
        <v>1038</v>
      </c>
      <c r="AE591" s="51">
        <f t="shared" si="67"/>
        <v>111.75126421765196</v>
      </c>
      <c r="AF591" s="51">
        <f t="shared" si="68"/>
        <v>4.3451744063709539</v>
      </c>
      <c r="AG591" s="51">
        <f t="shared" si="69"/>
        <v>116.09643862402292</v>
      </c>
      <c r="AH591" s="51">
        <f t="shared" si="70"/>
        <v>0.10083820054133986</v>
      </c>
      <c r="AI591" s="17">
        <v>1701757</v>
      </c>
      <c r="AJ591" s="17">
        <v>708143</v>
      </c>
      <c r="AK591" s="17">
        <v>547409</v>
      </c>
      <c r="AL591" s="17">
        <v>1255552</v>
      </c>
      <c r="AM591" s="17">
        <v>2957309</v>
      </c>
      <c r="AN591" s="17">
        <v>747431</v>
      </c>
      <c r="AO591" s="17">
        <v>18823635000</v>
      </c>
      <c r="AP591" s="17">
        <v>17426408000</v>
      </c>
      <c r="AQ591" s="17">
        <v>18015236000</v>
      </c>
      <c r="AR591" s="17">
        <v>35441644000</v>
      </c>
      <c r="AS591" s="17">
        <v>54265279000</v>
      </c>
      <c r="AT591" s="17">
        <v>31145030000</v>
      </c>
      <c r="AU591" s="15" t="s">
        <v>1066</v>
      </c>
      <c r="AV591" s="15" t="s">
        <v>1066</v>
      </c>
      <c r="BG591" s="15"/>
      <c r="BM591" s="17"/>
      <c r="BN591" s="17"/>
      <c r="BO591" s="17"/>
      <c r="BP591" s="17"/>
      <c r="BQ591" s="17"/>
      <c r="BS591" s="15" t="s">
        <v>1068</v>
      </c>
      <c r="BW591" s="17"/>
    </row>
    <row r="592" spans="1:75" hidden="1" x14ac:dyDescent="0.25">
      <c r="A592" s="15" t="s">
        <v>1063</v>
      </c>
      <c r="B592" s="15" t="s">
        <v>52</v>
      </c>
      <c r="C592" s="15">
        <v>2015</v>
      </c>
      <c r="D592" s="15" t="s">
        <v>1064</v>
      </c>
      <c r="E592" s="15">
        <v>20440</v>
      </c>
      <c r="F592" s="15">
        <v>10358076</v>
      </c>
      <c r="G592" s="15" t="s">
        <v>109</v>
      </c>
      <c r="H592" s="15" t="s">
        <v>43</v>
      </c>
      <c r="I592" s="15" t="s">
        <v>1065</v>
      </c>
      <c r="J592" s="15" t="s">
        <v>1066</v>
      </c>
      <c r="K592" s="15" t="s">
        <v>61</v>
      </c>
      <c r="L592" s="15" t="s">
        <v>165</v>
      </c>
      <c r="M592" s="15" t="s">
        <v>660</v>
      </c>
      <c r="N592" s="15" t="s">
        <v>167</v>
      </c>
      <c r="O592" s="15" t="s">
        <v>115</v>
      </c>
      <c r="P592" s="15" t="s">
        <v>1067</v>
      </c>
      <c r="Q592" s="15" t="s">
        <v>881</v>
      </c>
      <c r="R592" s="15" t="s">
        <v>501</v>
      </c>
      <c r="S592" s="15" t="s">
        <v>55</v>
      </c>
      <c r="T592" s="15" t="s">
        <v>115</v>
      </c>
      <c r="U592" s="15" t="s">
        <v>1067</v>
      </c>
      <c r="V592" s="15" t="s">
        <v>169</v>
      </c>
      <c r="W592" s="15" t="s">
        <v>503</v>
      </c>
      <c r="X592" s="15" t="s">
        <v>55</v>
      </c>
      <c r="Y592" s="17">
        <v>1118988</v>
      </c>
      <c r="Z592" s="17">
        <v>37252</v>
      </c>
      <c r="AA592" s="17">
        <v>5829</v>
      </c>
      <c r="AB592" s="17">
        <v>43081</v>
      </c>
      <c r="AC592" s="17">
        <v>1162069</v>
      </c>
      <c r="AD592" s="17">
        <v>1013</v>
      </c>
      <c r="AE592" s="51">
        <f t="shared" si="67"/>
        <v>108.03048751524898</v>
      </c>
      <c r="AF592" s="51">
        <f t="shared" si="68"/>
        <v>4.1591701007020996</v>
      </c>
      <c r="AG592" s="51">
        <f t="shared" si="69"/>
        <v>112.18965761595106</v>
      </c>
      <c r="AH592" s="51">
        <f t="shared" si="70"/>
        <v>9.7798085281475058E-2</v>
      </c>
      <c r="AI592" s="17">
        <v>1659746</v>
      </c>
      <c r="AJ592" s="17">
        <v>679658</v>
      </c>
      <c r="AK592" s="17">
        <v>520633</v>
      </c>
      <c r="AL592" s="17">
        <v>1200291</v>
      </c>
      <c r="AM592" s="17">
        <v>2860037</v>
      </c>
      <c r="AN592" s="17">
        <v>718876</v>
      </c>
      <c r="AO592" s="17">
        <v>17647845000</v>
      </c>
      <c r="AP592" s="17">
        <v>16188370000</v>
      </c>
      <c r="AQ592" s="17">
        <v>16913023000</v>
      </c>
      <c r="AR592" s="17">
        <v>33101393000</v>
      </c>
      <c r="AS592" s="17">
        <v>50749238000</v>
      </c>
      <c r="AT592" s="17">
        <v>29798375000</v>
      </c>
      <c r="AU592" s="15" t="s">
        <v>1066</v>
      </c>
      <c r="AV592" s="15" t="s">
        <v>1066</v>
      </c>
      <c r="BG592" s="15"/>
      <c r="BM592" s="17"/>
      <c r="BN592" s="17"/>
      <c r="BO592" s="17"/>
      <c r="BP592" s="17"/>
      <c r="BQ592" s="17"/>
      <c r="BW592" s="17"/>
    </row>
    <row r="593" spans="1:75" hidden="1" x14ac:dyDescent="0.25">
      <c r="A593" s="15" t="s">
        <v>1063</v>
      </c>
      <c r="B593" s="15" t="s">
        <v>52</v>
      </c>
      <c r="C593" s="15">
        <v>2014</v>
      </c>
      <c r="D593" s="15" t="s">
        <v>1064</v>
      </c>
      <c r="E593" s="15">
        <v>21260</v>
      </c>
      <c r="F593" s="15">
        <v>10401062</v>
      </c>
      <c r="G593" s="15" t="s">
        <v>109</v>
      </c>
      <c r="H593" s="15" t="s">
        <v>43</v>
      </c>
      <c r="I593" s="15" t="s">
        <v>1065</v>
      </c>
      <c r="J593" s="15" t="s">
        <v>1066</v>
      </c>
      <c r="K593" s="15" t="s">
        <v>61</v>
      </c>
      <c r="L593" s="15" t="s">
        <v>165</v>
      </c>
      <c r="M593" s="15" t="s">
        <v>660</v>
      </c>
      <c r="N593" s="15" t="s">
        <v>167</v>
      </c>
      <c r="O593" s="15" t="s">
        <v>115</v>
      </c>
      <c r="P593" s="15" t="s">
        <v>1067</v>
      </c>
      <c r="Q593" s="15" t="s">
        <v>881</v>
      </c>
      <c r="R593" s="15" t="s">
        <v>501</v>
      </c>
      <c r="S593" s="15" t="s">
        <v>55</v>
      </c>
      <c r="T593" s="15" t="s">
        <v>115</v>
      </c>
      <c r="U593" s="15" t="s">
        <v>1067</v>
      </c>
      <c r="V593" s="15" t="s">
        <v>169</v>
      </c>
      <c r="W593" s="15" t="s">
        <v>503</v>
      </c>
      <c r="X593" s="15" t="s">
        <v>55</v>
      </c>
      <c r="Y593" s="17">
        <v>1086028</v>
      </c>
      <c r="Z593" s="17">
        <v>35615</v>
      </c>
      <c r="AA593" s="17">
        <v>5642</v>
      </c>
      <c r="AB593" s="17">
        <v>41257</v>
      </c>
      <c r="AC593" s="17">
        <v>1127285</v>
      </c>
      <c r="AD593" s="17">
        <v>973</v>
      </c>
      <c r="AE593" s="51">
        <f t="shared" si="67"/>
        <v>104.41510684197441</v>
      </c>
      <c r="AF593" s="51">
        <f t="shared" si="68"/>
        <v>3.9666141784367785</v>
      </c>
      <c r="AG593" s="51">
        <f t="shared" si="69"/>
        <v>108.38172102041119</v>
      </c>
      <c r="AH593" s="51">
        <f t="shared" si="70"/>
        <v>9.354813960343665E-2</v>
      </c>
      <c r="AI593" s="17">
        <v>1616709</v>
      </c>
      <c r="AJ593" s="17">
        <v>650230</v>
      </c>
      <c r="AK593" s="17">
        <v>501574</v>
      </c>
      <c r="AL593" s="17">
        <v>1151804</v>
      </c>
      <c r="AM593" s="17">
        <v>2768513</v>
      </c>
      <c r="AN593" s="17">
        <v>680915</v>
      </c>
      <c r="AO593" s="17">
        <v>16425660000</v>
      </c>
      <c r="AP593" s="17">
        <v>15215867000</v>
      </c>
      <c r="AQ593" s="17">
        <v>16314079000</v>
      </c>
      <c r="AR593" s="17">
        <v>31529946000</v>
      </c>
      <c r="AS593" s="17">
        <v>47955606000</v>
      </c>
      <c r="AT593" s="17">
        <v>28175086000</v>
      </c>
      <c r="AU593" s="15" t="s">
        <v>1066</v>
      </c>
      <c r="AV593" s="15" t="s">
        <v>1066</v>
      </c>
      <c r="BG593" s="15"/>
      <c r="BM593" s="17"/>
      <c r="BN593" s="17"/>
      <c r="BO593" s="17"/>
      <c r="BP593" s="17"/>
      <c r="BQ593" s="17"/>
      <c r="BW593" s="17"/>
    </row>
    <row r="594" spans="1:75" hidden="1" x14ac:dyDescent="0.25">
      <c r="A594" s="15" t="s">
        <v>1063</v>
      </c>
      <c r="B594" s="15" t="s">
        <v>52</v>
      </c>
      <c r="C594" s="15">
        <v>2013</v>
      </c>
      <c r="D594" s="15" t="s">
        <v>1064</v>
      </c>
      <c r="E594" s="15">
        <v>21340</v>
      </c>
      <c r="F594" s="15">
        <v>10457295</v>
      </c>
      <c r="G594" s="15" t="s">
        <v>109</v>
      </c>
      <c r="H594" s="15" t="s">
        <v>43</v>
      </c>
      <c r="I594" s="15" t="s">
        <v>1065</v>
      </c>
      <c r="J594" s="15" t="s">
        <v>1066</v>
      </c>
      <c r="K594" s="15" t="s">
        <v>61</v>
      </c>
      <c r="L594" s="15" t="s">
        <v>165</v>
      </c>
      <c r="M594" s="15" t="s">
        <v>660</v>
      </c>
      <c r="N594" s="15" t="s">
        <v>167</v>
      </c>
      <c r="O594" s="15" t="s">
        <v>115</v>
      </c>
      <c r="P594" s="15" t="s">
        <v>1067</v>
      </c>
      <c r="Q594" s="15" t="s">
        <v>881</v>
      </c>
      <c r="R594" s="15" t="s">
        <v>501</v>
      </c>
      <c r="S594" s="15" t="s">
        <v>55</v>
      </c>
      <c r="T594" s="15" t="s">
        <v>115</v>
      </c>
      <c r="U594" s="15" t="s">
        <v>1067</v>
      </c>
      <c r="V594" s="15" t="s">
        <v>169</v>
      </c>
      <c r="W594" s="15" t="s">
        <v>503</v>
      </c>
      <c r="X594" s="15" t="s">
        <v>55</v>
      </c>
      <c r="Y594" s="17">
        <v>1056700</v>
      </c>
      <c r="Z594" s="17">
        <v>35185</v>
      </c>
      <c r="AA594" s="17">
        <v>5567</v>
      </c>
      <c r="AB594" s="17">
        <v>40752</v>
      </c>
      <c r="AC594" s="17">
        <v>1097452</v>
      </c>
      <c r="AD594" s="17">
        <v>957</v>
      </c>
      <c r="AE594" s="51">
        <f t="shared" si="67"/>
        <v>101.04907626685485</v>
      </c>
      <c r="AF594" s="51">
        <f t="shared" si="68"/>
        <v>3.8969924822815081</v>
      </c>
      <c r="AG594" s="51">
        <f t="shared" si="69"/>
        <v>104.94606874913637</v>
      </c>
      <c r="AH594" s="51">
        <f t="shared" si="70"/>
        <v>9.151506197348358E-2</v>
      </c>
      <c r="AI594" s="17">
        <v>1587708</v>
      </c>
      <c r="AJ594" s="17">
        <v>641390</v>
      </c>
      <c r="AK594" s="17">
        <v>490295</v>
      </c>
      <c r="AL594" s="17">
        <v>1131685</v>
      </c>
      <c r="AM594" s="17">
        <v>2719393</v>
      </c>
      <c r="AN594" s="17">
        <v>658205</v>
      </c>
      <c r="AO594" s="17">
        <v>15564549000</v>
      </c>
      <c r="AP594" s="17">
        <v>14572706000</v>
      </c>
      <c r="AQ594" s="17">
        <v>15593078000</v>
      </c>
      <c r="AR594" s="17">
        <v>30165784000</v>
      </c>
      <c r="AS594" s="17">
        <v>45730333000</v>
      </c>
      <c r="AT594" s="17">
        <v>27381104000</v>
      </c>
      <c r="AU594" s="15" t="s">
        <v>1066</v>
      </c>
      <c r="AV594" s="15" t="s">
        <v>1066</v>
      </c>
      <c r="BG594" s="15"/>
      <c r="BM594" s="17"/>
      <c r="BN594" s="17"/>
      <c r="BO594" s="17"/>
      <c r="BP594" s="17"/>
      <c r="BQ594" s="17"/>
      <c r="BW594" s="17"/>
    </row>
    <row r="595" spans="1:75" hidden="1" x14ac:dyDescent="0.25">
      <c r="A595" s="15" t="s">
        <v>1063</v>
      </c>
      <c r="B595" s="15" t="s">
        <v>52</v>
      </c>
      <c r="C595" s="15">
        <v>2012</v>
      </c>
      <c r="D595" s="15" t="s">
        <v>1064</v>
      </c>
      <c r="E595" s="15">
        <v>21150</v>
      </c>
      <c r="F595" s="15">
        <v>10514844</v>
      </c>
      <c r="G595" s="15" t="s">
        <v>109</v>
      </c>
      <c r="H595" s="15" t="s">
        <v>43</v>
      </c>
      <c r="I595" s="15" t="s">
        <v>1065</v>
      </c>
      <c r="J595" s="15" t="s">
        <v>1066</v>
      </c>
      <c r="K595" s="15" t="s">
        <v>61</v>
      </c>
      <c r="L595" s="15" t="s">
        <v>165</v>
      </c>
      <c r="M595" s="15" t="s">
        <v>660</v>
      </c>
      <c r="N595" s="15" t="s">
        <v>167</v>
      </c>
      <c r="O595" s="15" t="s">
        <v>115</v>
      </c>
      <c r="P595" s="15" t="s">
        <v>1067</v>
      </c>
      <c r="Q595" s="15" t="s">
        <v>881</v>
      </c>
      <c r="R595" s="15" t="s">
        <v>501</v>
      </c>
      <c r="S595" s="15" t="s">
        <v>55</v>
      </c>
      <c r="T595" s="15" t="s">
        <v>115</v>
      </c>
      <c r="U595" s="15" t="s">
        <v>1067</v>
      </c>
      <c r="V595" s="15" t="s">
        <v>169</v>
      </c>
      <c r="W595" s="15" t="s">
        <v>503</v>
      </c>
      <c r="X595" s="15" t="s">
        <v>55</v>
      </c>
      <c r="Y595" s="17">
        <v>1021714</v>
      </c>
      <c r="Z595" s="17">
        <v>36857</v>
      </c>
      <c r="AA595" s="17">
        <v>5645</v>
      </c>
      <c r="AB595" s="17">
        <v>42502</v>
      </c>
      <c r="AC595" s="17">
        <v>1064216</v>
      </c>
      <c r="AD595" s="17">
        <v>957</v>
      </c>
      <c r="AE595" s="51">
        <f t="shared" si="67"/>
        <v>97.168726421428602</v>
      </c>
      <c r="AF595" s="51">
        <f t="shared" si="68"/>
        <v>4.042095156143068</v>
      </c>
      <c r="AG595" s="51">
        <f t="shared" si="69"/>
        <v>101.21082157757166</v>
      </c>
      <c r="AH595" s="51">
        <f t="shared" si="70"/>
        <v>9.1014189083547026E-2</v>
      </c>
      <c r="AI595" s="17">
        <v>1578640</v>
      </c>
      <c r="AJ595" s="17">
        <v>673166</v>
      </c>
      <c r="AK595" s="17">
        <v>499757</v>
      </c>
      <c r="AL595" s="17">
        <v>1172923</v>
      </c>
      <c r="AM595" s="17">
        <v>2751563</v>
      </c>
      <c r="AN595" s="17">
        <v>653706</v>
      </c>
      <c r="AO595" s="17">
        <v>15711356000</v>
      </c>
      <c r="AP595" s="17">
        <v>14406870000</v>
      </c>
      <c r="AQ595" s="17">
        <v>15441866000</v>
      </c>
      <c r="AR595" s="17">
        <v>29848736000</v>
      </c>
      <c r="AS595" s="17">
        <v>45560092000</v>
      </c>
      <c r="AT595" s="17">
        <v>27565428000</v>
      </c>
      <c r="AU595" s="15" t="s">
        <v>1066</v>
      </c>
      <c r="AV595" s="15" t="s">
        <v>1066</v>
      </c>
      <c r="BG595" s="15"/>
      <c r="BM595" s="17"/>
      <c r="BN595" s="17"/>
      <c r="BO595" s="17"/>
      <c r="BP595" s="17"/>
      <c r="BQ595" s="17"/>
      <c r="BW595" s="17"/>
    </row>
    <row r="596" spans="1:75" hidden="1" x14ac:dyDescent="0.25">
      <c r="A596" s="15" t="s">
        <v>1063</v>
      </c>
      <c r="B596" s="15" t="s">
        <v>52</v>
      </c>
      <c r="C596" s="15">
        <v>2011</v>
      </c>
      <c r="D596" s="15" t="s">
        <v>1064</v>
      </c>
      <c r="E596" s="15">
        <v>22660</v>
      </c>
      <c r="F596" s="15">
        <v>10557560</v>
      </c>
      <c r="G596" s="15" t="s">
        <v>109</v>
      </c>
      <c r="H596" s="15" t="s">
        <v>43</v>
      </c>
      <c r="I596" s="15" t="s">
        <v>1065</v>
      </c>
      <c r="J596" s="15" t="s">
        <v>1066</v>
      </c>
      <c r="K596" s="15" t="s">
        <v>61</v>
      </c>
      <c r="L596" s="15" t="s">
        <v>165</v>
      </c>
      <c r="M596" s="15" t="s">
        <v>660</v>
      </c>
      <c r="N596" s="15" t="s">
        <v>167</v>
      </c>
      <c r="O596" s="15" t="s">
        <v>115</v>
      </c>
      <c r="P596" s="15" t="s">
        <v>1067</v>
      </c>
      <c r="Q596" s="15" t="s">
        <v>881</v>
      </c>
      <c r="R596" s="15" t="s">
        <v>501</v>
      </c>
      <c r="S596" s="15" t="s">
        <v>55</v>
      </c>
      <c r="T596" s="15" t="s">
        <v>115</v>
      </c>
      <c r="U596" s="15" t="s">
        <v>1067</v>
      </c>
      <c r="V596" s="15" t="s">
        <v>169</v>
      </c>
      <c r="W596" s="15" t="s">
        <v>503</v>
      </c>
      <c r="X596" s="15" t="s">
        <v>55</v>
      </c>
      <c r="Y596" s="17">
        <v>1065905</v>
      </c>
      <c r="Z596" s="17">
        <v>40552</v>
      </c>
      <c r="AA596" s="17">
        <v>6064</v>
      </c>
      <c r="AB596" s="17">
        <v>46616</v>
      </c>
      <c r="AC596" s="17">
        <v>1112521</v>
      </c>
      <c r="AD596" s="17">
        <v>1038</v>
      </c>
      <c r="AE596" s="51">
        <f t="shared" si="67"/>
        <v>100.96130166439973</v>
      </c>
      <c r="AF596" s="51">
        <f t="shared" si="68"/>
        <v>4.4154141676675298</v>
      </c>
      <c r="AG596" s="51">
        <f t="shared" si="69"/>
        <v>105.37671583206726</v>
      </c>
      <c r="AH596" s="51">
        <f t="shared" si="70"/>
        <v>9.831817200186406E-2</v>
      </c>
      <c r="AI596" s="17">
        <v>1663043</v>
      </c>
      <c r="AJ596" s="17">
        <v>738529</v>
      </c>
      <c r="AK596" s="17">
        <v>533925</v>
      </c>
      <c r="AL596" s="17">
        <v>1272454</v>
      </c>
      <c r="AM596" s="17">
        <v>2935497</v>
      </c>
      <c r="AN596" s="17">
        <v>696250</v>
      </c>
      <c r="AO596" s="17">
        <v>17699122000</v>
      </c>
      <c r="AP596" s="17">
        <v>16143228000</v>
      </c>
      <c r="AQ596" s="17">
        <v>16491959000</v>
      </c>
      <c r="AR596" s="17">
        <v>32635187000</v>
      </c>
      <c r="AS596" s="17">
        <v>50334309000</v>
      </c>
      <c r="AT596" s="17">
        <v>29004824000</v>
      </c>
      <c r="AU596" s="15" t="s">
        <v>1066</v>
      </c>
      <c r="AV596" s="15" t="s">
        <v>1066</v>
      </c>
      <c r="BG596" s="15"/>
      <c r="BM596" s="17"/>
      <c r="BN596" s="17"/>
      <c r="BO596" s="17"/>
      <c r="BP596" s="17"/>
      <c r="BQ596" s="17"/>
      <c r="BW596" s="17"/>
    </row>
    <row r="597" spans="1:75" hidden="1" x14ac:dyDescent="0.25">
      <c r="A597" s="15" t="s">
        <v>1063</v>
      </c>
      <c r="B597" s="15" t="s">
        <v>52</v>
      </c>
      <c r="C597" s="15">
        <v>2010</v>
      </c>
      <c r="D597" s="15" t="s">
        <v>1064</v>
      </c>
      <c r="E597" s="15">
        <v>22960</v>
      </c>
      <c r="F597" s="15">
        <v>10573100</v>
      </c>
      <c r="G597" s="15" t="s">
        <v>109</v>
      </c>
      <c r="H597" s="15" t="s">
        <v>43</v>
      </c>
      <c r="I597" s="15" t="s">
        <v>1065</v>
      </c>
      <c r="J597" s="15" t="s">
        <v>1066</v>
      </c>
      <c r="K597" s="15" t="s">
        <v>61</v>
      </c>
      <c r="L597" s="15" t="s">
        <v>165</v>
      </c>
      <c r="M597" s="15" t="s">
        <v>660</v>
      </c>
      <c r="N597" s="15" t="s">
        <v>167</v>
      </c>
      <c r="O597" s="15" t="s">
        <v>115</v>
      </c>
      <c r="P597" s="15" t="s">
        <v>1067</v>
      </c>
      <c r="Q597" s="15" t="s">
        <v>881</v>
      </c>
      <c r="R597" s="15" t="s">
        <v>501</v>
      </c>
      <c r="S597" s="15" t="s">
        <v>55</v>
      </c>
      <c r="T597" s="15" t="s">
        <v>115</v>
      </c>
      <c r="U597" s="15" t="s">
        <v>1067</v>
      </c>
      <c r="V597" s="15" t="s">
        <v>169</v>
      </c>
      <c r="W597" s="15" t="s">
        <v>503</v>
      </c>
      <c r="X597" s="15" t="s">
        <v>55</v>
      </c>
      <c r="Y597" s="17">
        <v>1095369</v>
      </c>
      <c r="Z597" s="17">
        <v>42715</v>
      </c>
      <c r="AA597" s="17">
        <v>6278</v>
      </c>
      <c r="AB597" s="17">
        <v>48993</v>
      </c>
      <c r="AC597" s="17">
        <v>1144362</v>
      </c>
      <c r="AD597" s="17">
        <v>1028</v>
      </c>
      <c r="AE597" s="51">
        <f t="shared" si="67"/>
        <v>103.59960654869433</v>
      </c>
      <c r="AF597" s="51">
        <f t="shared" si="68"/>
        <v>4.6337403410541844</v>
      </c>
      <c r="AG597" s="51">
        <f t="shared" si="69"/>
        <v>108.23334688974852</v>
      </c>
      <c r="AH597" s="51">
        <f t="shared" si="70"/>
        <v>9.7227870728546967E-2</v>
      </c>
      <c r="AI597" s="17">
        <v>1704016</v>
      </c>
      <c r="AJ597" s="17">
        <v>773159</v>
      </c>
      <c r="AK597" s="17">
        <v>550450</v>
      </c>
      <c r="AL597" s="17">
        <v>1323609</v>
      </c>
      <c r="AM597" s="17">
        <v>3027625</v>
      </c>
      <c r="AN597" s="17">
        <v>704887</v>
      </c>
      <c r="AO597" s="17">
        <v>19659949000</v>
      </c>
      <c r="AP597" s="17">
        <v>17421617000</v>
      </c>
      <c r="AQ597" s="17">
        <v>17624339000</v>
      </c>
      <c r="AR597" s="17">
        <v>35045956000</v>
      </c>
      <c r="AS597" s="17">
        <v>54705905000</v>
      </c>
      <c r="AT597" s="17">
        <v>30250030000</v>
      </c>
      <c r="AU597" s="15" t="s">
        <v>1066</v>
      </c>
      <c r="AV597" s="15" t="s">
        <v>1066</v>
      </c>
      <c r="BG597" s="15"/>
      <c r="BM597" s="17"/>
      <c r="BN597" s="17"/>
      <c r="BO597" s="17"/>
      <c r="BP597" s="17"/>
      <c r="BQ597" s="17"/>
      <c r="BW597" s="17"/>
    </row>
    <row r="598" spans="1:75" hidden="1" x14ac:dyDescent="0.25">
      <c r="A598" s="15" t="s">
        <v>1063</v>
      </c>
      <c r="B598" s="15" t="s">
        <v>142</v>
      </c>
      <c r="C598" s="15">
        <v>2016</v>
      </c>
      <c r="D598" s="15" t="s">
        <v>1064</v>
      </c>
      <c r="E598" s="15">
        <v>19850</v>
      </c>
      <c r="F598" s="15">
        <v>10293718</v>
      </c>
      <c r="G598" s="15" t="s">
        <v>109</v>
      </c>
      <c r="H598" s="15" t="s">
        <v>43</v>
      </c>
      <c r="I598" s="15" t="s">
        <v>1079</v>
      </c>
      <c r="J598" s="15" t="s">
        <v>432</v>
      </c>
      <c r="K598" s="15" t="s">
        <v>190</v>
      </c>
      <c r="L598" s="15" t="s">
        <v>48</v>
      </c>
      <c r="M598" s="15" t="s">
        <v>62</v>
      </c>
      <c r="N598" s="15" t="s">
        <v>63</v>
      </c>
      <c r="O598" s="15"/>
      <c r="P598" s="15"/>
      <c r="Q598" s="15"/>
      <c r="R598" s="15"/>
      <c r="S598" s="15"/>
      <c r="T598" s="15"/>
      <c r="U598" s="15"/>
      <c r="V598" s="15"/>
      <c r="W598" s="15"/>
      <c r="X598" s="15"/>
      <c r="AE598" s="51" t="str">
        <f t="shared" si="67"/>
        <v/>
      </c>
      <c r="AF598" s="51" t="str">
        <f t="shared" si="68"/>
        <v/>
      </c>
      <c r="AG598" s="51" t="str">
        <f t="shared" si="69"/>
        <v/>
      </c>
      <c r="AH598" s="51" t="str">
        <f t="shared" si="70"/>
        <v/>
      </c>
      <c r="BG598" s="15"/>
      <c r="BK598" s="21">
        <v>0.1784</v>
      </c>
      <c r="BM598" s="17"/>
      <c r="BN598" s="17"/>
      <c r="BO598" s="17"/>
      <c r="BP598" s="17"/>
      <c r="BQ598" s="17"/>
      <c r="BW598" s="17"/>
    </row>
    <row r="599" spans="1:75" hidden="1" x14ac:dyDescent="0.25">
      <c r="A599" s="15" t="s">
        <v>1063</v>
      </c>
      <c r="B599" s="15" t="s">
        <v>142</v>
      </c>
      <c r="C599" s="15">
        <v>2015</v>
      </c>
      <c r="D599" s="15" t="s">
        <v>1064</v>
      </c>
      <c r="E599" s="15">
        <v>20440</v>
      </c>
      <c r="F599" s="15">
        <v>10358076</v>
      </c>
      <c r="G599" s="15" t="s">
        <v>109</v>
      </c>
      <c r="H599" s="15" t="s">
        <v>43</v>
      </c>
      <c r="I599" s="15" t="s">
        <v>1079</v>
      </c>
      <c r="J599" s="15" t="s">
        <v>432</v>
      </c>
      <c r="K599" s="15" t="s">
        <v>190</v>
      </c>
      <c r="L599" s="15" t="s">
        <v>48</v>
      </c>
      <c r="M599" s="15" t="s">
        <v>62</v>
      </c>
      <c r="N599" s="15" t="s">
        <v>63</v>
      </c>
      <c r="O599" s="15"/>
      <c r="P599" s="15"/>
      <c r="Q599" s="15"/>
      <c r="R599" s="15"/>
      <c r="S599" s="15"/>
      <c r="T599" s="15"/>
      <c r="U599" s="15"/>
      <c r="V599" s="15"/>
      <c r="W599" s="15"/>
      <c r="X599" s="15"/>
      <c r="Y599" s="17">
        <v>328771</v>
      </c>
      <c r="Z599" s="17">
        <v>36594</v>
      </c>
      <c r="AA599" s="17">
        <v>5823</v>
      </c>
      <c r="AB599" s="17">
        <v>42417</v>
      </c>
      <c r="AC599" s="17">
        <v>371188</v>
      </c>
      <c r="AD599" s="17">
        <v>1013</v>
      </c>
      <c r="AE599" s="51">
        <f t="shared" si="67"/>
        <v>31.740547182700723</v>
      </c>
      <c r="AF599" s="51">
        <f t="shared" si="68"/>
        <v>4.0950655314751501</v>
      </c>
      <c r="AG599" s="51">
        <f t="shared" si="69"/>
        <v>35.835612714175873</v>
      </c>
      <c r="AH599" s="51">
        <f t="shared" si="70"/>
        <v>9.7798085281475058E-2</v>
      </c>
      <c r="BG599" s="15"/>
      <c r="BK599" s="21">
        <v>0.18340000000000001</v>
      </c>
      <c r="BM599" s="17"/>
      <c r="BN599" s="17"/>
      <c r="BO599" s="17"/>
      <c r="BP599" s="17"/>
      <c r="BQ599" s="17"/>
      <c r="BW599" s="17"/>
    </row>
    <row r="600" spans="1:75" hidden="1" x14ac:dyDescent="0.25">
      <c r="A600" s="15" t="s">
        <v>1063</v>
      </c>
      <c r="B600" s="15" t="s">
        <v>142</v>
      </c>
      <c r="C600" s="15">
        <v>2014</v>
      </c>
      <c r="D600" s="15" t="s">
        <v>1064</v>
      </c>
      <c r="E600" s="15">
        <v>21260</v>
      </c>
      <c r="F600" s="15">
        <v>10401062</v>
      </c>
      <c r="G600" s="15" t="s">
        <v>109</v>
      </c>
      <c r="H600" s="15" t="s">
        <v>43</v>
      </c>
      <c r="I600" s="15" t="s">
        <v>1079</v>
      </c>
      <c r="J600" s="15" t="s">
        <v>432</v>
      </c>
      <c r="K600" s="15" t="s">
        <v>190</v>
      </c>
      <c r="L600" s="15" t="s">
        <v>48</v>
      </c>
      <c r="M600" s="15" t="s">
        <v>62</v>
      </c>
      <c r="N600" s="15" t="s">
        <v>63</v>
      </c>
      <c r="O600" s="15"/>
      <c r="P600" s="15"/>
      <c r="Q600" s="15"/>
      <c r="R600" s="15"/>
      <c r="S600" s="15"/>
      <c r="T600" s="15"/>
      <c r="U600" s="15"/>
      <c r="V600" s="15"/>
      <c r="W600" s="15"/>
      <c r="X600" s="15"/>
      <c r="AE600" s="51" t="str">
        <f t="shared" si="67"/>
        <v/>
      </c>
      <c r="AF600" s="51" t="str">
        <f t="shared" si="68"/>
        <v/>
      </c>
      <c r="AG600" s="51" t="str">
        <f t="shared" si="69"/>
        <v/>
      </c>
      <c r="AH600" s="51" t="str">
        <f t="shared" si="70"/>
        <v/>
      </c>
      <c r="BG600" s="15"/>
      <c r="BK600" s="21">
        <v>0.17319999999999999</v>
      </c>
      <c r="BM600" s="17"/>
      <c r="BN600" s="17"/>
      <c r="BO600" s="17"/>
      <c r="BP600" s="17"/>
      <c r="BQ600" s="17"/>
      <c r="BW600" s="17"/>
    </row>
    <row r="601" spans="1:75" hidden="1" x14ac:dyDescent="0.25">
      <c r="A601" s="15" t="s">
        <v>1063</v>
      </c>
      <c r="B601" s="15" t="s">
        <v>142</v>
      </c>
      <c r="C601" s="15">
        <v>2013</v>
      </c>
      <c r="D601" s="15" t="s">
        <v>1064</v>
      </c>
      <c r="E601" s="15">
        <v>21340</v>
      </c>
      <c r="F601" s="15">
        <v>10457295</v>
      </c>
      <c r="G601" s="15" t="s">
        <v>109</v>
      </c>
      <c r="H601" s="15" t="s">
        <v>43</v>
      </c>
      <c r="I601" s="15" t="s">
        <v>1079</v>
      </c>
      <c r="J601" s="15" t="s">
        <v>432</v>
      </c>
      <c r="K601" s="15" t="s">
        <v>190</v>
      </c>
      <c r="L601" s="15" t="s">
        <v>48</v>
      </c>
      <c r="M601" s="15" t="s">
        <v>62</v>
      </c>
      <c r="N601" s="15" t="s">
        <v>63</v>
      </c>
      <c r="O601" s="15"/>
      <c r="P601" s="15"/>
      <c r="Q601" s="15"/>
      <c r="R601" s="15"/>
      <c r="S601" s="15"/>
      <c r="T601" s="15"/>
      <c r="U601" s="15"/>
      <c r="V601" s="15"/>
      <c r="W601" s="15"/>
      <c r="X601" s="15"/>
      <c r="AE601" s="51" t="str">
        <f t="shared" si="67"/>
        <v/>
      </c>
      <c r="AF601" s="51" t="str">
        <f t="shared" si="68"/>
        <v/>
      </c>
      <c r="AG601" s="51" t="str">
        <f t="shared" si="69"/>
        <v/>
      </c>
      <c r="AH601" s="51" t="str">
        <f t="shared" si="70"/>
        <v/>
      </c>
      <c r="BG601" s="15"/>
      <c r="BK601" s="21">
        <v>0.15770000000000001</v>
      </c>
      <c r="BM601" s="17"/>
      <c r="BN601" s="17"/>
      <c r="BO601" s="17"/>
      <c r="BP601" s="17"/>
      <c r="BQ601" s="17"/>
      <c r="BW601" s="17"/>
    </row>
    <row r="602" spans="1:75" hidden="1" x14ac:dyDescent="0.25">
      <c r="A602" s="15" t="s">
        <v>1063</v>
      </c>
      <c r="B602" s="15" t="s">
        <v>142</v>
      </c>
      <c r="C602" s="15">
        <v>2012</v>
      </c>
      <c r="D602" s="15" t="s">
        <v>1064</v>
      </c>
      <c r="E602" s="15">
        <v>21150</v>
      </c>
      <c r="F602" s="15">
        <v>10514844</v>
      </c>
      <c r="G602" s="15" t="s">
        <v>109</v>
      </c>
      <c r="H602" s="15" t="s">
        <v>43</v>
      </c>
      <c r="I602" s="15" t="s">
        <v>1079</v>
      </c>
      <c r="J602" s="15" t="s">
        <v>432</v>
      </c>
      <c r="K602" s="15" t="s">
        <v>190</v>
      </c>
      <c r="L602" s="15" t="s">
        <v>48</v>
      </c>
      <c r="M602" s="15" t="s">
        <v>62</v>
      </c>
      <c r="N602" s="15" t="s">
        <v>63</v>
      </c>
      <c r="O602" s="15"/>
      <c r="P602" s="15"/>
      <c r="Q602" s="15"/>
      <c r="R602" s="15"/>
      <c r="S602" s="15"/>
      <c r="T602" s="15"/>
      <c r="U602" s="15"/>
      <c r="V602" s="15"/>
      <c r="W602" s="15"/>
      <c r="X602" s="15"/>
      <c r="AE602" s="51" t="str">
        <f t="shared" si="67"/>
        <v/>
      </c>
      <c r="AF602" s="51" t="str">
        <f t="shared" si="68"/>
        <v/>
      </c>
      <c r="AG602" s="51" t="str">
        <f t="shared" si="69"/>
        <v/>
      </c>
      <c r="AH602" s="51" t="str">
        <f t="shared" si="70"/>
        <v/>
      </c>
      <c r="BG602" s="15"/>
      <c r="BK602" s="21">
        <v>0.12330000000000001</v>
      </c>
      <c r="BM602" s="17"/>
      <c r="BN602" s="17"/>
      <c r="BO602" s="17"/>
      <c r="BP602" s="17"/>
      <c r="BQ602" s="17"/>
      <c r="BW602" s="17"/>
    </row>
    <row r="603" spans="1:75" hidden="1" x14ac:dyDescent="0.25">
      <c r="A603" s="15" t="s">
        <v>1063</v>
      </c>
      <c r="B603" s="15" t="s">
        <v>142</v>
      </c>
      <c r="C603" s="15">
        <v>2011</v>
      </c>
      <c r="D603" s="15" t="s">
        <v>1064</v>
      </c>
      <c r="E603" s="15">
        <v>22660</v>
      </c>
      <c r="F603" s="15">
        <v>10557560</v>
      </c>
      <c r="G603" s="15" t="s">
        <v>109</v>
      </c>
      <c r="H603" s="15" t="s">
        <v>43</v>
      </c>
      <c r="I603" s="15" t="s">
        <v>1079</v>
      </c>
      <c r="J603" s="15" t="s">
        <v>432</v>
      </c>
      <c r="K603" s="15" t="s">
        <v>190</v>
      </c>
      <c r="L603" s="15" t="s">
        <v>48</v>
      </c>
      <c r="M603" s="15" t="s">
        <v>62</v>
      </c>
      <c r="N603" s="15" t="s">
        <v>63</v>
      </c>
      <c r="O603" s="15"/>
      <c r="P603" s="15"/>
      <c r="Q603" s="15"/>
      <c r="R603" s="15"/>
      <c r="S603" s="15"/>
      <c r="T603" s="15"/>
      <c r="U603" s="15"/>
      <c r="V603" s="15"/>
      <c r="W603" s="15"/>
      <c r="X603" s="15"/>
      <c r="AE603" s="51" t="str">
        <f t="shared" si="67"/>
        <v/>
      </c>
      <c r="AF603" s="51" t="str">
        <f t="shared" si="68"/>
        <v/>
      </c>
      <c r="AG603" s="51" t="str">
        <f t="shared" si="69"/>
        <v/>
      </c>
      <c r="AH603" s="51" t="str">
        <f t="shared" si="70"/>
        <v/>
      </c>
      <c r="BG603" s="15"/>
      <c r="BK603" s="21">
        <v>8.1799999999999998E-2</v>
      </c>
      <c r="BM603" s="17"/>
      <c r="BN603" s="17"/>
      <c r="BO603" s="17"/>
      <c r="BP603" s="17"/>
      <c r="BQ603" s="17"/>
      <c r="BW603" s="17"/>
    </row>
    <row r="604" spans="1:75" hidden="1" x14ac:dyDescent="0.25">
      <c r="A604" s="15" t="s">
        <v>1063</v>
      </c>
      <c r="B604" s="15" t="s">
        <v>142</v>
      </c>
      <c r="C604" s="15">
        <v>2010</v>
      </c>
      <c r="D604" s="15" t="s">
        <v>1064</v>
      </c>
      <c r="E604" s="15">
        <v>22960</v>
      </c>
      <c r="F604" s="15">
        <v>10573100</v>
      </c>
      <c r="G604" s="15" t="s">
        <v>109</v>
      </c>
      <c r="H604" s="15" t="s">
        <v>43</v>
      </c>
      <c r="I604" s="15" t="s">
        <v>1079</v>
      </c>
      <c r="J604" s="15" t="s">
        <v>432</v>
      </c>
      <c r="K604" s="15" t="s">
        <v>190</v>
      </c>
      <c r="L604" s="15" t="s">
        <v>48</v>
      </c>
      <c r="M604" s="15" t="s">
        <v>62</v>
      </c>
      <c r="N604" s="15" t="s">
        <v>63</v>
      </c>
      <c r="O604" s="15"/>
      <c r="P604" s="15"/>
      <c r="Q604" s="15"/>
      <c r="R604" s="15"/>
      <c r="S604" s="15"/>
      <c r="T604" s="15"/>
      <c r="U604" s="15"/>
      <c r="V604" s="15"/>
      <c r="W604" s="15"/>
      <c r="X604" s="15"/>
      <c r="AE604" s="51" t="str">
        <f t="shared" si="67"/>
        <v/>
      </c>
      <c r="AF604" s="51" t="str">
        <f t="shared" si="68"/>
        <v/>
      </c>
      <c r="AG604" s="51" t="str">
        <f t="shared" si="69"/>
        <v/>
      </c>
      <c r="AH604" s="51" t="str">
        <f t="shared" si="70"/>
        <v/>
      </c>
      <c r="BG604" s="15"/>
      <c r="BK604" s="21">
        <v>5.4100000000000002E-2</v>
      </c>
      <c r="BM604" s="17"/>
      <c r="BN604" s="17"/>
      <c r="BO604" s="17"/>
      <c r="BP604" s="17"/>
      <c r="BQ604" s="17"/>
      <c r="BW604" s="17"/>
    </row>
    <row r="605" spans="1:75" hidden="1" x14ac:dyDescent="0.25">
      <c r="A605" s="15" t="s">
        <v>1063</v>
      </c>
      <c r="B605" s="15" t="s">
        <v>142</v>
      </c>
      <c r="C605" s="15">
        <v>2009</v>
      </c>
      <c r="D605" s="15" t="s">
        <v>1064</v>
      </c>
      <c r="E605" s="15">
        <v>22840</v>
      </c>
      <c r="F605" s="15">
        <v>10568247</v>
      </c>
      <c r="G605" s="15" t="s">
        <v>109</v>
      </c>
      <c r="H605" s="15" t="s">
        <v>43</v>
      </c>
      <c r="I605" s="15" t="s">
        <v>1079</v>
      </c>
      <c r="J605" s="15" t="s">
        <v>432</v>
      </c>
      <c r="K605" s="15" t="s">
        <v>190</v>
      </c>
      <c r="L605" s="15" t="s">
        <v>48</v>
      </c>
      <c r="M605" s="15" t="s">
        <v>62</v>
      </c>
      <c r="N605" s="15" t="s">
        <v>63</v>
      </c>
      <c r="O605" s="15"/>
      <c r="P605" s="15"/>
      <c r="Q605" s="15"/>
      <c r="R605" s="15"/>
      <c r="S605" s="15"/>
      <c r="T605" s="15"/>
      <c r="U605" s="15"/>
      <c r="V605" s="15"/>
      <c r="W605" s="15"/>
      <c r="X605" s="15"/>
      <c r="AE605" s="51" t="str">
        <f t="shared" si="67"/>
        <v/>
      </c>
      <c r="AF605" s="51" t="str">
        <f t="shared" si="68"/>
        <v/>
      </c>
      <c r="AG605" s="51" t="str">
        <f t="shared" si="69"/>
        <v/>
      </c>
      <c r="AH605" s="51" t="str">
        <f t="shared" si="70"/>
        <v/>
      </c>
      <c r="BG605" s="15"/>
      <c r="BK605" s="21">
        <v>4.9500000000000002E-2</v>
      </c>
      <c r="BM605" s="17"/>
      <c r="BN605" s="17"/>
      <c r="BO605" s="17"/>
      <c r="BP605" s="17"/>
      <c r="BQ605" s="17"/>
      <c r="BW605" s="17"/>
    </row>
    <row r="606" spans="1:75" hidden="1" x14ac:dyDescent="0.25">
      <c r="A606" s="15" t="s">
        <v>1063</v>
      </c>
      <c r="B606" s="15" t="s">
        <v>142</v>
      </c>
      <c r="C606" s="15">
        <v>2008</v>
      </c>
      <c r="D606" s="15" t="s">
        <v>1064</v>
      </c>
      <c r="E606" s="15">
        <v>22440</v>
      </c>
      <c r="F606" s="15">
        <v>10558177</v>
      </c>
      <c r="G606" s="15" t="s">
        <v>109</v>
      </c>
      <c r="H606" s="15" t="s">
        <v>43</v>
      </c>
      <c r="I606" s="15" t="s">
        <v>1079</v>
      </c>
      <c r="J606" s="15" t="s">
        <v>432</v>
      </c>
      <c r="K606" s="15" t="s">
        <v>190</v>
      </c>
      <c r="L606" s="15" t="s">
        <v>48</v>
      </c>
      <c r="M606" s="15" t="s">
        <v>62</v>
      </c>
      <c r="N606" s="15" t="s">
        <v>63</v>
      </c>
      <c r="O606" s="15"/>
      <c r="P606" s="15"/>
      <c r="Q606" s="15"/>
      <c r="R606" s="15"/>
      <c r="S606" s="15"/>
      <c r="T606" s="15"/>
      <c r="U606" s="15"/>
      <c r="V606" s="15"/>
      <c r="W606" s="15"/>
      <c r="X606" s="15"/>
      <c r="AE606" s="51" t="str">
        <f t="shared" si="67"/>
        <v/>
      </c>
      <c r="AF606" s="51" t="str">
        <f t="shared" si="68"/>
        <v/>
      </c>
      <c r="AG606" s="51" t="str">
        <f t="shared" si="69"/>
        <v/>
      </c>
      <c r="AH606" s="51" t="str">
        <f t="shared" si="70"/>
        <v/>
      </c>
      <c r="BG606" s="15"/>
      <c r="BK606" s="21">
        <v>4.3799999999999999E-2</v>
      </c>
      <c r="BM606" s="17"/>
      <c r="BN606" s="17"/>
      <c r="BO606" s="17"/>
      <c r="BP606" s="17"/>
      <c r="BQ606" s="17"/>
      <c r="BW606" s="17"/>
    </row>
    <row r="607" spans="1:75" hidden="1" x14ac:dyDescent="0.25">
      <c r="A607" s="15" t="s">
        <v>1063</v>
      </c>
      <c r="B607" s="15" t="s">
        <v>142</v>
      </c>
      <c r="C607" s="15">
        <v>2007</v>
      </c>
      <c r="D607" s="15" t="s">
        <v>1064</v>
      </c>
      <c r="E607" s="15">
        <v>20770</v>
      </c>
      <c r="F607" s="15">
        <v>10542964</v>
      </c>
      <c r="G607" s="15" t="s">
        <v>109</v>
      </c>
      <c r="H607" s="15" t="s">
        <v>43</v>
      </c>
      <c r="I607" s="15" t="s">
        <v>1079</v>
      </c>
      <c r="J607" s="15" t="s">
        <v>432</v>
      </c>
      <c r="K607" s="15" t="s">
        <v>190</v>
      </c>
      <c r="L607" s="15" t="s">
        <v>48</v>
      </c>
      <c r="M607" s="15" t="s">
        <v>62</v>
      </c>
      <c r="N607" s="15" t="s">
        <v>63</v>
      </c>
      <c r="O607" s="15"/>
      <c r="P607" s="15"/>
      <c r="Q607" s="15"/>
      <c r="R607" s="15"/>
      <c r="S607" s="15"/>
      <c r="T607" s="15"/>
      <c r="U607" s="15"/>
      <c r="V607" s="15"/>
      <c r="W607" s="15"/>
      <c r="X607" s="15"/>
      <c r="AE607" s="51" t="str">
        <f t="shared" si="67"/>
        <v/>
      </c>
      <c r="AF607" s="51" t="str">
        <f t="shared" si="68"/>
        <v/>
      </c>
      <c r="AG607" s="51" t="str">
        <f t="shared" si="69"/>
        <v/>
      </c>
      <c r="AH607" s="51" t="str">
        <f t="shared" si="70"/>
        <v/>
      </c>
      <c r="BG607" s="15"/>
      <c r="BK607" s="21">
        <v>4.1399999999999999E-2</v>
      </c>
      <c r="BM607" s="17"/>
      <c r="BN607" s="17"/>
      <c r="BO607" s="17"/>
      <c r="BP607" s="17"/>
      <c r="BQ607" s="17"/>
      <c r="BW607" s="17"/>
    </row>
    <row r="608" spans="1:75" hidden="1" x14ac:dyDescent="0.25">
      <c r="A608" s="15" t="s">
        <v>1080</v>
      </c>
      <c r="B608" s="15" t="s">
        <v>30</v>
      </c>
      <c r="C608" s="15">
        <v>2016</v>
      </c>
      <c r="D608" s="15" t="s">
        <v>1081</v>
      </c>
      <c r="E608" s="15">
        <v>19820</v>
      </c>
      <c r="F608" s="15">
        <v>3406520</v>
      </c>
      <c r="G608" s="15" t="s">
        <v>109</v>
      </c>
      <c r="H608" s="15" t="s">
        <v>110</v>
      </c>
      <c r="I608" s="15" t="s">
        <v>1082</v>
      </c>
      <c r="J608" s="15" t="s">
        <v>79</v>
      </c>
      <c r="K608" s="15" t="s">
        <v>61</v>
      </c>
      <c r="L608" s="15" t="s">
        <v>48</v>
      </c>
      <c r="M608" s="15" t="s">
        <v>1083</v>
      </c>
      <c r="N608" s="15" t="s">
        <v>1084</v>
      </c>
      <c r="O608" s="15"/>
      <c r="P608" s="15"/>
      <c r="Q608" s="15"/>
      <c r="R608" s="15"/>
      <c r="S608" s="15"/>
      <c r="T608" s="15"/>
      <c r="U608" s="15"/>
      <c r="V608" s="15"/>
      <c r="W608" s="15"/>
      <c r="X608" s="15"/>
      <c r="Y608" s="17">
        <f>23989+8196</f>
        <v>32185</v>
      </c>
      <c r="Z608" s="17">
        <f>5330+3648</f>
        <v>8978</v>
      </c>
      <c r="AA608" s="17">
        <f>1138+656+225</f>
        <v>2019</v>
      </c>
      <c r="AB608" s="17">
        <f t="shared" ref="AB608:AB614" si="73">Z608+AA608</f>
        <v>10997</v>
      </c>
      <c r="AC608" s="17">
        <f t="shared" ref="AC608:AC614" si="74">Y608+AB608</f>
        <v>43182</v>
      </c>
      <c r="AD608" s="17">
        <f>108+35</f>
        <v>143</v>
      </c>
      <c r="AE608" s="51">
        <f t="shared" si="67"/>
        <v>9.4480584291300218</v>
      </c>
      <c r="AF608" s="51">
        <f t="shared" si="68"/>
        <v>3.2282211758627573</v>
      </c>
      <c r="AG608" s="51">
        <f t="shared" si="69"/>
        <v>12.676279604992779</v>
      </c>
      <c r="AH608" s="51">
        <f t="shared" si="70"/>
        <v>4.197832392001221E-2</v>
      </c>
      <c r="AI608" s="17">
        <f>44244+53999</f>
        <v>98243</v>
      </c>
      <c r="AJ608" s="17">
        <f>71266+110073</f>
        <v>181339</v>
      </c>
      <c r="AK608" s="17">
        <f>78860+101626+79312</f>
        <v>259798</v>
      </c>
      <c r="AL608" s="17">
        <f>AK608+AJ608</f>
        <v>441137</v>
      </c>
      <c r="AM608" s="17">
        <f t="shared" ref="AM608:AM614" si="75">AL608+AI608</f>
        <v>539380</v>
      </c>
      <c r="AN608" s="17">
        <f>71039+61980</f>
        <v>133019</v>
      </c>
      <c r="AU608" s="15" t="s">
        <v>79</v>
      </c>
      <c r="AV608" s="15" t="s">
        <v>79</v>
      </c>
      <c r="BG608" s="15"/>
      <c r="BM608" s="17"/>
      <c r="BN608" s="17"/>
      <c r="BO608" s="17"/>
      <c r="BP608" s="17"/>
      <c r="BQ608" s="17"/>
      <c r="BW608" s="17" t="s">
        <v>1085</v>
      </c>
    </row>
    <row r="609" spans="1:75" hidden="1" x14ac:dyDescent="0.25">
      <c r="A609" s="15" t="s">
        <v>1080</v>
      </c>
      <c r="B609" s="15" t="s">
        <v>30</v>
      </c>
      <c r="C609" s="15">
        <v>2015</v>
      </c>
      <c r="D609" s="15" t="s">
        <v>1081</v>
      </c>
      <c r="E609" s="15">
        <v>19420</v>
      </c>
      <c r="F609" s="15">
        <v>3473177</v>
      </c>
      <c r="G609" s="15" t="s">
        <v>109</v>
      </c>
      <c r="H609" s="15" t="s">
        <v>110</v>
      </c>
      <c r="I609" s="15" t="s">
        <v>1082</v>
      </c>
      <c r="J609" s="15" t="s">
        <v>79</v>
      </c>
      <c r="K609" s="15" t="s">
        <v>61</v>
      </c>
      <c r="L609" s="15" t="s">
        <v>48</v>
      </c>
      <c r="M609" s="15" t="s">
        <v>1083</v>
      </c>
      <c r="N609" s="15" t="s">
        <v>1084</v>
      </c>
      <c r="O609" s="15"/>
      <c r="P609" s="15"/>
      <c r="Q609" s="15"/>
      <c r="R609" s="15"/>
      <c r="S609" s="15"/>
      <c r="T609" s="15"/>
      <c r="U609" s="15"/>
      <c r="V609" s="15"/>
      <c r="W609" s="15"/>
      <c r="X609" s="15"/>
      <c r="Y609" s="17">
        <f>24145+8321</f>
        <v>32466</v>
      </c>
      <c r="Z609" s="17">
        <f>5320+3655</f>
        <v>8975</v>
      </c>
      <c r="AA609" s="17">
        <f>1119+685+233</f>
        <v>2037</v>
      </c>
      <c r="AB609" s="17">
        <f t="shared" si="73"/>
        <v>11012</v>
      </c>
      <c r="AC609" s="17">
        <f t="shared" si="74"/>
        <v>43478</v>
      </c>
      <c r="AD609" s="17">
        <f>101+41</f>
        <v>142</v>
      </c>
      <c r="AE609" s="51">
        <f t="shared" si="67"/>
        <v>9.3476376239967038</v>
      </c>
      <c r="AF609" s="51">
        <f t="shared" si="68"/>
        <v>3.1705841654485218</v>
      </c>
      <c r="AG609" s="51">
        <f t="shared" si="69"/>
        <v>12.518221789445226</v>
      </c>
      <c r="AH609" s="51">
        <f t="shared" si="70"/>
        <v>4.0884757672874146E-2</v>
      </c>
      <c r="AI609" s="17">
        <f>44701+54511</f>
        <v>99212</v>
      </c>
      <c r="AJ609" s="17">
        <f>71207+110043</f>
        <v>181250</v>
      </c>
      <c r="AK609" s="17">
        <f>77583+104229+81917</f>
        <v>263729</v>
      </c>
      <c r="AL609" s="17">
        <f>AJ609+AK609</f>
        <v>444979</v>
      </c>
      <c r="AM609" s="17">
        <f t="shared" si="75"/>
        <v>544191</v>
      </c>
      <c r="AN609" s="17">
        <f>67158+66625</f>
        <v>133783</v>
      </c>
      <c r="AU609" s="15" t="s">
        <v>79</v>
      </c>
      <c r="AV609" s="15" t="s">
        <v>79</v>
      </c>
      <c r="BG609" s="15"/>
      <c r="BM609" s="17"/>
      <c r="BN609" s="17"/>
      <c r="BO609" s="17"/>
      <c r="BP609" s="17"/>
      <c r="BQ609" s="17"/>
      <c r="BW609" s="17" t="s">
        <v>1085</v>
      </c>
    </row>
    <row r="610" spans="1:75" hidden="1" x14ac:dyDescent="0.25">
      <c r="A610" s="15" t="s">
        <v>1080</v>
      </c>
      <c r="B610" s="15" t="s">
        <v>30</v>
      </c>
      <c r="C610" s="15">
        <v>2014</v>
      </c>
      <c r="D610" s="15" t="s">
        <v>1081</v>
      </c>
      <c r="E610" s="15">
        <v>19280</v>
      </c>
      <c r="F610" s="15">
        <v>3534874</v>
      </c>
      <c r="G610" s="15" t="s">
        <v>109</v>
      </c>
      <c r="H610" s="15" t="s">
        <v>110</v>
      </c>
      <c r="I610" s="15" t="s">
        <v>1082</v>
      </c>
      <c r="J610" s="15" t="s">
        <v>79</v>
      </c>
      <c r="K610" s="15" t="s">
        <v>61</v>
      </c>
      <c r="L610" s="15" t="s">
        <v>48</v>
      </c>
      <c r="M610" s="15" t="s">
        <v>1083</v>
      </c>
      <c r="N610" s="15" t="s">
        <v>1084</v>
      </c>
      <c r="O610" s="15"/>
      <c r="P610" s="15"/>
      <c r="Q610" s="15"/>
      <c r="R610" s="15"/>
      <c r="S610" s="15"/>
      <c r="T610" s="15"/>
      <c r="U610" s="15"/>
      <c r="V610" s="15"/>
      <c r="W610" s="15"/>
      <c r="X610" s="15"/>
      <c r="Y610" s="17">
        <f>24381+8525</f>
        <v>32906</v>
      </c>
      <c r="Z610" s="17">
        <f>5321+3712</f>
        <v>9033</v>
      </c>
      <c r="AA610" s="17">
        <f>1188+679+228</f>
        <v>2095</v>
      </c>
      <c r="AB610" s="17">
        <f t="shared" si="73"/>
        <v>11128</v>
      </c>
      <c r="AC610" s="17">
        <f t="shared" si="74"/>
        <v>44034</v>
      </c>
      <c r="AD610" s="17">
        <f>97+38</f>
        <v>135</v>
      </c>
      <c r="AE610" s="51">
        <f t="shared" si="67"/>
        <v>9.3089598101657938</v>
      </c>
      <c r="AF610" s="51">
        <f t="shared" si="68"/>
        <v>3.1480612887474915</v>
      </c>
      <c r="AG610" s="51">
        <f t="shared" si="69"/>
        <v>12.457021098913286</v>
      </c>
      <c r="AH610" s="51">
        <f t="shared" si="70"/>
        <v>3.819089449864408E-2</v>
      </c>
      <c r="AI610" s="17">
        <f>46091+56040</f>
        <v>102131</v>
      </c>
      <c r="AJ610" s="17">
        <f>71222+111903</f>
        <v>183125</v>
      </c>
      <c r="AK610" s="17">
        <f>82237+103900+81552</f>
        <v>267689</v>
      </c>
      <c r="AL610" s="17">
        <f>AK610+AJ610</f>
        <v>450814</v>
      </c>
      <c r="AM610" s="17">
        <f t="shared" si="75"/>
        <v>552945</v>
      </c>
      <c r="AN610" s="17">
        <f>64225+63888</f>
        <v>128113</v>
      </c>
      <c r="AU610" s="15" t="s">
        <v>79</v>
      </c>
      <c r="AV610" s="15" t="s">
        <v>79</v>
      </c>
      <c r="BG610" s="15"/>
      <c r="BM610" s="17"/>
      <c r="BN610" s="17"/>
      <c r="BO610" s="17"/>
      <c r="BP610" s="17"/>
      <c r="BQ610" s="17"/>
      <c r="BW610" s="17" t="s">
        <v>1085</v>
      </c>
    </row>
    <row r="611" spans="1:75" hidden="1" x14ac:dyDescent="0.25">
      <c r="A611" s="15" t="s">
        <v>1080</v>
      </c>
      <c r="B611" s="15" t="s">
        <v>30</v>
      </c>
      <c r="C611" s="15">
        <v>2013</v>
      </c>
      <c r="D611" s="15" t="s">
        <v>1081</v>
      </c>
      <c r="E611" s="15">
        <v>19170</v>
      </c>
      <c r="F611" s="15">
        <v>3593077</v>
      </c>
      <c r="G611" s="15" t="s">
        <v>109</v>
      </c>
      <c r="H611" s="15" t="s">
        <v>110</v>
      </c>
      <c r="I611" s="15" t="s">
        <v>1082</v>
      </c>
      <c r="J611" s="15" t="s">
        <v>79</v>
      </c>
      <c r="K611" s="15" t="s">
        <v>61</v>
      </c>
      <c r="L611" s="15" t="s">
        <v>48</v>
      </c>
      <c r="M611" s="15" t="s">
        <v>1083</v>
      </c>
      <c r="N611" s="15" t="s">
        <v>1084</v>
      </c>
      <c r="O611" s="15"/>
      <c r="P611" s="15"/>
      <c r="Q611" s="15"/>
      <c r="R611" s="15"/>
      <c r="S611" s="15"/>
      <c r="T611" s="15"/>
      <c r="U611" s="15"/>
      <c r="V611" s="15"/>
      <c r="W611" s="15"/>
      <c r="X611" s="15"/>
      <c r="Y611" s="17">
        <f>24714+8517</f>
        <v>33231</v>
      </c>
      <c r="Z611" s="17">
        <f>5421+3707</f>
        <v>9128</v>
      </c>
      <c r="AA611" s="17">
        <f>1192+675+223</f>
        <v>2090</v>
      </c>
      <c r="AB611" s="17">
        <f t="shared" si="73"/>
        <v>11218</v>
      </c>
      <c r="AC611" s="17">
        <f t="shared" si="74"/>
        <v>44449</v>
      </c>
      <c r="AD611" s="17">
        <f>98+38</f>
        <v>136</v>
      </c>
      <c r="AE611" s="51">
        <f t="shared" si="67"/>
        <v>9.2486189413697506</v>
      </c>
      <c r="AF611" s="51">
        <f t="shared" si="68"/>
        <v>3.1221151119221773</v>
      </c>
      <c r="AG611" s="51">
        <f t="shared" si="69"/>
        <v>12.370734053291928</v>
      </c>
      <c r="AH611" s="51">
        <f t="shared" si="70"/>
        <v>3.7850566520005E-2</v>
      </c>
      <c r="AI611" s="17">
        <f>46420+55977</f>
        <v>102397</v>
      </c>
      <c r="AJ611" s="17">
        <f>72605+112803</f>
        <v>185408</v>
      </c>
      <c r="AK611" s="17">
        <f>81504+103420+80173</f>
        <v>265097</v>
      </c>
      <c r="AL611" s="17">
        <f>AK611+AJ611</f>
        <v>450505</v>
      </c>
      <c r="AM611" s="17">
        <f t="shared" si="75"/>
        <v>552902</v>
      </c>
      <c r="AN611" s="17">
        <f>65854+69080</f>
        <v>134934</v>
      </c>
      <c r="AU611" s="15" t="s">
        <v>79</v>
      </c>
      <c r="AV611" s="15" t="s">
        <v>79</v>
      </c>
      <c r="BG611" s="15"/>
      <c r="BM611" s="17"/>
      <c r="BN611" s="17"/>
      <c r="BO611" s="17"/>
      <c r="BP611" s="17"/>
      <c r="BQ611" s="17"/>
      <c r="BW611" s="17" t="s">
        <v>1085</v>
      </c>
    </row>
    <row r="612" spans="1:75" hidden="1" x14ac:dyDescent="0.25">
      <c r="A612" s="15" t="s">
        <v>1080</v>
      </c>
      <c r="B612" s="15" t="s">
        <v>30</v>
      </c>
      <c r="C612" s="15">
        <v>2012</v>
      </c>
      <c r="D612" s="15" t="s">
        <v>1081</v>
      </c>
      <c r="E612" s="15">
        <v>18680</v>
      </c>
      <c r="F612" s="15">
        <v>3634488</v>
      </c>
      <c r="G612" s="15" t="s">
        <v>109</v>
      </c>
      <c r="H612" s="15" t="s">
        <v>110</v>
      </c>
      <c r="I612" s="15" t="s">
        <v>1082</v>
      </c>
      <c r="J612" s="15" t="s">
        <v>79</v>
      </c>
      <c r="K612" s="15" t="s">
        <v>61</v>
      </c>
      <c r="L612" s="15" t="s">
        <v>48</v>
      </c>
      <c r="M612" s="15" t="s">
        <v>1083</v>
      </c>
      <c r="N612" s="15" t="s">
        <v>1084</v>
      </c>
      <c r="O612" s="15"/>
      <c r="P612" s="15"/>
      <c r="Q612" s="15"/>
      <c r="R612" s="15"/>
      <c r="S612" s="15"/>
      <c r="T612" s="15"/>
      <c r="U612" s="15"/>
      <c r="V612" s="15"/>
      <c r="W612" s="15"/>
      <c r="X612" s="15"/>
      <c r="Y612" s="17">
        <f>24883+8658</f>
        <v>33541</v>
      </c>
      <c r="Z612" s="17">
        <f>5318+3701</f>
        <v>9019</v>
      </c>
      <c r="AA612" s="17">
        <f>113+713+227</f>
        <v>1053</v>
      </c>
      <c r="AB612" s="17">
        <f t="shared" si="73"/>
        <v>10072</v>
      </c>
      <c r="AC612" s="17">
        <f t="shared" si="74"/>
        <v>43613</v>
      </c>
      <c r="AD612" s="17">
        <f>98+38</f>
        <v>136</v>
      </c>
      <c r="AE612" s="51">
        <f t="shared" si="67"/>
        <v>9.2285350783934348</v>
      </c>
      <c r="AF612" s="51">
        <f t="shared" si="68"/>
        <v>2.7712294001245841</v>
      </c>
      <c r="AG612" s="51">
        <f t="shared" si="69"/>
        <v>11.999764478518021</v>
      </c>
      <c r="AH612" s="51">
        <f t="shared" si="70"/>
        <v>3.7419300875391526E-2</v>
      </c>
      <c r="AI612" s="17">
        <f>46320+57200</f>
        <v>103520</v>
      </c>
      <c r="AJ612" s="17">
        <f>71134+111418</f>
        <v>182552</v>
      </c>
      <c r="AK612" s="17">
        <f>78730+109126+81048</f>
        <v>268904</v>
      </c>
      <c r="AL612" s="17">
        <f>AK612+AJ612</f>
        <v>451456</v>
      </c>
      <c r="AM612" s="17">
        <f t="shared" si="75"/>
        <v>554976</v>
      </c>
      <c r="AN612" s="17">
        <f>66988+68633</f>
        <v>135621</v>
      </c>
      <c r="AU612" s="15" t="s">
        <v>79</v>
      </c>
      <c r="AV612" s="15" t="s">
        <v>79</v>
      </c>
      <c r="BG612" s="15"/>
      <c r="BM612" s="17"/>
      <c r="BN612" s="17"/>
      <c r="BO612" s="17"/>
      <c r="BP612" s="17"/>
      <c r="BQ612" s="17"/>
      <c r="BW612" s="17" t="s">
        <v>1085</v>
      </c>
    </row>
    <row r="613" spans="1:75" hidden="1" x14ac:dyDescent="0.25">
      <c r="A613" s="15" t="s">
        <v>1080</v>
      </c>
      <c r="B613" s="15" t="s">
        <v>30</v>
      </c>
      <c r="C613" s="15">
        <v>2011</v>
      </c>
      <c r="D613" s="15" t="s">
        <v>1081</v>
      </c>
      <c r="E613" s="15">
        <v>17670</v>
      </c>
      <c r="F613" s="15">
        <v>3678732</v>
      </c>
      <c r="G613" s="15" t="s">
        <v>109</v>
      </c>
      <c r="H613" s="15" t="s">
        <v>110</v>
      </c>
      <c r="I613" s="15" t="s">
        <v>1082</v>
      </c>
      <c r="J613" s="15" t="s">
        <v>79</v>
      </c>
      <c r="K613" s="15" t="s">
        <v>61</v>
      </c>
      <c r="L613" s="15" t="s">
        <v>48</v>
      </c>
      <c r="M613" s="15" t="s">
        <v>1083</v>
      </c>
      <c r="N613" s="15" t="s">
        <v>1084</v>
      </c>
      <c r="O613" s="15"/>
      <c r="P613" s="15"/>
      <c r="Q613" s="15"/>
      <c r="R613" s="15"/>
      <c r="S613" s="15"/>
      <c r="T613" s="15"/>
      <c r="U613" s="15"/>
      <c r="V613" s="15"/>
      <c r="W613" s="15"/>
      <c r="X613" s="15"/>
      <c r="Y613" s="17">
        <f>24534+8474</f>
        <v>33008</v>
      </c>
      <c r="Z613" s="17">
        <f>5262+3628</f>
        <v>8890</v>
      </c>
      <c r="AA613" s="17">
        <f>1113+685+230</f>
        <v>2028</v>
      </c>
      <c r="AB613" s="17">
        <f t="shared" si="73"/>
        <v>10918</v>
      </c>
      <c r="AC613" s="17">
        <f t="shared" si="74"/>
        <v>43926</v>
      </c>
      <c r="AD613" s="17">
        <f>97+33</f>
        <v>130</v>
      </c>
      <c r="AE613" s="51">
        <f t="shared" si="67"/>
        <v>8.9726568828607238</v>
      </c>
      <c r="AF613" s="51">
        <f t="shared" si="68"/>
        <v>2.9678704510140994</v>
      </c>
      <c r="AG613" s="51">
        <f t="shared" si="69"/>
        <v>11.940527333874824</v>
      </c>
      <c r="AH613" s="51">
        <f t="shared" si="70"/>
        <v>3.5338263292895487E-2</v>
      </c>
      <c r="AI613" s="17">
        <f>45652+55511</f>
        <v>101163</v>
      </c>
      <c r="AJ613" s="17">
        <f>70084+109716</f>
        <v>179800</v>
      </c>
      <c r="AK613" s="17">
        <f>75931+104773+83097</f>
        <v>263801</v>
      </c>
      <c r="AL613" s="17">
        <f>AK613+AJ613</f>
        <v>443601</v>
      </c>
      <c r="AM613" s="17">
        <f t="shared" si="75"/>
        <v>544764</v>
      </c>
      <c r="AN613" s="17">
        <f>65964+62949</f>
        <v>128913</v>
      </c>
      <c r="AU613" s="15" t="s">
        <v>79</v>
      </c>
      <c r="AV613" s="15" t="s">
        <v>79</v>
      </c>
      <c r="BG613" s="15"/>
      <c r="BM613" s="17"/>
      <c r="BN613" s="17"/>
      <c r="BO613" s="17"/>
      <c r="BP613" s="17"/>
      <c r="BQ613" s="17"/>
      <c r="BW613" s="17" t="s">
        <v>1085</v>
      </c>
    </row>
    <row r="614" spans="1:75" hidden="1" x14ac:dyDescent="0.25">
      <c r="A614" s="15" t="s">
        <v>1080</v>
      </c>
      <c r="B614" s="15" t="s">
        <v>30</v>
      </c>
      <c r="C614" s="15">
        <v>2010</v>
      </c>
      <c r="D614" s="15" t="s">
        <v>1081</v>
      </c>
      <c r="E614" s="15">
        <v>16920</v>
      </c>
      <c r="F614" s="15">
        <v>3721525</v>
      </c>
      <c r="G614" s="15" t="s">
        <v>109</v>
      </c>
      <c r="H614" s="15" t="s">
        <v>110</v>
      </c>
      <c r="I614" s="15" t="s">
        <v>1082</v>
      </c>
      <c r="J614" s="15" t="s">
        <v>79</v>
      </c>
      <c r="K614" s="15" t="s">
        <v>61</v>
      </c>
      <c r="L614" s="15" t="s">
        <v>48</v>
      </c>
      <c r="M614" s="15" t="s">
        <v>1083</v>
      </c>
      <c r="N614" s="15" t="s">
        <v>1084</v>
      </c>
      <c r="O614" s="15"/>
      <c r="P614" s="15"/>
      <c r="Q614" s="15"/>
      <c r="R614" s="15"/>
      <c r="S614" s="15"/>
      <c r="T614" s="15"/>
      <c r="U614" s="15"/>
      <c r="V614" s="15"/>
      <c r="W614" s="15"/>
      <c r="X614" s="15"/>
      <c r="Y614" s="17">
        <f>24906+8687</f>
        <v>33593</v>
      </c>
      <c r="Z614" s="17">
        <f>5323+3580</f>
        <v>8903</v>
      </c>
      <c r="AA614" s="17">
        <f>1185+644+232</f>
        <v>2061</v>
      </c>
      <c r="AB614" s="17">
        <f t="shared" si="73"/>
        <v>10964</v>
      </c>
      <c r="AC614" s="17">
        <f t="shared" si="74"/>
        <v>44557</v>
      </c>
      <c r="AD614" s="17">
        <f>100+36</f>
        <v>136</v>
      </c>
      <c r="AE614" s="51">
        <f t="shared" si="67"/>
        <v>9.0266758922753443</v>
      </c>
      <c r="AF614" s="51">
        <f t="shared" si="68"/>
        <v>2.9461040836753751</v>
      </c>
      <c r="AG614" s="51">
        <f t="shared" si="69"/>
        <v>11.972779975950719</v>
      </c>
      <c r="AH614" s="51">
        <f t="shared" si="70"/>
        <v>3.6544158644641646E-2</v>
      </c>
      <c r="AI614" s="17">
        <f>46897+56951</f>
        <v>103848</v>
      </c>
      <c r="AJ614" s="17">
        <f>71255+108563</f>
        <v>179818</v>
      </c>
      <c r="AK614" s="17">
        <f>81265+98797+83219</f>
        <v>263281</v>
      </c>
      <c r="AL614" s="17">
        <f>AK614+AJ614</f>
        <v>443099</v>
      </c>
      <c r="AM614" s="17">
        <f t="shared" si="75"/>
        <v>546947</v>
      </c>
      <c r="AN614" s="17">
        <f>67106+64323</f>
        <v>131429</v>
      </c>
      <c r="AU614" s="15" t="s">
        <v>79</v>
      </c>
      <c r="AV614" s="15" t="s">
        <v>79</v>
      </c>
      <c r="BG614" s="15"/>
      <c r="BM614" s="17"/>
      <c r="BN614" s="17"/>
      <c r="BO614" s="17"/>
      <c r="BP614" s="17"/>
      <c r="BQ614" s="17"/>
      <c r="BW614" s="17" t="s">
        <v>1085</v>
      </c>
    </row>
    <row r="615" spans="1:75" hidden="1" x14ac:dyDescent="0.25">
      <c r="A615" s="15" t="s">
        <v>1086</v>
      </c>
      <c r="B615" s="15" t="s">
        <v>30</v>
      </c>
      <c r="C615" s="15">
        <v>2015</v>
      </c>
      <c r="D615" s="15" t="s">
        <v>1087</v>
      </c>
      <c r="E615" s="17">
        <v>75150</v>
      </c>
      <c r="F615" s="17">
        <v>2481539</v>
      </c>
      <c r="G615" s="15" t="s">
        <v>109</v>
      </c>
      <c r="H615" s="15" t="s">
        <v>58</v>
      </c>
      <c r="I615" s="15" t="s">
        <v>1732</v>
      </c>
      <c r="J615" s="15" t="s">
        <v>1731</v>
      </c>
      <c r="K615" s="15" t="s">
        <v>46</v>
      </c>
      <c r="L615" s="15" t="s">
        <v>647</v>
      </c>
      <c r="M615" s="15" t="s">
        <v>407</v>
      </c>
      <c r="N615" s="15" t="s">
        <v>310</v>
      </c>
      <c r="O615" s="15"/>
      <c r="P615" s="15"/>
      <c r="Q615" s="15"/>
      <c r="R615" s="15"/>
      <c r="S615" s="15"/>
      <c r="T615" s="15"/>
      <c r="U615" s="15"/>
      <c r="V615" s="15"/>
      <c r="W615" s="15"/>
      <c r="X615" s="15"/>
      <c r="Y615" s="17">
        <v>21675</v>
      </c>
      <c r="Z615" s="17">
        <f>9751+10006</f>
        <v>19757</v>
      </c>
      <c r="AA615" s="17">
        <v>1515</v>
      </c>
      <c r="AB615" s="17">
        <f>+Z615+AA615</f>
        <v>21272</v>
      </c>
      <c r="AC615" s="17">
        <f>+AB615+Y615</f>
        <v>42947</v>
      </c>
      <c r="AD615" s="17">
        <v>1492</v>
      </c>
      <c r="AE615" s="51">
        <f t="shared" si="67"/>
        <v>8.7344990346716305</v>
      </c>
      <c r="AF615" s="51">
        <f t="shared" si="68"/>
        <v>8.572099813865508</v>
      </c>
      <c r="AG615" s="51">
        <f t="shared" si="69"/>
        <v>17.306598848537138</v>
      </c>
      <c r="AH615" s="51">
        <f t="shared" si="70"/>
        <v>0.60123979514325587</v>
      </c>
      <c r="AI615" s="17">
        <v>49576</v>
      </c>
      <c r="AJ615" s="17">
        <f>63385+203548</f>
        <v>266933</v>
      </c>
      <c r="AK615" s="17">
        <v>101808</v>
      </c>
      <c r="AL615" s="17">
        <f>+AJ615+AK615</f>
        <v>368741</v>
      </c>
      <c r="AM615" s="17">
        <f>+AL615+AI615</f>
        <v>418317</v>
      </c>
      <c r="AN615" s="17">
        <v>814793</v>
      </c>
      <c r="BG615" s="15"/>
      <c r="BM615" s="17"/>
      <c r="BN615" s="17"/>
      <c r="BO615" s="17"/>
      <c r="BP615" s="17"/>
      <c r="BQ615" s="17"/>
      <c r="BW615" s="17"/>
    </row>
    <row r="616" spans="1:75" hidden="1" x14ac:dyDescent="0.25">
      <c r="A616" s="15" t="s">
        <v>1086</v>
      </c>
      <c r="B616" s="15" t="s">
        <v>30</v>
      </c>
      <c r="C616" s="15">
        <v>2010</v>
      </c>
      <c r="D616" s="15" t="s">
        <v>1087</v>
      </c>
      <c r="E616" s="17">
        <v>66360</v>
      </c>
      <c r="F616" s="17">
        <v>1779676</v>
      </c>
      <c r="G616" s="15" t="s">
        <v>109</v>
      </c>
      <c r="H616" s="15" t="s">
        <v>58</v>
      </c>
      <c r="I616" s="15" t="s">
        <v>1732</v>
      </c>
      <c r="J616" s="15" t="s">
        <v>1731</v>
      </c>
      <c r="K616" s="15" t="s">
        <v>46</v>
      </c>
      <c r="L616" s="15" t="s">
        <v>647</v>
      </c>
      <c r="M616" s="15" t="s">
        <v>407</v>
      </c>
      <c r="N616" s="15" t="s">
        <v>310</v>
      </c>
      <c r="O616" s="15"/>
      <c r="P616" s="15"/>
      <c r="Q616" s="15"/>
      <c r="R616" s="15"/>
      <c r="S616" s="15"/>
      <c r="T616" s="15"/>
      <c r="U616" s="15"/>
      <c r="V616" s="15"/>
      <c r="W616" s="15"/>
      <c r="X616" s="15"/>
      <c r="Y616" s="17">
        <v>15210</v>
      </c>
      <c r="Z616" s="17">
        <f>6403+6603</f>
        <v>13006</v>
      </c>
      <c r="AA616" s="17">
        <v>1018</v>
      </c>
      <c r="AB616" s="17">
        <f>+Z616+AA616</f>
        <v>14024</v>
      </c>
      <c r="AC616" s="17">
        <f>+AB616+Y616</f>
        <v>29234</v>
      </c>
      <c r="AD616" s="17">
        <v>1647</v>
      </c>
      <c r="AE616" s="51">
        <f t="shared" si="67"/>
        <v>8.5464994751853709</v>
      </c>
      <c r="AF616" s="51">
        <f t="shared" si="68"/>
        <v>7.8800860381327826</v>
      </c>
      <c r="AG616" s="51">
        <f t="shared" si="69"/>
        <v>16.426585513318155</v>
      </c>
      <c r="AH616" s="51">
        <f t="shared" si="70"/>
        <v>0.92544935145498397</v>
      </c>
      <c r="AI616" s="17">
        <v>36270</v>
      </c>
      <c r="AJ616" s="17">
        <f>41287+130164</f>
        <v>171451</v>
      </c>
      <c r="AK616" s="17">
        <v>70825</v>
      </c>
      <c r="AL616" s="17">
        <f>+AJ616+AK616</f>
        <v>242276</v>
      </c>
      <c r="AM616" s="17">
        <f>+AI616+AL616</f>
        <v>278546</v>
      </c>
      <c r="AN616" s="17">
        <v>759241</v>
      </c>
      <c r="BG616" s="15"/>
      <c r="BM616" s="17"/>
      <c r="BN616" s="17"/>
      <c r="BO616" s="17"/>
      <c r="BP616" s="17"/>
      <c r="BQ616" s="17"/>
      <c r="BW616" s="17"/>
    </row>
    <row r="617" spans="1:75" hidden="1" x14ac:dyDescent="0.25">
      <c r="A617" s="15" t="s">
        <v>1088</v>
      </c>
      <c r="B617" s="15" t="s">
        <v>30</v>
      </c>
      <c r="C617" s="15">
        <v>2016</v>
      </c>
      <c r="D617" s="15" t="s">
        <v>1089</v>
      </c>
      <c r="E617" s="15">
        <v>9520</v>
      </c>
      <c r="F617" s="15">
        <v>19586539</v>
      </c>
      <c r="G617" s="15" t="s">
        <v>42</v>
      </c>
      <c r="H617" s="15" t="s">
        <v>43</v>
      </c>
      <c r="I617" s="15" t="s">
        <v>1857</v>
      </c>
      <c r="J617" s="15" t="s">
        <v>189</v>
      </c>
      <c r="K617" s="15" t="s">
        <v>190</v>
      </c>
      <c r="L617" s="15" t="s">
        <v>48</v>
      </c>
      <c r="M617" s="15" t="s">
        <v>62</v>
      </c>
      <c r="N617" s="15" t="s">
        <v>63</v>
      </c>
      <c r="O617" s="15"/>
      <c r="P617" s="15"/>
      <c r="Q617" s="15"/>
      <c r="R617" s="15"/>
      <c r="S617" s="15" t="s">
        <v>55</v>
      </c>
      <c r="T617" s="15"/>
      <c r="U617" s="15"/>
      <c r="V617" s="15"/>
      <c r="W617" s="15"/>
      <c r="X617" s="15" t="s">
        <v>55</v>
      </c>
      <c r="Y617" s="17">
        <v>411905</v>
      </c>
      <c r="Z617" s="17">
        <v>43811</v>
      </c>
      <c r="AA617" s="17">
        <v>8235</v>
      </c>
      <c r="AB617" s="17">
        <v>52046</v>
      </c>
      <c r="AC617" s="17">
        <v>463951</v>
      </c>
      <c r="AD617" s="17">
        <v>1656</v>
      </c>
      <c r="AE617" s="51">
        <f t="shared" si="67"/>
        <v>21.030004331035716</v>
      </c>
      <c r="AF617" s="51">
        <f t="shared" si="68"/>
        <v>2.6572331130068463</v>
      </c>
      <c r="AG617" s="51">
        <f t="shared" si="69"/>
        <v>23.687237444042562</v>
      </c>
      <c r="AH617" s="51">
        <f t="shared" si="70"/>
        <v>8.4547862182287534E-2</v>
      </c>
      <c r="AI617" s="17">
        <v>900656</v>
      </c>
      <c r="AJ617" s="17">
        <v>866720</v>
      </c>
      <c r="AK617" s="17">
        <v>832677</v>
      </c>
      <c r="AL617" s="17">
        <v>1699397</v>
      </c>
      <c r="AM617" s="17">
        <v>2600053</v>
      </c>
      <c r="AN617" s="17">
        <v>1378040</v>
      </c>
      <c r="AO617" s="17">
        <v>9776300000</v>
      </c>
      <c r="AP617" s="17">
        <v>10860500000</v>
      </c>
      <c r="AU617" s="15" t="s">
        <v>189</v>
      </c>
      <c r="AV617" s="15" t="s">
        <v>189</v>
      </c>
      <c r="BG617" s="15"/>
      <c r="BM617" s="17"/>
      <c r="BN617" s="17"/>
      <c r="BO617" s="17"/>
      <c r="BP617" s="17"/>
      <c r="BQ617" s="17"/>
      <c r="BW617" s="17"/>
    </row>
    <row r="618" spans="1:75" hidden="1" x14ac:dyDescent="0.25">
      <c r="A618" s="15" t="s">
        <v>1088</v>
      </c>
      <c r="B618" s="15" t="s">
        <v>30</v>
      </c>
      <c r="C618" s="15">
        <v>2015</v>
      </c>
      <c r="D618" s="15" t="s">
        <v>1089</v>
      </c>
      <c r="E618" s="15">
        <v>9530</v>
      </c>
      <c r="F618" s="15">
        <v>19815481</v>
      </c>
      <c r="G618" s="15" t="s">
        <v>42</v>
      </c>
      <c r="H618" s="15" t="s">
        <v>43</v>
      </c>
      <c r="I618" s="15" t="s">
        <v>1857</v>
      </c>
      <c r="J618" s="15" t="s">
        <v>189</v>
      </c>
      <c r="K618" s="15" t="s">
        <v>190</v>
      </c>
      <c r="L618" s="15" t="s">
        <v>48</v>
      </c>
      <c r="M618" s="15" t="s">
        <v>62</v>
      </c>
      <c r="N618" s="15" t="s">
        <v>63</v>
      </c>
      <c r="O618" s="15"/>
      <c r="P618" s="15"/>
      <c r="Q618" s="15"/>
      <c r="R618" s="15"/>
      <c r="S618" s="15" t="s">
        <v>55</v>
      </c>
      <c r="T618" s="15"/>
      <c r="U618" s="15"/>
      <c r="V618" s="15"/>
      <c r="W618" s="15"/>
      <c r="X618" s="15" t="s">
        <v>55</v>
      </c>
      <c r="Y618" s="17">
        <v>405493</v>
      </c>
      <c r="Z618" s="17">
        <v>42909</v>
      </c>
      <c r="AA618" s="17">
        <v>8078</v>
      </c>
      <c r="AB618" s="17">
        <v>50987</v>
      </c>
      <c r="AC618" s="17">
        <v>456480</v>
      </c>
      <c r="AD618" s="17">
        <v>1642</v>
      </c>
      <c r="AE618" s="51">
        <f t="shared" si="67"/>
        <v>20.463444717794133</v>
      </c>
      <c r="AF618" s="51">
        <f t="shared" si="68"/>
        <v>2.5730891922330827</v>
      </c>
      <c r="AG618" s="51">
        <f t="shared" si="69"/>
        <v>23.036533910027213</v>
      </c>
      <c r="AH618" s="51">
        <f t="shared" si="70"/>
        <v>8.2864503768543402E-2</v>
      </c>
      <c r="AI618" s="17">
        <v>876403</v>
      </c>
      <c r="AJ618" s="17">
        <v>854172</v>
      </c>
      <c r="AK618" s="17">
        <v>821025</v>
      </c>
      <c r="AL618" s="17">
        <v>1675197</v>
      </c>
      <c r="AM618" s="17">
        <v>2551600</v>
      </c>
      <c r="AN618" s="17">
        <v>1346599</v>
      </c>
      <c r="AO618" s="17">
        <v>8432200000.000001</v>
      </c>
      <c r="AP618" s="17">
        <v>9356200000</v>
      </c>
      <c r="AQ618" s="17">
        <v>10685700000</v>
      </c>
      <c r="AR618" s="17">
        <v>20041900000</v>
      </c>
      <c r="AS618" s="17">
        <v>28474100000</v>
      </c>
      <c r="AT618" s="17">
        <v>26049800000</v>
      </c>
      <c r="AU618" s="15" t="s">
        <v>189</v>
      </c>
      <c r="AV618" s="15" t="s">
        <v>189</v>
      </c>
      <c r="BG618" s="15"/>
      <c r="BM618" s="17"/>
      <c r="BN618" s="17"/>
      <c r="BO618" s="17"/>
      <c r="BP618" s="17"/>
      <c r="BQ618" s="17"/>
      <c r="BW618" s="17"/>
    </row>
    <row r="619" spans="1:75" hidden="1" x14ac:dyDescent="0.25">
      <c r="A619" s="15" t="s">
        <v>1088</v>
      </c>
      <c r="B619" s="15" t="s">
        <v>30</v>
      </c>
      <c r="C619" s="15">
        <v>2014</v>
      </c>
      <c r="D619" s="15" t="s">
        <v>1089</v>
      </c>
      <c r="E619" s="15">
        <v>9600</v>
      </c>
      <c r="F619" s="15">
        <v>19908979</v>
      </c>
      <c r="G619" s="15" t="s">
        <v>42</v>
      </c>
      <c r="H619" s="15" t="s">
        <v>43</v>
      </c>
      <c r="I619" s="15" t="s">
        <v>1857</v>
      </c>
      <c r="J619" s="15" t="s">
        <v>189</v>
      </c>
      <c r="K619" s="15" t="s">
        <v>190</v>
      </c>
      <c r="L619" s="15" t="s">
        <v>48</v>
      </c>
      <c r="M619" s="15" t="s">
        <v>62</v>
      </c>
      <c r="N619" s="15" t="s">
        <v>63</v>
      </c>
      <c r="O619" s="15"/>
      <c r="P619" s="15"/>
      <c r="Q619" s="15"/>
      <c r="R619" s="15"/>
      <c r="S619" s="15" t="s">
        <v>55</v>
      </c>
      <c r="T619" s="15"/>
      <c r="U619" s="15"/>
      <c r="V619" s="15"/>
      <c r="W619" s="15"/>
      <c r="X619" s="15" t="s">
        <v>55</v>
      </c>
      <c r="Y619" s="17">
        <v>403444</v>
      </c>
      <c r="Z619" s="17">
        <v>42937</v>
      </c>
      <c r="AA619" s="17">
        <v>7866</v>
      </c>
      <c r="AB619" s="17">
        <v>50803</v>
      </c>
      <c r="AC619" s="17">
        <v>454247</v>
      </c>
      <c r="AD619" s="17">
        <v>1605</v>
      </c>
      <c r="AE619" s="51">
        <f t="shared" si="67"/>
        <v>20.264424408705239</v>
      </c>
      <c r="AF619" s="51">
        <f t="shared" si="68"/>
        <v>2.5517632019200986</v>
      </c>
      <c r="AG619" s="51">
        <f t="shared" si="69"/>
        <v>22.816187610625338</v>
      </c>
      <c r="AH619" s="51">
        <f t="shared" si="70"/>
        <v>8.0616891504079635E-2</v>
      </c>
      <c r="AI619" s="17">
        <v>883629</v>
      </c>
      <c r="AJ619" s="17">
        <v>845649</v>
      </c>
      <c r="AK619" s="17">
        <v>795191</v>
      </c>
      <c r="AL619" s="17">
        <v>1640840</v>
      </c>
      <c r="AM619" s="17">
        <v>2524469</v>
      </c>
      <c r="AN619" s="17">
        <v>1309732</v>
      </c>
      <c r="AO619" s="17">
        <v>8375700000.000001</v>
      </c>
      <c r="AP619" s="17">
        <v>9173600000</v>
      </c>
      <c r="AQ619" s="17">
        <v>11002200000</v>
      </c>
      <c r="AR619" s="17">
        <v>20175800000</v>
      </c>
      <c r="AS619" s="17">
        <v>28551500000</v>
      </c>
      <c r="AT619" s="17">
        <v>27308300000</v>
      </c>
      <c r="AU619" s="15" t="s">
        <v>189</v>
      </c>
      <c r="AV619" s="15" t="s">
        <v>189</v>
      </c>
      <c r="BG619" s="15"/>
      <c r="BM619" s="17"/>
      <c r="BN619" s="17"/>
      <c r="BO619" s="17"/>
      <c r="BP619" s="17"/>
      <c r="BQ619" s="17"/>
      <c r="BW619" s="17"/>
    </row>
    <row r="620" spans="1:75" hidden="1" x14ac:dyDescent="0.25">
      <c r="A620" s="15" t="s">
        <v>1088</v>
      </c>
      <c r="B620" s="15" t="s">
        <v>30</v>
      </c>
      <c r="C620" s="15">
        <v>2013</v>
      </c>
      <c r="D620" s="15" t="s">
        <v>1089</v>
      </c>
      <c r="E620" s="15">
        <v>9260</v>
      </c>
      <c r="F620" s="15">
        <v>19983693</v>
      </c>
      <c r="G620" s="15" t="s">
        <v>42</v>
      </c>
      <c r="H620" s="15" t="s">
        <v>43</v>
      </c>
      <c r="I620" s="15" t="s">
        <v>1857</v>
      </c>
      <c r="J620" s="15" t="s">
        <v>189</v>
      </c>
      <c r="K620" s="15" t="s">
        <v>190</v>
      </c>
      <c r="L620" s="15" t="s">
        <v>48</v>
      </c>
      <c r="M620" s="15" t="s">
        <v>62</v>
      </c>
      <c r="N620" s="15" t="s">
        <v>63</v>
      </c>
      <c r="O620" s="15"/>
      <c r="P620" s="15"/>
      <c r="Q620" s="15"/>
      <c r="R620" s="15"/>
      <c r="S620" s="15" t="s">
        <v>55</v>
      </c>
      <c r="T620" s="15"/>
      <c r="U620" s="15"/>
      <c r="V620" s="15"/>
      <c r="W620" s="15"/>
      <c r="X620" s="15" t="s">
        <v>55</v>
      </c>
      <c r="Y620" s="17">
        <v>383257</v>
      </c>
      <c r="Z620" s="17">
        <v>43427</v>
      </c>
      <c r="AA620" s="17">
        <v>7931</v>
      </c>
      <c r="AB620" s="17">
        <v>51358</v>
      </c>
      <c r="AC620" s="17">
        <v>434615</v>
      </c>
      <c r="AD620" s="17">
        <v>1538</v>
      </c>
      <c r="AE620" s="51">
        <f t="shared" si="67"/>
        <v>19.178487179521824</v>
      </c>
      <c r="AF620" s="51">
        <f t="shared" si="68"/>
        <v>2.5699954457867222</v>
      </c>
      <c r="AG620" s="51">
        <f t="shared" si="69"/>
        <v>21.748482625308544</v>
      </c>
      <c r="AH620" s="51">
        <f t="shared" si="70"/>
        <v>7.6962751579500346E-2</v>
      </c>
      <c r="AI620" s="17">
        <v>892034</v>
      </c>
      <c r="AJ620" s="17">
        <v>850651</v>
      </c>
      <c r="AK620" s="17">
        <v>809674</v>
      </c>
      <c r="AL620" s="17">
        <v>1660325</v>
      </c>
      <c r="AM620" s="17">
        <v>2552359</v>
      </c>
      <c r="AN620" s="17">
        <v>1283268</v>
      </c>
      <c r="AO620" s="17">
        <v>7472200000</v>
      </c>
      <c r="AP620" s="17">
        <v>8506299999.999999</v>
      </c>
      <c r="AQ620" s="17">
        <v>10355200000</v>
      </c>
      <c r="AR620" s="17">
        <v>18861500000</v>
      </c>
      <c r="AS620" s="17">
        <v>26333700000</v>
      </c>
      <c r="AT620" s="17">
        <v>26841100000</v>
      </c>
      <c r="AU620" s="15" t="s">
        <v>189</v>
      </c>
      <c r="AV620" s="15" t="s">
        <v>189</v>
      </c>
      <c r="BG620" s="15"/>
      <c r="BM620" s="17"/>
      <c r="BN620" s="17"/>
      <c r="BO620" s="17"/>
      <c r="BP620" s="17"/>
      <c r="BQ620" s="17"/>
      <c r="BW620" s="17"/>
    </row>
    <row r="621" spans="1:75" hidden="1" x14ac:dyDescent="0.25">
      <c r="A621" s="15" t="s">
        <v>1088</v>
      </c>
      <c r="B621" s="15" t="s">
        <v>30</v>
      </c>
      <c r="C621" s="15">
        <v>2012</v>
      </c>
      <c r="D621" s="15" t="s">
        <v>1089</v>
      </c>
      <c r="E621" s="15">
        <v>8760</v>
      </c>
      <c r="F621" s="15">
        <v>20058035</v>
      </c>
      <c r="G621" s="15" t="s">
        <v>42</v>
      </c>
      <c r="H621" s="15" t="s">
        <v>43</v>
      </c>
      <c r="I621" s="15" t="s">
        <v>1857</v>
      </c>
      <c r="J621" s="15" t="s">
        <v>189</v>
      </c>
      <c r="K621" s="15" t="s">
        <v>190</v>
      </c>
      <c r="L621" s="15" t="s">
        <v>48</v>
      </c>
      <c r="M621" s="15" t="s">
        <v>62</v>
      </c>
      <c r="N621" s="15" t="s">
        <v>63</v>
      </c>
      <c r="O621" s="15"/>
      <c r="P621" s="15"/>
      <c r="Q621" s="15"/>
      <c r="R621" s="15"/>
      <c r="S621" s="15" t="s">
        <v>55</v>
      </c>
      <c r="T621" s="15"/>
      <c r="U621" s="15"/>
      <c r="V621" s="15"/>
      <c r="W621" s="15"/>
      <c r="X621" s="15" t="s">
        <v>55</v>
      </c>
      <c r="Y621" s="17">
        <v>372569</v>
      </c>
      <c r="Z621" s="17">
        <v>43537</v>
      </c>
      <c r="AA621" s="17">
        <v>8043</v>
      </c>
      <c r="AB621" s="17">
        <v>51580</v>
      </c>
      <c r="AC621" s="17">
        <v>424149</v>
      </c>
      <c r="AD621" s="17">
        <v>1582</v>
      </c>
      <c r="AE621" s="51">
        <f t="shared" si="67"/>
        <v>18.574551295777479</v>
      </c>
      <c r="AF621" s="51">
        <f t="shared" si="68"/>
        <v>2.5715380394938987</v>
      </c>
      <c r="AG621" s="51">
        <f t="shared" si="69"/>
        <v>21.146089335271377</v>
      </c>
      <c r="AH621" s="51">
        <f t="shared" si="70"/>
        <v>7.887113568203466E-2</v>
      </c>
      <c r="AI621" s="17">
        <v>863028</v>
      </c>
      <c r="AJ621" s="17">
        <v>860881</v>
      </c>
      <c r="AK621" s="17">
        <v>822521</v>
      </c>
      <c r="AL621" s="17">
        <v>1683402</v>
      </c>
      <c r="AM621" s="17">
        <v>2546430</v>
      </c>
      <c r="AN621" s="17">
        <v>1291438</v>
      </c>
      <c r="AO621" s="17">
        <v>6313400000</v>
      </c>
      <c r="AP621" s="17">
        <v>7913800000</v>
      </c>
      <c r="AU621" s="15" t="s">
        <v>189</v>
      </c>
      <c r="AV621" s="15" t="s">
        <v>189</v>
      </c>
      <c r="BG621" s="15"/>
      <c r="BM621" s="17"/>
      <c r="BN621" s="17"/>
      <c r="BO621" s="17"/>
      <c r="BP621" s="17"/>
      <c r="BQ621" s="17"/>
      <c r="BW621" s="17"/>
    </row>
    <row r="622" spans="1:75" hidden="1" x14ac:dyDescent="0.25">
      <c r="A622" s="15" t="s">
        <v>1090</v>
      </c>
      <c r="B622" s="15" t="s">
        <v>30</v>
      </c>
      <c r="C622" s="15">
        <v>2015</v>
      </c>
      <c r="D622" s="15" t="s">
        <v>1091</v>
      </c>
      <c r="E622" s="15">
        <v>11760</v>
      </c>
      <c r="F622" s="15">
        <v>144096870</v>
      </c>
      <c r="G622" s="15" t="s">
        <v>42</v>
      </c>
      <c r="H622" s="15" t="s">
        <v>43</v>
      </c>
      <c r="I622" s="15" t="s">
        <v>1644</v>
      </c>
      <c r="J622" s="15" t="s">
        <v>1645</v>
      </c>
      <c r="K622" s="15" t="s">
        <v>261</v>
      </c>
      <c r="L622" s="15" t="s">
        <v>262</v>
      </c>
      <c r="M622" s="15" t="s">
        <v>263</v>
      </c>
      <c r="N622" s="15" t="s">
        <v>167</v>
      </c>
      <c r="O622" s="15"/>
      <c r="P622" s="15"/>
      <c r="Q622" s="15"/>
      <c r="R622" s="15"/>
      <c r="S622" s="15"/>
      <c r="T622" s="15" t="s">
        <v>655</v>
      </c>
      <c r="U622" s="15" t="s">
        <v>1093</v>
      </c>
      <c r="V622" s="15" t="s">
        <v>497</v>
      </c>
      <c r="W622" s="15"/>
      <c r="X622" s="15" t="s">
        <v>1094</v>
      </c>
      <c r="Y622" s="17">
        <v>1990003</v>
      </c>
      <c r="Z622" s="17">
        <v>232369</v>
      </c>
      <c r="AA622" s="17">
        <v>19278</v>
      </c>
      <c r="AB622" s="17">
        <v>251647</v>
      </c>
      <c r="AC622" s="17">
        <v>2241650</v>
      </c>
      <c r="AE622" s="51">
        <f t="shared" si="67"/>
        <v>13.810175057931515</v>
      </c>
      <c r="AF622" s="51">
        <f t="shared" si="68"/>
        <v>1.7463738108954066</v>
      </c>
      <c r="AG622" s="51">
        <f t="shared" si="69"/>
        <v>15.556548868826921</v>
      </c>
      <c r="AH622" s="51" t="str">
        <f t="shared" si="70"/>
        <v/>
      </c>
      <c r="AI622" s="17">
        <v>4605700</v>
      </c>
      <c r="AJ622" s="17">
        <v>6725000</v>
      </c>
      <c r="AK622" s="17">
        <v>2178100</v>
      </c>
      <c r="AL622" s="17">
        <v>8903100</v>
      </c>
      <c r="AM622" s="17">
        <v>13508800</v>
      </c>
      <c r="BG622" s="15"/>
      <c r="BM622" s="17"/>
      <c r="BN622" s="17"/>
      <c r="BO622" s="17"/>
      <c r="BP622" s="17"/>
      <c r="BQ622" s="17"/>
      <c r="BW622" s="17" t="s">
        <v>1646</v>
      </c>
    </row>
    <row r="623" spans="1:75" hidden="1" x14ac:dyDescent="0.25">
      <c r="A623" s="15" t="s">
        <v>1090</v>
      </c>
      <c r="B623" s="15" t="s">
        <v>30</v>
      </c>
      <c r="C623" s="15">
        <v>2014</v>
      </c>
      <c r="D623" s="15" t="s">
        <v>1091</v>
      </c>
      <c r="E623" s="15">
        <v>14670</v>
      </c>
      <c r="F623" s="15">
        <v>143819666</v>
      </c>
      <c r="G623" s="15" t="s">
        <v>42</v>
      </c>
      <c r="H623" s="15" t="s">
        <v>43</v>
      </c>
      <c r="I623" s="15" t="s">
        <v>1647</v>
      </c>
      <c r="J623" s="15" t="s">
        <v>1092</v>
      </c>
      <c r="K623" s="15" t="s">
        <v>261</v>
      </c>
      <c r="L623" s="15" t="s">
        <v>262</v>
      </c>
      <c r="M623" s="15" t="s">
        <v>263</v>
      </c>
      <c r="N623" s="15" t="s">
        <v>167</v>
      </c>
      <c r="O623" s="15"/>
      <c r="P623" s="15"/>
      <c r="Q623" s="15"/>
      <c r="R623" s="15"/>
      <c r="S623" s="15"/>
      <c r="T623" s="15" t="s">
        <v>655</v>
      </c>
      <c r="U623" s="15" t="s">
        <v>1093</v>
      </c>
      <c r="V623" s="15" t="s">
        <v>497</v>
      </c>
      <c r="W623" s="15"/>
      <c r="X623" s="15" t="s">
        <v>1094</v>
      </c>
      <c r="Y623" s="17">
        <v>1868200</v>
      </c>
      <c r="Z623" s="17">
        <v>235600</v>
      </c>
      <c r="AA623" s="17">
        <v>13700</v>
      </c>
      <c r="AB623" s="17">
        <v>249300</v>
      </c>
      <c r="AC623" s="17">
        <v>2117500</v>
      </c>
      <c r="AE623" s="51">
        <f t="shared" si="67"/>
        <v>12.989878588648649</v>
      </c>
      <c r="AF623" s="51">
        <f t="shared" si="68"/>
        <v>1.7334207965689477</v>
      </c>
      <c r="AG623" s="51">
        <f t="shared" si="69"/>
        <v>14.723299385217596</v>
      </c>
      <c r="AH623" s="51" t="str">
        <f t="shared" si="70"/>
        <v/>
      </c>
      <c r="AI623" s="17">
        <v>4431100</v>
      </c>
      <c r="AJ623" s="17">
        <v>6358400</v>
      </c>
      <c r="AK623" s="17">
        <v>1585800</v>
      </c>
      <c r="AL623" s="17">
        <v>7944200</v>
      </c>
      <c r="AM623" s="17">
        <v>12375300</v>
      </c>
      <c r="BG623" s="15"/>
      <c r="BM623" s="17"/>
      <c r="BN623" s="17"/>
      <c r="BO623" s="17"/>
      <c r="BP623" s="17"/>
      <c r="BQ623" s="17"/>
      <c r="BW623" s="17" t="s">
        <v>1646</v>
      </c>
    </row>
    <row r="624" spans="1:75" hidden="1" x14ac:dyDescent="0.25">
      <c r="A624" s="15" t="s">
        <v>1090</v>
      </c>
      <c r="B624" s="15" t="s">
        <v>30</v>
      </c>
      <c r="C624" s="15">
        <v>2013</v>
      </c>
      <c r="D624" s="15" t="s">
        <v>1091</v>
      </c>
      <c r="E624" s="15">
        <v>15200</v>
      </c>
      <c r="F624" s="15">
        <v>143506911</v>
      </c>
      <c r="G624" s="15" t="s">
        <v>42</v>
      </c>
      <c r="H624" s="15" t="s">
        <v>43</v>
      </c>
      <c r="I624" s="15" t="s">
        <v>1647</v>
      </c>
      <c r="J624" s="15" t="s">
        <v>1092</v>
      </c>
      <c r="K624" s="15" t="s">
        <v>261</v>
      </c>
      <c r="L624" s="15" t="s">
        <v>262</v>
      </c>
      <c r="M624" s="15" t="s">
        <v>263</v>
      </c>
      <c r="N624" s="15" t="s">
        <v>167</v>
      </c>
      <c r="O624" s="15"/>
      <c r="P624" s="15"/>
      <c r="Q624" s="15"/>
      <c r="R624" s="15"/>
      <c r="S624" s="15"/>
      <c r="T624" s="15" t="s">
        <v>655</v>
      </c>
      <c r="U624" s="15" t="s">
        <v>1093</v>
      </c>
      <c r="V624" s="15" t="s">
        <v>497</v>
      </c>
      <c r="W624" s="15"/>
      <c r="X624" s="15" t="s">
        <v>1094</v>
      </c>
      <c r="Y624" s="17">
        <v>1828600</v>
      </c>
      <c r="Z624" s="17">
        <v>234500</v>
      </c>
      <c r="AA624" s="17">
        <v>13700</v>
      </c>
      <c r="AB624" s="17">
        <v>248200</v>
      </c>
      <c r="AC624" s="17">
        <v>2076800</v>
      </c>
      <c r="AE624" s="51">
        <f t="shared" si="67"/>
        <v>12.742243472859645</v>
      </c>
      <c r="AF624" s="51">
        <f t="shared" si="68"/>
        <v>1.7295334299265908</v>
      </c>
      <c r="AG624" s="51">
        <f t="shared" si="69"/>
        <v>14.471776902786235</v>
      </c>
      <c r="AH624" s="51" t="str">
        <f t="shared" si="70"/>
        <v/>
      </c>
      <c r="AI624" s="17">
        <v>4322900</v>
      </c>
      <c r="AJ624" s="17">
        <v>6452300.0000000009</v>
      </c>
      <c r="AK624" s="17">
        <v>1630700</v>
      </c>
      <c r="AL624" s="17">
        <v>8083000.0000000009</v>
      </c>
      <c r="AM624" s="17">
        <v>12405900</v>
      </c>
      <c r="BG624" s="15"/>
      <c r="BM624" s="17"/>
      <c r="BN624" s="17"/>
      <c r="BO624" s="17"/>
      <c r="BP624" s="17"/>
      <c r="BQ624" s="17"/>
      <c r="BW624" s="17" t="s">
        <v>1646</v>
      </c>
    </row>
    <row r="625" spans="1:75" hidden="1" x14ac:dyDescent="0.25">
      <c r="A625" s="15" t="s">
        <v>1090</v>
      </c>
      <c r="B625" s="15" t="s">
        <v>30</v>
      </c>
      <c r="C625" s="15">
        <v>2012</v>
      </c>
      <c r="D625" s="15" t="s">
        <v>1091</v>
      </c>
      <c r="E625" s="15">
        <v>13520</v>
      </c>
      <c r="F625" s="15">
        <v>143201676</v>
      </c>
      <c r="G625" s="15" t="s">
        <v>42</v>
      </c>
      <c r="H625" s="15" t="s">
        <v>43</v>
      </c>
      <c r="I625" s="15" t="s">
        <v>1647</v>
      </c>
      <c r="J625" s="15" t="s">
        <v>1092</v>
      </c>
      <c r="K625" s="15" t="s">
        <v>261</v>
      </c>
      <c r="L625" s="15" t="s">
        <v>262</v>
      </c>
      <c r="M625" s="15" t="s">
        <v>263</v>
      </c>
      <c r="N625" s="15" t="s">
        <v>167</v>
      </c>
      <c r="O625" s="15"/>
      <c r="P625" s="15"/>
      <c r="Q625" s="15"/>
      <c r="R625" s="15"/>
      <c r="S625" s="15"/>
      <c r="T625" s="15" t="s">
        <v>655</v>
      </c>
      <c r="U625" s="15" t="s">
        <v>1093</v>
      </c>
      <c r="V625" s="15" t="s">
        <v>497</v>
      </c>
      <c r="W625" s="15"/>
      <c r="X625" s="15" t="s">
        <v>1094</v>
      </c>
      <c r="Y625" s="17">
        <v>1828600</v>
      </c>
      <c r="Z625" s="17">
        <v>243000</v>
      </c>
      <c r="AA625" s="17">
        <v>13800</v>
      </c>
      <c r="AB625" s="17">
        <v>256800</v>
      </c>
      <c r="AC625" s="17">
        <v>2085400</v>
      </c>
      <c r="AE625" s="51">
        <f t="shared" si="67"/>
        <v>12.76940362066712</v>
      </c>
      <c r="AF625" s="51">
        <f t="shared" si="68"/>
        <v>1.7932751010539849</v>
      </c>
      <c r="AG625" s="51">
        <f t="shared" si="69"/>
        <v>14.562678721721106</v>
      </c>
      <c r="AH625" s="51" t="str">
        <f t="shared" si="70"/>
        <v/>
      </c>
      <c r="AI625" s="17">
        <v>4248900</v>
      </c>
      <c r="AJ625" s="17">
        <v>6506800.0000000009</v>
      </c>
      <c r="AK625" s="17">
        <v>1719500</v>
      </c>
      <c r="AL625" s="17">
        <v>8226300.0000000009</v>
      </c>
      <c r="AM625" s="17">
        <v>12475200</v>
      </c>
      <c r="BG625" s="15"/>
      <c r="BM625" s="17"/>
      <c r="BN625" s="17"/>
      <c r="BO625" s="17"/>
      <c r="BP625" s="17"/>
      <c r="BQ625" s="17"/>
      <c r="BW625" s="17" t="s">
        <v>1646</v>
      </c>
    </row>
    <row r="626" spans="1:75" hidden="1" x14ac:dyDescent="0.25">
      <c r="A626" s="15" t="s">
        <v>1095</v>
      </c>
      <c r="B626" s="15" t="s">
        <v>30</v>
      </c>
      <c r="C626" s="15">
        <v>2017</v>
      </c>
      <c r="D626" s="15" t="s">
        <v>1096</v>
      </c>
      <c r="E626" s="15">
        <v>720</v>
      </c>
      <c r="F626" s="15">
        <v>12208407</v>
      </c>
      <c r="G626" s="15" t="s">
        <v>32</v>
      </c>
      <c r="H626" s="15" t="s">
        <v>89</v>
      </c>
      <c r="I626" s="15" t="s">
        <v>1097</v>
      </c>
      <c r="J626" s="15" t="s">
        <v>1098</v>
      </c>
      <c r="K626" s="15" t="s">
        <v>562</v>
      </c>
      <c r="L626" s="15" t="s">
        <v>930</v>
      </c>
      <c r="M626" s="15" t="s">
        <v>479</v>
      </c>
      <c r="N626" s="15" t="s">
        <v>37</v>
      </c>
      <c r="O626" s="15" t="s">
        <v>252</v>
      </c>
      <c r="P626" s="15" t="s">
        <v>1099</v>
      </c>
      <c r="Q626" s="15" t="s">
        <v>725</v>
      </c>
      <c r="R626" s="15" t="s">
        <v>886</v>
      </c>
      <c r="S626" s="15" t="s">
        <v>1100</v>
      </c>
      <c r="T626" s="15" t="s">
        <v>1101</v>
      </c>
      <c r="U626" s="15" t="s">
        <v>1102</v>
      </c>
      <c r="V626" s="15" t="s">
        <v>1103</v>
      </c>
      <c r="W626" s="15" t="s">
        <v>503</v>
      </c>
      <c r="X626" s="15" t="s">
        <v>1100</v>
      </c>
      <c r="Y626" s="17">
        <v>171849</v>
      </c>
      <c r="Z626" s="17">
        <v>9585</v>
      </c>
      <c r="AA626" s="17">
        <v>539</v>
      </c>
      <c r="AB626" s="17">
        <v>10124</v>
      </c>
      <c r="AC626" s="17">
        <v>181973</v>
      </c>
      <c r="AD626" s="17">
        <v>262</v>
      </c>
      <c r="AE626" s="51">
        <f t="shared" si="67"/>
        <v>14.07628366256138</v>
      </c>
      <c r="AF626" s="51">
        <f t="shared" si="68"/>
        <v>0.82926462068310802</v>
      </c>
      <c r="AG626" s="51">
        <f t="shared" si="69"/>
        <v>14.905548283244489</v>
      </c>
      <c r="AH626" s="51">
        <f t="shared" si="70"/>
        <v>2.1460621357069765E-2</v>
      </c>
      <c r="AI626" s="17">
        <v>219723</v>
      </c>
      <c r="AJ626" s="17">
        <v>79789</v>
      </c>
      <c r="AK626" s="17">
        <v>34286</v>
      </c>
      <c r="AL626" s="17">
        <f>+AJ626+AK626</f>
        <v>114075</v>
      </c>
      <c r="AM626" s="17">
        <f>+AL626+AI626</f>
        <v>333798</v>
      </c>
      <c r="AN626" s="17">
        <v>132408</v>
      </c>
      <c r="BG626" s="15"/>
      <c r="BL626" s="15" t="s">
        <v>1104</v>
      </c>
      <c r="BM626" s="17">
        <v>54813</v>
      </c>
      <c r="BN626" s="17">
        <v>2030</v>
      </c>
      <c r="BO626" s="17">
        <f>BN626+BM626</f>
        <v>56843</v>
      </c>
      <c r="BP626" s="17">
        <v>161988</v>
      </c>
      <c r="BQ626" s="17">
        <v>5138</v>
      </c>
      <c r="BW626" s="17"/>
    </row>
    <row r="627" spans="1:75" hidden="1" x14ac:dyDescent="0.25">
      <c r="A627" s="15" t="s">
        <v>1095</v>
      </c>
      <c r="B627" s="15" t="s">
        <v>30</v>
      </c>
      <c r="C627" s="15">
        <v>2014</v>
      </c>
      <c r="D627" s="15" t="s">
        <v>1096</v>
      </c>
      <c r="E627" s="15">
        <v>700</v>
      </c>
      <c r="F627" s="15">
        <v>11345357</v>
      </c>
      <c r="G627" s="15" t="s">
        <v>32</v>
      </c>
      <c r="H627" s="15" t="s">
        <v>89</v>
      </c>
      <c r="I627" s="15" t="s">
        <v>1105</v>
      </c>
      <c r="J627" s="15" t="s">
        <v>1098</v>
      </c>
      <c r="K627" s="15" t="s">
        <v>562</v>
      </c>
      <c r="L627" s="15" t="s">
        <v>930</v>
      </c>
      <c r="M627" s="15" t="s">
        <v>479</v>
      </c>
      <c r="N627" s="15" t="s">
        <v>37</v>
      </c>
      <c r="O627" s="15" t="s">
        <v>252</v>
      </c>
      <c r="P627" s="15" t="s">
        <v>1099</v>
      </c>
      <c r="Q627" s="15" t="s">
        <v>725</v>
      </c>
      <c r="R627" s="15" t="s">
        <v>886</v>
      </c>
      <c r="S627" s="15" t="s">
        <v>1100</v>
      </c>
      <c r="T627" s="15" t="s">
        <v>1101</v>
      </c>
      <c r="U627" s="15" t="s">
        <v>1102</v>
      </c>
      <c r="V627" s="15" t="s">
        <v>1103</v>
      </c>
      <c r="W627" s="15" t="s">
        <v>503</v>
      </c>
      <c r="X627" s="15" t="s">
        <v>1100</v>
      </c>
      <c r="Y627" s="17">
        <v>138039</v>
      </c>
      <c r="Z627" s="17">
        <v>10815</v>
      </c>
      <c r="AA627" s="17">
        <v>682</v>
      </c>
      <c r="AB627" s="17">
        <v>11497</v>
      </c>
      <c r="AC627" s="17">
        <v>149536</v>
      </c>
      <c r="AD627" s="17">
        <v>213</v>
      </c>
      <c r="AE627" s="51">
        <f t="shared" si="67"/>
        <v>12.167003647395141</v>
      </c>
      <c r="AF627" s="51">
        <f t="shared" si="68"/>
        <v>1.0133660844696204</v>
      </c>
      <c r="AG627" s="51">
        <f t="shared" si="69"/>
        <v>13.180369731864761</v>
      </c>
      <c r="AH627" s="51">
        <f t="shared" si="70"/>
        <v>1.8774199877535806E-2</v>
      </c>
      <c r="AI627" s="17">
        <v>186357</v>
      </c>
      <c r="AJ627" s="17">
        <v>72153</v>
      </c>
      <c r="AK627" s="17">
        <v>27624</v>
      </c>
      <c r="AL627" s="17">
        <f>+AJ627+AK627</f>
        <v>99777</v>
      </c>
      <c r="AM627" s="17">
        <f>+AL627+AI627</f>
        <v>286134</v>
      </c>
      <c r="AN627" s="17">
        <v>69749</v>
      </c>
      <c r="BG627" s="15"/>
      <c r="BL627" s="15" t="s">
        <v>1104</v>
      </c>
      <c r="BM627" s="17">
        <v>36169</v>
      </c>
      <c r="BN627" s="17">
        <f>1817+27</f>
        <v>1844</v>
      </c>
      <c r="BO627" s="17">
        <f>BN627+BM627</f>
        <v>38013</v>
      </c>
      <c r="BP627" s="17">
        <v>132733</v>
      </c>
      <c r="BQ627" s="17">
        <f>4874+80</f>
        <v>4954</v>
      </c>
      <c r="BW627" s="17"/>
    </row>
    <row r="628" spans="1:75" hidden="1" x14ac:dyDescent="0.25">
      <c r="A628" s="15" t="s">
        <v>1095</v>
      </c>
      <c r="B628" s="15" t="s">
        <v>30</v>
      </c>
      <c r="C628" s="15">
        <v>2011</v>
      </c>
      <c r="D628" s="15" t="s">
        <v>1096</v>
      </c>
      <c r="E628" s="15">
        <v>610</v>
      </c>
      <c r="F628" s="15">
        <v>10516071</v>
      </c>
      <c r="G628" s="15" t="s">
        <v>32</v>
      </c>
      <c r="H628" s="15" t="s">
        <v>89</v>
      </c>
      <c r="I628" s="15" t="s">
        <v>1106</v>
      </c>
      <c r="J628" s="15" t="s">
        <v>1098</v>
      </c>
      <c r="K628" s="15" t="s">
        <v>562</v>
      </c>
      <c r="L628" s="15" t="s">
        <v>930</v>
      </c>
      <c r="M628" s="15" t="s">
        <v>479</v>
      </c>
      <c r="N628" s="15" t="s">
        <v>37</v>
      </c>
      <c r="O628" s="15" t="s">
        <v>252</v>
      </c>
      <c r="P628" s="15" t="s">
        <v>1099</v>
      </c>
      <c r="Q628" s="15" t="s">
        <v>725</v>
      </c>
      <c r="R628" s="15" t="s">
        <v>886</v>
      </c>
      <c r="S628" s="15" t="s">
        <v>1100</v>
      </c>
      <c r="T628" s="15" t="s">
        <v>1101</v>
      </c>
      <c r="U628" s="15" t="s">
        <v>1102</v>
      </c>
      <c r="V628" s="15" t="s">
        <v>1103</v>
      </c>
      <c r="W628" s="15" t="s">
        <v>503</v>
      </c>
      <c r="X628" s="15" t="s">
        <v>1100</v>
      </c>
      <c r="Y628" s="17">
        <v>111204</v>
      </c>
      <c r="Z628" s="17">
        <v>7479</v>
      </c>
      <c r="AA628" s="17">
        <v>453</v>
      </c>
      <c r="AB628" s="17">
        <v>7932</v>
      </c>
      <c r="AC628" s="17">
        <v>119136</v>
      </c>
      <c r="AD628" s="17">
        <v>105</v>
      </c>
      <c r="AE628" s="51">
        <f t="shared" si="67"/>
        <v>10.574671852253566</v>
      </c>
      <c r="AF628" s="51">
        <f t="shared" si="68"/>
        <v>0.75427410104020787</v>
      </c>
      <c r="AG628" s="51">
        <f t="shared" si="69"/>
        <v>11.328945953293774</v>
      </c>
      <c r="AH628" s="51">
        <f t="shared" si="70"/>
        <v>9.9847176764021467E-3</v>
      </c>
      <c r="AI628" s="17">
        <v>140295</v>
      </c>
      <c r="AJ628" s="17">
        <v>57909</v>
      </c>
      <c r="AK628" s="17">
        <v>21539</v>
      </c>
      <c r="AL628" s="17">
        <f>+AJ628+AK628</f>
        <v>79448</v>
      </c>
      <c r="AM628" s="17">
        <f>+AL628+AI628</f>
        <v>219743</v>
      </c>
      <c r="AN628" s="17">
        <v>44905</v>
      </c>
      <c r="BG628" s="15"/>
      <c r="BL628" s="15" t="s">
        <v>1104</v>
      </c>
      <c r="BM628" s="17"/>
      <c r="BN628" s="17"/>
      <c r="BO628" s="17"/>
      <c r="BP628" s="17"/>
      <c r="BQ628" s="17"/>
      <c r="BW628" s="17"/>
    </row>
    <row r="629" spans="1:75" hidden="1" x14ac:dyDescent="0.25">
      <c r="A629" s="15" t="s">
        <v>1108</v>
      </c>
      <c r="B629" s="15" t="s">
        <v>30</v>
      </c>
      <c r="C629" s="15">
        <v>2017</v>
      </c>
      <c r="D629" s="15" t="s">
        <v>1109</v>
      </c>
      <c r="E629" s="15">
        <v>59000</v>
      </c>
      <c r="F629" s="15">
        <v>33400</v>
      </c>
      <c r="G629" s="15" t="s">
        <v>109</v>
      </c>
      <c r="H629" s="15" t="s">
        <v>43</v>
      </c>
      <c r="I629" s="15" t="s">
        <v>1110</v>
      </c>
      <c r="J629" s="15" t="s">
        <v>1111</v>
      </c>
      <c r="K629" s="15" t="s">
        <v>61</v>
      </c>
      <c r="L629" s="15" t="s">
        <v>955</v>
      </c>
      <c r="M629" s="15" t="s">
        <v>622</v>
      </c>
      <c r="N629" s="15" t="s">
        <v>49</v>
      </c>
      <c r="O629" s="15"/>
      <c r="P629" s="15"/>
      <c r="Q629" s="15"/>
      <c r="R629" s="15"/>
      <c r="S629" s="15"/>
      <c r="T629" s="15"/>
      <c r="U629" s="15"/>
      <c r="V629" s="15"/>
      <c r="W629" s="15"/>
      <c r="X629" s="15"/>
      <c r="Y629" s="17">
        <v>4719</v>
      </c>
      <c r="Z629" s="17">
        <v>169</v>
      </c>
      <c r="AA629" s="17">
        <v>70</v>
      </c>
      <c r="AB629" s="17">
        <v>239</v>
      </c>
      <c r="AC629" s="17">
        <v>4958</v>
      </c>
      <c r="AD629" s="17">
        <v>38</v>
      </c>
      <c r="AE629" s="51">
        <f t="shared" si="67"/>
        <v>141.2874251497006</v>
      </c>
      <c r="AF629" s="51">
        <f t="shared" si="68"/>
        <v>7.1556886227544902</v>
      </c>
      <c r="AG629" s="51">
        <f t="shared" si="69"/>
        <v>148.44311377245509</v>
      </c>
      <c r="AH629" s="51">
        <f t="shared" si="70"/>
        <v>1.1377245508982037</v>
      </c>
      <c r="BG629" s="15"/>
      <c r="BM629" s="17"/>
      <c r="BN629" s="17"/>
      <c r="BO629" s="17"/>
      <c r="BP629" s="17"/>
      <c r="BQ629" s="17"/>
      <c r="BT629" s="15" t="s">
        <v>1112</v>
      </c>
      <c r="BW629" s="17"/>
    </row>
    <row r="630" spans="1:75" hidden="1" x14ac:dyDescent="0.25">
      <c r="A630" s="15" t="s">
        <v>1108</v>
      </c>
      <c r="B630" s="15" t="s">
        <v>30</v>
      </c>
      <c r="C630" s="15">
        <v>2016</v>
      </c>
      <c r="D630" s="15" t="s">
        <v>1109</v>
      </c>
      <c r="E630" s="15">
        <v>59600</v>
      </c>
      <c r="F630" s="15">
        <v>33400</v>
      </c>
      <c r="G630" s="15" t="s">
        <v>109</v>
      </c>
      <c r="H630" s="15" t="s">
        <v>43</v>
      </c>
      <c r="I630" s="15" t="s">
        <v>1110</v>
      </c>
      <c r="J630" s="15" t="s">
        <v>1111</v>
      </c>
      <c r="K630" s="15" t="s">
        <v>61</v>
      </c>
      <c r="L630" s="15" t="s">
        <v>955</v>
      </c>
      <c r="M630" s="15" t="s">
        <v>622</v>
      </c>
      <c r="N630" s="15" t="s">
        <v>49</v>
      </c>
      <c r="O630" s="15"/>
      <c r="P630" s="15"/>
      <c r="Q630" s="15"/>
      <c r="R630" s="15"/>
      <c r="S630" s="15"/>
      <c r="T630" s="15"/>
      <c r="U630" s="15"/>
      <c r="V630" s="15"/>
      <c r="W630" s="15"/>
      <c r="X630" s="15"/>
      <c r="Y630" s="17">
        <v>4724</v>
      </c>
      <c r="Z630" s="17">
        <v>155</v>
      </c>
      <c r="AA630" s="17">
        <v>73</v>
      </c>
      <c r="AB630" s="17">
        <v>228</v>
      </c>
      <c r="AC630" s="17">
        <v>4952</v>
      </c>
      <c r="AD630" s="17">
        <v>39</v>
      </c>
      <c r="AE630" s="51">
        <f t="shared" si="67"/>
        <v>141.43712574850301</v>
      </c>
      <c r="AF630" s="51">
        <f t="shared" si="68"/>
        <v>6.8263473053892216</v>
      </c>
      <c r="AG630" s="51">
        <f t="shared" si="69"/>
        <v>148.2634730538922</v>
      </c>
      <c r="AH630" s="51">
        <f t="shared" si="70"/>
        <v>1.1676646706586826</v>
      </c>
      <c r="BG630" s="15"/>
      <c r="BM630" s="17"/>
      <c r="BN630" s="17"/>
      <c r="BO630" s="17"/>
      <c r="BP630" s="17"/>
      <c r="BQ630" s="17"/>
      <c r="BT630" s="15" t="s">
        <v>1112</v>
      </c>
      <c r="BW630" s="17"/>
    </row>
    <row r="631" spans="1:75" hidden="1" x14ac:dyDescent="0.25">
      <c r="A631" s="15" t="s">
        <v>1108</v>
      </c>
      <c r="B631" s="15" t="s">
        <v>30</v>
      </c>
      <c r="C631" s="15">
        <v>2015</v>
      </c>
      <c r="D631" s="15" t="s">
        <v>1109</v>
      </c>
      <c r="E631" s="15">
        <v>58300</v>
      </c>
      <c r="F631" s="15">
        <v>32960</v>
      </c>
      <c r="G631" s="15" t="s">
        <v>109</v>
      </c>
      <c r="H631" s="15" t="s">
        <v>43</v>
      </c>
      <c r="I631" s="15" t="s">
        <v>1110</v>
      </c>
      <c r="J631" s="15" t="s">
        <v>1111</v>
      </c>
      <c r="K631" s="15" t="s">
        <v>61</v>
      </c>
      <c r="L631" s="15" t="s">
        <v>955</v>
      </c>
      <c r="M631" s="15" t="s">
        <v>622</v>
      </c>
      <c r="N631" s="15" t="s">
        <v>49</v>
      </c>
      <c r="O631" s="15"/>
      <c r="P631" s="15"/>
      <c r="Q631" s="15"/>
      <c r="R631" s="15"/>
      <c r="S631" s="15"/>
      <c r="T631" s="15"/>
      <c r="U631" s="15"/>
      <c r="V631" s="15"/>
      <c r="W631" s="15"/>
      <c r="X631" s="15"/>
      <c r="Y631" s="17">
        <v>4807</v>
      </c>
      <c r="Z631" s="17">
        <v>143</v>
      </c>
      <c r="AA631" s="17">
        <v>71</v>
      </c>
      <c r="AB631" s="17">
        <v>214</v>
      </c>
      <c r="AC631" s="17">
        <v>5021</v>
      </c>
      <c r="AD631" s="17">
        <v>38</v>
      </c>
      <c r="AE631" s="51">
        <f t="shared" si="67"/>
        <v>145.84344660194174</v>
      </c>
      <c r="AF631" s="51">
        <f t="shared" si="68"/>
        <v>6.4927184466019421</v>
      </c>
      <c r="AG631" s="51">
        <f t="shared" si="69"/>
        <v>152.33616504854371</v>
      </c>
      <c r="AH631" s="51">
        <f t="shared" si="70"/>
        <v>1.1529126213592233</v>
      </c>
      <c r="BG631" s="15"/>
      <c r="BM631" s="17"/>
      <c r="BN631" s="17"/>
      <c r="BO631" s="17"/>
      <c r="BP631" s="17"/>
      <c r="BQ631" s="17"/>
      <c r="BT631" s="15" t="s">
        <v>1112</v>
      </c>
      <c r="BW631" s="17"/>
    </row>
    <row r="632" spans="1:75" hidden="1" x14ac:dyDescent="0.25">
      <c r="A632" s="15" t="s">
        <v>1108</v>
      </c>
      <c r="B632" s="15" t="s">
        <v>30</v>
      </c>
      <c r="C632" s="15">
        <v>2014</v>
      </c>
      <c r="D632" s="15" t="s">
        <v>1109</v>
      </c>
      <c r="E632" s="15">
        <v>58300</v>
      </c>
      <c r="F632" s="15">
        <v>32657</v>
      </c>
      <c r="G632" s="15" t="s">
        <v>109</v>
      </c>
      <c r="H632" s="15" t="s">
        <v>43</v>
      </c>
      <c r="I632" s="15" t="s">
        <v>1110</v>
      </c>
      <c r="J632" s="15" t="s">
        <v>1111</v>
      </c>
      <c r="K632" s="15" t="s">
        <v>61</v>
      </c>
      <c r="L632" s="15" t="s">
        <v>955</v>
      </c>
      <c r="M632" s="15" t="s">
        <v>622</v>
      </c>
      <c r="N632" s="15" t="s">
        <v>49</v>
      </c>
      <c r="O632" s="15"/>
      <c r="P632" s="15"/>
      <c r="Q632" s="15"/>
      <c r="R632" s="15"/>
      <c r="S632" s="15"/>
      <c r="T632" s="15"/>
      <c r="U632" s="15"/>
      <c r="V632" s="15"/>
      <c r="W632" s="15"/>
      <c r="X632" s="15"/>
      <c r="Y632" s="17">
        <v>4739</v>
      </c>
      <c r="Z632" s="17">
        <v>156</v>
      </c>
      <c r="AA632" s="17">
        <v>72</v>
      </c>
      <c r="AB632" s="17">
        <v>228</v>
      </c>
      <c r="AC632" s="17">
        <v>4967</v>
      </c>
      <c r="AD632" s="17">
        <v>39</v>
      </c>
      <c r="AE632" s="51">
        <f t="shared" si="67"/>
        <v>145.11437057904891</v>
      </c>
      <c r="AF632" s="51">
        <f t="shared" si="68"/>
        <v>6.9816578375233487</v>
      </c>
      <c r="AG632" s="51">
        <f t="shared" si="69"/>
        <v>152.09602841657224</v>
      </c>
      <c r="AH632" s="51">
        <f t="shared" si="70"/>
        <v>1.1942309458921518</v>
      </c>
      <c r="BG632" s="15"/>
      <c r="BM632" s="17"/>
      <c r="BN632" s="17"/>
      <c r="BO632" s="17"/>
      <c r="BP632" s="17"/>
      <c r="BQ632" s="17"/>
      <c r="BT632" s="15" t="s">
        <v>1113</v>
      </c>
      <c r="BW632" s="17"/>
    </row>
    <row r="633" spans="1:75" hidden="1" x14ac:dyDescent="0.25">
      <c r="A633" s="15" t="s">
        <v>1108</v>
      </c>
      <c r="B633" s="15" t="s">
        <v>30</v>
      </c>
      <c r="C633" s="15">
        <v>2013</v>
      </c>
      <c r="D633" s="15" t="s">
        <v>1109</v>
      </c>
      <c r="E633" s="15">
        <v>58300</v>
      </c>
      <c r="F633" s="15">
        <v>32303</v>
      </c>
      <c r="G633" s="15" t="s">
        <v>109</v>
      </c>
      <c r="H633" s="15" t="s">
        <v>43</v>
      </c>
      <c r="I633" s="15" t="s">
        <v>1110</v>
      </c>
      <c r="J633" s="15" t="s">
        <v>1111</v>
      </c>
      <c r="K633" s="15" t="s">
        <v>61</v>
      </c>
      <c r="L633" s="15" t="s">
        <v>955</v>
      </c>
      <c r="M633" s="15" t="s">
        <v>622</v>
      </c>
      <c r="N633" s="15" t="s">
        <v>49</v>
      </c>
      <c r="O633" s="15"/>
      <c r="P633" s="15"/>
      <c r="Q633" s="15"/>
      <c r="R633" s="15"/>
      <c r="S633" s="15"/>
      <c r="T633" s="15"/>
      <c r="U633" s="15"/>
      <c r="V633" s="15"/>
      <c r="W633" s="15"/>
      <c r="X633" s="15"/>
      <c r="Y633" s="17">
        <v>4849</v>
      </c>
      <c r="Z633" s="17">
        <v>161</v>
      </c>
      <c r="AA633" s="17">
        <v>72</v>
      </c>
      <c r="AB633" s="17">
        <v>233</v>
      </c>
      <c r="AC633" s="17">
        <v>5082</v>
      </c>
      <c r="AD633" s="17">
        <v>39</v>
      </c>
      <c r="AE633" s="51">
        <f t="shared" si="67"/>
        <v>150.10989691359936</v>
      </c>
      <c r="AF633" s="51">
        <f t="shared" si="68"/>
        <v>7.2129523573661887</v>
      </c>
      <c r="AG633" s="51">
        <f t="shared" si="69"/>
        <v>157.32284927096555</v>
      </c>
      <c r="AH633" s="51">
        <f t="shared" si="70"/>
        <v>1.2073182057394052</v>
      </c>
      <c r="BG633" s="15"/>
      <c r="BM633" s="17"/>
      <c r="BN633" s="17"/>
      <c r="BO633" s="17"/>
      <c r="BP633" s="17"/>
      <c r="BQ633" s="17"/>
      <c r="BT633" s="15" t="s">
        <v>1113</v>
      </c>
      <c r="BW633" s="17"/>
    </row>
    <row r="634" spans="1:75" hidden="1" x14ac:dyDescent="0.25">
      <c r="A634" s="15" t="s">
        <v>1108</v>
      </c>
      <c r="B634" s="15" t="s">
        <v>30</v>
      </c>
      <c r="C634" s="15">
        <v>2012</v>
      </c>
      <c r="D634" s="15" t="s">
        <v>1109</v>
      </c>
      <c r="E634" s="15">
        <v>58300</v>
      </c>
      <c r="F634" s="15">
        <v>31914</v>
      </c>
      <c r="G634" s="15" t="s">
        <v>109</v>
      </c>
      <c r="H634" s="15" t="s">
        <v>43</v>
      </c>
      <c r="I634" s="15" t="s">
        <v>1110</v>
      </c>
      <c r="J634" s="15" t="s">
        <v>1111</v>
      </c>
      <c r="K634" s="15" t="s">
        <v>61</v>
      </c>
      <c r="L634" s="15" t="s">
        <v>955</v>
      </c>
      <c r="M634" s="15" t="s">
        <v>622</v>
      </c>
      <c r="N634" s="15" t="s">
        <v>49</v>
      </c>
      <c r="O634" s="15"/>
      <c r="P634" s="15"/>
      <c r="Q634" s="15"/>
      <c r="R634" s="15"/>
      <c r="S634" s="15"/>
      <c r="T634" s="15"/>
      <c r="U634" s="15"/>
      <c r="V634" s="15"/>
      <c r="W634" s="15"/>
      <c r="X634" s="15"/>
      <c r="Y634" s="17">
        <v>4984</v>
      </c>
      <c r="Z634" s="17">
        <v>159</v>
      </c>
      <c r="AA634" s="17">
        <v>73</v>
      </c>
      <c r="AB634" s="17">
        <v>232</v>
      </c>
      <c r="AC634" s="17">
        <v>5216</v>
      </c>
      <c r="AD634" s="17">
        <v>37</v>
      </c>
      <c r="AE634" s="51">
        <f t="shared" si="67"/>
        <v>156.16970608510371</v>
      </c>
      <c r="AF634" s="51">
        <f t="shared" si="68"/>
        <v>7.2695368803659832</v>
      </c>
      <c r="AG634" s="51">
        <f t="shared" si="69"/>
        <v>163.4392429654697</v>
      </c>
      <c r="AH634" s="51">
        <f t="shared" si="70"/>
        <v>1.1593657955756094</v>
      </c>
      <c r="BG634" s="15"/>
      <c r="BM634" s="17"/>
      <c r="BN634" s="17"/>
      <c r="BO634" s="17"/>
      <c r="BP634" s="17"/>
      <c r="BQ634" s="17"/>
      <c r="BT634" s="15" t="s">
        <v>1113</v>
      </c>
      <c r="BW634" s="17"/>
    </row>
    <row r="635" spans="1:75" hidden="1" x14ac:dyDescent="0.25">
      <c r="A635" s="15" t="s">
        <v>1115</v>
      </c>
      <c r="B635" s="15" t="s">
        <v>30</v>
      </c>
      <c r="C635" s="15">
        <v>2017</v>
      </c>
      <c r="D635" s="15" t="s">
        <v>1116</v>
      </c>
      <c r="E635" s="17">
        <v>20090</v>
      </c>
      <c r="F635" s="17">
        <v>32938213</v>
      </c>
      <c r="G635" s="15" t="s">
        <v>109</v>
      </c>
      <c r="H635" s="15" t="s">
        <v>58</v>
      </c>
      <c r="I635" s="15" t="s">
        <v>1117</v>
      </c>
      <c r="J635" s="15" t="s">
        <v>1733</v>
      </c>
      <c r="K635" s="15" t="s">
        <v>46</v>
      </c>
      <c r="L635" s="15" t="s">
        <v>647</v>
      </c>
      <c r="M635" s="15" t="s">
        <v>128</v>
      </c>
      <c r="N635" s="15" t="s">
        <v>101</v>
      </c>
      <c r="O635" s="15"/>
      <c r="P635" s="15"/>
      <c r="Q635" s="15"/>
      <c r="R635" s="15"/>
      <c r="S635" s="15"/>
      <c r="T635" s="15"/>
      <c r="U635" s="15"/>
      <c r="V635" s="15"/>
      <c r="W635" s="15"/>
      <c r="X635" s="15"/>
      <c r="Y635" s="17">
        <v>852268</v>
      </c>
      <c r="Z635" s="17">
        <v>117461</v>
      </c>
      <c r="AA635" s="17">
        <v>7806</v>
      </c>
      <c r="AB635" s="17">
        <f>+Z635+AA635</f>
        <v>125267</v>
      </c>
      <c r="AC635" s="17">
        <f>+AB635+Y635</f>
        <v>977535</v>
      </c>
      <c r="AE635" s="51">
        <f t="shared" si="67"/>
        <v>25.874749185695045</v>
      </c>
      <c r="AF635" s="51">
        <f t="shared" si="68"/>
        <v>3.8030903498013084</v>
      </c>
      <c r="AG635" s="51">
        <f t="shared" si="69"/>
        <v>29.677839535496357</v>
      </c>
      <c r="AH635" s="51" t="str">
        <f t="shared" si="70"/>
        <v/>
      </c>
      <c r="AI635" s="17">
        <v>479425</v>
      </c>
      <c r="AJ635" s="17">
        <v>426019</v>
      </c>
      <c r="AK635" s="17">
        <v>239400</v>
      </c>
      <c r="AL635" s="17">
        <f>+AJ635+AK635</f>
        <v>665419</v>
      </c>
      <c r="AM635" s="17">
        <f>+AI635+AL635</f>
        <v>1144844</v>
      </c>
      <c r="BG635" s="15"/>
      <c r="BM635" s="17"/>
      <c r="BN635" s="17"/>
      <c r="BO635" s="17"/>
      <c r="BP635" s="17"/>
      <c r="BQ635" s="17"/>
      <c r="BW635" s="17"/>
    </row>
    <row r="636" spans="1:75" hidden="1" x14ac:dyDescent="0.25">
      <c r="A636" s="15" t="s">
        <v>1118</v>
      </c>
      <c r="B636" s="15" t="s">
        <v>30</v>
      </c>
      <c r="C636" s="15">
        <v>2016</v>
      </c>
      <c r="D636" s="15" t="s">
        <v>1119</v>
      </c>
      <c r="E636" s="15">
        <v>950</v>
      </c>
      <c r="F636" s="15">
        <v>15850567</v>
      </c>
      <c r="G636" s="15" t="s">
        <v>32</v>
      </c>
      <c r="H636" s="15" t="s">
        <v>89</v>
      </c>
      <c r="I636" s="15" t="s">
        <v>1120</v>
      </c>
      <c r="J636" s="15" t="s">
        <v>1121</v>
      </c>
      <c r="K636" s="15"/>
      <c r="L636" s="15"/>
      <c r="M636" s="15"/>
      <c r="N636" s="15"/>
      <c r="O636" s="15" t="s">
        <v>1904</v>
      </c>
      <c r="P636" s="15" t="s">
        <v>1122</v>
      </c>
      <c r="Q636" s="15" t="s">
        <v>1123</v>
      </c>
      <c r="R636" s="15" t="s">
        <v>1124</v>
      </c>
      <c r="S636" s="15" t="s">
        <v>296</v>
      </c>
      <c r="T636" s="15"/>
      <c r="U636" s="15"/>
      <c r="V636" s="15"/>
      <c r="W636" s="15"/>
      <c r="X636" s="15"/>
      <c r="Y636" s="17">
        <f>407882*0.982</f>
        <v>400540.12400000001</v>
      </c>
      <c r="Z636" s="17">
        <f>407882*0.012</f>
        <v>4894.5839999999998</v>
      </c>
      <c r="AA636" s="17">
        <f>407882*0.004</f>
        <v>1631.528</v>
      </c>
      <c r="AB636" s="17">
        <f>+Z636+AA636</f>
        <v>6526.1120000000001</v>
      </c>
      <c r="AC636" s="17">
        <f>+AB636+Y636</f>
        <v>407066.23600000003</v>
      </c>
      <c r="AD636" s="17">
        <f>407882*0.002</f>
        <v>815.76400000000001</v>
      </c>
      <c r="AE636" s="51">
        <f t="shared" si="67"/>
        <v>25.269766311829727</v>
      </c>
      <c r="AF636" s="51">
        <f t="shared" si="68"/>
        <v>0.41172735334956789</v>
      </c>
      <c r="AG636" s="51">
        <f t="shared" si="69"/>
        <v>25.681493665179296</v>
      </c>
      <c r="AH636" s="51">
        <f t="shared" si="70"/>
        <v>5.1465919168695987E-2</v>
      </c>
      <c r="BG636" s="15"/>
      <c r="BM636" s="17"/>
      <c r="BN636" s="17"/>
      <c r="BO636" s="17"/>
      <c r="BP636" s="17"/>
      <c r="BQ636" s="17"/>
      <c r="BW636" s="17" t="s">
        <v>1125</v>
      </c>
    </row>
    <row r="637" spans="1:75" hidden="1" x14ac:dyDescent="0.25">
      <c r="A637" s="15" t="s">
        <v>1126</v>
      </c>
      <c r="B637" s="15" t="s">
        <v>30</v>
      </c>
      <c r="C637" s="15">
        <v>2013</v>
      </c>
      <c r="D637" s="15" t="s">
        <v>1127</v>
      </c>
      <c r="E637" s="15">
        <v>6050</v>
      </c>
      <c r="F637" s="15">
        <v>7164132</v>
      </c>
      <c r="G637" s="15" t="s">
        <v>42</v>
      </c>
      <c r="H637" s="15" t="s">
        <v>43</v>
      </c>
      <c r="I637" s="15" t="s">
        <v>53</v>
      </c>
      <c r="J637" s="15" t="s">
        <v>1128</v>
      </c>
      <c r="K637" s="15" t="s">
        <v>92</v>
      </c>
      <c r="L637" s="15" t="s">
        <v>48</v>
      </c>
      <c r="M637" s="15" t="s">
        <v>62</v>
      </c>
      <c r="N637" s="15" t="s">
        <v>63</v>
      </c>
      <c r="O637" s="15"/>
      <c r="P637" s="15"/>
      <c r="Q637" s="15"/>
      <c r="R637" s="15"/>
      <c r="S637" s="15" t="s">
        <v>55</v>
      </c>
      <c r="T637" s="15"/>
      <c r="U637" s="15"/>
      <c r="V637" s="15"/>
      <c r="W637" s="15"/>
      <c r="X637" s="15" t="s">
        <v>55</v>
      </c>
      <c r="Y637" s="17">
        <v>269931</v>
      </c>
      <c r="Z637" s="17">
        <v>8903</v>
      </c>
      <c r="AA637" s="17">
        <v>2011</v>
      </c>
      <c r="AB637" s="17">
        <v>10914</v>
      </c>
      <c r="AC637" s="17">
        <v>280845</v>
      </c>
      <c r="AD637" s="17">
        <v>489</v>
      </c>
      <c r="AE637" s="51">
        <f t="shared" si="67"/>
        <v>37.678116483615881</v>
      </c>
      <c r="AF637" s="51">
        <f t="shared" si="68"/>
        <v>1.5234225165030459</v>
      </c>
      <c r="AG637" s="51">
        <f t="shared" si="69"/>
        <v>39.201539000118927</v>
      </c>
      <c r="AH637" s="51">
        <f t="shared" si="70"/>
        <v>6.8256698787794529E-2</v>
      </c>
      <c r="AI637" s="17">
        <v>589686</v>
      </c>
      <c r="AJ637" s="17">
        <v>179178</v>
      </c>
      <c r="AK637" s="17">
        <v>210609</v>
      </c>
      <c r="AL637" s="17">
        <v>389787</v>
      </c>
      <c r="AM637" s="17">
        <v>979473</v>
      </c>
      <c r="AN637" s="17">
        <v>411030</v>
      </c>
      <c r="AO637" s="17">
        <v>2998000000</v>
      </c>
      <c r="AP637" s="17">
        <v>2203000000</v>
      </c>
      <c r="AQ637" s="17">
        <v>2713000000</v>
      </c>
      <c r="AR637" s="17">
        <v>4916000000</v>
      </c>
      <c r="AS637" s="17">
        <f>+AR637+AO637</f>
        <v>7914000000</v>
      </c>
      <c r="AT637" s="17">
        <v>7019000000</v>
      </c>
      <c r="BG637" s="15"/>
      <c r="BM637" s="17"/>
      <c r="BN637" s="17"/>
      <c r="BO637" s="17"/>
      <c r="BP637" s="17"/>
      <c r="BQ637" s="17"/>
      <c r="BU637" s="15" t="s">
        <v>1129</v>
      </c>
      <c r="BW637" s="17"/>
    </row>
    <row r="638" spans="1:75" hidden="1" x14ac:dyDescent="0.25">
      <c r="A638" s="15" t="s">
        <v>1132</v>
      </c>
      <c r="B638" s="15" t="s">
        <v>30</v>
      </c>
      <c r="C638" s="15">
        <v>2018</v>
      </c>
      <c r="D638" s="15" t="s">
        <v>1133</v>
      </c>
      <c r="E638" s="15">
        <v>54530</v>
      </c>
      <c r="F638" s="15">
        <v>5612253</v>
      </c>
      <c r="G638" s="15" t="s">
        <v>109</v>
      </c>
      <c r="H638" s="15" t="s">
        <v>77</v>
      </c>
      <c r="I638" s="15" t="s">
        <v>1134</v>
      </c>
      <c r="J638" s="15" t="s">
        <v>1135</v>
      </c>
      <c r="K638" s="15"/>
      <c r="L638" s="15"/>
      <c r="M638" s="15" t="s">
        <v>494</v>
      </c>
      <c r="N638" s="15" t="s">
        <v>1726</v>
      </c>
      <c r="O638" s="15"/>
      <c r="P638" s="15"/>
      <c r="Q638" s="15"/>
      <c r="R638" s="15"/>
      <c r="S638" s="15"/>
      <c r="T638" s="15"/>
      <c r="U638" s="15"/>
      <c r="V638" s="15" t="s">
        <v>1258</v>
      </c>
      <c r="W638" s="15" t="s">
        <v>1258</v>
      </c>
      <c r="X638" s="15" t="s">
        <v>1136</v>
      </c>
      <c r="AC638" s="17">
        <f>263.9*1000</f>
        <v>263900</v>
      </c>
      <c r="AD638" s="17">
        <f>1.3*1000</f>
        <v>1300</v>
      </c>
      <c r="AE638" s="51" t="str">
        <f t="shared" si="67"/>
        <v/>
      </c>
      <c r="AF638" s="51" t="str">
        <f t="shared" si="68"/>
        <v/>
      </c>
      <c r="AG638" s="51">
        <f t="shared" si="69"/>
        <v>47.022113935348244</v>
      </c>
      <c r="AH638" s="51">
        <f t="shared" si="70"/>
        <v>0.2316360292381687</v>
      </c>
      <c r="AM638" s="17">
        <v>2500000</v>
      </c>
      <c r="AN638" s="17">
        <v>1000000</v>
      </c>
      <c r="AS638" s="17">
        <v>212000000000</v>
      </c>
      <c r="AT638" s="17">
        <v>233000000000</v>
      </c>
      <c r="BG638" s="15"/>
      <c r="BM638" s="17"/>
      <c r="BN638" s="17"/>
      <c r="BO638" s="17"/>
      <c r="BP638" s="17"/>
      <c r="BQ638" s="17"/>
      <c r="BS638" s="15" t="s">
        <v>1137</v>
      </c>
      <c r="BW638" s="17"/>
    </row>
    <row r="639" spans="1:75" hidden="1" x14ac:dyDescent="0.25">
      <c r="A639" s="15" t="s">
        <v>1132</v>
      </c>
      <c r="B639" s="15" t="s">
        <v>30</v>
      </c>
      <c r="C639" s="15">
        <v>2017</v>
      </c>
      <c r="D639" s="15" t="s">
        <v>1133</v>
      </c>
      <c r="E639" s="15">
        <v>54530</v>
      </c>
      <c r="F639" s="15">
        <v>5612253</v>
      </c>
      <c r="G639" s="15" t="s">
        <v>109</v>
      </c>
      <c r="H639" s="15" t="s">
        <v>77</v>
      </c>
      <c r="I639" s="15" t="s">
        <v>1134</v>
      </c>
      <c r="J639" s="15" t="s">
        <v>1135</v>
      </c>
      <c r="K639" s="15"/>
      <c r="L639" s="15"/>
      <c r="M639" s="15" t="s">
        <v>494</v>
      </c>
      <c r="N639" s="15" t="s">
        <v>1726</v>
      </c>
      <c r="O639" s="15"/>
      <c r="P639" s="15"/>
      <c r="Q639" s="15"/>
      <c r="R639" s="15"/>
      <c r="S639" s="15"/>
      <c r="T639" s="15"/>
      <c r="U639" s="15"/>
      <c r="V639" s="15" t="s">
        <v>1258</v>
      </c>
      <c r="W639" s="15" t="s">
        <v>1258</v>
      </c>
      <c r="X639" s="15" t="s">
        <v>1136</v>
      </c>
      <c r="AC639" s="17">
        <f>254.1*1000</f>
        <v>254100</v>
      </c>
      <c r="AD639" s="17">
        <f>1.3*1000</f>
        <v>1300</v>
      </c>
      <c r="AE639" s="51" t="str">
        <f t="shared" si="67"/>
        <v/>
      </c>
      <c r="AF639" s="51" t="str">
        <f t="shared" si="68"/>
        <v/>
      </c>
      <c r="AG639" s="51">
        <f t="shared" si="69"/>
        <v>45.275934638014363</v>
      </c>
      <c r="AH639" s="51">
        <f t="shared" si="70"/>
        <v>0.2316360292381687</v>
      </c>
      <c r="AM639" s="17">
        <v>2500000</v>
      </c>
      <c r="AN639" s="17">
        <v>900000</v>
      </c>
      <c r="AS639" s="17">
        <v>197000000000</v>
      </c>
      <c r="AT639" s="17">
        <v>222000000000</v>
      </c>
      <c r="BG639" s="15"/>
      <c r="BM639" s="17"/>
      <c r="BN639" s="17"/>
      <c r="BO639" s="17"/>
      <c r="BP639" s="17"/>
      <c r="BQ639" s="17"/>
      <c r="BW639" s="17"/>
    </row>
    <row r="640" spans="1:75" hidden="1" x14ac:dyDescent="0.25">
      <c r="A640" s="15" t="s">
        <v>1132</v>
      </c>
      <c r="B640" s="15" t="s">
        <v>30</v>
      </c>
      <c r="C640" s="15">
        <v>2016</v>
      </c>
      <c r="D640" s="15" t="s">
        <v>1133</v>
      </c>
      <c r="E640" s="15">
        <v>52350</v>
      </c>
      <c r="F640" s="15">
        <v>5612253</v>
      </c>
      <c r="G640" s="15" t="s">
        <v>109</v>
      </c>
      <c r="H640" s="15" t="s">
        <v>77</v>
      </c>
      <c r="I640" s="15" t="s">
        <v>1134</v>
      </c>
      <c r="J640" s="15" t="s">
        <v>1135</v>
      </c>
      <c r="K640" s="15"/>
      <c r="L640" s="15"/>
      <c r="M640" s="15" t="s">
        <v>494</v>
      </c>
      <c r="N640" s="15" t="s">
        <v>1726</v>
      </c>
      <c r="O640" s="15"/>
      <c r="P640" s="15"/>
      <c r="Q640" s="15"/>
      <c r="R640" s="15"/>
      <c r="S640" s="15"/>
      <c r="T640" s="15"/>
      <c r="U640" s="15"/>
      <c r="V640" s="15" t="s">
        <v>1258</v>
      </c>
      <c r="W640" s="15" t="s">
        <v>1258</v>
      </c>
      <c r="X640" s="15" t="s">
        <v>1136</v>
      </c>
      <c r="AC640" s="17">
        <f>247.4*1000</f>
        <v>247400</v>
      </c>
      <c r="AD640" s="17">
        <f>1.3*1000</f>
        <v>1300</v>
      </c>
      <c r="AE640" s="51" t="str">
        <f t="shared" si="67"/>
        <v/>
      </c>
      <c r="AF640" s="51" t="str">
        <f t="shared" si="68"/>
        <v/>
      </c>
      <c r="AG640" s="51">
        <f t="shared" si="69"/>
        <v>44.082118179633028</v>
      </c>
      <c r="AH640" s="51">
        <f t="shared" si="70"/>
        <v>0.2316360292381687</v>
      </c>
      <c r="AM640" s="17">
        <v>2500000</v>
      </c>
      <c r="AN640" s="17">
        <v>900000</v>
      </c>
      <c r="AS640" s="17">
        <v>187000000000</v>
      </c>
      <c r="AT640" s="17">
        <v>208000000000</v>
      </c>
      <c r="BG640" s="15"/>
      <c r="BM640" s="17"/>
      <c r="BN640" s="17"/>
      <c r="BO640" s="17"/>
      <c r="BP640" s="17"/>
      <c r="BQ640" s="17"/>
      <c r="BW640" s="17"/>
    </row>
    <row r="641" spans="1:75" hidden="1" x14ac:dyDescent="0.25">
      <c r="A641" s="15" t="s">
        <v>1132</v>
      </c>
      <c r="B641" s="15" t="s">
        <v>30</v>
      </c>
      <c r="C641" s="15">
        <v>2015</v>
      </c>
      <c r="D641" s="15" t="s">
        <v>1133</v>
      </c>
      <c r="E641" s="15">
        <v>54020</v>
      </c>
      <c r="F641" s="15">
        <v>5535002</v>
      </c>
      <c r="G641" s="15" t="s">
        <v>109</v>
      </c>
      <c r="H641" s="15" t="s">
        <v>77</v>
      </c>
      <c r="I641" s="15" t="s">
        <v>1134</v>
      </c>
      <c r="J641" s="15" t="s">
        <v>1135</v>
      </c>
      <c r="K641" s="15"/>
      <c r="L641" s="15"/>
      <c r="M641" s="15" t="s">
        <v>494</v>
      </c>
      <c r="N641" s="15" t="s">
        <v>1726</v>
      </c>
      <c r="O641" s="15"/>
      <c r="P641" s="15"/>
      <c r="Q641" s="15"/>
      <c r="R641" s="15"/>
      <c r="S641" s="15"/>
      <c r="T641" s="15"/>
      <c r="U641" s="15"/>
      <c r="V641" s="15" t="s">
        <v>1258</v>
      </c>
      <c r="W641" s="15" t="s">
        <v>1258</v>
      </c>
      <c r="X641" s="15" t="s">
        <v>1136</v>
      </c>
      <c r="AC641" s="17">
        <f>246.4*1000</f>
        <v>246400</v>
      </c>
      <c r="AD641" s="17">
        <f>1.3*1000</f>
        <v>1300</v>
      </c>
      <c r="AE641" s="51" t="str">
        <f t="shared" si="67"/>
        <v/>
      </c>
      <c r="AF641" s="51" t="str">
        <f t="shared" si="68"/>
        <v/>
      </c>
      <c r="AG641" s="51">
        <f t="shared" si="69"/>
        <v>44.51669574825808</v>
      </c>
      <c r="AH641" s="51">
        <f t="shared" si="70"/>
        <v>0.23486893048999802</v>
      </c>
      <c r="AM641" s="17">
        <v>2500000</v>
      </c>
      <c r="AN641" s="17">
        <v>1000000</v>
      </c>
      <c r="AS641" s="17">
        <v>178000000000</v>
      </c>
      <c r="AT641" s="17">
        <v>202000000000</v>
      </c>
      <c r="BG641" s="15"/>
      <c r="BM641" s="17"/>
      <c r="BN641" s="17"/>
      <c r="BO641" s="17"/>
      <c r="BP641" s="17"/>
      <c r="BQ641" s="17"/>
      <c r="BW641" s="17"/>
    </row>
    <row r="642" spans="1:75" hidden="1" x14ac:dyDescent="0.25">
      <c r="A642" s="15" t="s">
        <v>1132</v>
      </c>
      <c r="B642" s="15" t="s">
        <v>30</v>
      </c>
      <c r="C642" s="15">
        <v>2014</v>
      </c>
      <c r="D642" s="15" t="s">
        <v>1133</v>
      </c>
      <c r="E642" s="15">
        <v>56370</v>
      </c>
      <c r="F642" s="15">
        <v>5469724</v>
      </c>
      <c r="G642" s="15" t="s">
        <v>109</v>
      </c>
      <c r="H642" s="15" t="s">
        <v>77</v>
      </c>
      <c r="I642" s="15" t="s">
        <v>1134</v>
      </c>
      <c r="J642" s="15" t="s">
        <v>1135</v>
      </c>
      <c r="K642" s="15"/>
      <c r="L642" s="15"/>
      <c r="M642" s="15" t="s">
        <v>494</v>
      </c>
      <c r="N642" s="15" t="s">
        <v>1726</v>
      </c>
      <c r="O642" s="15"/>
      <c r="P642" s="15"/>
      <c r="Q642" s="15"/>
      <c r="R642" s="15"/>
      <c r="S642" s="15"/>
      <c r="T642" s="15"/>
      <c r="U642" s="15"/>
      <c r="V642" s="15" t="s">
        <v>1258</v>
      </c>
      <c r="W642" s="15" t="s">
        <v>1258</v>
      </c>
      <c r="X642" s="15" t="s">
        <v>1136</v>
      </c>
      <c r="AC642" s="17">
        <f>244.1*1000</f>
        <v>244100</v>
      </c>
      <c r="AD642" s="17">
        <f>1.3*1000</f>
        <v>1300</v>
      </c>
      <c r="AE642" s="51" t="str">
        <f t="shared" si="67"/>
        <v/>
      </c>
      <c r="AF642" s="51" t="str">
        <f t="shared" si="68"/>
        <v/>
      </c>
      <c r="AG642" s="51">
        <f t="shared" si="69"/>
        <v>44.627480289681891</v>
      </c>
      <c r="AH642" s="51">
        <f t="shared" si="70"/>
        <v>0.23767195565991994</v>
      </c>
      <c r="AM642" s="17">
        <v>2400000</v>
      </c>
      <c r="AN642" s="17">
        <v>1000000</v>
      </c>
      <c r="AS642" s="17">
        <v>179000000000</v>
      </c>
      <c r="AT642" s="17">
        <v>179000000000</v>
      </c>
      <c r="BG642" s="15"/>
      <c r="BM642" s="17"/>
      <c r="BN642" s="17"/>
      <c r="BO642" s="17"/>
      <c r="BP642" s="17"/>
      <c r="BQ642" s="17"/>
      <c r="BW642" s="17"/>
    </row>
    <row r="643" spans="1:75" hidden="1" x14ac:dyDescent="0.25">
      <c r="A643" s="15" t="s">
        <v>1138</v>
      </c>
      <c r="B643" s="15" t="s">
        <v>30</v>
      </c>
      <c r="C643" s="15">
        <v>2016</v>
      </c>
      <c r="D643" s="15" t="s">
        <v>1139</v>
      </c>
      <c r="E643" s="15">
        <v>17010</v>
      </c>
      <c r="F643" s="15">
        <v>5430798</v>
      </c>
      <c r="G643" s="15" t="s">
        <v>109</v>
      </c>
      <c r="H643" s="15" t="s">
        <v>43</v>
      </c>
      <c r="I643" s="15" t="s">
        <v>188</v>
      </c>
      <c r="J643" s="15" t="s">
        <v>1140</v>
      </c>
      <c r="K643" s="15" t="s">
        <v>190</v>
      </c>
      <c r="L643" s="15" t="s">
        <v>48</v>
      </c>
      <c r="M643" s="15" t="s">
        <v>62</v>
      </c>
      <c r="N643" s="15" t="s">
        <v>63</v>
      </c>
      <c r="O643" s="15"/>
      <c r="P643" s="15"/>
      <c r="Q643" s="15"/>
      <c r="R643" s="15"/>
      <c r="S643" s="15" t="s">
        <v>55</v>
      </c>
      <c r="T643" s="15"/>
      <c r="U643" s="15"/>
      <c r="V643" s="15"/>
      <c r="W643" s="15"/>
      <c r="X643" s="15" t="s">
        <v>55</v>
      </c>
      <c r="Y643" s="17">
        <v>432900</v>
      </c>
      <c r="Z643" s="17">
        <v>6584</v>
      </c>
      <c r="AA643" s="17">
        <v>2454</v>
      </c>
      <c r="AB643" s="17">
        <v>9038</v>
      </c>
      <c r="AC643" s="17">
        <v>441938</v>
      </c>
      <c r="AD643" s="17">
        <v>555</v>
      </c>
      <c r="AE643" s="51">
        <f t="shared" si="67"/>
        <v>79.712042318642673</v>
      </c>
      <c r="AF643" s="51">
        <f t="shared" si="68"/>
        <v>1.6642121470914588</v>
      </c>
      <c r="AG643" s="51">
        <f t="shared" si="69"/>
        <v>81.376254465734121</v>
      </c>
      <c r="AH643" s="51">
        <f t="shared" si="70"/>
        <v>0.10219492604954189</v>
      </c>
      <c r="AI643" s="17">
        <v>631580</v>
      </c>
      <c r="AJ643" s="17">
        <v>211697</v>
      </c>
      <c r="AK643" s="17">
        <v>251444</v>
      </c>
      <c r="AL643" s="17">
        <v>463141</v>
      </c>
      <c r="AM643" s="17">
        <v>1094721</v>
      </c>
      <c r="AN643" s="17">
        <v>431905</v>
      </c>
      <c r="AO643" s="17">
        <v>7921300000</v>
      </c>
      <c r="AP643" s="17">
        <v>5008900000</v>
      </c>
      <c r="AQ643" s="17">
        <v>6514100000</v>
      </c>
      <c r="AR643" s="17">
        <v>11523000000</v>
      </c>
      <c r="AS643" s="17">
        <v>19444300000</v>
      </c>
      <c r="AT643" s="17">
        <v>15802700000</v>
      </c>
      <c r="BG643" s="15"/>
      <c r="BM643" s="17"/>
      <c r="BN643" s="17"/>
      <c r="BO643" s="17"/>
      <c r="BP643" s="17"/>
      <c r="BQ643" s="17"/>
      <c r="BW643" s="17"/>
    </row>
    <row r="644" spans="1:75" hidden="1" x14ac:dyDescent="0.25">
      <c r="A644" s="15" t="s">
        <v>1138</v>
      </c>
      <c r="B644" s="15" t="s">
        <v>30</v>
      </c>
      <c r="C644" s="15">
        <v>2015</v>
      </c>
      <c r="D644" s="15" t="s">
        <v>1139</v>
      </c>
      <c r="E644" s="15">
        <v>17580</v>
      </c>
      <c r="F644" s="15">
        <v>5423801</v>
      </c>
      <c r="G644" s="15" t="s">
        <v>109</v>
      </c>
      <c r="H644" s="15" t="s">
        <v>43</v>
      </c>
      <c r="I644" s="15" t="s">
        <v>188</v>
      </c>
      <c r="J644" s="15" t="s">
        <v>1140</v>
      </c>
      <c r="K644" s="15" t="s">
        <v>190</v>
      </c>
      <c r="L644" s="15" t="s">
        <v>48</v>
      </c>
      <c r="M644" s="15" t="s">
        <v>62</v>
      </c>
      <c r="N644" s="15" t="s">
        <v>63</v>
      </c>
      <c r="O644" s="15"/>
      <c r="P644" s="15"/>
      <c r="Q644" s="15"/>
      <c r="R644" s="15"/>
      <c r="S644" s="15" t="s">
        <v>55</v>
      </c>
      <c r="T644" s="15"/>
      <c r="U644" s="15"/>
      <c r="V644" s="15"/>
      <c r="W644" s="15"/>
      <c r="X644" s="15" t="s">
        <v>55</v>
      </c>
      <c r="Y644" s="17">
        <v>414630</v>
      </c>
      <c r="Z644" s="17">
        <v>5799</v>
      </c>
      <c r="AA644" s="17">
        <v>2319</v>
      </c>
      <c r="AB644" s="17">
        <v>8118</v>
      </c>
      <c r="AC644" s="17">
        <v>422748</v>
      </c>
      <c r="AD644" s="17">
        <v>531</v>
      </c>
      <c r="AE644" s="51">
        <f t="shared" si="67"/>
        <v>76.446388796344124</v>
      </c>
      <c r="AF644" s="51">
        <f t="shared" si="68"/>
        <v>1.4967363293749163</v>
      </c>
      <c r="AG644" s="51">
        <f t="shared" si="69"/>
        <v>77.943125125719035</v>
      </c>
      <c r="AH644" s="51">
        <f t="shared" si="70"/>
        <v>9.7901821987937981E-2</v>
      </c>
      <c r="AI644" s="17">
        <v>620979</v>
      </c>
      <c r="AJ644" s="17">
        <v>221142</v>
      </c>
      <c r="AK644" s="17">
        <v>236629</v>
      </c>
      <c r="AL644" s="17">
        <v>457771</v>
      </c>
      <c r="AM644" s="17">
        <v>1078750</v>
      </c>
      <c r="AN644" s="17">
        <v>424162</v>
      </c>
      <c r="AO644" s="17">
        <v>7009300000</v>
      </c>
      <c r="AP644" s="17">
        <v>4758400000</v>
      </c>
      <c r="AQ644" s="17">
        <v>6231600000</v>
      </c>
      <c r="AR644" s="17">
        <v>10990000000</v>
      </c>
      <c r="AS644" s="17">
        <v>17999300000</v>
      </c>
      <c r="AT644" s="17">
        <v>15919500000</v>
      </c>
      <c r="BG644" s="15"/>
      <c r="BM644" s="17"/>
      <c r="BN644" s="17"/>
      <c r="BO644" s="17"/>
      <c r="BP644" s="17"/>
      <c r="BQ644" s="17"/>
      <c r="BW644" s="17"/>
    </row>
    <row r="645" spans="1:75" hidden="1" x14ac:dyDescent="0.25">
      <c r="A645" s="15" t="s">
        <v>1138</v>
      </c>
      <c r="B645" s="15" t="s">
        <v>30</v>
      </c>
      <c r="C645" s="15">
        <v>2014</v>
      </c>
      <c r="D645" s="15" t="s">
        <v>1139</v>
      </c>
      <c r="E645" s="15">
        <v>18240</v>
      </c>
      <c r="F645" s="15">
        <v>5418649</v>
      </c>
      <c r="G645" s="15" t="s">
        <v>109</v>
      </c>
      <c r="H645" s="15" t="s">
        <v>43</v>
      </c>
      <c r="I645" s="15" t="s">
        <v>188</v>
      </c>
      <c r="J645" s="15" t="s">
        <v>1140</v>
      </c>
      <c r="K645" s="15" t="s">
        <v>190</v>
      </c>
      <c r="L645" s="15" t="s">
        <v>48</v>
      </c>
      <c r="M645" s="15" t="s">
        <v>62</v>
      </c>
      <c r="N645" s="15" t="s">
        <v>63</v>
      </c>
      <c r="O645" s="15"/>
      <c r="P645" s="15"/>
      <c r="Q645" s="15"/>
      <c r="R645" s="15"/>
      <c r="S645" s="15" t="s">
        <v>55</v>
      </c>
      <c r="T645" s="15"/>
      <c r="U645" s="15"/>
      <c r="V645" s="15"/>
      <c r="W645" s="15"/>
      <c r="X645" s="15" t="s">
        <v>55</v>
      </c>
      <c r="Y645" s="17">
        <v>406771</v>
      </c>
      <c r="Z645" s="17">
        <v>5603</v>
      </c>
      <c r="AA645" s="17">
        <v>2199</v>
      </c>
      <c r="AB645" s="17">
        <v>7802</v>
      </c>
      <c r="AC645" s="17">
        <v>414573</v>
      </c>
      <c r="AD645" s="17">
        <v>524</v>
      </c>
      <c r="AE645" s="51">
        <f t="shared" si="67"/>
        <v>75.068711776680871</v>
      </c>
      <c r="AF645" s="51">
        <f t="shared" si="68"/>
        <v>1.4398422927929084</v>
      </c>
      <c r="AG645" s="51">
        <f t="shared" si="69"/>
        <v>76.508554069473774</v>
      </c>
      <c r="AH645" s="51">
        <f t="shared" si="70"/>
        <v>9.6703071189885151E-2</v>
      </c>
      <c r="AI645" s="17">
        <v>594027</v>
      </c>
      <c r="AJ645" s="17">
        <v>212567</v>
      </c>
      <c r="AK645" s="17">
        <v>225830</v>
      </c>
      <c r="AL645" s="17">
        <v>438397</v>
      </c>
      <c r="AM645" s="17">
        <v>1032424</v>
      </c>
      <c r="AN645" s="17">
        <v>413095</v>
      </c>
      <c r="AO645" s="17">
        <v>6754800000</v>
      </c>
      <c r="AP645" s="17">
        <v>4635000000</v>
      </c>
      <c r="AQ645" s="17">
        <v>5648900000</v>
      </c>
      <c r="AR645" s="17">
        <v>10283900000</v>
      </c>
      <c r="AS645" s="17">
        <v>17038700000</v>
      </c>
      <c r="AT645" s="17">
        <v>14029000000</v>
      </c>
      <c r="BG645" s="15"/>
      <c r="BM645" s="17"/>
      <c r="BN645" s="17"/>
      <c r="BO645" s="17"/>
      <c r="BP645" s="17"/>
      <c r="BQ645" s="17"/>
      <c r="BW645" s="17"/>
    </row>
    <row r="646" spans="1:75" hidden="1" x14ac:dyDescent="0.25">
      <c r="A646" s="15" t="s">
        <v>1138</v>
      </c>
      <c r="B646" s="15" t="s">
        <v>30</v>
      </c>
      <c r="C646" s="15">
        <v>2013</v>
      </c>
      <c r="D646" s="15" t="s">
        <v>1139</v>
      </c>
      <c r="E646" s="15">
        <v>18140</v>
      </c>
      <c r="F646" s="15">
        <v>5413393</v>
      </c>
      <c r="G646" s="15" t="s">
        <v>109</v>
      </c>
      <c r="H646" s="15" t="s">
        <v>43</v>
      </c>
      <c r="I646" s="15" t="s">
        <v>188</v>
      </c>
      <c r="J646" s="15" t="s">
        <v>1140</v>
      </c>
      <c r="K646" s="15" t="s">
        <v>190</v>
      </c>
      <c r="L646" s="15" t="s">
        <v>48</v>
      </c>
      <c r="M646" s="15" t="s">
        <v>62</v>
      </c>
      <c r="N646" s="15" t="s">
        <v>63</v>
      </c>
      <c r="O646" s="15"/>
      <c r="P646" s="15"/>
      <c r="Q646" s="15"/>
      <c r="R646" s="15"/>
      <c r="S646" s="15" t="s">
        <v>55</v>
      </c>
      <c r="T646" s="15"/>
      <c r="U646" s="15"/>
      <c r="V646" s="15"/>
      <c r="W646" s="15"/>
      <c r="X646" s="15" t="s">
        <v>55</v>
      </c>
      <c r="Y646" s="17">
        <v>379820</v>
      </c>
      <c r="Z646" s="17">
        <v>5866</v>
      </c>
      <c r="AA646" s="17">
        <v>2200</v>
      </c>
      <c r="AB646" s="17">
        <v>8066</v>
      </c>
      <c r="AC646" s="17">
        <v>387886</v>
      </c>
      <c r="AD646" s="17">
        <v>508</v>
      </c>
      <c r="AE646" s="51">
        <f t="shared" si="67"/>
        <v>70.163019754893099</v>
      </c>
      <c r="AF646" s="51">
        <f t="shared" si="68"/>
        <v>1.4900082074218517</v>
      </c>
      <c r="AG646" s="51">
        <f t="shared" si="69"/>
        <v>71.653027962314951</v>
      </c>
      <c r="AH646" s="51">
        <f t="shared" si="70"/>
        <v>9.384133019716101E-2</v>
      </c>
      <c r="AI646" s="17">
        <v>550548</v>
      </c>
      <c r="AJ646" s="17">
        <v>206373</v>
      </c>
      <c r="AK646" s="17">
        <v>222772</v>
      </c>
      <c r="AL646" s="17">
        <v>429145</v>
      </c>
      <c r="AM646" s="17">
        <v>979693</v>
      </c>
      <c r="AN646" s="17">
        <v>422154</v>
      </c>
      <c r="AO646" s="17">
        <v>7965500000</v>
      </c>
      <c r="AP646" s="17">
        <v>4531500000</v>
      </c>
      <c r="AQ646" s="17">
        <v>5558400000</v>
      </c>
      <c r="AR646" s="17">
        <v>10089900000</v>
      </c>
      <c r="AS646" s="17">
        <v>18055400000</v>
      </c>
      <c r="AT646" s="17">
        <v>12715200000</v>
      </c>
      <c r="BG646" s="15"/>
      <c r="BM646" s="17"/>
      <c r="BN646" s="17"/>
      <c r="BO646" s="17"/>
      <c r="BP646" s="17"/>
      <c r="BQ646" s="17"/>
      <c r="BW646" s="17"/>
    </row>
    <row r="647" spans="1:75" hidden="1" x14ac:dyDescent="0.25">
      <c r="A647" s="15" t="s">
        <v>1138</v>
      </c>
      <c r="B647" s="15" t="s">
        <v>30</v>
      </c>
      <c r="C647" s="15">
        <v>2012</v>
      </c>
      <c r="D647" s="15" t="s">
        <v>1139</v>
      </c>
      <c r="E647" s="15">
        <v>17550</v>
      </c>
      <c r="F647" s="15">
        <v>5407579</v>
      </c>
      <c r="G647" s="15" t="s">
        <v>109</v>
      </c>
      <c r="H647" s="15" t="s">
        <v>43</v>
      </c>
      <c r="I647" s="15" t="s">
        <v>188</v>
      </c>
      <c r="J647" s="15" t="s">
        <v>1140</v>
      </c>
      <c r="K647" s="15" t="s">
        <v>190</v>
      </c>
      <c r="L647" s="15" t="s">
        <v>48</v>
      </c>
      <c r="M647" s="15" t="s">
        <v>62</v>
      </c>
      <c r="N647" s="15" t="s">
        <v>63</v>
      </c>
      <c r="O647" s="15"/>
      <c r="P647" s="15"/>
      <c r="Q647" s="15"/>
      <c r="R647" s="15"/>
      <c r="S647" s="15" t="s">
        <v>55</v>
      </c>
      <c r="T647" s="15"/>
      <c r="U647" s="15"/>
      <c r="V647" s="15"/>
      <c r="W647" s="15"/>
      <c r="X647" s="15" t="s">
        <v>55</v>
      </c>
      <c r="Y647" s="17">
        <v>384271</v>
      </c>
      <c r="Z647" s="17">
        <v>5968</v>
      </c>
      <c r="AA647" s="17">
        <v>2162</v>
      </c>
      <c r="AB647" s="17">
        <v>8130</v>
      </c>
      <c r="AC647" s="17">
        <v>392401</v>
      </c>
      <c r="AD647" s="17">
        <v>515</v>
      </c>
      <c r="AE647" s="51">
        <f t="shared" ref="AE647:AE710" si="76">IF(ISERROR((Y647/$F647)*1000),"",IF((Y647/$F647)*1000=0,"",(Y647/$F647)*1000))</f>
        <v>71.061560080768118</v>
      </c>
      <c r="AF647" s="51">
        <f t="shared" ref="AF647:AF710" si="77">IF(ISERROR((AB647/$F647)*1000),"",IF((AB647/$F647)*1000=0,"",(AB647/$F647)*1000))</f>
        <v>1.5034454420360757</v>
      </c>
      <c r="AG647" s="51">
        <f t="shared" ref="AG647:AG710" si="78">IF(ISERROR((AC647/$F647)*1000),"",IF((AC647/$F647)*1000=0,"",(AC647/$F647)*1000))</f>
        <v>72.565005522804185</v>
      </c>
      <c r="AH647" s="51">
        <f t="shared" ref="AH647:AH710" si="79">IF(ISERROR((AD647/$F647)*1000),"",IF((AD647/$F647)*1000=0,"",(AD647/$F647)*1000))</f>
        <v>9.5236703892814148E-2</v>
      </c>
      <c r="AI647" s="17">
        <v>546589</v>
      </c>
      <c r="AJ647" s="17">
        <v>218647</v>
      </c>
      <c r="AK647" s="17">
        <v>221960</v>
      </c>
      <c r="AL647" s="17">
        <v>440607</v>
      </c>
      <c r="AM647" s="17">
        <v>987196</v>
      </c>
      <c r="AN647" s="17">
        <v>430032</v>
      </c>
      <c r="AO647" s="17">
        <v>8718800000</v>
      </c>
      <c r="AP647" s="17">
        <v>5710600000</v>
      </c>
      <c r="AQ647" s="17">
        <v>5490600000</v>
      </c>
      <c r="AR647" s="17">
        <v>11201200000</v>
      </c>
      <c r="AS647" s="17">
        <v>19920000000</v>
      </c>
      <c r="AT647" s="17">
        <v>13002000000</v>
      </c>
      <c r="BG647" s="15"/>
      <c r="BM647" s="17"/>
      <c r="BN647" s="17"/>
      <c r="BO647" s="17"/>
      <c r="BP647" s="17"/>
      <c r="BQ647" s="17"/>
      <c r="BW647" s="17"/>
    </row>
    <row r="648" spans="1:75" hidden="1" x14ac:dyDescent="0.25">
      <c r="A648" s="15" t="s">
        <v>1141</v>
      </c>
      <c r="B648" s="15" t="s">
        <v>30</v>
      </c>
      <c r="C648" s="15">
        <v>2016</v>
      </c>
      <c r="D648" s="15" t="s">
        <v>1142</v>
      </c>
      <c r="E648" s="15">
        <v>21700</v>
      </c>
      <c r="F648" s="15">
        <v>2066748</v>
      </c>
      <c r="G648" s="15" t="s">
        <v>109</v>
      </c>
      <c r="H648" s="15" t="s">
        <v>43</v>
      </c>
      <c r="I648" s="15" t="s">
        <v>1143</v>
      </c>
      <c r="J648" s="15" t="s">
        <v>1144</v>
      </c>
      <c r="K648" s="15" t="s">
        <v>61</v>
      </c>
      <c r="L648" s="15" t="s">
        <v>48</v>
      </c>
      <c r="M648" s="15" t="s">
        <v>62</v>
      </c>
      <c r="N648" s="15" t="s">
        <v>63</v>
      </c>
      <c r="O648" s="15"/>
      <c r="P648" s="15"/>
      <c r="Q648" s="15"/>
      <c r="R648" s="15"/>
      <c r="S648" s="15"/>
      <c r="T648" s="15"/>
      <c r="U648" s="15"/>
      <c r="V648" s="15"/>
      <c r="W648" s="15"/>
      <c r="X648" s="15"/>
      <c r="Y648" s="17">
        <v>186438</v>
      </c>
      <c r="Z648" s="17">
        <v>7268</v>
      </c>
      <c r="AA648" s="17">
        <v>2027</v>
      </c>
      <c r="AB648" s="17">
        <v>9295</v>
      </c>
      <c r="AC648" s="17">
        <v>195733</v>
      </c>
      <c r="AD648" s="17">
        <v>339</v>
      </c>
      <c r="AE648" s="51">
        <f t="shared" si="76"/>
        <v>90.208385347415359</v>
      </c>
      <c r="AF648" s="51">
        <f t="shared" si="77"/>
        <v>4.4974036505660093</v>
      </c>
      <c r="AG648" s="51">
        <f t="shared" si="78"/>
        <v>94.705788997981358</v>
      </c>
      <c r="AH648" s="51">
        <f t="shared" si="79"/>
        <v>0.16402580285550053</v>
      </c>
      <c r="AI648" s="17">
        <v>254551</v>
      </c>
      <c r="AJ648" s="17">
        <v>143423</v>
      </c>
      <c r="AK648" s="17">
        <v>200017</v>
      </c>
      <c r="AL648" s="17">
        <v>343440</v>
      </c>
      <c r="AM648" s="17">
        <v>597991</v>
      </c>
      <c r="AN648" s="17">
        <v>260212</v>
      </c>
      <c r="BG648" s="15"/>
      <c r="BM648" s="17"/>
      <c r="BN648" s="17"/>
      <c r="BO648" s="17"/>
      <c r="BP648" s="17"/>
      <c r="BQ648" s="17"/>
      <c r="BW648" s="17"/>
    </row>
    <row r="649" spans="1:75" hidden="1" x14ac:dyDescent="0.25">
      <c r="A649" s="15" t="s">
        <v>1141</v>
      </c>
      <c r="B649" s="15" t="s">
        <v>30</v>
      </c>
      <c r="C649" s="15">
        <v>2015</v>
      </c>
      <c r="D649" s="15" t="s">
        <v>1142</v>
      </c>
      <c r="E649" s="15">
        <v>22240</v>
      </c>
      <c r="F649" s="15">
        <v>2063531</v>
      </c>
      <c r="G649" s="15" t="s">
        <v>109</v>
      </c>
      <c r="H649" s="15" t="s">
        <v>43</v>
      </c>
      <c r="I649" s="15" t="s">
        <v>1143</v>
      </c>
      <c r="J649" s="15" t="s">
        <v>1144</v>
      </c>
      <c r="K649" s="15" t="s">
        <v>61</v>
      </c>
      <c r="L649" s="15" t="s">
        <v>48</v>
      </c>
      <c r="M649" s="15" t="s">
        <v>62</v>
      </c>
      <c r="N649" s="15" t="s">
        <v>63</v>
      </c>
      <c r="O649" s="15"/>
      <c r="P649" s="15"/>
      <c r="Q649" s="15"/>
      <c r="R649" s="15"/>
      <c r="S649" s="15"/>
      <c r="T649" s="15"/>
      <c r="U649" s="15"/>
      <c r="V649" s="15"/>
      <c r="W649" s="15"/>
      <c r="X649" s="15"/>
      <c r="Y649" s="17">
        <v>182454</v>
      </c>
      <c r="Z649" s="17">
        <v>7081</v>
      </c>
      <c r="AA649" s="17">
        <v>2002</v>
      </c>
      <c r="AB649" s="17">
        <v>9083</v>
      </c>
      <c r="AC649" s="17">
        <v>191537</v>
      </c>
      <c r="AD649" s="17">
        <v>326</v>
      </c>
      <c r="AE649" s="51">
        <f t="shared" si="76"/>
        <v>88.418346998421626</v>
      </c>
      <c r="AF649" s="51">
        <f t="shared" si="77"/>
        <v>4.4016784821744865</v>
      </c>
      <c r="AG649" s="51">
        <f t="shared" si="78"/>
        <v>92.820025480596115</v>
      </c>
      <c r="AH649" s="51">
        <f t="shared" si="79"/>
        <v>0.15798163439269874</v>
      </c>
      <c r="AI649" s="17">
        <v>247960</v>
      </c>
      <c r="AJ649" s="17">
        <v>140510</v>
      </c>
      <c r="AK649" s="17">
        <v>197377</v>
      </c>
      <c r="AL649" s="17">
        <v>337887</v>
      </c>
      <c r="AM649" s="17">
        <v>585847</v>
      </c>
      <c r="AN649" s="17">
        <v>251607</v>
      </c>
      <c r="BG649" s="15"/>
      <c r="BM649" s="17"/>
      <c r="BN649" s="17"/>
      <c r="BO649" s="17"/>
      <c r="BP649" s="17"/>
      <c r="BQ649" s="17"/>
      <c r="BW649" s="17"/>
    </row>
    <row r="650" spans="1:75" ht="15.6" hidden="1" customHeight="1" x14ac:dyDescent="0.25">
      <c r="A650" s="15" t="s">
        <v>1141</v>
      </c>
      <c r="B650" s="15" t="s">
        <v>30</v>
      </c>
      <c r="C650" s="15">
        <v>2014</v>
      </c>
      <c r="D650" s="15" t="s">
        <v>1142</v>
      </c>
      <c r="E650" s="15">
        <v>23540</v>
      </c>
      <c r="F650" s="15">
        <v>2061980</v>
      </c>
      <c r="G650" s="15" t="s">
        <v>109</v>
      </c>
      <c r="H650" s="15" t="s">
        <v>43</v>
      </c>
      <c r="I650" s="15" t="s">
        <v>1143</v>
      </c>
      <c r="J650" s="15" t="s">
        <v>1144</v>
      </c>
      <c r="K650" s="15" t="s">
        <v>61</v>
      </c>
      <c r="L650" s="15" t="s">
        <v>48</v>
      </c>
      <c r="M650" s="15" t="s">
        <v>62</v>
      </c>
      <c r="N650" s="15" t="s">
        <v>63</v>
      </c>
      <c r="O650" s="15"/>
      <c r="P650" s="15"/>
      <c r="Q650" s="15"/>
      <c r="R650" s="15"/>
      <c r="S650" s="15"/>
      <c r="T650" s="15"/>
      <c r="U650" s="15"/>
      <c r="V650" s="15"/>
      <c r="W650" s="15"/>
      <c r="X650" s="15"/>
      <c r="Y650" s="17">
        <v>177235</v>
      </c>
      <c r="Z650" s="17">
        <v>6897</v>
      </c>
      <c r="AA650" s="17">
        <v>1971</v>
      </c>
      <c r="AB650" s="17">
        <v>8868</v>
      </c>
      <c r="AC650" s="17">
        <v>186103</v>
      </c>
      <c r="AD650" s="17">
        <v>330</v>
      </c>
      <c r="AE650" s="51">
        <f t="shared" si="76"/>
        <v>85.953791986343219</v>
      </c>
      <c r="AF650" s="51">
        <f t="shared" si="77"/>
        <v>4.3007206665438069</v>
      </c>
      <c r="AG650" s="51">
        <f t="shared" si="78"/>
        <v>90.25451265288703</v>
      </c>
      <c r="AH650" s="51">
        <f t="shared" si="79"/>
        <v>0.16004034956692112</v>
      </c>
      <c r="AI650" s="17">
        <v>240123</v>
      </c>
      <c r="AJ650" s="17">
        <v>138355</v>
      </c>
      <c r="AK650" s="17">
        <v>193571</v>
      </c>
      <c r="AL650" s="17">
        <v>331926</v>
      </c>
      <c r="AM650" s="17">
        <v>572049</v>
      </c>
      <c r="AN650" s="17">
        <v>255351</v>
      </c>
      <c r="BG650" s="15"/>
      <c r="BM650" s="17"/>
      <c r="BN650" s="17"/>
      <c r="BO650" s="17"/>
      <c r="BP650" s="17"/>
      <c r="BQ650" s="17"/>
      <c r="BW650" s="17"/>
    </row>
    <row r="651" spans="1:75" hidden="1" x14ac:dyDescent="0.25">
      <c r="A651" s="15" t="s">
        <v>1141</v>
      </c>
      <c r="B651" s="15" t="s">
        <v>30</v>
      </c>
      <c r="C651" s="15">
        <v>2013</v>
      </c>
      <c r="D651" s="15" t="s">
        <v>1142</v>
      </c>
      <c r="E651" s="15">
        <v>23090</v>
      </c>
      <c r="F651" s="15">
        <v>2059953</v>
      </c>
      <c r="G651" s="15" t="s">
        <v>109</v>
      </c>
      <c r="H651" s="15" t="s">
        <v>43</v>
      </c>
      <c r="I651" s="15" t="s">
        <v>1143</v>
      </c>
      <c r="J651" s="15" t="s">
        <v>1144</v>
      </c>
      <c r="K651" s="15" t="s">
        <v>61</v>
      </c>
      <c r="L651" s="15" t="s">
        <v>48</v>
      </c>
      <c r="M651" s="15" t="s">
        <v>62</v>
      </c>
      <c r="N651" s="15" t="s">
        <v>63</v>
      </c>
      <c r="O651" s="15"/>
      <c r="P651" s="15"/>
      <c r="Q651" s="15"/>
      <c r="R651" s="15"/>
      <c r="S651" s="15"/>
      <c r="T651" s="15"/>
      <c r="U651" s="15"/>
      <c r="V651" s="15"/>
      <c r="W651" s="15"/>
      <c r="X651" s="15"/>
      <c r="Y651" s="17">
        <v>172983</v>
      </c>
      <c r="Z651" s="17">
        <v>6788</v>
      </c>
      <c r="AA651" s="17">
        <v>1988</v>
      </c>
      <c r="AB651" s="17">
        <v>8776</v>
      </c>
      <c r="AC651" s="17">
        <v>181759</v>
      </c>
      <c r="AD651" s="17">
        <v>330</v>
      </c>
      <c r="AE651" s="51">
        <f t="shared" si="76"/>
        <v>83.974246014350811</v>
      </c>
      <c r="AF651" s="51">
        <f t="shared" si="77"/>
        <v>4.2602913755799285</v>
      </c>
      <c r="AG651" s="51">
        <f t="shared" si="78"/>
        <v>88.234537389930736</v>
      </c>
      <c r="AH651" s="51">
        <f t="shared" si="79"/>
        <v>0.16019782975630997</v>
      </c>
      <c r="AI651" s="17">
        <v>235900</v>
      </c>
      <c r="AJ651" s="17">
        <v>136185</v>
      </c>
      <c r="AK651" s="17">
        <v>194698</v>
      </c>
      <c r="AL651" s="17">
        <v>330883</v>
      </c>
      <c r="AM651" s="17">
        <v>566783</v>
      </c>
      <c r="AN651" s="17">
        <v>250675</v>
      </c>
      <c r="BG651" s="15"/>
      <c r="BM651" s="17"/>
      <c r="BN651" s="17"/>
      <c r="BO651" s="17"/>
      <c r="BP651" s="17"/>
      <c r="BQ651" s="17"/>
      <c r="BW651" s="17"/>
    </row>
    <row r="652" spans="1:75" hidden="1" x14ac:dyDescent="0.25">
      <c r="A652" s="15" t="s">
        <v>1141</v>
      </c>
      <c r="B652" s="15" t="s">
        <v>30</v>
      </c>
      <c r="C652" s="15">
        <v>2012</v>
      </c>
      <c r="D652" s="15" t="s">
        <v>1142</v>
      </c>
      <c r="E652" s="15">
        <v>23280</v>
      </c>
      <c r="F652" s="15">
        <v>2057159</v>
      </c>
      <c r="G652" s="15" t="s">
        <v>109</v>
      </c>
      <c r="H652" s="15" t="s">
        <v>43</v>
      </c>
      <c r="I652" s="15" t="s">
        <v>1143</v>
      </c>
      <c r="J652" s="15" t="s">
        <v>1144</v>
      </c>
      <c r="K652" s="15" t="s">
        <v>61</v>
      </c>
      <c r="L652" s="15" t="s">
        <v>48</v>
      </c>
      <c r="M652" s="15" t="s">
        <v>62</v>
      </c>
      <c r="N652" s="15" t="s">
        <v>63</v>
      </c>
      <c r="O652" s="15"/>
      <c r="P652" s="15"/>
      <c r="Q652" s="15"/>
      <c r="R652" s="15"/>
      <c r="S652" s="15"/>
      <c r="T652" s="15"/>
      <c r="U652" s="15"/>
      <c r="V652" s="15"/>
      <c r="W652" s="15"/>
      <c r="X652" s="15"/>
      <c r="Y652" s="17">
        <v>164115</v>
      </c>
      <c r="Z652" s="17">
        <v>6815</v>
      </c>
      <c r="AA652" s="17">
        <v>2031</v>
      </c>
      <c r="AB652" s="17">
        <v>8846</v>
      </c>
      <c r="AC652" s="17">
        <v>172961</v>
      </c>
      <c r="AD652" s="17">
        <v>344</v>
      </c>
      <c r="AE652" s="51">
        <f t="shared" si="76"/>
        <v>79.777498968237254</v>
      </c>
      <c r="AF652" s="51">
        <f t="shared" si="77"/>
        <v>4.3001051450082377</v>
      </c>
      <c r="AG652" s="51">
        <f t="shared" si="78"/>
        <v>84.077604113245499</v>
      </c>
      <c r="AH652" s="51">
        <f t="shared" si="79"/>
        <v>0.16722091000258121</v>
      </c>
      <c r="AI652" s="17">
        <v>229771</v>
      </c>
      <c r="AJ652" s="17">
        <v>136706</v>
      </c>
      <c r="AK652" s="17">
        <v>199151</v>
      </c>
      <c r="AL652" s="17">
        <v>335857</v>
      </c>
      <c r="AM652" s="17">
        <v>565628</v>
      </c>
      <c r="AN652" s="17">
        <v>251114</v>
      </c>
      <c r="BG652" s="15"/>
      <c r="BM652" s="17"/>
      <c r="BN652" s="17"/>
      <c r="BO652" s="17"/>
      <c r="BP652" s="17"/>
      <c r="BQ652" s="17"/>
      <c r="BW652" s="17"/>
    </row>
    <row r="653" spans="1:75" hidden="1" x14ac:dyDescent="0.25">
      <c r="A653" s="15" t="s">
        <v>1141</v>
      </c>
      <c r="B653" s="15" t="s">
        <v>30</v>
      </c>
      <c r="C653" s="15">
        <v>2011</v>
      </c>
      <c r="D653" s="15" t="s">
        <v>1142</v>
      </c>
      <c r="E653" s="15">
        <v>24590</v>
      </c>
      <c r="F653" s="15">
        <v>2052843</v>
      </c>
      <c r="G653" s="15" t="s">
        <v>109</v>
      </c>
      <c r="H653" s="15" t="s">
        <v>43</v>
      </c>
      <c r="I653" s="15" t="s">
        <v>1143</v>
      </c>
      <c r="J653" s="15" t="s">
        <v>1144</v>
      </c>
      <c r="K653" s="15" t="s">
        <v>61</v>
      </c>
      <c r="L653" s="15" t="s">
        <v>48</v>
      </c>
      <c r="M653" s="15" t="s">
        <v>62</v>
      </c>
      <c r="N653" s="15" t="s">
        <v>63</v>
      </c>
      <c r="O653" s="15"/>
      <c r="P653" s="15"/>
      <c r="Q653" s="15"/>
      <c r="R653" s="15"/>
      <c r="S653" s="15"/>
      <c r="T653" s="15"/>
      <c r="U653" s="15"/>
      <c r="V653" s="15"/>
      <c r="W653" s="15"/>
      <c r="X653" s="15"/>
      <c r="Y653" s="17">
        <v>159986</v>
      </c>
      <c r="Z653" s="17">
        <v>6950</v>
      </c>
      <c r="AA653" s="17">
        <v>2082</v>
      </c>
      <c r="AB653" s="17">
        <v>9032</v>
      </c>
      <c r="AC653" s="17">
        <v>169018</v>
      </c>
      <c r="AD653" s="17">
        <v>342</v>
      </c>
      <c r="AE653" s="51">
        <f t="shared" si="76"/>
        <v>77.933870247261964</v>
      </c>
      <c r="AF653" s="51">
        <f t="shared" si="77"/>
        <v>4.3997519537538912</v>
      </c>
      <c r="AG653" s="51">
        <f t="shared" si="78"/>
        <v>82.333622201015871</v>
      </c>
      <c r="AH653" s="51">
        <f t="shared" si="79"/>
        <v>0.16659822499820978</v>
      </c>
      <c r="AI653" s="17">
        <v>226997</v>
      </c>
      <c r="AJ653" s="17">
        <v>139586</v>
      </c>
      <c r="AK653" s="17">
        <v>203572</v>
      </c>
      <c r="AL653" s="17">
        <v>343158</v>
      </c>
      <c r="AM653" s="17">
        <v>570155</v>
      </c>
      <c r="AN653" s="17">
        <v>252213</v>
      </c>
      <c r="BG653" s="15"/>
      <c r="BM653" s="17"/>
      <c r="BN653" s="17"/>
      <c r="BO653" s="17"/>
      <c r="BP653" s="17"/>
      <c r="BQ653" s="17"/>
      <c r="BW653" s="17"/>
    </row>
    <row r="654" spans="1:75" hidden="1" x14ac:dyDescent="0.25">
      <c r="A654" s="15" t="s">
        <v>1141</v>
      </c>
      <c r="B654" s="15" t="s">
        <v>52</v>
      </c>
      <c r="C654" s="15">
        <v>2016</v>
      </c>
      <c r="D654" s="15" t="s">
        <v>1142</v>
      </c>
      <c r="E654" s="15">
        <v>21700</v>
      </c>
      <c r="F654" s="15">
        <v>2066748</v>
      </c>
      <c r="G654" s="15" t="s">
        <v>109</v>
      </c>
      <c r="H654" s="15" t="s">
        <v>43</v>
      </c>
      <c r="I654" s="15" t="s">
        <v>188</v>
      </c>
      <c r="J654" s="15" t="s">
        <v>1140</v>
      </c>
      <c r="K654" s="15" t="s">
        <v>190</v>
      </c>
      <c r="L654" s="15" t="s">
        <v>48</v>
      </c>
      <c r="M654" s="15" t="s">
        <v>62</v>
      </c>
      <c r="N654" s="15" t="s">
        <v>63</v>
      </c>
      <c r="O654" s="15"/>
      <c r="P654" s="15"/>
      <c r="Q654" s="15"/>
      <c r="R654" s="15"/>
      <c r="S654" s="15"/>
      <c r="T654" s="15"/>
      <c r="U654" s="15"/>
      <c r="V654" s="15"/>
      <c r="W654" s="15"/>
      <c r="X654" s="15"/>
      <c r="Y654" s="17">
        <v>131660</v>
      </c>
      <c r="Z654" s="17">
        <v>5910</v>
      </c>
      <c r="AA654" s="17">
        <v>1129</v>
      </c>
      <c r="AB654" s="17">
        <f t="shared" ref="AB654:AB659" si="80">+AA654+Z654</f>
        <v>7039</v>
      </c>
      <c r="AC654" s="17">
        <f t="shared" ref="AC654:AC660" si="81">+AB654+Y654</f>
        <v>138699</v>
      </c>
      <c r="AD654" s="17">
        <v>224</v>
      </c>
      <c r="AE654" s="51">
        <f t="shared" si="76"/>
        <v>63.70394455444012</v>
      </c>
      <c r="AF654" s="51">
        <f t="shared" si="77"/>
        <v>3.4058337058993162</v>
      </c>
      <c r="AG654" s="51">
        <f t="shared" si="78"/>
        <v>67.109778260339425</v>
      </c>
      <c r="AH654" s="51">
        <f t="shared" si="79"/>
        <v>0.10838283138534548</v>
      </c>
      <c r="AI654" s="17">
        <v>214243</v>
      </c>
      <c r="AJ654" s="17">
        <v>111373</v>
      </c>
      <c r="AK654" s="17">
        <v>115048</v>
      </c>
      <c r="AL654" s="17">
        <f t="shared" ref="AL654:AL659" si="82">+AJ654+AK654</f>
        <v>226421</v>
      </c>
      <c r="AM654" s="17">
        <f t="shared" ref="AM654:AM659" si="83">+AL654+AI654</f>
        <v>440664</v>
      </c>
      <c r="AN654" s="17">
        <v>163575</v>
      </c>
      <c r="AO654" s="17">
        <v>4693300000</v>
      </c>
      <c r="AP654" s="17">
        <v>4094800000</v>
      </c>
      <c r="AQ654" s="17">
        <v>4500100000</v>
      </c>
      <c r="AR654" s="17">
        <f t="shared" ref="AR654:AR659" si="84">+AP654+AQ654</f>
        <v>8594900000</v>
      </c>
      <c r="AS654" s="17">
        <f t="shared" ref="AS654:AS659" si="85">+AR654+AO654</f>
        <v>13288200000</v>
      </c>
      <c r="AT654" s="17">
        <v>7289000000</v>
      </c>
      <c r="AU654" s="15" t="s">
        <v>1140</v>
      </c>
      <c r="AV654" s="15" t="s">
        <v>1140</v>
      </c>
      <c r="BG654" s="15"/>
      <c r="BM654" s="17"/>
      <c r="BN654" s="17"/>
      <c r="BO654" s="17"/>
      <c r="BP654" s="17"/>
      <c r="BQ654" s="17"/>
      <c r="BW654" s="17"/>
    </row>
    <row r="655" spans="1:75" hidden="1" x14ac:dyDescent="0.25">
      <c r="A655" s="15" t="s">
        <v>1141</v>
      </c>
      <c r="B655" s="15" t="s">
        <v>52</v>
      </c>
      <c r="C655" s="15">
        <v>2015</v>
      </c>
      <c r="D655" s="15" t="s">
        <v>1142</v>
      </c>
      <c r="E655" s="15">
        <v>22240</v>
      </c>
      <c r="F655" s="15">
        <v>2063531</v>
      </c>
      <c r="G655" s="15" t="s">
        <v>109</v>
      </c>
      <c r="H655" s="15" t="s">
        <v>43</v>
      </c>
      <c r="I655" s="15" t="s">
        <v>188</v>
      </c>
      <c r="J655" s="15" t="s">
        <v>1140</v>
      </c>
      <c r="K655" s="15" t="s">
        <v>190</v>
      </c>
      <c r="L655" s="15" t="s">
        <v>48</v>
      </c>
      <c r="M655" s="15" t="s">
        <v>62</v>
      </c>
      <c r="N655" s="15" t="s">
        <v>63</v>
      </c>
      <c r="O655" s="15"/>
      <c r="P655" s="15"/>
      <c r="Q655" s="15"/>
      <c r="R655" s="15"/>
      <c r="S655" s="15"/>
      <c r="T655" s="15"/>
      <c r="U655" s="15"/>
      <c r="V655" s="15"/>
      <c r="W655" s="15"/>
      <c r="X655" s="15"/>
      <c r="Y655" s="17">
        <v>127603</v>
      </c>
      <c r="Z655" s="17">
        <v>5800</v>
      </c>
      <c r="AA655" s="17">
        <v>1112</v>
      </c>
      <c r="AB655" s="17">
        <f t="shared" si="80"/>
        <v>6912</v>
      </c>
      <c r="AC655" s="17">
        <f t="shared" si="81"/>
        <v>134515</v>
      </c>
      <c r="AD655" s="17">
        <v>212</v>
      </c>
      <c r="AE655" s="51">
        <f t="shared" si="76"/>
        <v>61.837210102489372</v>
      </c>
      <c r="AF655" s="51">
        <f t="shared" si="77"/>
        <v>3.3495983341175877</v>
      </c>
      <c r="AG655" s="51">
        <f t="shared" si="78"/>
        <v>65.186808436606952</v>
      </c>
      <c r="AH655" s="51">
        <f t="shared" si="79"/>
        <v>0.10273652297930103</v>
      </c>
      <c r="AI655" s="17">
        <v>211510</v>
      </c>
      <c r="AJ655" s="17">
        <v>109891</v>
      </c>
      <c r="AK655" s="17">
        <v>114319</v>
      </c>
      <c r="AL655" s="17">
        <f t="shared" si="82"/>
        <v>224210</v>
      </c>
      <c r="AM655" s="17">
        <f t="shared" si="83"/>
        <v>435720</v>
      </c>
      <c r="AN655" s="17">
        <v>155622</v>
      </c>
      <c r="AO655" s="17">
        <v>4410400000</v>
      </c>
      <c r="AP655" s="17">
        <v>3804400000</v>
      </c>
      <c r="AQ655" s="17">
        <v>4233500000</v>
      </c>
      <c r="AR655" s="17">
        <f t="shared" si="84"/>
        <v>8037900000</v>
      </c>
      <c r="AS655" s="17">
        <f t="shared" si="85"/>
        <v>12448300000</v>
      </c>
      <c r="AT655" s="17">
        <v>6885000000</v>
      </c>
      <c r="AU655" s="15" t="s">
        <v>1140</v>
      </c>
      <c r="AV655" s="15" t="s">
        <v>1140</v>
      </c>
      <c r="BG655" s="15"/>
      <c r="BM655" s="17"/>
      <c r="BN655" s="17"/>
      <c r="BO655" s="17"/>
      <c r="BP655" s="17"/>
      <c r="BQ655" s="17"/>
      <c r="BW655" s="17"/>
    </row>
    <row r="656" spans="1:75" hidden="1" x14ac:dyDescent="0.25">
      <c r="A656" s="15" t="s">
        <v>1141</v>
      </c>
      <c r="B656" s="15" t="s">
        <v>52</v>
      </c>
      <c r="C656" s="15">
        <v>2014</v>
      </c>
      <c r="D656" s="15" t="s">
        <v>1142</v>
      </c>
      <c r="E656" s="15">
        <v>23540</v>
      </c>
      <c r="F656" s="15">
        <v>2061980</v>
      </c>
      <c r="G656" s="15" t="s">
        <v>109</v>
      </c>
      <c r="H656" s="15" t="s">
        <v>43</v>
      </c>
      <c r="I656" s="15" t="s">
        <v>188</v>
      </c>
      <c r="J656" s="15" t="s">
        <v>1140</v>
      </c>
      <c r="K656" s="15" t="s">
        <v>190</v>
      </c>
      <c r="L656" s="15" t="s">
        <v>48</v>
      </c>
      <c r="M656" s="15" t="s">
        <v>62</v>
      </c>
      <c r="N656" s="15" t="s">
        <v>63</v>
      </c>
      <c r="O656" s="15"/>
      <c r="P656" s="15"/>
      <c r="Q656" s="15"/>
      <c r="R656" s="15"/>
      <c r="S656" s="15"/>
      <c r="T656" s="15"/>
      <c r="U656" s="15"/>
      <c r="V656" s="15"/>
      <c r="W656" s="15"/>
      <c r="X656" s="15"/>
      <c r="Y656" s="17">
        <v>123154</v>
      </c>
      <c r="Z656" s="17">
        <v>5639</v>
      </c>
      <c r="AA656" s="17">
        <v>1081</v>
      </c>
      <c r="AB656" s="17">
        <f t="shared" si="80"/>
        <v>6720</v>
      </c>
      <c r="AC656" s="17">
        <f t="shared" si="81"/>
        <v>129874</v>
      </c>
      <c r="AD656" s="17">
        <v>214</v>
      </c>
      <c r="AE656" s="51">
        <f t="shared" si="76"/>
        <v>59.726088516862433</v>
      </c>
      <c r="AF656" s="51">
        <f t="shared" si="77"/>
        <v>3.25900348209003</v>
      </c>
      <c r="AG656" s="51">
        <f t="shared" si="78"/>
        <v>62.98509199895247</v>
      </c>
      <c r="AH656" s="51">
        <f t="shared" si="79"/>
        <v>0.10378374184036702</v>
      </c>
      <c r="AI656" s="17">
        <v>204512</v>
      </c>
      <c r="AJ656" s="17">
        <v>107851</v>
      </c>
      <c r="AK656" s="17">
        <v>111311</v>
      </c>
      <c r="AL656" s="17">
        <f t="shared" si="82"/>
        <v>219162</v>
      </c>
      <c r="AM656" s="17">
        <f t="shared" si="83"/>
        <v>423674</v>
      </c>
      <c r="AN656" s="17">
        <v>155304</v>
      </c>
      <c r="AO656" s="17">
        <v>4090500000</v>
      </c>
      <c r="AP656" s="17">
        <v>3701600000</v>
      </c>
      <c r="AQ656" s="17">
        <v>4106899999.9999995</v>
      </c>
      <c r="AR656" s="17">
        <f t="shared" si="84"/>
        <v>7808500000</v>
      </c>
      <c r="AS656" s="17">
        <f t="shared" si="85"/>
        <v>11899000000</v>
      </c>
      <c r="AT656" s="17">
        <v>6663800000</v>
      </c>
      <c r="AU656" s="15" t="s">
        <v>1140</v>
      </c>
      <c r="AV656" s="15" t="s">
        <v>1140</v>
      </c>
      <c r="BG656" s="15"/>
      <c r="BM656" s="17"/>
      <c r="BN656" s="17"/>
      <c r="BO656" s="17"/>
      <c r="BP656" s="17"/>
      <c r="BQ656" s="17"/>
      <c r="BW656" s="17"/>
    </row>
    <row r="657" spans="1:75" hidden="1" x14ac:dyDescent="0.25">
      <c r="A657" s="15" t="s">
        <v>1141</v>
      </c>
      <c r="B657" s="15" t="s">
        <v>52</v>
      </c>
      <c r="C657" s="15">
        <v>2013</v>
      </c>
      <c r="D657" s="15" t="s">
        <v>1142</v>
      </c>
      <c r="E657" s="15">
        <v>23090</v>
      </c>
      <c r="F657" s="15">
        <v>2059953</v>
      </c>
      <c r="G657" s="15" t="s">
        <v>109</v>
      </c>
      <c r="H657" s="15" t="s">
        <v>43</v>
      </c>
      <c r="I657" s="15" t="s">
        <v>188</v>
      </c>
      <c r="J657" s="15" t="s">
        <v>1140</v>
      </c>
      <c r="K657" s="15" t="s">
        <v>190</v>
      </c>
      <c r="L657" s="15" t="s">
        <v>48</v>
      </c>
      <c r="M657" s="15" t="s">
        <v>62</v>
      </c>
      <c r="N657" s="15" t="s">
        <v>63</v>
      </c>
      <c r="O657" s="15"/>
      <c r="P657" s="15"/>
      <c r="Q657" s="15"/>
      <c r="R657" s="15"/>
      <c r="S657" s="15"/>
      <c r="T657" s="15"/>
      <c r="U657" s="15"/>
      <c r="V657" s="15"/>
      <c r="W657" s="15"/>
      <c r="X657" s="15"/>
      <c r="Y657" s="17">
        <v>119901</v>
      </c>
      <c r="Z657" s="17">
        <v>5543</v>
      </c>
      <c r="AA657" s="17">
        <v>1100</v>
      </c>
      <c r="AB657" s="17">
        <f t="shared" si="80"/>
        <v>6643</v>
      </c>
      <c r="AC657" s="17">
        <f t="shared" si="81"/>
        <v>126544</v>
      </c>
      <c r="AD657" s="17">
        <v>218</v>
      </c>
      <c r="AE657" s="51">
        <f t="shared" si="76"/>
        <v>58.205696926094916</v>
      </c>
      <c r="AF657" s="51">
        <f t="shared" si="77"/>
        <v>3.2248308577914155</v>
      </c>
      <c r="AG657" s="51">
        <f t="shared" si="78"/>
        <v>61.430527783886326</v>
      </c>
      <c r="AH657" s="51">
        <f t="shared" si="79"/>
        <v>0.1058276572329563</v>
      </c>
      <c r="AI657" s="17">
        <v>200249</v>
      </c>
      <c r="AJ657" s="17">
        <v>105901</v>
      </c>
      <c r="AK657" s="17">
        <v>112459</v>
      </c>
      <c r="AL657" s="17">
        <f t="shared" si="82"/>
        <v>218360</v>
      </c>
      <c r="AM657" s="17">
        <f t="shared" si="83"/>
        <v>418609</v>
      </c>
      <c r="AN657" s="17">
        <v>155245</v>
      </c>
      <c r="AO657" s="17">
        <v>3779700000</v>
      </c>
      <c r="AP657" s="17">
        <v>3313700000</v>
      </c>
      <c r="AQ657" s="17">
        <v>3874400000</v>
      </c>
      <c r="AR657" s="17">
        <f t="shared" si="84"/>
        <v>7188100000</v>
      </c>
      <c r="AS657" s="17">
        <f t="shared" si="85"/>
        <v>10967800000</v>
      </c>
      <c r="AT657" s="17">
        <v>6388800000</v>
      </c>
      <c r="AU657" s="15" t="s">
        <v>1140</v>
      </c>
      <c r="AV657" s="15" t="s">
        <v>1140</v>
      </c>
      <c r="BG657" s="15"/>
      <c r="BM657" s="17"/>
      <c r="BN657" s="17"/>
      <c r="BO657" s="17"/>
      <c r="BP657" s="17"/>
      <c r="BQ657" s="17"/>
      <c r="BW657" s="17"/>
    </row>
    <row r="658" spans="1:75" hidden="1" x14ac:dyDescent="0.25">
      <c r="A658" s="15" t="s">
        <v>1141</v>
      </c>
      <c r="B658" s="15" t="s">
        <v>52</v>
      </c>
      <c r="C658" s="15">
        <v>2012</v>
      </c>
      <c r="D658" s="15" t="s">
        <v>1142</v>
      </c>
      <c r="E658" s="15">
        <v>23280</v>
      </c>
      <c r="F658" s="15">
        <v>2057159</v>
      </c>
      <c r="G658" s="15" t="s">
        <v>109</v>
      </c>
      <c r="H658" s="15" t="s">
        <v>43</v>
      </c>
      <c r="I658" s="15" t="s">
        <v>188</v>
      </c>
      <c r="J658" s="15" t="s">
        <v>1140</v>
      </c>
      <c r="K658" s="15" t="s">
        <v>190</v>
      </c>
      <c r="L658" s="15" t="s">
        <v>48</v>
      </c>
      <c r="M658" s="15" t="s">
        <v>62</v>
      </c>
      <c r="N658" s="15" t="s">
        <v>63</v>
      </c>
      <c r="O658" s="15"/>
      <c r="P658" s="15"/>
      <c r="Q658" s="15"/>
      <c r="R658" s="15"/>
      <c r="S658" s="15"/>
      <c r="T658" s="15"/>
      <c r="U658" s="15"/>
      <c r="V658" s="15"/>
      <c r="W658" s="15"/>
      <c r="X658" s="15"/>
      <c r="Y658" s="17">
        <v>112704</v>
      </c>
      <c r="Z658" s="17">
        <v>5593</v>
      </c>
      <c r="AA658" s="17">
        <v>1122</v>
      </c>
      <c r="AB658" s="17">
        <f t="shared" si="80"/>
        <v>6715</v>
      </c>
      <c r="AC658" s="17">
        <f t="shared" si="81"/>
        <v>119419</v>
      </c>
      <c r="AD658" s="17">
        <v>225</v>
      </c>
      <c r="AE658" s="51">
        <f t="shared" si="76"/>
        <v>54.786236746892193</v>
      </c>
      <c r="AF658" s="51">
        <f t="shared" si="77"/>
        <v>3.2642104961259681</v>
      </c>
      <c r="AG658" s="51">
        <f t="shared" si="78"/>
        <v>58.050447243018162</v>
      </c>
      <c r="AH658" s="51">
        <f t="shared" si="79"/>
        <v>0.10937414171680458</v>
      </c>
      <c r="AI658" s="17">
        <v>193618</v>
      </c>
      <c r="AJ658" s="17">
        <v>106978</v>
      </c>
      <c r="AK658" s="17">
        <v>114935</v>
      </c>
      <c r="AL658" s="17">
        <f t="shared" si="82"/>
        <v>221913</v>
      </c>
      <c r="AM658" s="17">
        <f t="shared" si="83"/>
        <v>415531</v>
      </c>
      <c r="AN658" s="17">
        <v>158950</v>
      </c>
      <c r="AO658" s="17">
        <v>3585000000</v>
      </c>
      <c r="AP658" s="17">
        <v>3398399999.9999995</v>
      </c>
      <c r="AQ658" s="17">
        <v>3783500000</v>
      </c>
      <c r="AR658" s="17">
        <f t="shared" si="84"/>
        <v>7181900000</v>
      </c>
      <c r="AS658" s="17">
        <f t="shared" si="85"/>
        <v>10766900000</v>
      </c>
      <c r="AT658" s="17">
        <v>6373100000</v>
      </c>
      <c r="AU658" s="15" t="s">
        <v>1140</v>
      </c>
      <c r="AV658" s="15" t="s">
        <v>1140</v>
      </c>
      <c r="BG658" s="15"/>
      <c r="BM658" s="17"/>
      <c r="BN658" s="17"/>
      <c r="BO658" s="17"/>
      <c r="BP658" s="17"/>
      <c r="BQ658" s="17"/>
      <c r="BW658" s="17"/>
    </row>
    <row r="659" spans="1:75" hidden="1" x14ac:dyDescent="0.25">
      <c r="A659" s="15" t="s">
        <v>1141</v>
      </c>
      <c r="B659" s="15" t="s">
        <v>52</v>
      </c>
      <c r="C659" s="15">
        <v>2011</v>
      </c>
      <c r="D659" s="15" t="s">
        <v>1142</v>
      </c>
      <c r="E659" s="15">
        <v>24590</v>
      </c>
      <c r="F659" s="15">
        <v>2052843</v>
      </c>
      <c r="G659" s="15" t="s">
        <v>109</v>
      </c>
      <c r="H659" s="15" t="s">
        <v>43</v>
      </c>
      <c r="I659" s="15" t="s">
        <v>188</v>
      </c>
      <c r="J659" s="15" t="s">
        <v>1140</v>
      </c>
      <c r="K659" s="15" t="s">
        <v>190</v>
      </c>
      <c r="L659" s="15" t="s">
        <v>48</v>
      </c>
      <c r="M659" s="15" t="s">
        <v>62</v>
      </c>
      <c r="N659" s="15" t="s">
        <v>63</v>
      </c>
      <c r="O659" s="15"/>
      <c r="P659" s="15"/>
      <c r="Q659" s="15"/>
      <c r="R659" s="15"/>
      <c r="S659" s="15"/>
      <c r="T659" s="15"/>
      <c r="U659" s="15"/>
      <c r="V659" s="15"/>
      <c r="W659" s="15"/>
      <c r="X659" s="15"/>
      <c r="Y659" s="17">
        <v>110343</v>
      </c>
      <c r="Z659" s="17">
        <v>5739</v>
      </c>
      <c r="AA659" s="17">
        <v>1174</v>
      </c>
      <c r="AB659" s="17">
        <f t="shared" si="80"/>
        <v>6913</v>
      </c>
      <c r="AC659" s="17">
        <f t="shared" si="81"/>
        <v>117256</v>
      </c>
      <c r="AD659" s="17">
        <v>225</v>
      </c>
      <c r="AE659" s="51">
        <f t="shared" si="76"/>
        <v>53.751309768939947</v>
      </c>
      <c r="AF659" s="51">
        <f t="shared" si="77"/>
        <v>3.3675249398029954</v>
      </c>
      <c r="AG659" s="51">
        <f t="shared" si="78"/>
        <v>57.118834708742945</v>
      </c>
      <c r="AH659" s="51">
        <f t="shared" si="79"/>
        <v>0.10960409539355907</v>
      </c>
      <c r="AI659" s="17">
        <v>192211</v>
      </c>
      <c r="AJ659" s="17">
        <v>110342</v>
      </c>
      <c r="AK659" s="17">
        <v>120736</v>
      </c>
      <c r="AL659" s="17">
        <f t="shared" si="82"/>
        <v>231078</v>
      </c>
      <c r="AM659" s="17">
        <f t="shared" si="83"/>
        <v>423289</v>
      </c>
      <c r="AN659" s="17">
        <v>161923</v>
      </c>
      <c r="AO659" s="17">
        <v>3746900000</v>
      </c>
      <c r="AP659" s="17">
        <v>3517000000</v>
      </c>
      <c r="AQ659" s="17">
        <v>4004600000</v>
      </c>
      <c r="AR659" s="17">
        <f t="shared" si="84"/>
        <v>7521600000</v>
      </c>
      <c r="AS659" s="17">
        <f t="shared" si="85"/>
        <v>11268500000</v>
      </c>
      <c r="AT659" s="17">
        <v>6611500000</v>
      </c>
      <c r="AU659" s="15" t="s">
        <v>1140</v>
      </c>
      <c r="AV659" s="15" t="s">
        <v>1140</v>
      </c>
      <c r="BG659" s="15"/>
      <c r="BM659" s="17"/>
      <c r="BN659" s="17"/>
      <c r="BO659" s="17"/>
      <c r="BP659" s="17"/>
      <c r="BQ659" s="17"/>
      <c r="BW659" s="17"/>
    </row>
    <row r="660" spans="1:75" hidden="1" x14ac:dyDescent="0.25">
      <c r="A660" s="15" t="s">
        <v>1141</v>
      </c>
      <c r="B660" s="15" t="s">
        <v>142</v>
      </c>
      <c r="C660" s="15">
        <v>2016</v>
      </c>
      <c r="D660" s="15" t="s">
        <v>1142</v>
      </c>
      <c r="E660" s="15">
        <v>21700</v>
      </c>
      <c r="F660" s="15">
        <v>2066748</v>
      </c>
      <c r="G660" s="15" t="s">
        <v>109</v>
      </c>
      <c r="H660" s="15" t="s">
        <v>43</v>
      </c>
      <c r="I660" s="15" t="s">
        <v>1145</v>
      </c>
      <c r="J660" s="15" t="s">
        <v>432</v>
      </c>
      <c r="K660" s="15" t="s">
        <v>92</v>
      </c>
      <c r="L660" s="15" t="s">
        <v>48</v>
      </c>
      <c r="M660" s="15" t="s">
        <v>62</v>
      </c>
      <c r="N660" s="15" t="s">
        <v>63</v>
      </c>
      <c r="O660" s="15"/>
      <c r="P660" s="15"/>
      <c r="Q660" s="15"/>
      <c r="R660" s="15"/>
      <c r="S660" s="15"/>
      <c r="T660" s="15"/>
      <c r="U660" s="15"/>
      <c r="V660" s="15"/>
      <c r="W660" s="15"/>
      <c r="X660" s="15"/>
      <c r="Y660" s="17">
        <v>55055</v>
      </c>
      <c r="Z660" s="17">
        <v>5079</v>
      </c>
      <c r="AA660" s="17">
        <v>1171</v>
      </c>
      <c r="AB660" s="17">
        <f>+Z660+AA660</f>
        <v>6250</v>
      </c>
      <c r="AC660" s="17">
        <f t="shared" si="81"/>
        <v>61305</v>
      </c>
      <c r="AD660" s="17">
        <v>244</v>
      </c>
      <c r="AE660" s="51">
        <f t="shared" si="76"/>
        <v>26.638467776429444</v>
      </c>
      <c r="AF660" s="51">
        <f t="shared" si="77"/>
        <v>3.0240745364214701</v>
      </c>
      <c r="AG660" s="51">
        <f t="shared" si="78"/>
        <v>29.662542312850913</v>
      </c>
      <c r="AH660" s="51">
        <f t="shared" si="79"/>
        <v>0.11805986990189418</v>
      </c>
      <c r="BE660" s="16">
        <v>4355000000</v>
      </c>
      <c r="BF660" s="42">
        <v>0.46789999999999998</v>
      </c>
      <c r="BM660" s="17"/>
      <c r="BN660" s="17"/>
      <c r="BO660" s="17"/>
      <c r="BP660" s="17"/>
      <c r="BQ660" s="17"/>
      <c r="BS660" s="15" t="s">
        <v>1147</v>
      </c>
      <c r="BW660" s="17" t="s">
        <v>1146</v>
      </c>
    </row>
    <row r="661" spans="1:75" hidden="1" x14ac:dyDescent="0.25">
      <c r="A661" s="15" t="s">
        <v>1141</v>
      </c>
      <c r="B661" s="15" t="s">
        <v>142</v>
      </c>
      <c r="C661" s="15">
        <v>2015</v>
      </c>
      <c r="D661" s="15" t="s">
        <v>1142</v>
      </c>
      <c r="E661" s="15">
        <v>22240</v>
      </c>
      <c r="F661" s="15">
        <v>2063531</v>
      </c>
      <c r="G661" s="15" t="s">
        <v>109</v>
      </c>
      <c r="H661" s="15" t="s">
        <v>43</v>
      </c>
      <c r="I661" s="15" t="s">
        <v>1145</v>
      </c>
      <c r="J661" s="15" t="s">
        <v>432</v>
      </c>
      <c r="K661" s="15" t="s">
        <v>92</v>
      </c>
      <c r="L661" s="15" t="s">
        <v>48</v>
      </c>
      <c r="M661" s="15" t="s">
        <v>62</v>
      </c>
      <c r="N661" s="15" t="s">
        <v>63</v>
      </c>
      <c r="O661" s="15"/>
      <c r="P661" s="15"/>
      <c r="Q661" s="15"/>
      <c r="R661" s="15"/>
      <c r="S661" s="15"/>
      <c r="T661" s="15"/>
      <c r="U661" s="15"/>
      <c r="V661" s="15"/>
      <c r="W661" s="15"/>
      <c r="X661" s="15"/>
      <c r="AE661" s="51" t="str">
        <f t="shared" si="76"/>
        <v/>
      </c>
      <c r="AF661" s="51" t="str">
        <f t="shared" si="77"/>
        <v/>
      </c>
      <c r="AG661" s="51" t="str">
        <f t="shared" si="78"/>
        <v/>
      </c>
      <c r="AH661" s="51" t="str">
        <f t="shared" si="79"/>
        <v/>
      </c>
      <c r="BE661" s="16">
        <v>4118000000</v>
      </c>
      <c r="BF661" s="42">
        <v>0.41010000000000002</v>
      </c>
      <c r="BM661" s="17"/>
      <c r="BN661" s="17"/>
      <c r="BO661" s="17"/>
      <c r="BP661" s="17"/>
      <c r="BQ661" s="17"/>
      <c r="BS661" s="15" t="s">
        <v>1147</v>
      </c>
      <c r="BW661" s="17"/>
    </row>
    <row r="662" spans="1:75" hidden="1" x14ac:dyDescent="0.25">
      <c r="A662" s="15" t="s">
        <v>1141</v>
      </c>
      <c r="B662" s="15" t="s">
        <v>142</v>
      </c>
      <c r="C662" s="15">
        <v>2014</v>
      </c>
      <c r="D662" s="15" t="s">
        <v>1142</v>
      </c>
      <c r="E662" s="15">
        <v>23540</v>
      </c>
      <c r="F662" s="15">
        <v>2061980</v>
      </c>
      <c r="G662" s="15" t="s">
        <v>109</v>
      </c>
      <c r="H662" s="15" t="s">
        <v>43</v>
      </c>
      <c r="I662" s="15" t="s">
        <v>1145</v>
      </c>
      <c r="J662" s="15" t="s">
        <v>432</v>
      </c>
      <c r="K662" s="15" t="s">
        <v>92</v>
      </c>
      <c r="L662" s="15" t="s">
        <v>48</v>
      </c>
      <c r="M662" s="15" t="s">
        <v>62</v>
      </c>
      <c r="N662" s="15" t="s">
        <v>63</v>
      </c>
      <c r="O662" s="15"/>
      <c r="P662" s="15"/>
      <c r="Q662" s="15"/>
      <c r="R662" s="15"/>
      <c r="S662" s="15"/>
      <c r="T662" s="15"/>
      <c r="U662" s="15"/>
      <c r="V662" s="15"/>
      <c r="W662" s="15"/>
      <c r="X662" s="15"/>
      <c r="AE662" s="51" t="str">
        <f t="shared" si="76"/>
        <v/>
      </c>
      <c r="AF662" s="51" t="str">
        <f t="shared" si="77"/>
        <v/>
      </c>
      <c r="AG662" s="51" t="str">
        <f t="shared" si="78"/>
        <v/>
      </c>
      <c r="AH662" s="51" t="str">
        <f t="shared" si="79"/>
        <v/>
      </c>
      <c r="BE662" s="16">
        <v>4314000000</v>
      </c>
      <c r="BF662" s="42">
        <v>0.38469999999999999</v>
      </c>
      <c r="BM662" s="17"/>
      <c r="BN662" s="17"/>
      <c r="BO662" s="17"/>
      <c r="BP662" s="17"/>
      <c r="BQ662" s="17"/>
      <c r="BS662" s="15" t="s">
        <v>1147</v>
      </c>
      <c r="BW662" s="17"/>
    </row>
    <row r="663" spans="1:75" hidden="1" x14ac:dyDescent="0.25">
      <c r="A663" s="15" t="s">
        <v>1141</v>
      </c>
      <c r="B663" s="15" t="s">
        <v>142</v>
      </c>
      <c r="C663" s="15">
        <v>2013</v>
      </c>
      <c r="D663" s="15" t="s">
        <v>1142</v>
      </c>
      <c r="E663" s="15">
        <v>23090</v>
      </c>
      <c r="F663" s="15">
        <v>2059953</v>
      </c>
      <c r="G663" s="15" t="s">
        <v>109</v>
      </c>
      <c r="H663" s="15" t="s">
        <v>43</v>
      </c>
      <c r="I663" s="15" t="s">
        <v>1145</v>
      </c>
      <c r="J663" s="15" t="s">
        <v>432</v>
      </c>
      <c r="K663" s="15" t="s">
        <v>92</v>
      </c>
      <c r="L663" s="15" t="s">
        <v>48</v>
      </c>
      <c r="M663" s="15" t="s">
        <v>62</v>
      </c>
      <c r="N663" s="15" t="s">
        <v>63</v>
      </c>
      <c r="O663" s="15"/>
      <c r="P663" s="15"/>
      <c r="Q663" s="15"/>
      <c r="R663" s="15"/>
      <c r="S663" s="15"/>
      <c r="T663" s="15"/>
      <c r="U663" s="15"/>
      <c r="V663" s="15"/>
      <c r="W663" s="15"/>
      <c r="X663" s="15"/>
      <c r="AE663" s="51" t="str">
        <f t="shared" si="76"/>
        <v/>
      </c>
      <c r="AF663" s="51" t="str">
        <f t="shared" si="77"/>
        <v/>
      </c>
      <c r="AG663" s="51" t="str">
        <f t="shared" si="78"/>
        <v/>
      </c>
      <c r="AH663" s="51" t="str">
        <f t="shared" si="79"/>
        <v/>
      </c>
      <c r="BE663" s="16">
        <v>5695000000</v>
      </c>
      <c r="BF663" s="42">
        <v>0.40289999999999998</v>
      </c>
      <c r="BM663" s="17"/>
      <c r="BN663" s="17"/>
      <c r="BO663" s="17"/>
      <c r="BP663" s="17"/>
      <c r="BQ663" s="17"/>
      <c r="BS663" s="15" t="s">
        <v>1147</v>
      </c>
      <c r="BW663" s="17"/>
    </row>
    <row r="664" spans="1:75" hidden="1" x14ac:dyDescent="0.25">
      <c r="A664" s="15" t="s">
        <v>1141</v>
      </c>
      <c r="B664" s="15" t="s">
        <v>142</v>
      </c>
      <c r="C664" s="15">
        <v>2012</v>
      </c>
      <c r="D664" s="15" t="s">
        <v>1142</v>
      </c>
      <c r="E664" s="15">
        <v>23280</v>
      </c>
      <c r="F664" s="15">
        <v>2057159</v>
      </c>
      <c r="G664" s="15" t="s">
        <v>109</v>
      </c>
      <c r="H664" s="15" t="s">
        <v>43</v>
      </c>
      <c r="I664" s="15" t="s">
        <v>1145</v>
      </c>
      <c r="J664" s="15" t="s">
        <v>432</v>
      </c>
      <c r="K664" s="15" t="s">
        <v>92</v>
      </c>
      <c r="L664" s="15" t="s">
        <v>48</v>
      </c>
      <c r="M664" s="15" t="s">
        <v>62</v>
      </c>
      <c r="N664" s="15" t="s">
        <v>63</v>
      </c>
      <c r="O664" s="15"/>
      <c r="P664" s="15"/>
      <c r="Q664" s="15"/>
      <c r="R664" s="15"/>
      <c r="S664" s="15"/>
      <c r="T664" s="15"/>
      <c r="U664" s="15"/>
      <c r="V664" s="15"/>
      <c r="W664" s="15"/>
      <c r="X664" s="15"/>
      <c r="AE664" s="51" t="str">
        <f t="shared" si="76"/>
        <v/>
      </c>
      <c r="AF664" s="51" t="str">
        <f t="shared" si="77"/>
        <v/>
      </c>
      <c r="AG664" s="51" t="str">
        <f t="shared" si="78"/>
        <v/>
      </c>
      <c r="AH664" s="51" t="str">
        <f t="shared" si="79"/>
        <v/>
      </c>
      <c r="BE664" s="16">
        <v>9534000000</v>
      </c>
      <c r="BF664" s="42">
        <v>0.51139999999999997</v>
      </c>
      <c r="BM664" s="17"/>
      <c r="BN664" s="17"/>
      <c r="BO664" s="17"/>
      <c r="BP664" s="17"/>
      <c r="BQ664" s="17"/>
      <c r="BS664" s="15" t="s">
        <v>1147</v>
      </c>
      <c r="BW664" s="17"/>
    </row>
    <row r="665" spans="1:75" hidden="1" x14ac:dyDescent="0.25">
      <c r="A665" s="15" t="s">
        <v>1141</v>
      </c>
      <c r="B665" s="15" t="s">
        <v>142</v>
      </c>
      <c r="C665" s="15">
        <v>2011</v>
      </c>
      <c r="D665" s="15" t="s">
        <v>1142</v>
      </c>
      <c r="E665" s="15">
        <v>24590</v>
      </c>
      <c r="F665" s="15">
        <v>2052843</v>
      </c>
      <c r="G665" s="15" t="s">
        <v>109</v>
      </c>
      <c r="H665" s="15" t="s">
        <v>43</v>
      </c>
      <c r="I665" s="15" t="s">
        <v>1145</v>
      </c>
      <c r="J665" s="15" t="s">
        <v>432</v>
      </c>
      <c r="K665" s="15" t="s">
        <v>92</v>
      </c>
      <c r="L665" s="15" t="s">
        <v>48</v>
      </c>
      <c r="M665" s="15" t="s">
        <v>62</v>
      </c>
      <c r="N665" s="15" t="s">
        <v>63</v>
      </c>
      <c r="O665" s="15"/>
      <c r="P665" s="15"/>
      <c r="Q665" s="15"/>
      <c r="R665" s="15"/>
      <c r="S665" s="15"/>
      <c r="T665" s="15"/>
      <c r="U665" s="15"/>
      <c r="V665" s="15"/>
      <c r="W665" s="15"/>
      <c r="X665" s="15"/>
      <c r="AE665" s="51" t="str">
        <f t="shared" si="76"/>
        <v/>
      </c>
      <c r="AF665" s="51" t="str">
        <f t="shared" si="77"/>
        <v/>
      </c>
      <c r="AG665" s="51" t="str">
        <f t="shared" si="78"/>
        <v/>
      </c>
      <c r="AH665" s="51" t="str">
        <f t="shared" si="79"/>
        <v/>
      </c>
      <c r="BE665" s="16">
        <v>9794000000</v>
      </c>
      <c r="BF665" s="42">
        <v>0.48749999999999999</v>
      </c>
      <c r="BM665" s="17"/>
      <c r="BN665" s="17"/>
      <c r="BO665" s="17"/>
      <c r="BP665" s="17"/>
      <c r="BQ665" s="17"/>
      <c r="BS665" s="15" t="s">
        <v>1147</v>
      </c>
      <c r="BW665" s="17"/>
    </row>
    <row r="666" spans="1:75" hidden="1" x14ac:dyDescent="0.25">
      <c r="A666" s="15" t="s">
        <v>1148</v>
      </c>
      <c r="B666" s="15" t="s">
        <v>30</v>
      </c>
      <c r="C666" s="15">
        <v>2014</v>
      </c>
      <c r="D666" s="15" t="s">
        <v>1149</v>
      </c>
      <c r="E666" s="15">
        <v>1880</v>
      </c>
      <c r="F666" s="15">
        <v>575504</v>
      </c>
      <c r="G666" s="15" t="s">
        <v>88</v>
      </c>
      <c r="H666" s="15" t="s">
        <v>77</v>
      </c>
      <c r="I666" s="15" t="s">
        <v>1150</v>
      </c>
      <c r="J666" s="15" t="s">
        <v>1151</v>
      </c>
      <c r="K666" s="15" t="s">
        <v>954</v>
      </c>
      <c r="L666" s="15" t="s">
        <v>622</v>
      </c>
      <c r="M666" s="15" t="s">
        <v>49</v>
      </c>
      <c r="N666" s="15"/>
      <c r="O666" s="15"/>
      <c r="P666" s="15"/>
      <c r="Q666" s="15"/>
      <c r="R666" s="15"/>
      <c r="S666" s="15"/>
      <c r="T666" s="15"/>
      <c r="U666" s="15"/>
      <c r="V666" s="15"/>
      <c r="W666" s="15"/>
      <c r="X666" s="15"/>
      <c r="AB666" s="17" t="s">
        <v>1152</v>
      </c>
      <c r="AC666" s="17" t="s">
        <v>1152</v>
      </c>
      <c r="AD666" s="17" t="s">
        <v>1152</v>
      </c>
      <c r="AE666" s="51" t="str">
        <f t="shared" si="76"/>
        <v/>
      </c>
      <c r="AF666" s="51" t="str">
        <f t="shared" si="77"/>
        <v/>
      </c>
      <c r="AG666" s="51" t="str">
        <f t="shared" si="78"/>
        <v/>
      </c>
      <c r="AH666" s="51" t="str">
        <f t="shared" si="79"/>
        <v/>
      </c>
      <c r="AI666" s="17" t="s">
        <v>1152</v>
      </c>
      <c r="AJ666" s="17" t="s">
        <v>1152</v>
      </c>
      <c r="AK666" s="17" t="s">
        <v>1152</v>
      </c>
      <c r="BG666" s="15"/>
      <c r="BM666" s="17"/>
      <c r="BN666" s="17"/>
      <c r="BO666" s="17"/>
      <c r="BP666" s="17"/>
      <c r="BQ666" s="17"/>
      <c r="BW666" s="17"/>
    </row>
    <row r="667" spans="1:75" hidden="1" x14ac:dyDescent="0.25">
      <c r="A667" s="15" t="s">
        <v>1148</v>
      </c>
      <c r="B667" s="15" t="s">
        <v>52</v>
      </c>
      <c r="C667" s="15">
        <v>2011</v>
      </c>
      <c r="D667" s="15" t="s">
        <v>1149</v>
      </c>
      <c r="E667" s="15">
        <v>1080</v>
      </c>
      <c r="F667" s="15">
        <v>539614</v>
      </c>
      <c r="G667" s="15" t="s">
        <v>88</v>
      </c>
      <c r="H667" s="15" t="s">
        <v>77</v>
      </c>
      <c r="I667" s="15" t="s">
        <v>1153</v>
      </c>
      <c r="J667" s="15" t="s">
        <v>1154</v>
      </c>
      <c r="K667" s="15" t="s">
        <v>34</v>
      </c>
      <c r="L667" s="15" t="s">
        <v>960</v>
      </c>
      <c r="M667" s="15" t="s">
        <v>243</v>
      </c>
      <c r="N667" s="15" t="s">
        <v>244</v>
      </c>
      <c r="O667" s="15" t="s">
        <v>1155</v>
      </c>
      <c r="P667" s="15" t="s">
        <v>283</v>
      </c>
      <c r="Q667" s="15" t="s">
        <v>1156</v>
      </c>
      <c r="R667" s="15" t="s">
        <v>1157</v>
      </c>
      <c r="S667" s="15" t="s">
        <v>1158</v>
      </c>
      <c r="T667" s="15" t="s">
        <v>1101</v>
      </c>
      <c r="U667" s="15" t="s">
        <v>1159</v>
      </c>
      <c r="V667" s="15" t="s">
        <v>169</v>
      </c>
      <c r="W667" s="15" t="s">
        <v>503</v>
      </c>
      <c r="X667" s="15" t="s">
        <v>1158</v>
      </c>
      <c r="AB667" s="17" t="s">
        <v>1152</v>
      </c>
      <c r="AC667" s="17" t="s">
        <v>1152</v>
      </c>
      <c r="AD667" s="17" t="s">
        <v>1152</v>
      </c>
      <c r="AE667" s="51" t="str">
        <f t="shared" si="76"/>
        <v/>
      </c>
      <c r="AF667" s="51" t="str">
        <f t="shared" si="77"/>
        <v/>
      </c>
      <c r="AG667" s="51" t="str">
        <f t="shared" si="78"/>
        <v/>
      </c>
      <c r="AH667" s="51" t="str">
        <f t="shared" si="79"/>
        <v/>
      </c>
      <c r="AI667" s="17" t="s">
        <v>1152</v>
      </c>
      <c r="AJ667" s="17" t="s">
        <v>1152</v>
      </c>
      <c r="AK667" s="17" t="s">
        <v>1152</v>
      </c>
      <c r="BG667" s="15"/>
      <c r="BM667" s="17"/>
      <c r="BN667" s="17"/>
      <c r="BO667" s="17"/>
      <c r="BP667" s="17"/>
      <c r="BQ667" s="17"/>
      <c r="BW667" s="17"/>
    </row>
    <row r="668" spans="1:75" x14ac:dyDescent="0.25">
      <c r="A668" s="15" t="s">
        <v>1161</v>
      </c>
      <c r="B668" s="15" t="s">
        <v>30</v>
      </c>
      <c r="C668" s="15">
        <v>2017</v>
      </c>
      <c r="D668" s="15" t="s">
        <v>1162</v>
      </c>
      <c r="E668" s="15">
        <v>5430</v>
      </c>
      <c r="F668" s="15">
        <v>56717156</v>
      </c>
      <c r="G668" s="15" t="s">
        <v>42</v>
      </c>
      <c r="H668" s="15" t="s">
        <v>89</v>
      </c>
      <c r="I668" s="15" t="s">
        <v>1826</v>
      </c>
      <c r="J668" s="15" t="s">
        <v>1827</v>
      </c>
      <c r="K668" s="15" t="s">
        <v>1651</v>
      </c>
      <c r="L668" s="15" t="s">
        <v>1828</v>
      </c>
      <c r="M668" s="15" t="s">
        <v>1829</v>
      </c>
      <c r="N668" s="15" t="s">
        <v>1830</v>
      </c>
      <c r="O668" s="15" t="s">
        <v>1831</v>
      </c>
      <c r="P668" s="15" t="s">
        <v>1832</v>
      </c>
      <c r="Q668" s="15" t="s">
        <v>1833</v>
      </c>
      <c r="R668" s="15" t="s">
        <v>1834</v>
      </c>
      <c r="S668" s="15" t="s">
        <v>1163</v>
      </c>
      <c r="T668" s="15" t="s">
        <v>1835</v>
      </c>
      <c r="U668" s="15" t="s">
        <v>1836</v>
      </c>
      <c r="V668" s="15" t="s">
        <v>1837</v>
      </c>
      <c r="W668" s="15" t="s">
        <v>1886</v>
      </c>
      <c r="X668" s="15" t="s">
        <v>1163</v>
      </c>
      <c r="Y668" s="17">
        <v>302940</v>
      </c>
      <c r="Z668" s="17">
        <v>510819</v>
      </c>
      <c r="AA668" s="17">
        <v>131008</v>
      </c>
      <c r="AB668" s="17">
        <v>641827</v>
      </c>
      <c r="AC668" s="17">
        <f>AB668+Y668</f>
        <v>944767</v>
      </c>
      <c r="AE668" s="51">
        <f t="shared" si="76"/>
        <v>5.3412410170919005</v>
      </c>
      <c r="AF668" s="51">
        <f t="shared" si="77"/>
        <v>11.316276154608316</v>
      </c>
      <c r="AG668" s="51">
        <f t="shared" si="78"/>
        <v>16.657517171700217</v>
      </c>
      <c r="AH668" s="51" t="str">
        <f t="shared" si="79"/>
        <v/>
      </c>
      <c r="AS668" s="17">
        <v>4651784779600</v>
      </c>
      <c r="BE668" s="16">
        <v>230000000000</v>
      </c>
      <c r="BF668" s="45">
        <v>0.44</v>
      </c>
      <c r="BG668" s="17">
        <v>292727272727</v>
      </c>
      <c r="BH668" s="45">
        <v>0.56000000000000005</v>
      </c>
      <c r="BM668" s="17"/>
      <c r="BN668" s="17"/>
      <c r="BO668" s="17">
        <f>0.38*2309000</f>
        <v>877420</v>
      </c>
      <c r="BP668" s="17">
        <v>1671083</v>
      </c>
      <c r="BQ668" s="17">
        <v>1671083</v>
      </c>
      <c r="BR668" s="43">
        <v>0.72</v>
      </c>
      <c r="BW668" s="17" t="s">
        <v>1839</v>
      </c>
    </row>
    <row r="669" spans="1:75" x14ac:dyDescent="0.25">
      <c r="A669" s="15" t="s">
        <v>1161</v>
      </c>
      <c r="B669" s="15" t="s">
        <v>30</v>
      </c>
      <c r="C669" s="15">
        <v>2015</v>
      </c>
      <c r="D669" s="15" t="s">
        <v>1162</v>
      </c>
      <c r="E669" s="15">
        <v>6070</v>
      </c>
      <c r="F669" s="15">
        <v>55291225</v>
      </c>
      <c r="G669" s="15" t="s">
        <v>42</v>
      </c>
      <c r="H669" s="15" t="s">
        <v>89</v>
      </c>
      <c r="I669" s="15" t="s">
        <v>1826</v>
      </c>
      <c r="J669" s="15" t="s">
        <v>1827</v>
      </c>
      <c r="K669" s="15" t="s">
        <v>1651</v>
      </c>
      <c r="L669" s="15" t="s">
        <v>1828</v>
      </c>
      <c r="M669" s="15" t="s">
        <v>1829</v>
      </c>
      <c r="N669" s="15" t="s">
        <v>1830</v>
      </c>
      <c r="O669" s="15" t="s">
        <v>1831</v>
      </c>
      <c r="P669" s="15" t="s">
        <v>1832</v>
      </c>
      <c r="Q669" s="15" t="s">
        <v>1833</v>
      </c>
      <c r="R669" s="15" t="s">
        <v>1834</v>
      </c>
      <c r="S669" s="15" t="s">
        <v>1163</v>
      </c>
      <c r="T669" s="15" t="s">
        <v>1835</v>
      </c>
      <c r="U669" s="15" t="s">
        <v>1836</v>
      </c>
      <c r="V669" s="15" t="s">
        <v>1837</v>
      </c>
      <c r="W669" s="15" t="s">
        <v>1838</v>
      </c>
      <c r="X669" s="15" t="s">
        <v>1163</v>
      </c>
      <c r="AE669" s="51" t="str">
        <f t="shared" si="76"/>
        <v/>
      </c>
      <c r="AF669" s="51" t="str">
        <f t="shared" si="77"/>
        <v/>
      </c>
      <c r="AG669" s="51" t="str">
        <f t="shared" si="78"/>
        <v/>
      </c>
      <c r="AH669" s="51" t="str">
        <f t="shared" si="79"/>
        <v/>
      </c>
      <c r="BG669" s="15"/>
      <c r="BM669" s="17"/>
      <c r="BN669" s="17"/>
      <c r="BO669" s="17">
        <f>0.38*2155000</f>
        <v>818900</v>
      </c>
      <c r="BP669" s="17">
        <v>1552203</v>
      </c>
      <c r="BQ669" s="17">
        <v>1552203</v>
      </c>
      <c r="BR669" s="43">
        <v>0.72</v>
      </c>
      <c r="BW669" s="17"/>
    </row>
    <row r="670" spans="1:75" x14ac:dyDescent="0.25">
      <c r="A670" s="15" t="s">
        <v>1161</v>
      </c>
      <c r="B670" s="15" t="s">
        <v>30</v>
      </c>
      <c r="C670" s="15">
        <v>2013</v>
      </c>
      <c r="D670" s="15" t="s">
        <v>1162</v>
      </c>
      <c r="E670" s="15">
        <v>7340</v>
      </c>
      <c r="F670" s="15">
        <v>53767396</v>
      </c>
      <c r="G670" s="15" t="s">
        <v>42</v>
      </c>
      <c r="H670" s="15" t="s">
        <v>89</v>
      </c>
      <c r="I670" s="15" t="s">
        <v>1826</v>
      </c>
      <c r="J670" s="15" t="s">
        <v>1827</v>
      </c>
      <c r="K670" s="15" t="s">
        <v>1651</v>
      </c>
      <c r="L670" s="15" t="s">
        <v>1828</v>
      </c>
      <c r="M670" s="15" t="s">
        <v>1829</v>
      </c>
      <c r="N670" s="15" t="s">
        <v>1830</v>
      </c>
      <c r="O670" s="15" t="s">
        <v>1831</v>
      </c>
      <c r="P670" s="15" t="s">
        <v>1832</v>
      </c>
      <c r="Q670" s="15" t="s">
        <v>1833</v>
      </c>
      <c r="R670" s="15" t="s">
        <v>1834</v>
      </c>
      <c r="S670" s="15" t="s">
        <v>1163</v>
      </c>
      <c r="T670" s="15" t="s">
        <v>1835</v>
      </c>
      <c r="U670" s="15" t="s">
        <v>1836</v>
      </c>
      <c r="V670" s="15" t="s">
        <v>1837</v>
      </c>
      <c r="W670" s="15" t="s">
        <v>1838</v>
      </c>
      <c r="X670" s="15" t="s">
        <v>1163</v>
      </c>
      <c r="AE670" s="51" t="str">
        <f t="shared" si="76"/>
        <v/>
      </c>
      <c r="AF670" s="51" t="str">
        <f t="shared" si="77"/>
        <v/>
      </c>
      <c r="AG670" s="51" t="str">
        <f t="shared" si="78"/>
        <v/>
      </c>
      <c r="AH670" s="51" t="str">
        <f t="shared" si="79"/>
        <v/>
      </c>
      <c r="BG670" s="15"/>
      <c r="BM670" s="17"/>
      <c r="BN670" s="17"/>
      <c r="BO670" s="17">
        <f>0.4*2059000</f>
        <v>823600</v>
      </c>
      <c r="BP670" s="17">
        <v>1450929</v>
      </c>
      <c r="BQ670" s="17">
        <v>1450929</v>
      </c>
      <c r="BR670" s="43">
        <v>0.7</v>
      </c>
      <c r="BW670" s="17"/>
    </row>
    <row r="671" spans="1:75" x14ac:dyDescent="0.25">
      <c r="A671" s="15" t="s">
        <v>1161</v>
      </c>
      <c r="B671" s="15" t="s">
        <v>30</v>
      </c>
      <c r="C671" s="15">
        <v>2010</v>
      </c>
      <c r="D671" s="15" t="s">
        <v>1162</v>
      </c>
      <c r="E671" s="15">
        <v>6160</v>
      </c>
      <c r="F671" s="15">
        <v>51584663</v>
      </c>
      <c r="G671" s="15" t="s">
        <v>42</v>
      </c>
      <c r="H671" s="15" t="s">
        <v>89</v>
      </c>
      <c r="I671" s="15" t="s">
        <v>1826</v>
      </c>
      <c r="J671" s="15" t="s">
        <v>1827</v>
      </c>
      <c r="K671" s="15" t="s">
        <v>1651</v>
      </c>
      <c r="L671" s="15" t="s">
        <v>1828</v>
      </c>
      <c r="M671" s="15" t="s">
        <v>1829</v>
      </c>
      <c r="N671" s="15" t="s">
        <v>1830</v>
      </c>
      <c r="O671" s="15" t="s">
        <v>1831</v>
      </c>
      <c r="P671" s="15" t="s">
        <v>1832</v>
      </c>
      <c r="Q671" s="15" t="s">
        <v>1833</v>
      </c>
      <c r="R671" s="15" t="s">
        <v>1834</v>
      </c>
      <c r="S671" s="15" t="s">
        <v>1163</v>
      </c>
      <c r="T671" s="15" t="s">
        <v>1835</v>
      </c>
      <c r="U671" s="15" t="s">
        <v>1836</v>
      </c>
      <c r="V671" s="15" t="s">
        <v>1837</v>
      </c>
      <c r="W671" s="15" t="s">
        <v>1838</v>
      </c>
      <c r="X671" s="15" t="s">
        <v>1163</v>
      </c>
      <c r="AE671" s="51" t="str">
        <f t="shared" si="76"/>
        <v/>
      </c>
      <c r="AF671" s="51" t="str">
        <f t="shared" si="77"/>
        <v/>
      </c>
      <c r="AG671" s="51" t="str">
        <f t="shared" si="78"/>
        <v/>
      </c>
      <c r="AH671" s="51" t="str">
        <f t="shared" si="79"/>
        <v/>
      </c>
      <c r="BG671" s="15"/>
      <c r="BM671" s="17"/>
      <c r="BN671" s="17"/>
      <c r="BO671" s="17">
        <f>0.45*1926000</f>
        <v>866700</v>
      </c>
      <c r="BP671" s="17">
        <v>1387294</v>
      </c>
      <c r="BQ671" s="17">
        <v>1387294</v>
      </c>
      <c r="BR671" s="43">
        <v>0.72</v>
      </c>
      <c r="BW671" s="17"/>
    </row>
    <row r="672" spans="1:75" x14ac:dyDescent="0.25">
      <c r="A672" s="15" t="s">
        <v>1161</v>
      </c>
      <c r="B672" s="15" t="s">
        <v>30</v>
      </c>
      <c r="C672" s="15">
        <v>2008</v>
      </c>
      <c r="D672" s="15" t="s">
        <v>1162</v>
      </c>
      <c r="E672" s="15">
        <v>5910</v>
      </c>
      <c r="F672" s="15">
        <v>50412129</v>
      </c>
      <c r="G672" s="15" t="s">
        <v>42</v>
      </c>
      <c r="H672" s="15" t="s">
        <v>89</v>
      </c>
      <c r="I672" s="15" t="s">
        <v>1826</v>
      </c>
      <c r="J672" s="15" t="s">
        <v>1827</v>
      </c>
      <c r="K672" s="15" t="s">
        <v>1651</v>
      </c>
      <c r="L672" s="15" t="s">
        <v>1828</v>
      </c>
      <c r="M672" s="15" t="s">
        <v>1829</v>
      </c>
      <c r="N672" s="15" t="s">
        <v>1830</v>
      </c>
      <c r="O672" s="15" t="s">
        <v>1831</v>
      </c>
      <c r="P672" s="15" t="s">
        <v>1832</v>
      </c>
      <c r="Q672" s="15" t="s">
        <v>1833</v>
      </c>
      <c r="R672" s="15" t="s">
        <v>1834</v>
      </c>
      <c r="S672" s="15" t="s">
        <v>1163</v>
      </c>
      <c r="T672" s="15" t="s">
        <v>1835</v>
      </c>
      <c r="U672" s="15" t="s">
        <v>1836</v>
      </c>
      <c r="V672" s="15" t="s">
        <v>1837</v>
      </c>
      <c r="W672" s="15" t="s">
        <v>1838</v>
      </c>
      <c r="X672" s="15" t="s">
        <v>1163</v>
      </c>
      <c r="AE672" s="51" t="str">
        <f t="shared" si="76"/>
        <v/>
      </c>
      <c r="AF672" s="51" t="str">
        <f t="shared" si="77"/>
        <v/>
      </c>
      <c r="AG672" s="51" t="str">
        <f t="shared" si="78"/>
        <v/>
      </c>
      <c r="AH672" s="51" t="str">
        <f t="shared" si="79"/>
        <v/>
      </c>
      <c r="BG672" s="15"/>
      <c r="BM672" s="17"/>
      <c r="BN672" s="17"/>
      <c r="BO672" s="17">
        <f>0.48*2019000</f>
        <v>969120</v>
      </c>
      <c r="BP672" s="17">
        <v>1458751</v>
      </c>
      <c r="BQ672" s="17">
        <v>1458751</v>
      </c>
      <c r="BR672" s="43">
        <v>0.72</v>
      </c>
      <c r="BW672" s="17"/>
    </row>
    <row r="673" spans="1:75" x14ac:dyDescent="0.25">
      <c r="A673" s="15" t="s">
        <v>1161</v>
      </c>
      <c r="B673" s="15" t="s">
        <v>52</v>
      </c>
      <c r="C673" s="15">
        <v>2015</v>
      </c>
      <c r="D673" s="15" t="s">
        <v>1162</v>
      </c>
      <c r="E673" s="15">
        <v>6070</v>
      </c>
      <c r="F673" s="15">
        <v>55291225</v>
      </c>
      <c r="G673" s="15" t="s">
        <v>42</v>
      </c>
      <c r="H673" s="15" t="s">
        <v>89</v>
      </c>
      <c r="I673" s="15" t="s">
        <v>1164</v>
      </c>
      <c r="J673" s="15" t="s">
        <v>1165</v>
      </c>
      <c r="K673" s="15"/>
      <c r="L673" s="15"/>
      <c r="M673" s="15"/>
      <c r="N673" s="15"/>
      <c r="O673" s="15"/>
      <c r="P673" s="15"/>
      <c r="Q673" s="15"/>
      <c r="R673" s="15"/>
      <c r="S673" s="15" t="s">
        <v>1163</v>
      </c>
      <c r="T673" s="15" t="s">
        <v>1835</v>
      </c>
      <c r="U673" s="15" t="s">
        <v>1836</v>
      </c>
      <c r="V673" s="15" t="s">
        <v>1837</v>
      </c>
      <c r="W673" s="15" t="s">
        <v>1838</v>
      </c>
      <c r="X673" s="15" t="s">
        <v>1163</v>
      </c>
      <c r="AC673" s="17">
        <v>667433</v>
      </c>
      <c r="AE673" s="51" t="str">
        <f t="shared" si="76"/>
        <v/>
      </c>
      <c r="AF673" s="51" t="str">
        <f t="shared" si="77"/>
        <v/>
      </c>
      <c r="AG673" s="51">
        <f t="shared" si="78"/>
        <v>12.071228300693285</v>
      </c>
      <c r="AH673" s="51" t="str">
        <f t="shared" si="79"/>
        <v/>
      </c>
      <c r="BG673" s="15"/>
      <c r="BM673" s="17"/>
      <c r="BN673" s="17"/>
      <c r="BO673" s="17"/>
      <c r="BP673" s="17"/>
      <c r="BQ673" s="17">
        <v>1497860</v>
      </c>
      <c r="BR673" s="43">
        <v>0.67</v>
      </c>
      <c r="BW673" s="17"/>
    </row>
    <row r="674" spans="1:75" x14ac:dyDescent="0.25">
      <c r="A674" s="15" t="s">
        <v>1161</v>
      </c>
      <c r="B674" s="15" t="s">
        <v>52</v>
      </c>
      <c r="C674" s="15">
        <v>2012</v>
      </c>
      <c r="D674" s="15" t="s">
        <v>1162</v>
      </c>
      <c r="E674" s="15">
        <v>7540</v>
      </c>
      <c r="F674" s="15">
        <v>52998213</v>
      </c>
      <c r="G674" s="15" t="s">
        <v>42</v>
      </c>
      <c r="H674" s="15" t="s">
        <v>89</v>
      </c>
      <c r="I674" s="15" t="s">
        <v>1164</v>
      </c>
      <c r="J674" s="15" t="s">
        <v>1165</v>
      </c>
      <c r="K674" s="15"/>
      <c r="L674" s="15"/>
      <c r="M674" s="15"/>
      <c r="N674" s="15"/>
      <c r="O674" s="15"/>
      <c r="P674" s="15"/>
      <c r="Q674" s="15"/>
      <c r="R674" s="15"/>
      <c r="S674" s="15" t="s">
        <v>1163</v>
      </c>
      <c r="T674" s="15" t="s">
        <v>1835</v>
      </c>
      <c r="U674" s="15" t="s">
        <v>1836</v>
      </c>
      <c r="V674" s="15" t="s">
        <v>1837</v>
      </c>
      <c r="W674" s="15" t="s">
        <v>1838</v>
      </c>
      <c r="X674" s="15" t="s">
        <v>1163</v>
      </c>
      <c r="AE674" s="51" t="str">
        <f t="shared" si="76"/>
        <v/>
      </c>
      <c r="AF674" s="51" t="str">
        <f t="shared" si="77"/>
        <v/>
      </c>
      <c r="AG674" s="51" t="str">
        <f t="shared" si="78"/>
        <v/>
      </c>
      <c r="AH674" s="51" t="str">
        <f t="shared" si="79"/>
        <v/>
      </c>
      <c r="BG674" s="15"/>
      <c r="BM674" s="17"/>
      <c r="BN674" s="17"/>
      <c r="BO674" s="17"/>
      <c r="BP674" s="17"/>
      <c r="BQ674" s="17"/>
      <c r="BR674" s="43">
        <v>0.75</v>
      </c>
      <c r="BW674" s="17"/>
    </row>
    <row r="675" spans="1:75" hidden="1" x14ac:dyDescent="0.25">
      <c r="A675" s="15" t="s">
        <v>1166</v>
      </c>
      <c r="B675" s="15" t="s">
        <v>30</v>
      </c>
      <c r="C675" s="15">
        <v>2010</v>
      </c>
      <c r="D675" s="15" t="s">
        <v>1167</v>
      </c>
      <c r="E675" s="15">
        <v>1100</v>
      </c>
      <c r="F675" s="15">
        <v>10067192</v>
      </c>
      <c r="G675" s="15" t="s">
        <v>32</v>
      </c>
      <c r="H675" s="15" t="s">
        <v>89</v>
      </c>
      <c r="I675" s="15" t="s">
        <v>1168</v>
      </c>
      <c r="J675" s="15" t="s">
        <v>1169</v>
      </c>
      <c r="K675" s="15" t="s">
        <v>46</v>
      </c>
      <c r="L675" s="15" t="s">
        <v>47</v>
      </c>
      <c r="M675" s="15" t="s">
        <v>48</v>
      </c>
      <c r="N675" s="15" t="s">
        <v>49</v>
      </c>
      <c r="O675" s="15"/>
      <c r="P675" s="15"/>
      <c r="Q675" s="15"/>
      <c r="R675" s="15"/>
      <c r="S675" s="15"/>
      <c r="T675" s="15"/>
      <c r="U675" s="15"/>
      <c r="V675" s="15"/>
      <c r="W675" s="15"/>
      <c r="X675" s="15"/>
      <c r="Y675" s="17">
        <v>6587</v>
      </c>
      <c r="Z675" s="17">
        <v>486</v>
      </c>
      <c r="AA675" s="17">
        <v>240</v>
      </c>
      <c r="AB675" s="17">
        <v>726</v>
      </c>
      <c r="AC675" s="17">
        <v>7313</v>
      </c>
      <c r="AD675" s="17">
        <v>20</v>
      </c>
      <c r="AE675" s="51">
        <f t="shared" si="76"/>
        <v>0.65430360322918246</v>
      </c>
      <c r="AF675" s="51">
        <f t="shared" si="77"/>
        <v>7.2115441922633444E-2</v>
      </c>
      <c r="AG675" s="51">
        <f t="shared" si="78"/>
        <v>0.72641904515181599</v>
      </c>
      <c r="AH675" s="51">
        <f t="shared" si="79"/>
        <v>1.9866512926345302E-3</v>
      </c>
      <c r="BG675" s="15"/>
      <c r="BM675" s="17"/>
      <c r="BN675" s="17"/>
      <c r="BO675" s="17"/>
      <c r="BP675" s="17"/>
      <c r="BQ675" s="17"/>
      <c r="BT675" s="15" t="s">
        <v>1170</v>
      </c>
      <c r="BW675" s="17"/>
    </row>
    <row r="676" spans="1:75" hidden="1" x14ac:dyDescent="0.25">
      <c r="A676" s="15" t="s">
        <v>1171</v>
      </c>
      <c r="B676" s="15" t="s">
        <v>52</v>
      </c>
      <c r="C676" s="15">
        <v>2017</v>
      </c>
      <c r="D676" s="15" t="s">
        <v>1172</v>
      </c>
      <c r="E676" s="15">
        <v>27180</v>
      </c>
      <c r="F676" s="15">
        <v>46572028</v>
      </c>
      <c r="G676" s="15" t="s">
        <v>109</v>
      </c>
      <c r="H676" s="15" t="s">
        <v>43</v>
      </c>
      <c r="I676" s="15" t="s">
        <v>1173</v>
      </c>
      <c r="J676" s="15" t="s">
        <v>1174</v>
      </c>
      <c r="K676" s="15" t="s">
        <v>190</v>
      </c>
      <c r="L676" s="15" t="s">
        <v>48</v>
      </c>
      <c r="M676" s="15" t="s">
        <v>62</v>
      </c>
      <c r="N676" s="15" t="s">
        <v>63</v>
      </c>
      <c r="O676" s="15"/>
      <c r="P676" s="15"/>
      <c r="Q676" s="15"/>
      <c r="R676" s="15"/>
      <c r="S676" s="15"/>
      <c r="T676" s="15"/>
      <c r="U676" s="15"/>
      <c r="V676" s="15"/>
      <c r="W676" s="15"/>
      <c r="X676" s="15"/>
      <c r="Y676" s="17">
        <v>3134042</v>
      </c>
      <c r="Z676" s="17">
        <v>120397</v>
      </c>
      <c r="AA676" s="17">
        <v>20485</v>
      </c>
      <c r="AB676" s="17">
        <v>140882</v>
      </c>
      <c r="AC676" s="17">
        <v>3274924</v>
      </c>
      <c r="AD676" s="17">
        <v>4196</v>
      </c>
      <c r="AE676" s="51">
        <f t="shared" si="76"/>
        <v>67.294514209258836</v>
      </c>
      <c r="AF676" s="51">
        <f t="shared" si="77"/>
        <v>3.0250346839094058</v>
      </c>
      <c r="AG676" s="51">
        <f t="shared" si="78"/>
        <v>70.319548893168232</v>
      </c>
      <c r="AH676" s="51">
        <f t="shared" si="79"/>
        <v>9.0096999855793267E-2</v>
      </c>
      <c r="AI676" s="17">
        <v>5004075</v>
      </c>
      <c r="AJ676" s="17">
        <v>2891509</v>
      </c>
      <c r="AK676" s="17">
        <v>2290510</v>
      </c>
      <c r="AL676" s="17">
        <v>5182019</v>
      </c>
      <c r="AM676" s="17">
        <v>10186094</v>
      </c>
      <c r="AN676" s="17">
        <v>5154459</v>
      </c>
      <c r="AU676" s="15" t="s">
        <v>1176</v>
      </c>
      <c r="AV676" s="15" t="s">
        <v>1176</v>
      </c>
      <c r="BG676" s="15"/>
      <c r="BM676" s="17"/>
      <c r="BN676" s="17"/>
      <c r="BO676" s="17"/>
      <c r="BP676" s="17"/>
      <c r="BQ676" s="17"/>
      <c r="BS676" s="15" t="s">
        <v>1177</v>
      </c>
      <c r="BT676" s="15" t="s">
        <v>1178</v>
      </c>
      <c r="BW676" s="17" t="s">
        <v>1175</v>
      </c>
    </row>
    <row r="677" spans="1:75" hidden="1" x14ac:dyDescent="0.25">
      <c r="A677" s="15" t="s">
        <v>1171</v>
      </c>
      <c r="B677" s="15" t="s">
        <v>52</v>
      </c>
      <c r="C677" s="15">
        <v>2016</v>
      </c>
      <c r="D677" s="15" t="s">
        <v>1172</v>
      </c>
      <c r="E677" s="15">
        <v>27580</v>
      </c>
      <c r="F677" s="15">
        <v>46572028</v>
      </c>
      <c r="G677" s="15" t="s">
        <v>109</v>
      </c>
      <c r="H677" s="15" t="s">
        <v>43</v>
      </c>
      <c r="I677" s="15" t="s">
        <v>1173</v>
      </c>
      <c r="J677" s="15" t="s">
        <v>1174</v>
      </c>
      <c r="K677" s="15" t="s">
        <v>190</v>
      </c>
      <c r="L677" s="15" t="s">
        <v>48</v>
      </c>
      <c r="M677" s="15" t="s">
        <v>62</v>
      </c>
      <c r="N677" s="15" t="s">
        <v>63</v>
      </c>
      <c r="O677" s="15"/>
      <c r="P677" s="15"/>
      <c r="Q677" s="15"/>
      <c r="R677" s="15"/>
      <c r="S677" s="15"/>
      <c r="T677" s="15"/>
      <c r="U677" s="15"/>
      <c r="V677" s="15"/>
      <c r="W677" s="15"/>
      <c r="X677" s="15"/>
      <c r="Y677" s="17">
        <v>3093696</v>
      </c>
      <c r="Z677" s="17">
        <v>115641</v>
      </c>
      <c r="AA677" s="17">
        <v>19410</v>
      </c>
      <c r="AB677" s="17">
        <v>135051</v>
      </c>
      <c r="AC677" s="17">
        <v>3228747</v>
      </c>
      <c r="AD677" s="17">
        <v>3959</v>
      </c>
      <c r="AE677" s="51">
        <f t="shared" si="76"/>
        <v>66.428200206355626</v>
      </c>
      <c r="AF677" s="51">
        <f t="shared" si="77"/>
        <v>2.8998307739572775</v>
      </c>
      <c r="AG677" s="51">
        <f t="shared" si="78"/>
        <v>69.328030980312903</v>
      </c>
      <c r="AH677" s="51">
        <f t="shared" si="79"/>
        <v>8.5008108300544685E-2</v>
      </c>
      <c r="AI677" s="17">
        <v>4959911</v>
      </c>
      <c r="AJ677" s="17">
        <v>2765286</v>
      </c>
      <c r="AK677" s="17">
        <v>2181042</v>
      </c>
      <c r="AL677" s="17">
        <v>4946328</v>
      </c>
      <c r="AM677" s="17">
        <v>9906239</v>
      </c>
      <c r="AN677" s="17">
        <v>4900640</v>
      </c>
      <c r="BG677" s="15"/>
      <c r="BM677" s="17"/>
      <c r="BN677" s="17"/>
      <c r="BO677" s="17"/>
      <c r="BP677" s="17"/>
      <c r="BQ677" s="17"/>
      <c r="BW677" s="17"/>
    </row>
    <row r="678" spans="1:75" hidden="1" x14ac:dyDescent="0.25">
      <c r="A678" s="15" t="s">
        <v>1171</v>
      </c>
      <c r="B678" s="15" t="s">
        <v>52</v>
      </c>
      <c r="C678" s="15">
        <v>2015</v>
      </c>
      <c r="D678" s="15" t="s">
        <v>1172</v>
      </c>
      <c r="E678" s="15">
        <v>28420</v>
      </c>
      <c r="F678" s="15">
        <v>46444832</v>
      </c>
      <c r="G678" s="15" t="s">
        <v>109</v>
      </c>
      <c r="H678" s="15" t="s">
        <v>43</v>
      </c>
      <c r="I678" s="15" t="s">
        <v>1173</v>
      </c>
      <c r="J678" s="15" t="s">
        <v>1174</v>
      </c>
      <c r="K678" s="15" t="s">
        <v>190</v>
      </c>
      <c r="L678" s="15" t="s">
        <v>48</v>
      </c>
      <c r="M678" s="15" t="s">
        <v>62</v>
      </c>
      <c r="N678" s="15" t="s">
        <v>63</v>
      </c>
      <c r="O678" s="15"/>
      <c r="P678" s="15"/>
      <c r="Q678" s="15"/>
      <c r="R678" s="15"/>
      <c r="S678" s="15"/>
      <c r="T678" s="15"/>
      <c r="U678" s="15"/>
      <c r="V678" s="15"/>
      <c r="W678" s="15"/>
      <c r="X678" s="15"/>
      <c r="Y678" s="17">
        <v>3049825</v>
      </c>
      <c r="Z678" s="17">
        <v>110086</v>
      </c>
      <c r="AA678" s="17">
        <v>18497</v>
      </c>
      <c r="AB678" s="17">
        <v>128583</v>
      </c>
      <c r="AC678" s="17">
        <v>3178408</v>
      </c>
      <c r="AD678" s="17">
        <v>3913</v>
      </c>
      <c r="AE678" s="51">
        <f t="shared" si="76"/>
        <v>65.665540570800204</v>
      </c>
      <c r="AF678" s="51">
        <f t="shared" si="77"/>
        <v>2.7685103909946323</v>
      </c>
      <c r="AG678" s="51">
        <f t="shared" si="78"/>
        <v>68.434050961794853</v>
      </c>
      <c r="AH678" s="51">
        <f t="shared" si="79"/>
        <v>8.425049314421032E-2</v>
      </c>
      <c r="AI678" s="17">
        <v>4452423</v>
      </c>
      <c r="AJ678" s="17">
        <v>2630534</v>
      </c>
      <c r="AK678" s="17">
        <v>2060848</v>
      </c>
      <c r="AL678" s="17">
        <v>4691382</v>
      </c>
      <c r="AM678" s="17">
        <v>9143805</v>
      </c>
      <c r="AN678" s="17">
        <v>4703439</v>
      </c>
      <c r="BG678" s="15"/>
      <c r="BM678" s="17"/>
      <c r="BN678" s="17"/>
      <c r="BO678" s="17"/>
      <c r="BP678" s="17"/>
      <c r="BQ678" s="17"/>
      <c r="BW678" s="17"/>
    </row>
    <row r="679" spans="1:75" hidden="1" x14ac:dyDescent="0.25">
      <c r="A679" s="15" t="s">
        <v>1171</v>
      </c>
      <c r="B679" s="15" t="s">
        <v>52</v>
      </c>
      <c r="C679" s="15">
        <v>2014</v>
      </c>
      <c r="D679" s="15" t="s">
        <v>1172</v>
      </c>
      <c r="E679" s="15">
        <v>29300</v>
      </c>
      <c r="F679" s="15">
        <v>46480882</v>
      </c>
      <c r="G679" s="15" t="s">
        <v>109</v>
      </c>
      <c r="H679" s="15" t="s">
        <v>43</v>
      </c>
      <c r="I679" s="15" t="s">
        <v>1173</v>
      </c>
      <c r="J679" s="15" t="s">
        <v>1174</v>
      </c>
      <c r="K679" s="15" t="s">
        <v>190</v>
      </c>
      <c r="L679" s="15" t="s">
        <v>48</v>
      </c>
      <c r="M679" s="15" t="s">
        <v>62</v>
      </c>
      <c r="N679" s="15" t="s">
        <v>63</v>
      </c>
      <c r="O679" s="15"/>
      <c r="P679" s="15"/>
      <c r="Q679" s="15"/>
      <c r="R679" s="15"/>
      <c r="S679" s="15"/>
      <c r="T679" s="15"/>
      <c r="U679" s="15"/>
      <c r="V679" s="15"/>
      <c r="W679" s="15"/>
      <c r="X679" s="15"/>
      <c r="Y679" s="17">
        <v>2984727</v>
      </c>
      <c r="Z679" s="17">
        <v>107784</v>
      </c>
      <c r="AA679" s="17">
        <v>18011</v>
      </c>
      <c r="AB679" s="17">
        <v>125795</v>
      </c>
      <c r="AC679" s="17">
        <v>3110522</v>
      </c>
      <c r="AD679" s="17">
        <v>3839</v>
      </c>
      <c r="AE679" s="51">
        <f t="shared" si="76"/>
        <v>64.214078381731227</v>
      </c>
      <c r="AF679" s="51">
        <f t="shared" si="77"/>
        <v>2.7063815183197257</v>
      </c>
      <c r="AG679" s="51">
        <f t="shared" si="78"/>
        <v>66.920459900050957</v>
      </c>
      <c r="AH679" s="51">
        <f t="shared" si="79"/>
        <v>8.2593097093123152E-2</v>
      </c>
      <c r="AI679" s="17">
        <v>4330718</v>
      </c>
      <c r="AJ679" s="17">
        <v>2468506</v>
      </c>
      <c r="AK679" s="17">
        <v>1970779</v>
      </c>
      <c r="AL679" s="17">
        <v>4439285</v>
      </c>
      <c r="AM679" s="17">
        <v>8770003</v>
      </c>
      <c r="AN679" s="17">
        <v>4514676</v>
      </c>
      <c r="BG679" s="15"/>
      <c r="BM679" s="17"/>
      <c r="BN679" s="17"/>
      <c r="BO679" s="17"/>
      <c r="BP679" s="17"/>
      <c r="BQ679" s="17"/>
      <c r="BW679" s="17"/>
    </row>
    <row r="680" spans="1:75" hidden="1" x14ac:dyDescent="0.25">
      <c r="A680" s="15" t="s">
        <v>1171</v>
      </c>
      <c r="B680" s="15" t="s">
        <v>52</v>
      </c>
      <c r="C680" s="15">
        <v>2013</v>
      </c>
      <c r="D680" s="15" t="s">
        <v>1172</v>
      </c>
      <c r="E680" s="15">
        <v>29400</v>
      </c>
      <c r="F680" s="15">
        <v>46620045</v>
      </c>
      <c r="G680" s="15" t="s">
        <v>109</v>
      </c>
      <c r="H680" s="15" t="s">
        <v>43</v>
      </c>
      <c r="I680" s="15" t="s">
        <v>1173</v>
      </c>
      <c r="J680" s="15" t="s">
        <v>1174</v>
      </c>
      <c r="K680" s="15" t="s">
        <v>190</v>
      </c>
      <c r="L680" s="15" t="s">
        <v>48</v>
      </c>
      <c r="M680" s="15" t="s">
        <v>62</v>
      </c>
      <c r="N680" s="15" t="s">
        <v>63</v>
      </c>
      <c r="O680" s="15"/>
      <c r="P680" s="15"/>
      <c r="Q680" s="15"/>
      <c r="R680" s="15"/>
      <c r="S680" s="15"/>
      <c r="T680" s="15"/>
      <c r="U680" s="15"/>
      <c r="V680" s="15"/>
      <c r="W680" s="15"/>
      <c r="X680" s="15"/>
      <c r="Y680" s="17">
        <v>3006979</v>
      </c>
      <c r="Z680" s="17">
        <v>113148</v>
      </c>
      <c r="AA680" s="17">
        <v>18979</v>
      </c>
      <c r="AB680" s="17">
        <v>132127</v>
      </c>
      <c r="AC680" s="17">
        <v>3139106</v>
      </c>
      <c r="AD680" s="17">
        <v>3822</v>
      </c>
      <c r="AE680" s="51">
        <f t="shared" si="76"/>
        <v>64.499701791364629</v>
      </c>
      <c r="AF680" s="51">
        <f t="shared" si="77"/>
        <v>2.8341242484858178</v>
      </c>
      <c r="AG680" s="51">
        <f t="shared" si="78"/>
        <v>67.33382603985045</v>
      </c>
      <c r="AH680" s="51">
        <f t="shared" si="79"/>
        <v>8.1981902848871122E-2</v>
      </c>
      <c r="AI680" s="17">
        <v>4090402</v>
      </c>
      <c r="AJ680" s="17">
        <v>2356800</v>
      </c>
      <c r="AK680" s="17">
        <v>2057100</v>
      </c>
      <c r="AL680" s="17">
        <v>4413900</v>
      </c>
      <c r="AM680" s="17">
        <v>8504902</v>
      </c>
      <c r="AN680" s="17">
        <v>5029600</v>
      </c>
      <c r="BG680" s="15"/>
      <c r="BM680" s="17"/>
      <c r="BN680" s="17"/>
      <c r="BO680" s="17"/>
      <c r="BP680" s="17"/>
      <c r="BQ680" s="17"/>
      <c r="BW680" s="17"/>
    </row>
    <row r="681" spans="1:75" hidden="1" x14ac:dyDescent="0.25">
      <c r="A681" s="15" t="s">
        <v>1171</v>
      </c>
      <c r="B681" s="15" t="s">
        <v>52</v>
      </c>
      <c r="C681" s="15">
        <v>2012</v>
      </c>
      <c r="D681" s="15" t="s">
        <v>1172</v>
      </c>
      <c r="E681" s="15">
        <v>29760</v>
      </c>
      <c r="F681" s="15">
        <v>46773055</v>
      </c>
      <c r="G681" s="15" t="s">
        <v>109</v>
      </c>
      <c r="H681" s="15" t="s">
        <v>43</v>
      </c>
      <c r="I681" s="15" t="s">
        <v>1173</v>
      </c>
      <c r="J681" s="15" t="s">
        <v>1174</v>
      </c>
      <c r="K681" s="15" t="s">
        <v>190</v>
      </c>
      <c r="L681" s="15" t="s">
        <v>48</v>
      </c>
      <c r="M681" s="15" t="s">
        <v>62</v>
      </c>
      <c r="N681" s="15" t="s">
        <v>63</v>
      </c>
      <c r="O681" s="15"/>
      <c r="P681" s="15"/>
      <c r="Q681" s="15"/>
      <c r="R681" s="15"/>
      <c r="S681" s="15"/>
      <c r="T681" s="15"/>
      <c r="U681" s="15"/>
      <c r="V681" s="15"/>
      <c r="W681" s="15"/>
      <c r="X681" s="15"/>
      <c r="Y681" s="17">
        <v>3049707</v>
      </c>
      <c r="Z681" s="17">
        <v>121601</v>
      </c>
      <c r="AA681" s="17">
        <v>20108</v>
      </c>
      <c r="AB681" s="17">
        <v>141709</v>
      </c>
      <c r="AC681" s="17">
        <v>3191416</v>
      </c>
      <c r="AD681" s="17">
        <v>3794</v>
      </c>
      <c r="AE681" s="51">
        <f t="shared" si="76"/>
        <v>65.202219525750465</v>
      </c>
      <c r="AF681" s="51">
        <f t="shared" si="77"/>
        <v>3.0297144370834879</v>
      </c>
      <c r="AG681" s="51">
        <f t="shared" si="78"/>
        <v>68.231933962833949</v>
      </c>
      <c r="AH681" s="51">
        <f t="shared" si="79"/>
        <v>8.1115077901154839E-2</v>
      </c>
      <c r="AI681" s="17">
        <v>4076179</v>
      </c>
      <c r="AJ681" s="17">
        <v>2360300</v>
      </c>
      <c r="AK681" s="17">
        <v>2051700</v>
      </c>
      <c r="AL681" s="17">
        <v>4412000</v>
      </c>
      <c r="AM681" s="17">
        <v>8488179</v>
      </c>
      <c r="AN681" s="17">
        <v>5015300</v>
      </c>
      <c r="BG681" s="15"/>
      <c r="BM681" s="17"/>
      <c r="BN681" s="17"/>
      <c r="BO681" s="17"/>
      <c r="BP681" s="17"/>
      <c r="BQ681" s="17"/>
      <c r="BW681" s="17"/>
    </row>
    <row r="682" spans="1:75" hidden="1" x14ac:dyDescent="0.25">
      <c r="A682" s="15" t="s">
        <v>1171</v>
      </c>
      <c r="B682" s="15" t="s">
        <v>52</v>
      </c>
      <c r="C682" s="15">
        <v>2011</v>
      </c>
      <c r="D682" s="15" t="s">
        <v>1172</v>
      </c>
      <c r="E682" s="15">
        <v>31150</v>
      </c>
      <c r="F682" s="15">
        <v>46742697</v>
      </c>
      <c r="G682" s="15" t="s">
        <v>109</v>
      </c>
      <c r="H682" s="15" t="s">
        <v>43</v>
      </c>
      <c r="I682" s="15" t="s">
        <v>1173</v>
      </c>
      <c r="J682" s="15" t="s">
        <v>1174</v>
      </c>
      <c r="K682" s="15" t="s">
        <v>190</v>
      </c>
      <c r="L682" s="15" t="s">
        <v>48</v>
      </c>
      <c r="M682" s="15" t="s">
        <v>62</v>
      </c>
      <c r="N682" s="15" t="s">
        <v>63</v>
      </c>
      <c r="O682" s="15"/>
      <c r="P682" s="15"/>
      <c r="Q682" s="15"/>
      <c r="R682" s="15"/>
      <c r="S682" s="15"/>
      <c r="T682" s="15"/>
      <c r="U682" s="15"/>
      <c r="V682" s="15"/>
      <c r="W682" s="15"/>
      <c r="X682" s="15"/>
      <c r="Y682" s="17">
        <v>3091849</v>
      </c>
      <c r="Z682" s="17">
        <v>130448</v>
      </c>
      <c r="AA682" s="17">
        <v>20888</v>
      </c>
      <c r="AB682" s="17">
        <v>151336</v>
      </c>
      <c r="AC682" s="17">
        <v>3243185</v>
      </c>
      <c r="AD682" s="17">
        <v>3801</v>
      </c>
      <c r="AE682" s="51">
        <f t="shared" si="76"/>
        <v>66.14614043344568</v>
      </c>
      <c r="AF682" s="51">
        <f t="shared" si="77"/>
        <v>3.2376394541376166</v>
      </c>
      <c r="AG682" s="51">
        <f t="shared" si="78"/>
        <v>69.383779887583287</v>
      </c>
      <c r="AH682" s="51">
        <f t="shared" si="79"/>
        <v>8.1317515760804301E-2</v>
      </c>
      <c r="AI682" s="17">
        <v>4617159</v>
      </c>
      <c r="AJ682" s="17">
        <v>2535800</v>
      </c>
      <c r="AK682" s="17">
        <v>2181700</v>
      </c>
      <c r="AL682" s="17">
        <v>4717500</v>
      </c>
      <c r="AM682" s="17">
        <v>7387000</v>
      </c>
      <c r="AN682" s="17">
        <v>5262200</v>
      </c>
      <c r="BG682" s="15"/>
      <c r="BM682" s="17"/>
      <c r="BN682" s="17"/>
      <c r="BO682" s="17"/>
      <c r="BP682" s="17"/>
      <c r="BQ682" s="17"/>
      <c r="BW682" s="17"/>
    </row>
    <row r="683" spans="1:75" hidden="1" x14ac:dyDescent="0.25">
      <c r="A683" s="15" t="s">
        <v>1171</v>
      </c>
      <c r="B683" s="15" t="s">
        <v>52</v>
      </c>
      <c r="C683" s="15">
        <v>2010</v>
      </c>
      <c r="D683" s="15" t="s">
        <v>1172</v>
      </c>
      <c r="E683" s="15">
        <v>32130</v>
      </c>
      <c r="F683" s="15">
        <v>46576897</v>
      </c>
      <c r="G683" s="15" t="s">
        <v>109</v>
      </c>
      <c r="H683" s="15" t="s">
        <v>43</v>
      </c>
      <c r="I683" s="15" t="s">
        <v>1173</v>
      </c>
      <c r="J683" s="15" t="s">
        <v>1174</v>
      </c>
      <c r="K683" s="15" t="s">
        <v>190</v>
      </c>
      <c r="L683" s="15" t="s">
        <v>48</v>
      </c>
      <c r="M683" s="15" t="s">
        <v>62</v>
      </c>
      <c r="N683" s="15" t="s">
        <v>63</v>
      </c>
      <c r="O683" s="15"/>
      <c r="P683" s="15"/>
      <c r="Q683" s="15"/>
      <c r="R683" s="15"/>
      <c r="S683" s="15"/>
      <c r="T683" s="15"/>
      <c r="U683" s="15"/>
      <c r="V683" s="15"/>
      <c r="W683" s="15"/>
      <c r="X683" s="15"/>
      <c r="Y683" s="17">
        <v>3124718</v>
      </c>
      <c r="Z683" s="17">
        <v>136843</v>
      </c>
      <c r="AA683" s="17">
        <v>21934</v>
      </c>
      <c r="AB683" s="17">
        <v>158777</v>
      </c>
      <c r="AC683" s="17">
        <v>3283495</v>
      </c>
      <c r="AD683" s="17">
        <v>3879</v>
      </c>
      <c r="AE683" s="51">
        <f t="shared" si="76"/>
        <v>67.087294372572742</v>
      </c>
      <c r="AF683" s="51">
        <f t="shared" si="77"/>
        <v>3.4089218094541591</v>
      </c>
      <c r="AG683" s="51">
        <f t="shared" si="78"/>
        <v>70.496216182026899</v>
      </c>
      <c r="AH683" s="51">
        <f t="shared" si="79"/>
        <v>8.328163209326718E-2</v>
      </c>
      <c r="BG683" s="15"/>
      <c r="BM683" s="17"/>
      <c r="BN683" s="17"/>
      <c r="BO683" s="17"/>
      <c r="BP683" s="17"/>
      <c r="BQ683" s="17"/>
      <c r="BW683" s="17"/>
    </row>
    <row r="684" spans="1:75" hidden="1" x14ac:dyDescent="0.25">
      <c r="A684" s="15" t="s">
        <v>1171</v>
      </c>
      <c r="B684" s="15" t="s">
        <v>52</v>
      </c>
      <c r="C684" s="15">
        <v>2009</v>
      </c>
      <c r="D684" s="15" t="s">
        <v>1172</v>
      </c>
      <c r="E684" s="15">
        <v>32770</v>
      </c>
      <c r="F684" s="15">
        <v>46362946</v>
      </c>
      <c r="G684" s="15" t="s">
        <v>109</v>
      </c>
      <c r="H684" s="15" t="s">
        <v>43</v>
      </c>
      <c r="I684" s="15" t="s">
        <v>1173</v>
      </c>
      <c r="J684" s="15" t="s">
        <v>1174</v>
      </c>
      <c r="K684" s="15" t="s">
        <v>190</v>
      </c>
      <c r="L684" s="15" t="s">
        <v>48</v>
      </c>
      <c r="M684" s="15" t="s">
        <v>62</v>
      </c>
      <c r="N684" s="15" t="s">
        <v>63</v>
      </c>
      <c r="O684" s="15"/>
      <c r="P684" s="15"/>
      <c r="Q684" s="15"/>
      <c r="R684" s="15"/>
      <c r="S684" s="15"/>
      <c r="T684" s="15"/>
      <c r="U684" s="15"/>
      <c r="V684" s="15"/>
      <c r="W684" s="15"/>
      <c r="X684" s="15"/>
      <c r="Y684" s="17">
        <v>3166299</v>
      </c>
      <c r="Z684" s="17">
        <v>156732</v>
      </c>
      <c r="AA684" s="17">
        <v>23872</v>
      </c>
      <c r="AB684" s="17">
        <v>180604</v>
      </c>
      <c r="AC684" s="17">
        <v>3346903</v>
      </c>
      <c r="AD684" s="17">
        <v>4069</v>
      </c>
      <c r="AE684" s="51">
        <f t="shared" si="76"/>
        <v>68.293740436597787</v>
      </c>
      <c r="AF684" s="51">
        <f t="shared" si="77"/>
        <v>3.8954383959983905</v>
      </c>
      <c r="AG684" s="51">
        <f t="shared" si="78"/>
        <v>72.189178832596184</v>
      </c>
      <c r="AH684" s="51">
        <f t="shared" si="79"/>
        <v>8.776405192198096E-2</v>
      </c>
      <c r="BG684" s="15"/>
      <c r="BM684" s="17"/>
      <c r="BN684" s="17"/>
      <c r="BO684" s="17"/>
      <c r="BP684" s="17"/>
      <c r="BQ684" s="17"/>
      <c r="BW684" s="17"/>
    </row>
    <row r="685" spans="1:75" hidden="1" x14ac:dyDescent="0.25">
      <c r="A685" s="15" t="s">
        <v>1171</v>
      </c>
      <c r="B685" s="15" t="s">
        <v>52</v>
      </c>
      <c r="C685" s="15">
        <v>2008</v>
      </c>
      <c r="D685" s="15" t="s">
        <v>1172</v>
      </c>
      <c r="E685" s="15">
        <v>32450</v>
      </c>
      <c r="F685" s="15">
        <v>45954106</v>
      </c>
      <c r="G685" s="15" t="s">
        <v>109</v>
      </c>
      <c r="H685" s="15" t="s">
        <v>43</v>
      </c>
      <c r="I685" s="15" t="s">
        <v>1173</v>
      </c>
      <c r="J685" s="15" t="s">
        <v>1174</v>
      </c>
      <c r="K685" s="15" t="s">
        <v>190</v>
      </c>
      <c r="L685" s="15" t="s">
        <v>48</v>
      </c>
      <c r="M685" s="15" t="s">
        <v>62</v>
      </c>
      <c r="N685" s="15" t="s">
        <v>63</v>
      </c>
      <c r="O685" s="15"/>
      <c r="P685" s="15"/>
      <c r="Q685" s="15"/>
      <c r="R685" s="15"/>
      <c r="S685" s="15"/>
      <c r="T685" s="15"/>
      <c r="U685" s="15"/>
      <c r="V685" s="15"/>
      <c r="W685" s="15"/>
      <c r="X685" s="15"/>
      <c r="Y685" s="17">
        <v>3217052</v>
      </c>
      <c r="Z685" s="17">
        <v>171833</v>
      </c>
      <c r="AA685" s="17">
        <v>25894</v>
      </c>
      <c r="AB685" s="17">
        <v>197727</v>
      </c>
      <c r="AC685" s="17">
        <v>3414779</v>
      </c>
      <c r="AD685" s="17">
        <v>4712</v>
      </c>
      <c r="AE685" s="51">
        <f t="shared" si="76"/>
        <v>70.005757483346528</v>
      </c>
      <c r="AF685" s="51">
        <f t="shared" si="77"/>
        <v>4.3027058343818068</v>
      </c>
      <c r="AG685" s="51">
        <f t="shared" si="78"/>
        <v>74.308463317728354</v>
      </c>
      <c r="AH685" s="51">
        <f t="shared" si="79"/>
        <v>0.1025370834110014</v>
      </c>
      <c r="BG685" s="15"/>
      <c r="BM685" s="17"/>
      <c r="BN685" s="17"/>
      <c r="BO685" s="17"/>
      <c r="BP685" s="17"/>
      <c r="BQ685" s="17"/>
      <c r="BW685" s="17"/>
    </row>
    <row r="686" spans="1:75" hidden="1" x14ac:dyDescent="0.25">
      <c r="A686" s="15" t="s">
        <v>1171</v>
      </c>
      <c r="B686" s="15" t="s">
        <v>30</v>
      </c>
      <c r="C686" s="15">
        <v>2016</v>
      </c>
      <c r="D686" s="15" t="s">
        <v>1172</v>
      </c>
      <c r="E686" s="15">
        <v>27580</v>
      </c>
      <c r="F686" s="15">
        <v>46572028</v>
      </c>
      <c r="G686" s="15" t="s">
        <v>109</v>
      </c>
      <c r="H686" s="15" t="s">
        <v>43</v>
      </c>
      <c r="I686" s="15" t="s">
        <v>188</v>
      </c>
      <c r="J686" s="15" t="s">
        <v>1140</v>
      </c>
      <c r="K686" s="15" t="s">
        <v>190</v>
      </c>
      <c r="L686" s="15" t="s">
        <v>48</v>
      </c>
      <c r="M686" s="15" t="s">
        <v>62</v>
      </c>
      <c r="N686" s="15" t="s">
        <v>63</v>
      </c>
      <c r="O686" s="15"/>
      <c r="P686" s="15"/>
      <c r="Q686" s="15"/>
      <c r="R686" s="15"/>
      <c r="S686" s="15"/>
      <c r="T686" s="15"/>
      <c r="U686" s="15"/>
      <c r="V686" s="15"/>
      <c r="W686" s="15"/>
      <c r="X686" s="15"/>
      <c r="Y686" s="17">
        <v>2538801</v>
      </c>
      <c r="Z686" s="17">
        <v>125846</v>
      </c>
      <c r="AA686" s="17">
        <v>15072</v>
      </c>
      <c r="AB686" s="17">
        <v>2664647</v>
      </c>
      <c r="AC686" s="17">
        <v>5203448</v>
      </c>
      <c r="AD686" s="17">
        <v>3185</v>
      </c>
      <c r="AE686" s="51">
        <f t="shared" si="76"/>
        <v>54.513430250449908</v>
      </c>
      <c r="AF686" s="51">
        <f t="shared" si="77"/>
        <v>57.21561019417063</v>
      </c>
      <c r="AG686" s="51">
        <f t="shared" si="78"/>
        <v>111.72904044462054</v>
      </c>
      <c r="AH686" s="51">
        <f t="shared" si="79"/>
        <v>6.838869030998608E-2</v>
      </c>
      <c r="AI686" s="17">
        <v>4540883</v>
      </c>
      <c r="AJ686" s="17">
        <v>2387091</v>
      </c>
      <c r="AK686" s="17">
        <v>1536888</v>
      </c>
      <c r="AL686" s="17">
        <v>3923979</v>
      </c>
      <c r="AM686" s="17">
        <v>8464862</v>
      </c>
      <c r="AN686" s="17">
        <v>3248856</v>
      </c>
      <c r="AO686" s="17">
        <v>114294000000</v>
      </c>
      <c r="AP686" s="17">
        <v>90862800000</v>
      </c>
      <c r="AQ686" s="17">
        <v>83601400000</v>
      </c>
      <c r="AR686" s="17">
        <v>174464200000</v>
      </c>
      <c r="AS686" s="17">
        <v>288758200000</v>
      </c>
      <c r="AT686" s="17">
        <v>185226600000</v>
      </c>
      <c r="AU686" s="15" t="s">
        <v>1140</v>
      </c>
      <c r="AV686" s="15" t="s">
        <v>1140</v>
      </c>
      <c r="BG686" s="15"/>
      <c r="BM686" s="17"/>
      <c r="BN686" s="17"/>
      <c r="BO686" s="17"/>
      <c r="BP686" s="17"/>
      <c r="BQ686" s="17"/>
      <c r="BS686" s="15" t="s">
        <v>1070</v>
      </c>
      <c r="BT686" s="15" t="s">
        <v>1071</v>
      </c>
      <c r="BU686" s="15" t="s">
        <v>1179</v>
      </c>
      <c r="BW686" s="17"/>
    </row>
    <row r="687" spans="1:75" hidden="1" x14ac:dyDescent="0.25">
      <c r="A687" s="15" t="s">
        <v>1171</v>
      </c>
      <c r="B687" s="15" t="s">
        <v>30</v>
      </c>
      <c r="C687" s="15">
        <v>2015</v>
      </c>
      <c r="D687" s="15" t="s">
        <v>1172</v>
      </c>
      <c r="E687" s="15">
        <v>28420</v>
      </c>
      <c r="F687" s="15">
        <v>46444832</v>
      </c>
      <c r="G687" s="15" t="s">
        <v>109</v>
      </c>
      <c r="H687" s="15" t="s">
        <v>43</v>
      </c>
      <c r="I687" s="15" t="s">
        <v>188</v>
      </c>
      <c r="J687" s="15" t="s">
        <v>1069</v>
      </c>
      <c r="K687" s="15" t="s">
        <v>190</v>
      </c>
      <c r="L687" s="15" t="s">
        <v>48</v>
      </c>
      <c r="M687" s="15" t="s">
        <v>62</v>
      </c>
      <c r="N687" s="15" t="s">
        <v>63</v>
      </c>
      <c r="O687" s="15"/>
      <c r="P687" s="15"/>
      <c r="Q687" s="15"/>
      <c r="R687" s="15"/>
      <c r="S687" s="15"/>
      <c r="T687" s="15"/>
      <c r="U687" s="15"/>
      <c r="V687" s="15"/>
      <c r="W687" s="15"/>
      <c r="X687" s="15"/>
      <c r="Y687" s="17">
        <v>2337621</v>
      </c>
      <c r="Z687" s="17">
        <v>110170</v>
      </c>
      <c r="AA687" s="17">
        <v>14830</v>
      </c>
      <c r="AB687" s="17">
        <v>2447791</v>
      </c>
      <c r="AC687" s="17">
        <v>4785412</v>
      </c>
      <c r="AD687" s="17">
        <v>2919</v>
      </c>
      <c r="AE687" s="51">
        <f t="shared" si="76"/>
        <v>50.331132643563016</v>
      </c>
      <c r="AF687" s="51">
        <f t="shared" si="77"/>
        <v>52.703194189614038</v>
      </c>
      <c r="AG687" s="51">
        <f t="shared" si="78"/>
        <v>103.03432683317705</v>
      </c>
      <c r="AH687" s="51">
        <f t="shared" si="79"/>
        <v>6.284875785534115E-2</v>
      </c>
      <c r="AI687" s="17">
        <v>4519150</v>
      </c>
      <c r="AJ687" s="17">
        <v>2090444</v>
      </c>
      <c r="AK687" s="17">
        <v>1477211</v>
      </c>
      <c r="AL687" s="17">
        <v>3567655</v>
      </c>
      <c r="AM687" s="17">
        <v>8086805</v>
      </c>
      <c r="AN687" s="17">
        <v>3022896</v>
      </c>
      <c r="AO687" s="17">
        <v>117761600000</v>
      </c>
      <c r="AP687" s="17">
        <v>84374400000</v>
      </c>
      <c r="AQ687" s="17">
        <v>81933700000</v>
      </c>
      <c r="AR687" s="17">
        <v>166308100000</v>
      </c>
      <c r="AS687" s="17">
        <v>284069700000</v>
      </c>
      <c r="AT687" s="17">
        <v>174455000000</v>
      </c>
      <c r="AU687" s="15" t="s">
        <v>1140</v>
      </c>
      <c r="BG687" s="15"/>
      <c r="BM687" s="17"/>
      <c r="BN687" s="17"/>
      <c r="BO687" s="17"/>
      <c r="BP687" s="17"/>
      <c r="BQ687" s="17"/>
      <c r="BW687" s="17"/>
    </row>
    <row r="688" spans="1:75" hidden="1" x14ac:dyDescent="0.25">
      <c r="A688" s="15" t="s">
        <v>1171</v>
      </c>
      <c r="B688" s="15" t="s">
        <v>30</v>
      </c>
      <c r="C688" s="15">
        <v>2014</v>
      </c>
      <c r="D688" s="15" t="s">
        <v>1172</v>
      </c>
      <c r="E688" s="15">
        <v>29300</v>
      </c>
      <c r="F688" s="15">
        <v>46480882</v>
      </c>
      <c r="G688" s="15" t="s">
        <v>109</v>
      </c>
      <c r="H688" s="15" t="s">
        <v>43</v>
      </c>
      <c r="I688" s="15" t="s">
        <v>188</v>
      </c>
      <c r="J688" s="15" t="s">
        <v>1074</v>
      </c>
      <c r="K688" s="15" t="s">
        <v>190</v>
      </c>
      <c r="L688" s="15" t="s">
        <v>48</v>
      </c>
      <c r="M688" s="15" t="s">
        <v>62</v>
      </c>
      <c r="N688" s="15" t="s">
        <v>63</v>
      </c>
      <c r="O688" s="15"/>
      <c r="P688" s="15"/>
      <c r="Q688" s="15"/>
      <c r="R688" s="15"/>
      <c r="S688" s="15"/>
      <c r="T688" s="15"/>
      <c r="U688" s="15"/>
      <c r="V688" s="15"/>
      <c r="W688" s="15"/>
      <c r="X688" s="15"/>
      <c r="Y688" s="17">
        <v>2253596</v>
      </c>
      <c r="Z688" s="17">
        <v>106534</v>
      </c>
      <c r="AA688" s="17">
        <v>14298</v>
      </c>
      <c r="AB688" s="17">
        <v>2360130</v>
      </c>
      <c r="AC688" s="17">
        <v>4613726</v>
      </c>
      <c r="AD688" s="17">
        <v>2762</v>
      </c>
      <c r="AE688" s="51">
        <f t="shared" si="76"/>
        <v>48.484363958498037</v>
      </c>
      <c r="AF688" s="51">
        <f t="shared" si="77"/>
        <v>50.776360052720165</v>
      </c>
      <c r="AG688" s="51">
        <f t="shared" si="78"/>
        <v>99.260724011218201</v>
      </c>
      <c r="AH688" s="51">
        <f t="shared" si="79"/>
        <v>5.9422280325919806E-2</v>
      </c>
      <c r="AI688" s="17">
        <v>4362769</v>
      </c>
      <c r="AJ688" s="17">
        <v>2000215</v>
      </c>
      <c r="AK688" s="17">
        <v>1410314</v>
      </c>
      <c r="AL688" s="17">
        <v>3410529</v>
      </c>
      <c r="AM688" s="17">
        <v>7773298</v>
      </c>
      <c r="AN688" s="17">
        <v>2881737</v>
      </c>
      <c r="AO688" s="17">
        <v>108340100000</v>
      </c>
      <c r="AP688" s="17">
        <v>80749500000</v>
      </c>
      <c r="AQ688" s="17">
        <v>76418600000</v>
      </c>
      <c r="AR688" s="17">
        <v>157168100000</v>
      </c>
      <c r="AS688" s="17">
        <v>265508200000</v>
      </c>
      <c r="AT688" s="17">
        <v>164562300000</v>
      </c>
      <c r="AU688" s="15" t="s">
        <v>1140</v>
      </c>
      <c r="BG688" s="15"/>
      <c r="BM688" s="17"/>
      <c r="BN688" s="17"/>
      <c r="BO688" s="17"/>
      <c r="BP688" s="17"/>
      <c r="BQ688" s="17"/>
      <c r="BW688" s="17"/>
    </row>
    <row r="689" spans="1:75" hidden="1" x14ac:dyDescent="0.25">
      <c r="A689" s="15" t="s">
        <v>1171</v>
      </c>
      <c r="B689" s="15" t="s">
        <v>30</v>
      </c>
      <c r="C689" s="15">
        <v>2013</v>
      </c>
      <c r="D689" s="15" t="s">
        <v>1172</v>
      </c>
      <c r="E689" s="15">
        <v>29400</v>
      </c>
      <c r="F689" s="15">
        <v>46620045</v>
      </c>
      <c r="G689" s="15" t="s">
        <v>109</v>
      </c>
      <c r="H689" s="15" t="s">
        <v>43</v>
      </c>
      <c r="I689" s="15" t="s">
        <v>188</v>
      </c>
      <c r="J689" s="15" t="s">
        <v>1075</v>
      </c>
      <c r="K689" s="15" t="s">
        <v>190</v>
      </c>
      <c r="L689" s="15" t="s">
        <v>48</v>
      </c>
      <c r="M689" s="15" t="s">
        <v>62</v>
      </c>
      <c r="N689" s="15" t="s">
        <v>63</v>
      </c>
      <c r="O689" s="15"/>
      <c r="P689" s="15"/>
      <c r="Q689" s="15"/>
      <c r="R689" s="15"/>
      <c r="S689" s="15"/>
      <c r="T689" s="15"/>
      <c r="U689" s="15"/>
      <c r="V689" s="15"/>
      <c r="W689" s="15"/>
      <c r="X689" s="15"/>
      <c r="Y689" s="17">
        <v>2229190</v>
      </c>
      <c r="Z689" s="17">
        <v>108922</v>
      </c>
      <c r="AA689" s="17">
        <v>14164</v>
      </c>
      <c r="AB689" s="17">
        <v>2338112</v>
      </c>
      <c r="AC689" s="17">
        <v>4567302</v>
      </c>
      <c r="AD689" s="17">
        <v>2673</v>
      </c>
      <c r="AE689" s="51">
        <f t="shared" si="76"/>
        <v>47.816127161610417</v>
      </c>
      <c r="AF689" s="51">
        <f t="shared" si="77"/>
        <v>50.152504142799515</v>
      </c>
      <c r="AG689" s="51">
        <f t="shared" si="78"/>
        <v>97.968631304409939</v>
      </c>
      <c r="AH689" s="51">
        <f t="shared" si="79"/>
        <v>5.7335851992420854E-2</v>
      </c>
      <c r="AI689" s="17">
        <v>4332661</v>
      </c>
      <c r="AJ689" s="17">
        <v>2026696</v>
      </c>
      <c r="AK689" s="17">
        <v>1402160</v>
      </c>
      <c r="AL689" s="17">
        <v>3428856</v>
      </c>
      <c r="AM689" s="17">
        <v>7761517</v>
      </c>
      <c r="AN689" s="17">
        <v>2813201</v>
      </c>
      <c r="AO689" s="17">
        <v>107735700000</v>
      </c>
      <c r="AP689" s="17">
        <v>78861800000</v>
      </c>
      <c r="AQ689" s="17">
        <v>72769900000</v>
      </c>
      <c r="AR689" s="17">
        <v>151631700000</v>
      </c>
      <c r="AS689" s="17">
        <v>259367400000</v>
      </c>
      <c r="AT689" s="17">
        <v>158967000000</v>
      </c>
      <c r="AU689" s="15" t="s">
        <v>1140</v>
      </c>
      <c r="BG689" s="15"/>
      <c r="BM689" s="17"/>
      <c r="BN689" s="17"/>
      <c r="BO689" s="17"/>
      <c r="BP689" s="17"/>
      <c r="BQ689" s="17"/>
      <c r="BW689" s="17"/>
    </row>
    <row r="690" spans="1:75" hidden="1" x14ac:dyDescent="0.25">
      <c r="A690" s="15" t="s">
        <v>1171</v>
      </c>
      <c r="B690" s="15" t="s">
        <v>30</v>
      </c>
      <c r="C690" s="15">
        <v>2012</v>
      </c>
      <c r="D690" s="15" t="s">
        <v>1172</v>
      </c>
      <c r="E690" s="15">
        <v>29760</v>
      </c>
      <c r="F690" s="15">
        <v>46773055</v>
      </c>
      <c r="G690" s="15" t="s">
        <v>109</v>
      </c>
      <c r="H690" s="15" t="s">
        <v>43</v>
      </c>
      <c r="I690" s="15" t="s">
        <v>188</v>
      </c>
      <c r="J690" s="15" t="s">
        <v>1076</v>
      </c>
      <c r="K690" s="15" t="s">
        <v>190</v>
      </c>
      <c r="L690" s="15" t="s">
        <v>48</v>
      </c>
      <c r="M690" s="15" t="s">
        <v>62</v>
      </c>
      <c r="N690" s="15" t="s">
        <v>63</v>
      </c>
      <c r="O690" s="15"/>
      <c r="P690" s="15"/>
      <c r="Q690" s="15"/>
      <c r="R690" s="15"/>
      <c r="S690" s="15"/>
      <c r="T690" s="15"/>
      <c r="U690" s="15"/>
      <c r="V690" s="15"/>
      <c r="W690" s="15"/>
      <c r="X690" s="15"/>
      <c r="Y690" s="17">
        <v>2252804</v>
      </c>
      <c r="Z690" s="17">
        <v>114694</v>
      </c>
      <c r="AA690" s="17">
        <v>14830</v>
      </c>
      <c r="AB690" s="17">
        <v>2367498</v>
      </c>
      <c r="AC690" s="17">
        <v>4620302</v>
      </c>
      <c r="AD690" s="17">
        <v>2749</v>
      </c>
      <c r="AE690" s="51">
        <f t="shared" si="76"/>
        <v>48.164568254094164</v>
      </c>
      <c r="AF690" s="51">
        <f t="shared" si="77"/>
        <v>50.616706563212517</v>
      </c>
      <c r="AG690" s="51">
        <f t="shared" si="78"/>
        <v>98.781274817306667</v>
      </c>
      <c r="AH690" s="51">
        <f t="shared" si="79"/>
        <v>5.8773154757584253E-2</v>
      </c>
      <c r="AI690" s="17">
        <v>4457466</v>
      </c>
      <c r="AJ690" s="17">
        <v>2143299</v>
      </c>
      <c r="AK690" s="17">
        <v>1471452</v>
      </c>
      <c r="AL690" s="17">
        <v>3614751</v>
      </c>
      <c r="AM690" s="17">
        <v>8072217</v>
      </c>
      <c r="AN690" s="17">
        <v>2851107</v>
      </c>
      <c r="AO690" s="17">
        <v>113610100000</v>
      </c>
      <c r="AP690" s="17">
        <v>84402500000</v>
      </c>
      <c r="AQ690" s="17">
        <v>75347100000</v>
      </c>
      <c r="AR690" s="17">
        <v>159749600000</v>
      </c>
      <c r="AS690" s="17">
        <v>273359700000</v>
      </c>
      <c r="AT690" s="17">
        <v>160796300000</v>
      </c>
      <c r="AU690" s="15" t="s">
        <v>1140</v>
      </c>
      <c r="BG690" s="15"/>
      <c r="BM690" s="17"/>
      <c r="BN690" s="17"/>
      <c r="BO690" s="17"/>
      <c r="BP690" s="17"/>
      <c r="BQ690" s="17"/>
      <c r="BW690" s="17"/>
    </row>
    <row r="691" spans="1:75" hidden="1" x14ac:dyDescent="0.25">
      <c r="A691" s="15" t="s">
        <v>1171</v>
      </c>
      <c r="B691" s="15" t="s">
        <v>30</v>
      </c>
      <c r="C691" s="15">
        <v>2011</v>
      </c>
      <c r="D691" s="15" t="s">
        <v>1172</v>
      </c>
      <c r="E691" s="15">
        <v>31150</v>
      </c>
      <c r="F691" s="15">
        <v>46742697</v>
      </c>
      <c r="G691" s="15" t="s">
        <v>109</v>
      </c>
      <c r="H691" s="15" t="s">
        <v>43</v>
      </c>
      <c r="I691" s="15" t="s">
        <v>188</v>
      </c>
      <c r="J691" s="15" t="s">
        <v>1077</v>
      </c>
      <c r="K691" s="15" t="s">
        <v>190</v>
      </c>
      <c r="L691" s="15" t="s">
        <v>48</v>
      </c>
      <c r="M691" s="15" t="s">
        <v>62</v>
      </c>
      <c r="N691" s="15" t="s">
        <v>63</v>
      </c>
      <c r="O691" s="15"/>
      <c r="P691" s="15"/>
      <c r="Q691" s="15"/>
      <c r="R691" s="15"/>
      <c r="S691" s="15"/>
      <c r="T691" s="15"/>
      <c r="U691" s="15"/>
      <c r="V691" s="15"/>
      <c r="W691" s="15"/>
      <c r="X691" s="15"/>
      <c r="Y691" s="17">
        <v>2285379</v>
      </c>
      <c r="Z691" s="17">
        <v>125521</v>
      </c>
      <c r="AA691" s="17">
        <v>15831</v>
      </c>
      <c r="AB691" s="17">
        <v>2410900</v>
      </c>
      <c r="AC691" s="17">
        <v>4696279</v>
      </c>
      <c r="AD691" s="17">
        <v>2897</v>
      </c>
      <c r="AE691" s="51">
        <f t="shared" si="76"/>
        <v>48.892750026811676</v>
      </c>
      <c r="AF691" s="51">
        <f t="shared" si="77"/>
        <v>51.578110693955033</v>
      </c>
      <c r="AG691" s="51">
        <f t="shared" si="78"/>
        <v>100.47086072076671</v>
      </c>
      <c r="AH691" s="51">
        <f t="shared" si="79"/>
        <v>6.1977596200749815E-2</v>
      </c>
      <c r="AI691" s="17">
        <v>4559063</v>
      </c>
      <c r="AJ691" s="17">
        <v>2361216</v>
      </c>
      <c r="AK691" s="17">
        <v>1558562</v>
      </c>
      <c r="AL691" s="17">
        <v>3919778</v>
      </c>
      <c r="AM691" s="17">
        <v>8478841</v>
      </c>
      <c r="AN691" s="17">
        <v>2947833</v>
      </c>
      <c r="AO691" s="17">
        <v>121473900000</v>
      </c>
      <c r="AP691" s="17">
        <v>91900100000</v>
      </c>
      <c r="AQ691" s="17">
        <v>80101500000</v>
      </c>
      <c r="AR691" s="17">
        <v>172001600000</v>
      </c>
      <c r="AS691" s="17">
        <v>293475500000</v>
      </c>
      <c r="AT691" s="17">
        <v>170120400000</v>
      </c>
      <c r="AU691" s="15" t="s">
        <v>1140</v>
      </c>
      <c r="BG691" s="15"/>
      <c r="BM691" s="17"/>
      <c r="BN691" s="17"/>
      <c r="BO691" s="17"/>
      <c r="BP691" s="17"/>
      <c r="BQ691" s="17"/>
      <c r="BW691" s="17"/>
    </row>
    <row r="692" spans="1:75" hidden="1" x14ac:dyDescent="0.25">
      <c r="A692" s="15" t="s">
        <v>1171</v>
      </c>
      <c r="B692" s="15" t="s">
        <v>30</v>
      </c>
      <c r="C692" s="15">
        <v>2010</v>
      </c>
      <c r="D692" s="15" t="s">
        <v>1172</v>
      </c>
      <c r="E692" s="15">
        <v>32130</v>
      </c>
      <c r="F692" s="15">
        <v>46576897</v>
      </c>
      <c r="G692" s="15" t="s">
        <v>109</v>
      </c>
      <c r="H692" s="15" t="s">
        <v>43</v>
      </c>
      <c r="I692" s="15" t="s">
        <v>188</v>
      </c>
      <c r="J692" s="15" t="s">
        <v>1078</v>
      </c>
      <c r="K692" s="15" t="s">
        <v>190</v>
      </c>
      <c r="L692" s="15" t="s">
        <v>48</v>
      </c>
      <c r="M692" s="15" t="s">
        <v>62</v>
      </c>
      <c r="N692" s="15" t="s">
        <v>63</v>
      </c>
      <c r="O692" s="15"/>
      <c r="P692" s="15"/>
      <c r="Q692" s="15"/>
      <c r="R692" s="15"/>
      <c r="S692" s="15"/>
      <c r="T692" s="15"/>
      <c r="U692" s="15"/>
      <c r="V692" s="15"/>
      <c r="W692" s="15"/>
      <c r="X692" s="15"/>
      <c r="Y692" s="17">
        <v>2345329</v>
      </c>
      <c r="Z692" s="17">
        <v>135413</v>
      </c>
      <c r="AA692" s="17">
        <v>16912</v>
      </c>
      <c r="AB692" s="17">
        <v>2480742</v>
      </c>
      <c r="AC692" s="17">
        <v>4826071</v>
      </c>
      <c r="AD692" s="17">
        <v>2920</v>
      </c>
      <c r="AE692" s="51">
        <f t="shared" si="76"/>
        <v>50.353912584601765</v>
      </c>
      <c r="AF692" s="51">
        <f t="shared" si="77"/>
        <v>53.261212313048681</v>
      </c>
      <c r="AG692" s="51">
        <f t="shared" si="78"/>
        <v>103.61512489765045</v>
      </c>
      <c r="AH692" s="51">
        <f t="shared" si="79"/>
        <v>6.2692025190085113E-2</v>
      </c>
      <c r="AI692" s="17">
        <v>4832688</v>
      </c>
      <c r="AJ692" s="17">
        <v>2564134</v>
      </c>
      <c r="AK692" s="17">
        <v>1651414</v>
      </c>
      <c r="AL692" s="17">
        <v>4215548</v>
      </c>
      <c r="AM692" s="17">
        <v>9048236</v>
      </c>
      <c r="AN692" s="17">
        <v>2940914</v>
      </c>
      <c r="AO692" s="17">
        <v>126601200000</v>
      </c>
      <c r="AP692" s="17">
        <v>100178900000</v>
      </c>
      <c r="AQ692" s="17">
        <v>81078500000</v>
      </c>
      <c r="AR692" s="17">
        <v>181257400000</v>
      </c>
      <c r="AS692" s="17">
        <v>307858600000</v>
      </c>
      <c r="AT692" s="17">
        <v>168650700000</v>
      </c>
      <c r="AU692" s="15" t="s">
        <v>1140</v>
      </c>
      <c r="BG692" s="15"/>
      <c r="BM692" s="17"/>
      <c r="BN692" s="17"/>
      <c r="BO692" s="17"/>
      <c r="BP692" s="17"/>
      <c r="BQ692" s="17"/>
      <c r="BW692" s="17"/>
    </row>
    <row r="693" spans="1:75" hidden="1" x14ac:dyDescent="0.25">
      <c r="A693" s="15" t="s">
        <v>1171</v>
      </c>
      <c r="B693" s="15" t="s">
        <v>142</v>
      </c>
      <c r="C693" s="15">
        <v>2016</v>
      </c>
      <c r="D693" s="15" t="s">
        <v>1172</v>
      </c>
      <c r="E693" s="15">
        <v>27580</v>
      </c>
      <c r="F693" s="15">
        <v>46572028</v>
      </c>
      <c r="G693" s="15" t="s">
        <v>109</v>
      </c>
      <c r="H693" s="15" t="s">
        <v>43</v>
      </c>
      <c r="I693" s="15" t="s">
        <v>1180</v>
      </c>
      <c r="J693" s="15" t="s">
        <v>1181</v>
      </c>
      <c r="K693" s="15" t="s">
        <v>190</v>
      </c>
      <c r="L693" s="15" t="s">
        <v>48</v>
      </c>
      <c r="M693" s="15" t="s">
        <v>62</v>
      </c>
      <c r="N693" s="15" t="s">
        <v>63</v>
      </c>
      <c r="O693" s="15"/>
      <c r="P693" s="15"/>
      <c r="Q693" s="15"/>
      <c r="R693" s="15"/>
      <c r="S693" s="15"/>
      <c r="T693" s="15"/>
      <c r="U693" s="15"/>
      <c r="V693" s="15"/>
      <c r="W693" s="15"/>
      <c r="X693" s="15"/>
      <c r="AE693" s="51" t="str">
        <f t="shared" si="76"/>
        <v/>
      </c>
      <c r="AF693" s="51" t="str">
        <f t="shared" si="77"/>
        <v/>
      </c>
      <c r="AG693" s="51" t="str">
        <f t="shared" si="78"/>
        <v/>
      </c>
      <c r="AH693" s="51" t="str">
        <f t="shared" si="79"/>
        <v/>
      </c>
      <c r="BE693" s="16">
        <v>247000000000</v>
      </c>
      <c r="BF693" s="42">
        <v>0.501</v>
      </c>
      <c r="BG693" s="17">
        <v>246000000000</v>
      </c>
      <c r="BH693" s="42">
        <v>0.499</v>
      </c>
      <c r="BM693" s="17"/>
      <c r="BN693" s="17"/>
      <c r="BO693" s="17"/>
      <c r="BP693" s="17"/>
      <c r="BQ693" s="17"/>
      <c r="BS693" s="15" t="s">
        <v>1182</v>
      </c>
      <c r="BW693" s="17"/>
    </row>
    <row r="694" spans="1:75" hidden="1" x14ac:dyDescent="0.25">
      <c r="A694" s="15" t="s">
        <v>1171</v>
      </c>
      <c r="B694" s="15" t="s">
        <v>142</v>
      </c>
      <c r="C694" s="15">
        <v>2015</v>
      </c>
      <c r="D694" s="15" t="s">
        <v>1172</v>
      </c>
      <c r="E694" s="15">
        <v>28420</v>
      </c>
      <c r="F694" s="15">
        <v>46444832</v>
      </c>
      <c r="G694" s="15" t="s">
        <v>109</v>
      </c>
      <c r="H694" s="15" t="s">
        <v>43</v>
      </c>
      <c r="I694" s="15" t="s">
        <v>1180</v>
      </c>
      <c r="J694" s="15" t="s">
        <v>1181</v>
      </c>
      <c r="K694" s="15" t="s">
        <v>190</v>
      </c>
      <c r="L694" s="15" t="s">
        <v>48</v>
      </c>
      <c r="M694" s="15" t="s">
        <v>62</v>
      </c>
      <c r="N694" s="15" t="s">
        <v>63</v>
      </c>
      <c r="O694" s="15"/>
      <c r="P694" s="15"/>
      <c r="Q694" s="15"/>
      <c r="R694" s="15"/>
      <c r="S694" s="15"/>
      <c r="T694" s="15"/>
      <c r="U694" s="15"/>
      <c r="V694" s="15"/>
      <c r="W694" s="15"/>
      <c r="X694" s="15"/>
      <c r="AE694" s="51" t="str">
        <f t="shared" si="76"/>
        <v/>
      </c>
      <c r="AF694" s="51" t="str">
        <f t="shared" si="77"/>
        <v/>
      </c>
      <c r="AG694" s="51" t="str">
        <f t="shared" si="78"/>
        <v/>
      </c>
      <c r="AH694" s="51" t="str">
        <f t="shared" si="79"/>
        <v/>
      </c>
      <c r="BE694" s="16">
        <v>258000000000</v>
      </c>
      <c r="BF694" s="42">
        <v>0.4985</v>
      </c>
      <c r="BG694" s="17">
        <v>260000000000</v>
      </c>
      <c r="BH694" s="42">
        <v>0.502</v>
      </c>
      <c r="BM694" s="17"/>
      <c r="BN694" s="17"/>
      <c r="BO694" s="17"/>
      <c r="BP694" s="17"/>
      <c r="BQ694" s="17"/>
      <c r="BW694" s="17"/>
    </row>
    <row r="695" spans="1:75" hidden="1" x14ac:dyDescent="0.25">
      <c r="A695" s="15" t="s">
        <v>1171</v>
      </c>
      <c r="B695" s="15" t="s">
        <v>142</v>
      </c>
      <c r="C695" s="15">
        <v>2014</v>
      </c>
      <c r="D695" s="15" t="s">
        <v>1172</v>
      </c>
      <c r="E695" s="15">
        <v>29300</v>
      </c>
      <c r="F695" s="15">
        <v>46480882</v>
      </c>
      <c r="G695" s="15" t="s">
        <v>109</v>
      </c>
      <c r="H695" s="15" t="s">
        <v>43</v>
      </c>
      <c r="I695" s="15" t="s">
        <v>1180</v>
      </c>
      <c r="J695" s="15" t="s">
        <v>1181</v>
      </c>
      <c r="K695" s="15" t="s">
        <v>190</v>
      </c>
      <c r="L695" s="15" t="s">
        <v>48</v>
      </c>
      <c r="M695" s="15" t="s">
        <v>62</v>
      </c>
      <c r="N695" s="15" t="s">
        <v>63</v>
      </c>
      <c r="O695" s="15"/>
      <c r="P695" s="15"/>
      <c r="Q695" s="15"/>
      <c r="R695" s="15"/>
      <c r="S695" s="15"/>
      <c r="T695" s="15"/>
      <c r="U695" s="15"/>
      <c r="V695" s="15"/>
      <c r="W695" s="15"/>
      <c r="X695" s="15"/>
      <c r="AE695" s="51" t="str">
        <f t="shared" si="76"/>
        <v/>
      </c>
      <c r="AF695" s="51" t="str">
        <f t="shared" si="77"/>
        <v/>
      </c>
      <c r="AG695" s="51" t="str">
        <f t="shared" si="78"/>
        <v/>
      </c>
      <c r="AH695" s="51" t="str">
        <f t="shared" si="79"/>
        <v/>
      </c>
      <c r="BE695" s="16">
        <v>293000000000</v>
      </c>
      <c r="BF695" s="42">
        <v>0.53790000000000004</v>
      </c>
      <c r="BG695" s="17">
        <v>252000000000</v>
      </c>
      <c r="BH695" s="42">
        <v>0.46200000000000002</v>
      </c>
      <c r="BM695" s="17"/>
      <c r="BN695" s="17"/>
      <c r="BO695" s="17"/>
      <c r="BP695" s="17"/>
      <c r="BQ695" s="17"/>
      <c r="BW695" s="17"/>
    </row>
    <row r="696" spans="1:75" x14ac:dyDescent="0.25">
      <c r="A696" s="15" t="s">
        <v>1183</v>
      </c>
      <c r="B696" s="15" t="s">
        <v>30</v>
      </c>
      <c r="C696" s="15">
        <v>2014</v>
      </c>
      <c r="D696" s="15" t="s">
        <v>1184</v>
      </c>
      <c r="E696" s="15">
        <v>3640</v>
      </c>
      <c r="F696" s="15">
        <v>20771000</v>
      </c>
      <c r="G696" s="15" t="s">
        <v>88</v>
      </c>
      <c r="H696" s="15" t="s">
        <v>33</v>
      </c>
      <c r="I696" s="15" t="s">
        <v>1185</v>
      </c>
      <c r="J696" s="15" t="s">
        <v>1186</v>
      </c>
      <c r="K696" s="15" t="s">
        <v>1187</v>
      </c>
      <c r="L696" s="15" t="s">
        <v>1188</v>
      </c>
      <c r="M696" s="15" t="s">
        <v>1189</v>
      </c>
      <c r="N696" s="15" t="s">
        <v>1190</v>
      </c>
      <c r="O696" s="15"/>
      <c r="P696" s="15"/>
      <c r="Q696" s="15"/>
      <c r="R696" s="15"/>
      <c r="S696" s="15"/>
      <c r="T696" s="15"/>
      <c r="U696" s="15"/>
      <c r="V696" s="15"/>
      <c r="W696" s="15"/>
      <c r="X696" s="15"/>
      <c r="Y696" s="17">
        <v>935736</v>
      </c>
      <c r="Z696" s="17">
        <v>71126</v>
      </c>
      <c r="AA696" s="17">
        <v>10405</v>
      </c>
      <c r="AB696" s="17">
        <v>81531</v>
      </c>
      <c r="AC696" s="17">
        <v>1017267</v>
      </c>
      <c r="AD696" s="17">
        <v>2414</v>
      </c>
      <c r="AE696" s="51">
        <f t="shared" si="76"/>
        <v>45.050117952915123</v>
      </c>
      <c r="AF696" s="51">
        <f t="shared" si="77"/>
        <v>3.9252322950267198</v>
      </c>
      <c r="AG696" s="51">
        <f t="shared" si="78"/>
        <v>48.97535024794184</v>
      </c>
      <c r="AH696" s="51">
        <f t="shared" si="79"/>
        <v>0.11621972943045593</v>
      </c>
      <c r="AI696" s="17">
        <v>1338064</v>
      </c>
      <c r="AJ696" s="17">
        <v>529248</v>
      </c>
      <c r="AK696" s="17">
        <v>387859</v>
      </c>
      <c r="AL696" s="17">
        <v>917107</v>
      </c>
      <c r="AM696" s="17">
        <v>2255171</v>
      </c>
      <c r="AN696" s="17">
        <v>747948</v>
      </c>
      <c r="BG696" s="15"/>
      <c r="BM696" s="17">
        <v>246098</v>
      </c>
      <c r="BN696" s="17">
        <v>6538</v>
      </c>
      <c r="BO696" s="17">
        <f>BN696+BM696</f>
        <v>252636</v>
      </c>
      <c r="BP696" s="17">
        <v>424824</v>
      </c>
      <c r="BQ696" s="17">
        <v>7752</v>
      </c>
      <c r="BR696" s="43">
        <v>0.42399999999999999</v>
      </c>
      <c r="BW696" s="17"/>
    </row>
    <row r="697" spans="1:75" hidden="1" x14ac:dyDescent="0.25">
      <c r="A697" s="15" t="s">
        <v>1191</v>
      </c>
      <c r="B697" s="15" t="s">
        <v>30</v>
      </c>
      <c r="C697" s="15">
        <v>2016</v>
      </c>
      <c r="D697" s="15" t="s">
        <v>1192</v>
      </c>
      <c r="E697" s="15">
        <v>15690</v>
      </c>
      <c r="F697" s="15">
        <v>55345</v>
      </c>
      <c r="G697" s="15" t="s">
        <v>109</v>
      </c>
      <c r="H697" s="15" t="s">
        <v>110</v>
      </c>
      <c r="I697" s="15" t="s">
        <v>1193</v>
      </c>
      <c r="J697" s="15" t="s">
        <v>1194</v>
      </c>
      <c r="K697" s="15"/>
      <c r="L697" s="15" t="s">
        <v>1195</v>
      </c>
      <c r="M697" s="15"/>
      <c r="N697" s="15"/>
      <c r="O697" s="15"/>
      <c r="P697" s="15" t="s">
        <v>1196</v>
      </c>
      <c r="Q697" s="15"/>
      <c r="R697" s="15"/>
      <c r="S697" s="15"/>
      <c r="T697" s="15"/>
      <c r="U697" s="15" t="s">
        <v>619</v>
      </c>
      <c r="V697" s="15"/>
      <c r="W697" s="15"/>
      <c r="X697" s="15"/>
      <c r="AE697" s="51" t="str">
        <f t="shared" si="76"/>
        <v/>
      </c>
      <c r="AF697" s="51" t="str">
        <f t="shared" si="77"/>
        <v/>
      </c>
      <c r="AG697" s="51" t="str">
        <f t="shared" si="78"/>
        <v/>
      </c>
      <c r="AH697" s="51" t="str">
        <f t="shared" si="79"/>
        <v/>
      </c>
      <c r="BG697" s="15"/>
      <c r="BM697" s="17"/>
      <c r="BN697" s="17"/>
      <c r="BO697" s="17"/>
      <c r="BP697" s="17"/>
      <c r="BQ697" s="17"/>
      <c r="BW697" s="17"/>
    </row>
    <row r="698" spans="1:75" hidden="1" x14ac:dyDescent="0.25">
      <c r="A698" s="15" t="s">
        <v>1197</v>
      </c>
      <c r="B698" s="15" t="s">
        <v>30</v>
      </c>
      <c r="C698" s="15">
        <v>2011</v>
      </c>
      <c r="D698" s="15" t="s">
        <v>1198</v>
      </c>
      <c r="E698" s="15">
        <v>7790</v>
      </c>
      <c r="F698" s="15">
        <v>173832</v>
      </c>
      <c r="G698" s="15" t="s">
        <v>42</v>
      </c>
      <c r="H698" s="15" t="s">
        <v>110</v>
      </c>
      <c r="I698" s="15" t="s">
        <v>1200</v>
      </c>
      <c r="J698" s="15" t="s">
        <v>1203</v>
      </c>
      <c r="K698" s="15" t="s">
        <v>34</v>
      </c>
      <c r="L698" s="15" t="s">
        <v>371</v>
      </c>
      <c r="M698" s="15"/>
      <c r="N698" s="15" t="s">
        <v>244</v>
      </c>
      <c r="O698" s="15" t="s">
        <v>1202</v>
      </c>
      <c r="P698" s="15" t="s">
        <v>252</v>
      </c>
      <c r="Q698" s="15"/>
      <c r="R698" s="15"/>
      <c r="S698" s="15" t="s">
        <v>114</v>
      </c>
      <c r="T698" s="15" t="s">
        <v>220</v>
      </c>
      <c r="U698" s="15" t="s">
        <v>1199</v>
      </c>
      <c r="V698" s="15"/>
      <c r="W698" s="15"/>
      <c r="X698" s="15" t="s">
        <v>114</v>
      </c>
      <c r="Y698" s="17">
        <v>5960</v>
      </c>
      <c r="Z698" s="17">
        <v>215</v>
      </c>
      <c r="AC698" s="17">
        <v>6175</v>
      </c>
      <c r="AD698" s="17">
        <v>96</v>
      </c>
      <c r="AE698" s="51">
        <f t="shared" si="76"/>
        <v>34.285977265405677</v>
      </c>
      <c r="AF698" s="51" t="str">
        <f t="shared" si="77"/>
        <v/>
      </c>
      <c r="AG698" s="51">
        <f t="shared" si="78"/>
        <v>35.522803626489939</v>
      </c>
      <c r="AH698" s="51">
        <f t="shared" si="79"/>
        <v>0.55225735192599745</v>
      </c>
      <c r="BG698" s="15"/>
      <c r="BM698" s="17"/>
      <c r="BN698" s="17"/>
      <c r="BO698" s="17"/>
      <c r="BP698" s="17"/>
      <c r="BQ698" s="17"/>
      <c r="BW698" s="17"/>
    </row>
    <row r="699" spans="1:75" x14ac:dyDescent="0.25">
      <c r="A699" s="15" t="s">
        <v>1204</v>
      </c>
      <c r="B699" s="15" t="s">
        <v>30</v>
      </c>
      <c r="C699" s="15">
        <v>2010</v>
      </c>
      <c r="D699" s="15" t="s">
        <v>1205</v>
      </c>
      <c r="E699" s="15">
        <v>6030</v>
      </c>
      <c r="F699" s="15">
        <v>109315</v>
      </c>
      <c r="G699" s="15" t="s">
        <v>42</v>
      </c>
      <c r="H699" s="15" t="s">
        <v>110</v>
      </c>
      <c r="I699" s="15" t="s">
        <v>1206</v>
      </c>
      <c r="J699" s="15" t="s">
        <v>1207</v>
      </c>
      <c r="K699" s="15" t="s">
        <v>34</v>
      </c>
      <c r="L699" s="15" t="s">
        <v>35</v>
      </c>
      <c r="M699" s="15" t="s">
        <v>276</v>
      </c>
      <c r="N699" s="15" t="s">
        <v>244</v>
      </c>
      <c r="O699" s="15" t="s">
        <v>220</v>
      </c>
      <c r="P699" s="15" t="s">
        <v>252</v>
      </c>
      <c r="Q699" s="15" t="s">
        <v>1199</v>
      </c>
      <c r="R699" s="15" t="s">
        <v>1208</v>
      </c>
      <c r="S699" s="15" t="s">
        <v>114</v>
      </c>
      <c r="T699" s="15" t="s">
        <v>220</v>
      </c>
      <c r="U699" s="15" t="s">
        <v>252</v>
      </c>
      <c r="V699" s="15" t="s">
        <v>115</v>
      </c>
      <c r="W699" s="15" t="s">
        <v>1209</v>
      </c>
      <c r="X699" s="15" t="s">
        <v>114</v>
      </c>
      <c r="AE699" s="51" t="str">
        <f t="shared" si="76"/>
        <v/>
      </c>
      <c r="AF699" s="51" t="str">
        <f t="shared" si="77"/>
        <v/>
      </c>
      <c r="AG699" s="51" t="str">
        <f t="shared" si="78"/>
        <v/>
      </c>
      <c r="AH699" s="51" t="str">
        <f t="shared" si="79"/>
        <v/>
      </c>
      <c r="AI699" s="17">
        <v>29400</v>
      </c>
      <c r="AK699" s="17">
        <v>2450</v>
      </c>
      <c r="AL699" s="17">
        <v>2450</v>
      </c>
      <c r="AM699" s="17">
        <v>31850</v>
      </c>
      <c r="AN699" s="17">
        <v>1470</v>
      </c>
      <c r="BG699" s="15"/>
      <c r="BM699" s="17"/>
      <c r="BN699" s="17"/>
      <c r="BO699" s="17"/>
      <c r="BP699" s="17"/>
      <c r="BQ699" s="17"/>
      <c r="BR699" s="43">
        <v>0.76</v>
      </c>
      <c r="BS699" s="15" t="s">
        <v>1210</v>
      </c>
      <c r="BW699" s="17"/>
    </row>
    <row r="700" spans="1:75" hidden="1" x14ac:dyDescent="0.25">
      <c r="A700" s="15" t="s">
        <v>1204</v>
      </c>
      <c r="B700" s="15" t="s">
        <v>52</v>
      </c>
      <c r="C700" s="15">
        <v>2015</v>
      </c>
      <c r="D700" s="15" t="s">
        <v>1205</v>
      </c>
      <c r="E700" s="15">
        <v>6670</v>
      </c>
      <c r="F700" s="15">
        <v>109455</v>
      </c>
      <c r="G700" s="15" t="s">
        <v>42</v>
      </c>
      <c r="H700" s="15" t="s">
        <v>110</v>
      </c>
      <c r="I700" s="15" t="s">
        <v>1200</v>
      </c>
      <c r="J700" s="15" t="s">
        <v>1211</v>
      </c>
      <c r="K700" s="15" t="s">
        <v>241</v>
      </c>
      <c r="L700" s="15" t="s">
        <v>1212</v>
      </c>
      <c r="M700" s="15" t="s">
        <v>1201</v>
      </c>
      <c r="N700" s="15"/>
      <c r="O700" s="15" t="s">
        <v>617</v>
      </c>
      <c r="P700" s="15" t="s">
        <v>618</v>
      </c>
      <c r="Q700" s="15" t="s">
        <v>1213</v>
      </c>
      <c r="R700" s="15"/>
      <c r="S700" s="15" t="s">
        <v>102</v>
      </c>
      <c r="T700" s="15" t="s">
        <v>617</v>
      </c>
      <c r="U700" s="15" t="s">
        <v>618</v>
      </c>
      <c r="V700" s="15" t="s">
        <v>619</v>
      </c>
      <c r="W700" s="15"/>
      <c r="X700" s="15" t="s">
        <v>102</v>
      </c>
      <c r="AE700" s="51" t="str">
        <f t="shared" si="76"/>
        <v/>
      </c>
      <c r="AF700" s="51" t="str">
        <f t="shared" si="77"/>
        <v/>
      </c>
      <c r="AG700" s="51" t="str">
        <f t="shared" si="78"/>
        <v/>
      </c>
      <c r="AH700" s="51" t="str">
        <f t="shared" si="79"/>
        <v/>
      </c>
      <c r="BG700" s="15"/>
      <c r="BM700" s="17"/>
      <c r="BN700" s="17"/>
      <c r="BO700" s="17"/>
      <c r="BP700" s="17"/>
      <c r="BQ700" s="17"/>
      <c r="BW700" s="17"/>
    </row>
    <row r="701" spans="1:75" hidden="1" x14ac:dyDescent="0.25">
      <c r="A701" s="15" t="s">
        <v>1214</v>
      </c>
      <c r="B701" s="15" t="s">
        <v>30</v>
      </c>
      <c r="C701" s="15">
        <v>2005</v>
      </c>
      <c r="D701" s="15" t="s">
        <v>1215</v>
      </c>
      <c r="E701" s="15">
        <v>580</v>
      </c>
      <c r="F701" s="15">
        <v>30911914</v>
      </c>
      <c r="G701" s="15" t="s">
        <v>88</v>
      </c>
      <c r="H701" s="15" t="s">
        <v>89</v>
      </c>
      <c r="I701" s="15" t="s">
        <v>1216</v>
      </c>
      <c r="J701" s="15" t="s">
        <v>1217</v>
      </c>
      <c r="K701" s="15"/>
      <c r="L701" s="15" t="s">
        <v>61</v>
      </c>
      <c r="M701" s="15" t="s">
        <v>1887</v>
      </c>
      <c r="N701" s="15"/>
      <c r="O701" s="15"/>
      <c r="P701" s="15"/>
      <c r="Q701" s="15"/>
      <c r="R701" s="15"/>
      <c r="S701" s="15"/>
      <c r="T701" s="15"/>
      <c r="U701" s="15"/>
      <c r="V701" s="15"/>
      <c r="W701" s="15"/>
      <c r="X701" s="15"/>
      <c r="AB701" s="17">
        <v>22460</v>
      </c>
      <c r="AD701" s="17">
        <v>1654</v>
      </c>
      <c r="AE701" s="51" t="str">
        <f t="shared" si="76"/>
        <v/>
      </c>
      <c r="AF701" s="51">
        <f t="shared" si="77"/>
        <v>0.72658069636192701</v>
      </c>
      <c r="AG701" s="51" t="str">
        <f t="shared" si="78"/>
        <v/>
      </c>
      <c r="AH701" s="51">
        <f t="shared" si="79"/>
        <v>5.3506877639475835E-2</v>
      </c>
      <c r="BG701" s="15"/>
      <c r="BM701" s="17"/>
      <c r="BN701" s="17"/>
      <c r="BO701" s="17"/>
      <c r="BP701" s="17"/>
      <c r="BQ701" s="17"/>
      <c r="BW701" s="17"/>
    </row>
    <row r="702" spans="1:75" hidden="1" x14ac:dyDescent="0.25">
      <c r="A702" s="15" t="s">
        <v>1218</v>
      </c>
      <c r="B702" s="15" t="s">
        <v>30</v>
      </c>
      <c r="C702" s="15">
        <v>2008</v>
      </c>
      <c r="D702" s="15" t="s">
        <v>1219</v>
      </c>
      <c r="E702" s="15">
        <v>6350</v>
      </c>
      <c r="F702" s="15">
        <v>515148</v>
      </c>
      <c r="G702" s="15" t="s">
        <v>42</v>
      </c>
      <c r="H702" s="15" t="s">
        <v>110</v>
      </c>
      <c r="I702" s="15" t="s">
        <v>1220</v>
      </c>
      <c r="J702" s="15" t="s">
        <v>1221</v>
      </c>
      <c r="K702" s="15" t="s">
        <v>401</v>
      </c>
      <c r="L702" s="15" t="s">
        <v>1222</v>
      </c>
      <c r="M702" s="15" t="s">
        <v>1223</v>
      </c>
      <c r="N702" s="15" t="s">
        <v>37</v>
      </c>
      <c r="O702" s="15"/>
      <c r="P702" s="15"/>
      <c r="Q702" s="15"/>
      <c r="R702" s="15"/>
      <c r="S702" s="15"/>
      <c r="T702" s="15"/>
      <c r="U702" s="15"/>
      <c r="V702" s="15"/>
      <c r="W702" s="15"/>
      <c r="X702" s="15"/>
      <c r="AE702" s="51" t="str">
        <f t="shared" si="76"/>
        <v/>
      </c>
      <c r="AF702" s="51" t="str">
        <f t="shared" si="77"/>
        <v/>
      </c>
      <c r="AG702" s="51" t="str">
        <f t="shared" si="78"/>
        <v/>
      </c>
      <c r="AH702" s="51" t="str">
        <f t="shared" si="79"/>
        <v/>
      </c>
      <c r="BG702" s="15"/>
      <c r="BM702" s="17"/>
      <c r="BN702" s="17"/>
      <c r="BO702" s="17"/>
      <c r="BP702" s="17"/>
      <c r="BQ702" s="17"/>
      <c r="BW702" s="17"/>
    </row>
    <row r="703" spans="1:75" hidden="1" x14ac:dyDescent="0.25">
      <c r="A703" s="15" t="s">
        <v>1224</v>
      </c>
      <c r="B703" s="15" t="s">
        <v>30</v>
      </c>
      <c r="C703" s="15">
        <v>2017</v>
      </c>
      <c r="D703" s="15" t="s">
        <v>1225</v>
      </c>
      <c r="E703" s="15">
        <v>52590</v>
      </c>
      <c r="F703" s="15">
        <v>10067744</v>
      </c>
      <c r="G703" s="15" t="s">
        <v>109</v>
      </c>
      <c r="H703" s="15" t="s">
        <v>43</v>
      </c>
      <c r="I703" s="15" t="s">
        <v>1226</v>
      </c>
      <c r="J703" s="15" t="s">
        <v>1227</v>
      </c>
      <c r="K703" s="15" t="s">
        <v>98</v>
      </c>
      <c r="L703" s="15" t="s">
        <v>1228</v>
      </c>
      <c r="M703" s="15" t="s">
        <v>1229</v>
      </c>
      <c r="N703" s="15" t="s">
        <v>184</v>
      </c>
      <c r="O703" s="15"/>
      <c r="P703" s="15"/>
      <c r="Q703" s="15"/>
      <c r="R703" s="15"/>
      <c r="S703" s="15"/>
      <c r="T703" s="15"/>
      <c r="U703" s="15"/>
      <c r="V703" s="15"/>
      <c r="W703" s="15"/>
      <c r="X703" s="15"/>
      <c r="Y703" s="17">
        <v>280828</v>
      </c>
      <c r="Z703" s="17">
        <v>37918</v>
      </c>
      <c r="AA703" s="17">
        <v>6278</v>
      </c>
      <c r="AB703" s="17">
        <v>44196</v>
      </c>
      <c r="AC703" s="17">
        <v>325024</v>
      </c>
      <c r="AD703" s="17">
        <v>2039</v>
      </c>
      <c r="AE703" s="51">
        <f t="shared" si="76"/>
        <v>27.893835997419085</v>
      </c>
      <c r="AF703" s="51">
        <f t="shared" si="77"/>
        <v>4.3898613234504174</v>
      </c>
      <c r="AG703" s="51">
        <f t="shared" si="78"/>
        <v>32.283697320869507</v>
      </c>
      <c r="AH703" s="51">
        <f t="shared" si="79"/>
        <v>0.20252799435504121</v>
      </c>
      <c r="BG703" s="15"/>
      <c r="BM703" s="17"/>
      <c r="BN703" s="17"/>
      <c r="BO703" s="17"/>
      <c r="BP703" s="17"/>
      <c r="BQ703" s="17"/>
      <c r="BW703" s="17"/>
    </row>
    <row r="704" spans="1:75" hidden="1" x14ac:dyDescent="0.25">
      <c r="A704" s="15" t="s">
        <v>1224</v>
      </c>
      <c r="B704" s="15" t="s">
        <v>30</v>
      </c>
      <c r="C704" s="15">
        <v>2016</v>
      </c>
      <c r="D704" s="15" t="s">
        <v>1225</v>
      </c>
      <c r="E704" s="15">
        <v>54530</v>
      </c>
      <c r="F704" s="15">
        <v>10067744</v>
      </c>
      <c r="G704" s="15" t="s">
        <v>109</v>
      </c>
      <c r="H704" s="15" t="s">
        <v>43</v>
      </c>
      <c r="I704" s="15" t="s">
        <v>1226</v>
      </c>
      <c r="J704" s="15" t="s">
        <v>1227</v>
      </c>
      <c r="K704" s="15" t="s">
        <v>98</v>
      </c>
      <c r="L704" s="15" t="s">
        <v>1228</v>
      </c>
      <c r="M704" s="15" t="s">
        <v>1229</v>
      </c>
      <c r="N704" s="15" t="s">
        <v>184</v>
      </c>
      <c r="O704" s="15"/>
      <c r="P704" s="15"/>
      <c r="Q704" s="15"/>
      <c r="R704" s="15"/>
      <c r="S704" s="15"/>
      <c r="T704" s="15"/>
      <c r="U704" s="15"/>
      <c r="V704" s="15"/>
      <c r="W704" s="15"/>
      <c r="X704" s="15"/>
      <c r="Y704" s="17">
        <v>270517</v>
      </c>
      <c r="Z704" s="17">
        <v>37223</v>
      </c>
      <c r="AA704" s="17">
        <v>6152</v>
      </c>
      <c r="AB704" s="17">
        <v>43375</v>
      </c>
      <c r="AC704" s="17">
        <v>313892</v>
      </c>
      <c r="AD704" s="17">
        <v>1996</v>
      </c>
      <c r="AE704" s="51">
        <f t="shared" si="76"/>
        <v>26.869674079913036</v>
      </c>
      <c r="AF704" s="51">
        <f t="shared" si="77"/>
        <v>4.3083137592692067</v>
      </c>
      <c r="AG704" s="51">
        <f t="shared" si="78"/>
        <v>31.177987839182244</v>
      </c>
      <c r="AH704" s="51">
        <f t="shared" si="79"/>
        <v>0.1982569282651605</v>
      </c>
      <c r="BG704" s="15"/>
      <c r="BM704" s="17"/>
      <c r="BN704" s="17"/>
      <c r="BO704" s="17"/>
      <c r="BP704" s="17"/>
      <c r="BQ704" s="17"/>
      <c r="BW704" s="17"/>
    </row>
    <row r="705" spans="1:75" hidden="1" x14ac:dyDescent="0.25">
      <c r="A705" s="15" t="s">
        <v>1224</v>
      </c>
      <c r="B705" s="15" t="s">
        <v>30</v>
      </c>
      <c r="C705" s="15">
        <v>2015</v>
      </c>
      <c r="D705" s="15" t="s">
        <v>1225</v>
      </c>
      <c r="E705" s="15">
        <v>57880</v>
      </c>
      <c r="F705" s="15">
        <v>9799186</v>
      </c>
      <c r="G705" s="15" t="s">
        <v>109</v>
      </c>
      <c r="H705" s="15" t="s">
        <v>43</v>
      </c>
      <c r="I705" s="15" t="s">
        <v>1226</v>
      </c>
      <c r="J705" s="15" t="s">
        <v>1227</v>
      </c>
      <c r="K705" s="15" t="s">
        <v>98</v>
      </c>
      <c r="L705" s="15" t="s">
        <v>1228</v>
      </c>
      <c r="M705" s="15" t="s">
        <v>1229</v>
      </c>
      <c r="N705" s="15" t="s">
        <v>184</v>
      </c>
      <c r="O705" s="15"/>
      <c r="P705" s="15"/>
      <c r="Q705" s="15"/>
      <c r="R705" s="15"/>
      <c r="S705" s="15"/>
      <c r="T705" s="15"/>
      <c r="U705" s="15"/>
      <c r="V705" s="15"/>
      <c r="W705" s="15"/>
      <c r="X705" s="15"/>
      <c r="Y705" s="17">
        <v>268290</v>
      </c>
      <c r="Z705" s="17">
        <v>36494</v>
      </c>
      <c r="AA705" s="17">
        <v>5898</v>
      </c>
      <c r="AB705" s="17">
        <v>42392</v>
      </c>
      <c r="AC705" s="17">
        <v>310682</v>
      </c>
      <c r="AD705" s="17">
        <v>1957</v>
      </c>
      <c r="AE705" s="51">
        <f t="shared" si="76"/>
        <v>27.378804729290781</v>
      </c>
      <c r="AF705" s="51">
        <f t="shared" si="77"/>
        <v>4.3260736146859546</v>
      </c>
      <c r="AG705" s="51">
        <f t="shared" si="78"/>
        <v>31.704878343976734</v>
      </c>
      <c r="AH705" s="51">
        <f t="shared" si="79"/>
        <v>0.19971046574684878</v>
      </c>
      <c r="BG705" s="15"/>
      <c r="BM705" s="17"/>
      <c r="BN705" s="17"/>
      <c r="BO705" s="17"/>
      <c r="BP705" s="17"/>
      <c r="BQ705" s="17"/>
      <c r="BW705" s="17"/>
    </row>
    <row r="706" spans="1:75" hidden="1" x14ac:dyDescent="0.25">
      <c r="A706" s="15" t="s">
        <v>1224</v>
      </c>
      <c r="B706" s="15" t="s">
        <v>30</v>
      </c>
      <c r="C706" s="15">
        <v>2014</v>
      </c>
      <c r="D706" s="15" t="s">
        <v>1225</v>
      </c>
      <c r="E706" s="15">
        <v>60980</v>
      </c>
      <c r="F706" s="15">
        <v>9696110</v>
      </c>
      <c r="G706" s="15" t="s">
        <v>109</v>
      </c>
      <c r="H706" s="15" t="s">
        <v>43</v>
      </c>
      <c r="I706" s="15" t="s">
        <v>1226</v>
      </c>
      <c r="J706" s="15" t="s">
        <v>1227</v>
      </c>
      <c r="K706" s="15" t="s">
        <v>98</v>
      </c>
      <c r="L706" s="15" t="s">
        <v>1228</v>
      </c>
      <c r="M706" s="15" t="s">
        <v>1229</v>
      </c>
      <c r="N706" s="15" t="s">
        <v>184</v>
      </c>
      <c r="O706" s="15"/>
      <c r="P706" s="15"/>
      <c r="Q706" s="15"/>
      <c r="R706" s="15"/>
      <c r="S706" s="15"/>
      <c r="T706" s="15"/>
      <c r="U706" s="15"/>
      <c r="V706" s="15"/>
      <c r="W706" s="15"/>
      <c r="X706" s="15"/>
      <c r="Y706" s="17">
        <v>262301</v>
      </c>
      <c r="Z706" s="17">
        <v>35923</v>
      </c>
      <c r="AA706" s="17">
        <v>5723</v>
      </c>
      <c r="AB706" s="17">
        <v>41646</v>
      </c>
      <c r="AC706" s="17">
        <v>303947</v>
      </c>
      <c r="AD706" s="17">
        <v>1932</v>
      </c>
      <c r="AE706" s="51">
        <f t="shared" si="76"/>
        <v>27.052188970628425</v>
      </c>
      <c r="AF706" s="51">
        <f t="shared" si="77"/>
        <v>4.2951245396349673</v>
      </c>
      <c r="AG706" s="51">
        <f t="shared" si="78"/>
        <v>31.347313510263394</v>
      </c>
      <c r="AH706" s="51">
        <f t="shared" si="79"/>
        <v>0.19925516521574116</v>
      </c>
      <c r="BG706" s="15"/>
      <c r="BM706" s="17"/>
      <c r="BN706" s="17"/>
      <c r="BO706" s="17"/>
      <c r="BP706" s="17"/>
      <c r="BQ706" s="17"/>
      <c r="BW706" s="17"/>
    </row>
    <row r="707" spans="1:75" hidden="1" x14ac:dyDescent="0.25">
      <c r="A707" s="15" t="s">
        <v>1224</v>
      </c>
      <c r="B707" s="15" t="s">
        <v>30</v>
      </c>
      <c r="C707" s="15">
        <v>2013</v>
      </c>
      <c r="D707" s="15" t="s">
        <v>1225</v>
      </c>
      <c r="E707" s="15">
        <v>60910</v>
      </c>
      <c r="F707" s="15">
        <v>9600379</v>
      </c>
      <c r="G707" s="15" t="s">
        <v>109</v>
      </c>
      <c r="H707" s="15" t="s">
        <v>43</v>
      </c>
      <c r="I707" s="15" t="s">
        <v>1226</v>
      </c>
      <c r="J707" s="15" t="s">
        <v>1227</v>
      </c>
      <c r="K707" s="15" t="s">
        <v>98</v>
      </c>
      <c r="L707" s="15" t="s">
        <v>1228</v>
      </c>
      <c r="M707" s="15" t="s">
        <v>1229</v>
      </c>
      <c r="N707" s="15" t="s">
        <v>184</v>
      </c>
      <c r="O707" s="15"/>
      <c r="P707" s="15"/>
      <c r="Q707" s="15"/>
      <c r="R707" s="15"/>
      <c r="S707" s="15"/>
      <c r="T707" s="15"/>
      <c r="U707" s="15"/>
      <c r="V707" s="15"/>
      <c r="W707" s="15"/>
      <c r="X707" s="15"/>
      <c r="Y707" s="17">
        <v>256244</v>
      </c>
      <c r="Z707" s="17">
        <v>35253</v>
      </c>
      <c r="AA707" s="17">
        <v>5660</v>
      </c>
      <c r="AB707" s="17">
        <v>40913</v>
      </c>
      <c r="AC707" s="17">
        <v>297157</v>
      </c>
      <c r="AD707" s="17">
        <v>1890</v>
      </c>
      <c r="AE707" s="51">
        <f t="shared" si="76"/>
        <v>26.6910295937275</v>
      </c>
      <c r="AF707" s="51">
        <f t="shared" si="77"/>
        <v>4.261602588814462</v>
      </c>
      <c r="AG707" s="51">
        <f t="shared" si="78"/>
        <v>30.952632182541961</v>
      </c>
      <c r="AH707" s="51">
        <f t="shared" si="79"/>
        <v>0.19686722784590066</v>
      </c>
      <c r="AI707" s="17">
        <v>653952</v>
      </c>
      <c r="AJ707" s="17">
        <v>686616</v>
      </c>
      <c r="AK707" s="17">
        <v>508354</v>
      </c>
      <c r="AL707" s="17">
        <v>1194970</v>
      </c>
      <c r="AM707" s="17">
        <v>1162306</v>
      </c>
      <c r="AN707" s="17">
        <v>2414580</v>
      </c>
      <c r="BG707" s="15"/>
      <c r="BM707" s="17"/>
      <c r="BN707" s="17"/>
      <c r="BO707" s="17"/>
      <c r="BP707" s="17"/>
      <c r="BQ707" s="17"/>
      <c r="BW707" s="17"/>
    </row>
    <row r="708" spans="1:75" hidden="1" x14ac:dyDescent="0.25">
      <c r="A708" s="15" t="s">
        <v>1224</v>
      </c>
      <c r="B708" s="15" t="s">
        <v>30</v>
      </c>
      <c r="C708" s="15">
        <v>2012</v>
      </c>
      <c r="D708" s="15" t="s">
        <v>1225</v>
      </c>
      <c r="E708" s="15">
        <v>58240</v>
      </c>
      <c r="F708" s="15">
        <v>9519374</v>
      </c>
      <c r="G708" s="15" t="s">
        <v>109</v>
      </c>
      <c r="H708" s="15" t="s">
        <v>43</v>
      </c>
      <c r="I708" s="15" t="s">
        <v>1226</v>
      </c>
      <c r="J708" s="15" t="s">
        <v>1227</v>
      </c>
      <c r="K708" s="15" t="s">
        <v>98</v>
      </c>
      <c r="L708" s="15" t="s">
        <v>1228</v>
      </c>
      <c r="M708" s="15" t="s">
        <v>1229</v>
      </c>
      <c r="N708" s="15" t="s">
        <v>184</v>
      </c>
      <c r="O708" s="15"/>
      <c r="P708" s="15"/>
      <c r="Q708" s="15"/>
      <c r="R708" s="15"/>
      <c r="S708" s="15"/>
      <c r="T708" s="15"/>
      <c r="U708" s="15"/>
      <c r="V708" s="15"/>
      <c r="W708" s="15"/>
      <c r="X708" s="15"/>
      <c r="Y708" s="17">
        <v>249449</v>
      </c>
      <c r="Z708" s="17">
        <v>35121</v>
      </c>
      <c r="AA708" s="17">
        <v>5562</v>
      </c>
      <c r="AB708" s="17">
        <v>40683</v>
      </c>
      <c r="AC708" s="17">
        <v>290132</v>
      </c>
      <c r="AD708" s="17">
        <v>1880</v>
      </c>
      <c r="AE708" s="51">
        <f t="shared" si="76"/>
        <v>26.204349151530341</v>
      </c>
      <c r="AF708" s="51">
        <f t="shared" si="77"/>
        <v>4.2737053928125954</v>
      </c>
      <c r="AG708" s="51">
        <f t="shared" si="78"/>
        <v>30.478054544342935</v>
      </c>
      <c r="AH708" s="51">
        <f t="shared" si="79"/>
        <v>0.19749197793888545</v>
      </c>
      <c r="AI708" s="17">
        <v>641766</v>
      </c>
      <c r="AJ708" s="17">
        <v>683185</v>
      </c>
      <c r="AK708" s="17">
        <v>500563</v>
      </c>
      <c r="AL708" s="17">
        <v>1183748</v>
      </c>
      <c r="AM708" s="17">
        <v>1142329</v>
      </c>
      <c r="AN708" s="17">
        <v>2397644</v>
      </c>
      <c r="BG708" s="15"/>
      <c r="BM708" s="17"/>
      <c r="BN708" s="17"/>
      <c r="BO708" s="17"/>
      <c r="BP708" s="17"/>
      <c r="BQ708" s="17"/>
      <c r="BW708" s="17"/>
    </row>
    <row r="709" spans="1:75" hidden="1" x14ac:dyDescent="0.25">
      <c r="A709" s="15" t="s">
        <v>1224</v>
      </c>
      <c r="B709" s="15" t="s">
        <v>52</v>
      </c>
      <c r="C709" s="15">
        <v>2016</v>
      </c>
      <c r="D709" s="15" t="s">
        <v>1225</v>
      </c>
      <c r="E709" s="15">
        <v>54530</v>
      </c>
      <c r="F709" s="15">
        <v>10067744</v>
      </c>
      <c r="G709" s="15" t="s">
        <v>109</v>
      </c>
      <c r="H709" s="15" t="s">
        <v>43</v>
      </c>
      <c r="I709" s="15" t="s">
        <v>507</v>
      </c>
      <c r="J709" s="15" t="s">
        <v>508</v>
      </c>
      <c r="K709" s="15" t="s">
        <v>190</v>
      </c>
      <c r="L709" s="15" t="s">
        <v>48</v>
      </c>
      <c r="M709" s="15" t="s">
        <v>62</v>
      </c>
      <c r="N709" s="15" t="s">
        <v>63</v>
      </c>
      <c r="O709" s="15"/>
      <c r="P709" s="15"/>
      <c r="Q709" s="15"/>
      <c r="R709" s="15"/>
      <c r="S709" s="15"/>
      <c r="T709" s="15"/>
      <c r="U709" s="15"/>
      <c r="V709" s="15"/>
      <c r="W709" s="15"/>
      <c r="X709" s="15"/>
      <c r="Y709" s="17">
        <v>660134</v>
      </c>
      <c r="Z709" s="17">
        <v>30839</v>
      </c>
      <c r="AA709" s="17">
        <v>5453</v>
      </c>
      <c r="AB709" s="17">
        <v>36292</v>
      </c>
      <c r="AC709" s="17">
        <v>696426</v>
      </c>
      <c r="AD709" s="17">
        <v>1016</v>
      </c>
      <c r="AE709" s="51">
        <f t="shared" si="76"/>
        <v>65.569207957611951</v>
      </c>
      <c r="AF709" s="51">
        <f t="shared" si="77"/>
        <v>3.6047797798593209</v>
      </c>
      <c r="AG709" s="51">
        <f t="shared" si="78"/>
        <v>69.173987737471265</v>
      </c>
      <c r="AH709" s="51">
        <f t="shared" si="79"/>
        <v>0.100916352263228</v>
      </c>
      <c r="AI709" s="17">
        <v>808129</v>
      </c>
      <c r="AJ709" s="17">
        <v>683719</v>
      </c>
      <c r="AK709" s="17">
        <v>588253</v>
      </c>
      <c r="AL709" s="17">
        <v>1271972</v>
      </c>
      <c r="AM709" s="17">
        <v>2080101</v>
      </c>
      <c r="AN709" s="17">
        <v>1057928</v>
      </c>
      <c r="AO709" s="17">
        <v>51200000000</v>
      </c>
      <c r="AP709" s="17">
        <v>44300000000</v>
      </c>
      <c r="AQ709" s="17">
        <v>43600000000</v>
      </c>
      <c r="AR709" s="17">
        <v>87900000000</v>
      </c>
      <c r="AS709" s="17">
        <f>+AR709+AO709</f>
        <v>139100000000</v>
      </c>
      <c r="AT709" s="17">
        <v>90800000000</v>
      </c>
      <c r="BG709" s="15"/>
      <c r="BM709" s="17"/>
      <c r="BN709" s="17"/>
      <c r="BO709" s="17"/>
      <c r="BP709" s="17"/>
      <c r="BQ709" s="17"/>
      <c r="BW709" s="17"/>
    </row>
    <row r="710" spans="1:75" hidden="1" x14ac:dyDescent="0.25">
      <c r="A710" s="15" t="s">
        <v>1224</v>
      </c>
      <c r="B710" s="15" t="s">
        <v>52</v>
      </c>
      <c r="C710" s="15">
        <v>2015</v>
      </c>
      <c r="D710" s="15" t="s">
        <v>1225</v>
      </c>
      <c r="E710" s="15">
        <v>57880</v>
      </c>
      <c r="F710" s="15">
        <v>9799186</v>
      </c>
      <c r="G710" s="15" t="s">
        <v>109</v>
      </c>
      <c r="H710" s="15" t="s">
        <v>43</v>
      </c>
      <c r="I710" s="15" t="s">
        <v>507</v>
      </c>
      <c r="J710" s="15" t="s">
        <v>508</v>
      </c>
      <c r="K710" s="15" t="s">
        <v>190</v>
      </c>
      <c r="L710" s="15" t="s">
        <v>48</v>
      </c>
      <c r="M710" s="15" t="s">
        <v>62</v>
      </c>
      <c r="N710" s="15" t="s">
        <v>63</v>
      </c>
      <c r="O710" s="15"/>
      <c r="P710" s="15"/>
      <c r="Q710" s="15"/>
      <c r="R710" s="15"/>
      <c r="S710" s="15"/>
      <c r="T710" s="15"/>
      <c r="U710" s="15"/>
      <c r="V710" s="15"/>
      <c r="W710" s="15"/>
      <c r="X710" s="15"/>
      <c r="Y710" s="17">
        <v>640106</v>
      </c>
      <c r="Z710" s="17">
        <v>30319</v>
      </c>
      <c r="AA710" s="17">
        <v>5351</v>
      </c>
      <c r="AB710" s="17">
        <v>35670</v>
      </c>
      <c r="AC710" s="17">
        <v>675776</v>
      </c>
      <c r="AD710" s="17">
        <v>1015</v>
      </c>
      <c r="AE710" s="51">
        <f t="shared" si="76"/>
        <v>65.322364531094735</v>
      </c>
      <c r="AF710" s="51">
        <f t="shared" si="77"/>
        <v>3.6400982693868653</v>
      </c>
      <c r="AG710" s="51">
        <f t="shared" si="78"/>
        <v>68.962462800481589</v>
      </c>
      <c r="AH710" s="51">
        <f t="shared" si="79"/>
        <v>0.1035800320557238</v>
      </c>
      <c r="AI710" s="17">
        <v>806354</v>
      </c>
      <c r="AJ710" s="17">
        <v>663103</v>
      </c>
      <c r="AK710" s="17">
        <v>572333</v>
      </c>
      <c r="AL710" s="17">
        <v>1235436</v>
      </c>
      <c r="AM710" s="17">
        <v>2041790</v>
      </c>
      <c r="AN710" s="17">
        <v>1052702</v>
      </c>
      <c r="AO710" s="17">
        <v>50200000000</v>
      </c>
      <c r="AP710" s="17">
        <v>44500000000</v>
      </c>
      <c r="AQ710" s="17">
        <v>40900000000</v>
      </c>
      <c r="AR710" s="17">
        <v>85400000000</v>
      </c>
      <c r="AS710" s="17">
        <f>+AR710+AO710</f>
        <v>135600000000</v>
      </c>
      <c r="AT710" s="17">
        <v>85700000000</v>
      </c>
      <c r="BG710" s="15"/>
      <c r="BM710" s="17"/>
      <c r="BN710" s="17"/>
      <c r="BO710" s="17"/>
      <c r="BP710" s="17"/>
      <c r="BQ710" s="17"/>
      <c r="BW710" s="17"/>
    </row>
    <row r="711" spans="1:75" hidden="1" x14ac:dyDescent="0.25">
      <c r="A711" s="15" t="s">
        <v>1224</v>
      </c>
      <c r="B711" s="15" t="s">
        <v>52</v>
      </c>
      <c r="C711" s="15">
        <v>2014</v>
      </c>
      <c r="D711" s="15" t="s">
        <v>1225</v>
      </c>
      <c r="E711" s="15">
        <v>60980</v>
      </c>
      <c r="F711" s="15">
        <v>9696110</v>
      </c>
      <c r="G711" s="15" t="s">
        <v>109</v>
      </c>
      <c r="H711" s="15" t="s">
        <v>43</v>
      </c>
      <c r="I711" s="15" t="s">
        <v>507</v>
      </c>
      <c r="J711" s="15" t="s">
        <v>508</v>
      </c>
      <c r="K711" s="15" t="s">
        <v>190</v>
      </c>
      <c r="L711" s="15" t="s">
        <v>48</v>
      </c>
      <c r="M711" s="15" t="s">
        <v>62</v>
      </c>
      <c r="N711" s="15" t="s">
        <v>63</v>
      </c>
      <c r="O711" s="15"/>
      <c r="P711" s="15"/>
      <c r="Q711" s="15"/>
      <c r="R711" s="15"/>
      <c r="S711" s="15"/>
      <c r="T711" s="15"/>
      <c r="U711" s="15"/>
      <c r="V711" s="15"/>
      <c r="W711" s="15"/>
      <c r="X711" s="15"/>
      <c r="Y711" s="17">
        <v>637084</v>
      </c>
      <c r="Z711" s="17">
        <v>30059</v>
      </c>
      <c r="AA711" s="17">
        <v>5191</v>
      </c>
      <c r="AB711" s="17">
        <v>35250</v>
      </c>
      <c r="AC711" s="17">
        <v>672334</v>
      </c>
      <c r="AD711" s="17">
        <v>1013</v>
      </c>
      <c r="AE711" s="51">
        <f t="shared" ref="AE711:AE774" si="86">IF(ISERROR((Y711/$F711)*1000),"",IF((Y711/$F711)*1000=0,"",(Y711/$F711)*1000))</f>
        <v>65.70511266889504</v>
      </c>
      <c r="AF711" s="51">
        <f t="shared" ref="AF711:AF774" si="87">IF(ISERROR((AB711/$F711)*1000),"",IF((AB711/$F711)*1000=0,"",(AB711/$F711)*1000))</f>
        <v>3.6354785578958984</v>
      </c>
      <c r="AG711" s="51">
        <f t="shared" ref="AG711:AG774" si="88">IF(ISERROR((AC711/$F711)*1000),"",IF((AC711/$F711)*1000=0,"",(AC711/$F711)*1000))</f>
        <v>69.340591226790949</v>
      </c>
      <c r="AH711" s="51">
        <f t="shared" ref="AH711:AH774" si="89">IF(ISERROR((AD711/$F711)*1000),"",IF((AD711/$F711)*1000=0,"",(AD711/$F711)*1000))</f>
        <v>0.10447488735173178</v>
      </c>
      <c r="AI711" s="17">
        <v>792292</v>
      </c>
      <c r="AJ711" s="17">
        <v>660275</v>
      </c>
      <c r="AK711" s="17">
        <v>558632</v>
      </c>
      <c r="AL711" s="17">
        <v>1218907</v>
      </c>
      <c r="AM711" s="17">
        <v>2011199</v>
      </c>
      <c r="AN711" s="17">
        <v>1050292</v>
      </c>
      <c r="AO711" s="17">
        <v>47000000000</v>
      </c>
      <c r="AP711" s="17">
        <v>40000000000</v>
      </c>
      <c r="AQ711" s="17">
        <v>38000000000</v>
      </c>
      <c r="AR711" s="17">
        <v>78000000000</v>
      </c>
      <c r="AS711" s="17">
        <f>+AR711+AO711</f>
        <v>125000000000</v>
      </c>
      <c r="AT711" s="17">
        <v>86000000000</v>
      </c>
      <c r="BG711" s="15"/>
      <c r="BM711" s="17"/>
      <c r="BN711" s="17"/>
      <c r="BO711" s="17"/>
      <c r="BP711" s="17"/>
      <c r="BQ711" s="17"/>
      <c r="BW711" s="17"/>
    </row>
    <row r="712" spans="1:75" hidden="1" x14ac:dyDescent="0.25">
      <c r="A712" s="15" t="s">
        <v>1224</v>
      </c>
      <c r="B712" s="15" t="s">
        <v>52</v>
      </c>
      <c r="C712" s="15">
        <v>2013</v>
      </c>
      <c r="D712" s="15" t="s">
        <v>1225</v>
      </c>
      <c r="E712" s="15">
        <v>60910</v>
      </c>
      <c r="F712" s="15">
        <v>9600379</v>
      </c>
      <c r="G712" s="15" t="s">
        <v>109</v>
      </c>
      <c r="H712" s="15" t="s">
        <v>43</v>
      </c>
      <c r="I712" s="15" t="s">
        <v>507</v>
      </c>
      <c r="J712" s="15" t="s">
        <v>508</v>
      </c>
      <c r="K712" s="15" t="s">
        <v>190</v>
      </c>
      <c r="L712" s="15" t="s">
        <v>48</v>
      </c>
      <c r="M712" s="15" t="s">
        <v>62</v>
      </c>
      <c r="N712" s="15" t="s">
        <v>63</v>
      </c>
      <c r="O712" s="15"/>
      <c r="P712" s="15"/>
      <c r="Q712" s="15"/>
      <c r="R712" s="15"/>
      <c r="S712" s="15"/>
      <c r="T712" s="15"/>
      <c r="U712" s="15"/>
      <c r="V712" s="15"/>
      <c r="W712" s="15"/>
      <c r="X712" s="15"/>
      <c r="Y712" s="17">
        <v>631004</v>
      </c>
      <c r="Z712" s="17">
        <v>29670</v>
      </c>
      <c r="AA712" s="17">
        <v>5145</v>
      </c>
      <c r="AB712" s="17">
        <v>34815</v>
      </c>
      <c r="AC712" s="17">
        <v>665819</v>
      </c>
      <c r="AD712" s="17">
        <v>996</v>
      </c>
      <c r="AE712" s="51">
        <f t="shared" si="86"/>
        <v>65.726988486600376</v>
      </c>
      <c r="AF712" s="51">
        <f t="shared" si="87"/>
        <v>3.6264193319867895</v>
      </c>
      <c r="AG712" s="51">
        <f t="shared" si="88"/>
        <v>69.353407818587158</v>
      </c>
      <c r="AH712" s="51">
        <f t="shared" si="89"/>
        <v>0.10374590419815717</v>
      </c>
      <c r="AI712" s="17">
        <v>793520</v>
      </c>
      <c r="AJ712" s="17">
        <v>658938</v>
      </c>
      <c r="AK712" s="17">
        <v>564451</v>
      </c>
      <c r="AL712" s="17">
        <v>1223389</v>
      </c>
      <c r="AM712" s="17">
        <v>2016909</v>
      </c>
      <c r="AN712" s="17">
        <v>1050230</v>
      </c>
      <c r="AO712" s="17">
        <v>45000000000</v>
      </c>
      <c r="AP712" s="17">
        <v>38000000000</v>
      </c>
      <c r="AQ712" s="17">
        <v>39000000000</v>
      </c>
      <c r="AR712" s="17">
        <v>77000000000</v>
      </c>
      <c r="AS712" s="17">
        <f>+AR712+AO712</f>
        <v>122000000000</v>
      </c>
      <c r="AT712" s="17">
        <v>84000000000</v>
      </c>
      <c r="BG712" s="15"/>
      <c r="BM712" s="17"/>
      <c r="BN712" s="17"/>
      <c r="BO712" s="17"/>
      <c r="BP712" s="17"/>
      <c r="BQ712" s="17"/>
      <c r="BW712" s="17"/>
    </row>
    <row r="713" spans="1:75" hidden="1" x14ac:dyDescent="0.25">
      <c r="A713" s="15" t="s">
        <v>1224</v>
      </c>
      <c r="B713" s="15" t="s">
        <v>52</v>
      </c>
      <c r="C713" s="15">
        <v>2012</v>
      </c>
      <c r="D713" s="15" t="s">
        <v>1225</v>
      </c>
      <c r="E713" s="15">
        <v>58240</v>
      </c>
      <c r="F713" s="15">
        <v>9519374</v>
      </c>
      <c r="G713" s="15" t="s">
        <v>109</v>
      </c>
      <c r="H713" s="15" t="s">
        <v>43</v>
      </c>
      <c r="I713" s="15" t="s">
        <v>507</v>
      </c>
      <c r="J713" s="15" t="s">
        <v>508</v>
      </c>
      <c r="K713" s="15" t="s">
        <v>190</v>
      </c>
      <c r="L713" s="15" t="s">
        <v>48</v>
      </c>
      <c r="M713" s="15" t="s">
        <v>62</v>
      </c>
      <c r="N713" s="15" t="s">
        <v>63</v>
      </c>
      <c r="O713" s="15"/>
      <c r="P713" s="15"/>
      <c r="Q713" s="15"/>
      <c r="R713" s="15"/>
      <c r="S713" s="15"/>
      <c r="T713" s="15"/>
      <c r="U713" s="15"/>
      <c r="V713" s="15"/>
      <c r="W713" s="15"/>
      <c r="X713" s="15"/>
      <c r="Y713" s="17">
        <v>599821</v>
      </c>
      <c r="Z713" s="17">
        <v>27354</v>
      </c>
      <c r="AA713" s="17">
        <v>4615</v>
      </c>
      <c r="AB713" s="17">
        <v>31969</v>
      </c>
      <c r="AC713" s="17">
        <v>631790</v>
      </c>
      <c r="AD713" s="17">
        <v>979</v>
      </c>
      <c r="AE713" s="51">
        <f t="shared" si="86"/>
        <v>63.010550903872463</v>
      </c>
      <c r="AF713" s="51">
        <f t="shared" si="87"/>
        <v>3.3583090652809733</v>
      </c>
      <c r="AG713" s="51">
        <f t="shared" si="88"/>
        <v>66.368859969153434</v>
      </c>
      <c r="AH713" s="51">
        <f t="shared" si="89"/>
        <v>0.10284289702243025</v>
      </c>
      <c r="AI713" s="17">
        <v>772944</v>
      </c>
      <c r="AJ713" s="17">
        <v>623452</v>
      </c>
      <c r="AK713" s="17">
        <v>518414</v>
      </c>
      <c r="AL713" s="17">
        <v>1141866</v>
      </c>
      <c r="AM713" s="17">
        <v>1914809</v>
      </c>
      <c r="AN713" s="17">
        <v>1041318</v>
      </c>
      <c r="AO713" s="17">
        <v>39000000000</v>
      </c>
      <c r="AP713" s="17">
        <v>32000000000</v>
      </c>
      <c r="AQ713" s="17">
        <v>31000000000</v>
      </c>
      <c r="AR713" s="17">
        <v>63000000000</v>
      </c>
      <c r="AS713" s="17">
        <f>+AR713+AO713</f>
        <v>102000000000</v>
      </c>
      <c r="AT713" s="17">
        <v>75000000000</v>
      </c>
      <c r="BG713" s="15"/>
      <c r="BM713" s="17"/>
      <c r="BN713" s="17"/>
      <c r="BO713" s="17"/>
      <c r="BP713" s="17"/>
      <c r="BQ713" s="17"/>
      <c r="BW713" s="17"/>
    </row>
    <row r="714" spans="1:75" hidden="1" x14ac:dyDescent="0.25">
      <c r="A714" s="15" t="s">
        <v>1224</v>
      </c>
      <c r="B714" s="15" t="s">
        <v>142</v>
      </c>
      <c r="C714" s="15">
        <v>2016</v>
      </c>
      <c r="D714" s="15" t="s">
        <v>1225</v>
      </c>
      <c r="E714" s="15">
        <v>54530</v>
      </c>
      <c r="F714" s="15">
        <v>10067744</v>
      </c>
      <c r="G714" s="15" t="s">
        <v>109</v>
      </c>
      <c r="H714" s="15" t="s">
        <v>43</v>
      </c>
      <c r="I714" s="15" t="s">
        <v>1230</v>
      </c>
      <c r="J714" s="15" t="s">
        <v>271</v>
      </c>
      <c r="K714" s="15" t="s">
        <v>92</v>
      </c>
      <c r="L714" s="15" t="s">
        <v>48</v>
      </c>
      <c r="M714" s="15" t="s">
        <v>62</v>
      </c>
      <c r="N714" s="15" t="s">
        <v>63</v>
      </c>
      <c r="O714" s="15"/>
      <c r="P714" s="15"/>
      <c r="Q714" s="15"/>
      <c r="R714" s="15"/>
      <c r="S714" s="15"/>
      <c r="T714" s="15"/>
      <c r="U714" s="15"/>
      <c r="V714" s="15"/>
      <c r="W714" s="15"/>
      <c r="X714" s="15"/>
      <c r="AE714" s="51" t="str">
        <f t="shared" si="86"/>
        <v/>
      </c>
      <c r="AF714" s="51" t="str">
        <f t="shared" si="87"/>
        <v/>
      </c>
      <c r="AG714" s="51" t="str">
        <f t="shared" si="88"/>
        <v/>
      </c>
      <c r="AH714" s="51" t="str">
        <f t="shared" si="89"/>
        <v/>
      </c>
      <c r="BG714" s="15"/>
      <c r="BK714" s="21">
        <v>1.0999999999999999E-2</v>
      </c>
      <c r="BM714" s="17"/>
      <c r="BN714" s="17"/>
      <c r="BO714" s="17"/>
      <c r="BP714" s="17"/>
      <c r="BQ714" s="17"/>
      <c r="BW714" s="17"/>
    </row>
    <row r="715" spans="1:75" hidden="1" x14ac:dyDescent="0.25">
      <c r="A715" s="15" t="s">
        <v>1224</v>
      </c>
      <c r="B715" s="15" t="s">
        <v>142</v>
      </c>
      <c r="C715" s="15">
        <v>2015</v>
      </c>
      <c r="D715" s="15" t="s">
        <v>1225</v>
      </c>
      <c r="E715" s="15">
        <v>57880</v>
      </c>
      <c r="F715" s="15">
        <v>9799186</v>
      </c>
      <c r="G715" s="15" t="s">
        <v>109</v>
      </c>
      <c r="H715" s="15" t="s">
        <v>43</v>
      </c>
      <c r="I715" s="15" t="s">
        <v>1230</v>
      </c>
      <c r="J715" s="15" t="s">
        <v>271</v>
      </c>
      <c r="K715" s="15" t="s">
        <v>92</v>
      </c>
      <c r="L715" s="15" t="s">
        <v>48</v>
      </c>
      <c r="M715" s="15" t="s">
        <v>62</v>
      </c>
      <c r="N715" s="15" t="s">
        <v>63</v>
      </c>
      <c r="O715" s="15"/>
      <c r="P715" s="15"/>
      <c r="Q715" s="15"/>
      <c r="R715" s="15"/>
      <c r="S715" s="15"/>
      <c r="T715" s="15"/>
      <c r="U715" s="15"/>
      <c r="V715" s="15"/>
      <c r="W715" s="15"/>
      <c r="X715" s="15"/>
      <c r="AE715" s="51" t="str">
        <f t="shared" si="86"/>
        <v/>
      </c>
      <c r="AF715" s="51" t="str">
        <f t="shared" si="87"/>
        <v/>
      </c>
      <c r="AG715" s="51" t="str">
        <f t="shared" si="88"/>
        <v/>
      </c>
      <c r="AH715" s="51" t="str">
        <f t="shared" si="89"/>
        <v/>
      </c>
      <c r="BE715" s="16">
        <v>1073000000</v>
      </c>
      <c r="BF715" s="21">
        <v>0.36990000000000001</v>
      </c>
      <c r="BK715" s="21">
        <v>1.17E-2</v>
      </c>
      <c r="BM715" s="17"/>
      <c r="BN715" s="17"/>
      <c r="BO715" s="17"/>
      <c r="BP715" s="17"/>
      <c r="BQ715" s="17"/>
      <c r="BW715" s="17"/>
    </row>
    <row r="716" spans="1:75" hidden="1" x14ac:dyDescent="0.25">
      <c r="A716" s="15" t="s">
        <v>1224</v>
      </c>
      <c r="B716" s="15" t="s">
        <v>142</v>
      </c>
      <c r="C716" s="15">
        <v>2014</v>
      </c>
      <c r="D716" s="15" t="s">
        <v>1225</v>
      </c>
      <c r="E716" s="15">
        <v>60980</v>
      </c>
      <c r="F716" s="15">
        <v>9696110</v>
      </c>
      <c r="G716" s="15" t="s">
        <v>109</v>
      </c>
      <c r="H716" s="15" t="s">
        <v>43</v>
      </c>
      <c r="I716" s="15" t="s">
        <v>1230</v>
      </c>
      <c r="J716" s="15" t="s">
        <v>271</v>
      </c>
      <c r="K716" s="15" t="s">
        <v>92</v>
      </c>
      <c r="L716" s="15" t="s">
        <v>48</v>
      </c>
      <c r="M716" s="15" t="s">
        <v>62</v>
      </c>
      <c r="N716" s="15" t="s">
        <v>63</v>
      </c>
      <c r="O716" s="15"/>
      <c r="P716" s="15"/>
      <c r="Q716" s="15"/>
      <c r="R716" s="15"/>
      <c r="S716" s="15"/>
      <c r="T716" s="15"/>
      <c r="U716" s="15"/>
      <c r="V716" s="15"/>
      <c r="W716" s="15"/>
      <c r="X716" s="15"/>
      <c r="AE716" s="51" t="str">
        <f t="shared" si="86"/>
        <v/>
      </c>
      <c r="AF716" s="51" t="str">
        <f t="shared" si="87"/>
        <v/>
      </c>
      <c r="AG716" s="51" t="str">
        <f t="shared" si="88"/>
        <v/>
      </c>
      <c r="AH716" s="51" t="str">
        <f t="shared" si="89"/>
        <v/>
      </c>
      <c r="BE716" s="16">
        <v>1003000000</v>
      </c>
      <c r="BF716" s="21">
        <v>0.35670000000000002</v>
      </c>
      <c r="BK716" s="21">
        <v>1.24E-2</v>
      </c>
      <c r="BM716" s="17"/>
      <c r="BN716" s="17"/>
      <c r="BO716" s="17"/>
      <c r="BP716" s="17"/>
      <c r="BQ716" s="17"/>
      <c r="BW716" s="17"/>
    </row>
    <row r="717" spans="1:75" hidden="1" x14ac:dyDescent="0.25">
      <c r="A717" s="15" t="s">
        <v>1224</v>
      </c>
      <c r="B717" s="15" t="s">
        <v>142</v>
      </c>
      <c r="C717" s="15">
        <v>2013</v>
      </c>
      <c r="D717" s="15" t="s">
        <v>1225</v>
      </c>
      <c r="E717" s="15">
        <v>60910</v>
      </c>
      <c r="F717" s="15">
        <v>9600379</v>
      </c>
      <c r="G717" s="15" t="s">
        <v>109</v>
      </c>
      <c r="H717" s="15" t="s">
        <v>43</v>
      </c>
      <c r="I717" s="15" t="s">
        <v>1230</v>
      </c>
      <c r="J717" s="15" t="s">
        <v>271</v>
      </c>
      <c r="K717" s="15" t="s">
        <v>92</v>
      </c>
      <c r="L717" s="15" t="s">
        <v>48</v>
      </c>
      <c r="M717" s="15" t="s">
        <v>62</v>
      </c>
      <c r="N717" s="15" t="s">
        <v>63</v>
      </c>
      <c r="O717" s="15"/>
      <c r="P717" s="15"/>
      <c r="Q717" s="15"/>
      <c r="R717" s="15"/>
      <c r="S717" s="15"/>
      <c r="T717" s="15"/>
      <c r="U717" s="15"/>
      <c r="V717" s="15"/>
      <c r="W717" s="15"/>
      <c r="X717" s="15"/>
      <c r="AE717" s="51" t="str">
        <f t="shared" si="86"/>
        <v/>
      </c>
      <c r="AF717" s="51" t="str">
        <f t="shared" si="87"/>
        <v/>
      </c>
      <c r="AG717" s="51" t="str">
        <f t="shared" si="88"/>
        <v/>
      </c>
      <c r="AH717" s="51" t="str">
        <f t="shared" si="89"/>
        <v/>
      </c>
      <c r="BE717" s="16">
        <v>964000000000</v>
      </c>
      <c r="BF717" s="21">
        <v>0.35389999999999999</v>
      </c>
      <c r="BK717" s="21">
        <v>6.1000000000000004E-3</v>
      </c>
      <c r="BM717" s="17"/>
      <c r="BN717" s="17"/>
      <c r="BO717" s="17"/>
      <c r="BP717" s="17"/>
      <c r="BQ717" s="17"/>
      <c r="BW717" s="17"/>
    </row>
    <row r="718" spans="1:75" hidden="1" x14ac:dyDescent="0.25">
      <c r="A718" s="15" t="s">
        <v>1224</v>
      </c>
      <c r="B718" s="15" t="s">
        <v>142</v>
      </c>
      <c r="C718" s="15">
        <v>2012</v>
      </c>
      <c r="D718" s="15" t="s">
        <v>1225</v>
      </c>
      <c r="E718" s="15">
        <v>58240</v>
      </c>
      <c r="F718" s="15">
        <v>9519374</v>
      </c>
      <c r="G718" s="15" t="s">
        <v>109</v>
      </c>
      <c r="H718" s="15" t="s">
        <v>43</v>
      </c>
      <c r="I718" s="15" t="s">
        <v>1230</v>
      </c>
      <c r="J718" s="15" t="s">
        <v>271</v>
      </c>
      <c r="K718" s="15" t="s">
        <v>92</v>
      </c>
      <c r="L718" s="15" t="s">
        <v>48</v>
      </c>
      <c r="M718" s="15" t="s">
        <v>62</v>
      </c>
      <c r="N718" s="15" t="s">
        <v>63</v>
      </c>
      <c r="O718" s="15"/>
      <c r="P718" s="15"/>
      <c r="Q718" s="15"/>
      <c r="R718" s="15"/>
      <c r="S718" s="15"/>
      <c r="T718" s="15"/>
      <c r="U718" s="15"/>
      <c r="V718" s="15"/>
      <c r="W718" s="15"/>
      <c r="X718" s="15"/>
      <c r="AE718" s="51" t="str">
        <f t="shared" si="86"/>
        <v/>
      </c>
      <c r="AF718" s="51" t="str">
        <f t="shared" si="87"/>
        <v/>
      </c>
      <c r="AG718" s="51" t="str">
        <f t="shared" si="88"/>
        <v/>
      </c>
      <c r="AH718" s="51" t="str">
        <f t="shared" si="89"/>
        <v/>
      </c>
      <c r="BE718" s="16">
        <v>930000000000</v>
      </c>
      <c r="BF718" s="21">
        <v>0.34660000000000002</v>
      </c>
      <c r="BK718" s="21">
        <v>7.0000000000000001E-3</v>
      </c>
      <c r="BM718" s="17"/>
      <c r="BN718" s="17"/>
      <c r="BO718" s="17"/>
      <c r="BP718" s="17"/>
      <c r="BQ718" s="17"/>
      <c r="BW718" s="17"/>
    </row>
    <row r="719" spans="1:75" hidden="1" x14ac:dyDescent="0.25">
      <c r="A719" s="15" t="s">
        <v>1224</v>
      </c>
      <c r="B719" s="15" t="s">
        <v>142</v>
      </c>
      <c r="C719" s="15">
        <v>2011</v>
      </c>
      <c r="D719" s="15" t="s">
        <v>1225</v>
      </c>
      <c r="E719" s="15">
        <v>55660</v>
      </c>
      <c r="F719" s="15">
        <v>9449213</v>
      </c>
      <c r="G719" s="15" t="s">
        <v>109</v>
      </c>
      <c r="H719" s="15" t="s">
        <v>43</v>
      </c>
      <c r="I719" s="15" t="s">
        <v>1230</v>
      </c>
      <c r="J719" s="15" t="s">
        <v>271</v>
      </c>
      <c r="K719" s="15" t="s">
        <v>92</v>
      </c>
      <c r="L719" s="15" t="s">
        <v>48</v>
      </c>
      <c r="M719" s="15" t="s">
        <v>62</v>
      </c>
      <c r="N719" s="15" t="s">
        <v>63</v>
      </c>
      <c r="O719" s="15"/>
      <c r="P719" s="15"/>
      <c r="Q719" s="15"/>
      <c r="R719" s="15"/>
      <c r="S719" s="15"/>
      <c r="T719" s="15"/>
      <c r="U719" s="15"/>
      <c r="V719" s="15"/>
      <c r="W719" s="15"/>
      <c r="X719" s="15"/>
      <c r="AE719" s="51" t="str">
        <f t="shared" si="86"/>
        <v/>
      </c>
      <c r="AF719" s="51" t="str">
        <f t="shared" si="87"/>
        <v/>
      </c>
      <c r="AG719" s="51" t="str">
        <f t="shared" si="88"/>
        <v/>
      </c>
      <c r="AH719" s="51" t="str">
        <f t="shared" si="89"/>
        <v/>
      </c>
      <c r="BG719" s="15"/>
      <c r="BK719" s="21">
        <v>6.4999999999999997E-3</v>
      </c>
      <c r="BM719" s="17"/>
      <c r="BN719" s="17"/>
      <c r="BO719" s="17"/>
      <c r="BP719" s="17"/>
      <c r="BQ719" s="17"/>
      <c r="BW719" s="17"/>
    </row>
    <row r="720" spans="1:75" hidden="1" x14ac:dyDescent="0.25">
      <c r="A720" s="15" t="s">
        <v>1231</v>
      </c>
      <c r="B720" s="15" t="s">
        <v>30</v>
      </c>
      <c r="C720" s="15">
        <v>2015</v>
      </c>
      <c r="D720" s="15" t="s">
        <v>1232</v>
      </c>
      <c r="E720" s="15">
        <v>85780</v>
      </c>
      <c r="F720" s="15">
        <v>8282396</v>
      </c>
      <c r="G720" s="15" t="s">
        <v>109</v>
      </c>
      <c r="H720" s="15" t="s">
        <v>43</v>
      </c>
      <c r="I720" s="15" t="s">
        <v>188</v>
      </c>
      <c r="J720" s="15" t="s">
        <v>500</v>
      </c>
      <c r="K720" s="15" t="s">
        <v>190</v>
      </c>
      <c r="L720" s="15" t="s">
        <v>48</v>
      </c>
      <c r="M720" s="15" t="s">
        <v>62</v>
      </c>
      <c r="N720" s="15" t="s">
        <v>63</v>
      </c>
      <c r="O720" s="15"/>
      <c r="P720" s="15"/>
      <c r="Q720" s="15"/>
      <c r="R720" s="15"/>
      <c r="S720" s="15" t="s">
        <v>55</v>
      </c>
      <c r="T720" s="15"/>
      <c r="U720" s="15"/>
      <c r="V720" s="15"/>
      <c r="W720" s="15"/>
      <c r="X720" s="15" t="s">
        <v>55</v>
      </c>
      <c r="Y720" s="17">
        <v>95796</v>
      </c>
      <c r="Z720" s="17">
        <v>39251</v>
      </c>
      <c r="AA720" s="17">
        <v>6582</v>
      </c>
      <c r="AB720" s="17">
        <v>45833</v>
      </c>
      <c r="AC720" s="17">
        <v>141629</v>
      </c>
      <c r="AD720" s="17">
        <v>1146</v>
      </c>
      <c r="AE720" s="51">
        <f t="shared" si="86"/>
        <v>11.566218277899294</v>
      </c>
      <c r="AF720" s="51">
        <f t="shared" si="87"/>
        <v>5.5337851510601528</v>
      </c>
      <c r="AG720" s="51">
        <f t="shared" si="88"/>
        <v>17.100003428959447</v>
      </c>
      <c r="AH720" s="51">
        <f t="shared" si="89"/>
        <v>0.13836575792801986</v>
      </c>
      <c r="AI720" s="17">
        <v>458353</v>
      </c>
      <c r="AJ720" s="17">
        <v>739692</v>
      </c>
      <c r="AK720" s="17">
        <v>638329</v>
      </c>
      <c r="AL720" s="17">
        <v>1378021</v>
      </c>
      <c r="AM720" s="17">
        <v>1836374</v>
      </c>
      <c r="AN720" s="17">
        <v>901347</v>
      </c>
      <c r="BG720" s="15"/>
      <c r="BM720" s="17"/>
      <c r="BN720" s="17"/>
      <c r="BO720" s="17"/>
      <c r="BP720" s="17"/>
      <c r="BQ720" s="17"/>
      <c r="BW720" s="17"/>
    </row>
    <row r="721" spans="1:75" hidden="1" x14ac:dyDescent="0.25">
      <c r="A721" s="15" t="s">
        <v>1231</v>
      </c>
      <c r="B721" s="15" t="s">
        <v>30</v>
      </c>
      <c r="C721" s="15">
        <v>2014</v>
      </c>
      <c r="D721" s="15" t="s">
        <v>1232</v>
      </c>
      <c r="E721" s="15">
        <v>86560</v>
      </c>
      <c r="F721" s="15">
        <v>8188649</v>
      </c>
      <c r="G721" s="15" t="s">
        <v>109</v>
      </c>
      <c r="H721" s="15" t="s">
        <v>43</v>
      </c>
      <c r="I721" s="15" t="s">
        <v>188</v>
      </c>
      <c r="J721" s="15" t="s">
        <v>500</v>
      </c>
      <c r="K721" s="15" t="s">
        <v>190</v>
      </c>
      <c r="L721" s="15" t="s">
        <v>48</v>
      </c>
      <c r="M721" s="15" t="s">
        <v>62</v>
      </c>
      <c r="N721" s="15" t="s">
        <v>63</v>
      </c>
      <c r="O721" s="15"/>
      <c r="P721" s="15"/>
      <c r="Q721" s="15"/>
      <c r="R721" s="15"/>
      <c r="S721" s="15" t="s">
        <v>55</v>
      </c>
      <c r="T721" s="15"/>
      <c r="U721" s="15"/>
      <c r="V721" s="15"/>
      <c r="W721" s="15"/>
      <c r="X721" s="15" t="s">
        <v>55</v>
      </c>
      <c r="Y721" s="17">
        <v>99671</v>
      </c>
      <c r="Z721" s="17">
        <v>39576</v>
      </c>
      <c r="AA721" s="17">
        <v>6468</v>
      </c>
      <c r="AB721" s="17">
        <v>46044</v>
      </c>
      <c r="AC721" s="17">
        <v>145715</v>
      </c>
      <c r="AD721" s="17">
        <v>1145</v>
      </c>
      <c r="AE721" s="51">
        <f t="shared" si="86"/>
        <v>12.171849104779067</v>
      </c>
      <c r="AF721" s="51">
        <f t="shared" si="87"/>
        <v>5.6229055611004943</v>
      </c>
      <c r="AG721" s="51">
        <f t="shared" si="88"/>
        <v>17.794754665879559</v>
      </c>
      <c r="AH721" s="51">
        <f t="shared" si="89"/>
        <v>0.13982770540048792</v>
      </c>
      <c r="AI721" s="17">
        <v>482906</v>
      </c>
      <c r="AJ721" s="17">
        <v>756657</v>
      </c>
      <c r="AK721" s="17">
        <v>635686</v>
      </c>
      <c r="AL721" s="17">
        <v>1392343</v>
      </c>
      <c r="AM721" s="17">
        <v>1875249</v>
      </c>
      <c r="AN721" s="17">
        <v>911758</v>
      </c>
      <c r="BG721" s="15"/>
      <c r="BM721" s="17"/>
      <c r="BN721" s="17"/>
      <c r="BO721" s="17"/>
      <c r="BP721" s="17"/>
      <c r="BQ721" s="17"/>
      <c r="BW721" s="17"/>
    </row>
    <row r="722" spans="1:75" hidden="1" x14ac:dyDescent="0.25">
      <c r="A722" s="15" t="s">
        <v>1231</v>
      </c>
      <c r="B722" s="15" t="s">
        <v>30</v>
      </c>
      <c r="C722" s="15">
        <v>2013</v>
      </c>
      <c r="D722" s="15" t="s">
        <v>1232</v>
      </c>
      <c r="E722" s="15">
        <v>88740</v>
      </c>
      <c r="F722" s="15">
        <v>8089346</v>
      </c>
      <c r="G722" s="15" t="s">
        <v>109</v>
      </c>
      <c r="H722" s="15" t="s">
        <v>43</v>
      </c>
      <c r="I722" s="15" t="s">
        <v>188</v>
      </c>
      <c r="J722" s="15" t="s">
        <v>500</v>
      </c>
      <c r="K722" s="15" t="s">
        <v>190</v>
      </c>
      <c r="L722" s="15" t="s">
        <v>48</v>
      </c>
      <c r="M722" s="15" t="s">
        <v>62</v>
      </c>
      <c r="N722" s="15" t="s">
        <v>63</v>
      </c>
      <c r="O722" s="15"/>
      <c r="P722" s="15"/>
      <c r="Q722" s="15"/>
      <c r="R722" s="15"/>
      <c r="S722" s="15" t="s">
        <v>55</v>
      </c>
      <c r="T722" s="15"/>
      <c r="U722" s="15"/>
      <c r="V722" s="15"/>
      <c r="W722" s="15"/>
      <c r="X722" s="15" t="s">
        <v>55</v>
      </c>
      <c r="Y722" s="17">
        <v>97146</v>
      </c>
      <c r="Z722" s="17">
        <v>38898</v>
      </c>
      <c r="AA722" s="17">
        <v>6224</v>
      </c>
      <c r="AB722" s="17">
        <v>45122</v>
      </c>
      <c r="AC722" s="17">
        <v>142268</v>
      </c>
      <c r="AD722" s="17">
        <v>1117</v>
      </c>
      <c r="AE722" s="51">
        <f t="shared" si="86"/>
        <v>12.009129044548224</v>
      </c>
      <c r="AF722" s="51">
        <f t="shared" si="87"/>
        <v>5.5779540150711817</v>
      </c>
      <c r="AG722" s="51">
        <f t="shared" si="88"/>
        <v>17.587083059619406</v>
      </c>
      <c r="AH722" s="51">
        <f t="shared" si="89"/>
        <v>0.13808285614189331</v>
      </c>
      <c r="AI722" s="17">
        <v>473517</v>
      </c>
      <c r="AJ722" s="17">
        <v>727041</v>
      </c>
      <c r="AK722" s="17">
        <v>629737</v>
      </c>
      <c r="AL722" s="17">
        <v>1356778</v>
      </c>
      <c r="AM722" s="17">
        <v>1830295</v>
      </c>
      <c r="AN722" s="17">
        <v>914162</v>
      </c>
      <c r="BG722" s="15"/>
      <c r="BM722" s="17"/>
      <c r="BN722" s="17"/>
      <c r="BO722" s="17"/>
      <c r="BP722" s="17"/>
      <c r="BQ722" s="17"/>
      <c r="BW722" s="17"/>
    </row>
    <row r="723" spans="1:75" hidden="1" x14ac:dyDescent="0.25">
      <c r="A723" s="15" t="s">
        <v>1233</v>
      </c>
      <c r="B723" s="15" t="s">
        <v>30</v>
      </c>
      <c r="C723" s="15">
        <v>2006</v>
      </c>
      <c r="D723" s="15" t="s">
        <v>1234</v>
      </c>
      <c r="E723" s="15">
        <v>1510</v>
      </c>
      <c r="F723" s="15">
        <v>18294611</v>
      </c>
      <c r="G723" s="15" t="s">
        <v>32</v>
      </c>
      <c r="H723" s="15" t="s">
        <v>58</v>
      </c>
      <c r="I723" s="15" t="s">
        <v>1235</v>
      </c>
      <c r="J723" s="15" t="s">
        <v>1236</v>
      </c>
      <c r="K723" s="15"/>
      <c r="L723" s="15" t="s">
        <v>1237</v>
      </c>
      <c r="M723" s="15" t="s">
        <v>1238</v>
      </c>
      <c r="N723" s="15"/>
      <c r="O723" s="15"/>
      <c r="P723" s="15"/>
      <c r="Q723" s="15"/>
      <c r="R723" s="15"/>
      <c r="S723" s="15"/>
      <c r="T723" s="15"/>
      <c r="U723" s="15"/>
      <c r="V723" s="15"/>
      <c r="W723" s="15"/>
      <c r="X723" s="15"/>
      <c r="AE723" s="51" t="str">
        <f t="shared" si="86"/>
        <v/>
      </c>
      <c r="AF723" s="51" t="str">
        <f t="shared" si="87"/>
        <v/>
      </c>
      <c r="AG723" s="51" t="str">
        <f t="shared" si="88"/>
        <v/>
      </c>
      <c r="AH723" s="51" t="str">
        <f t="shared" si="89"/>
        <v/>
      </c>
      <c r="BG723" s="15"/>
      <c r="BM723" s="17"/>
      <c r="BN723" s="17"/>
      <c r="BO723" s="17"/>
      <c r="BP723" s="17"/>
      <c r="BQ723" s="17"/>
      <c r="BT723" s="15" t="s">
        <v>1239</v>
      </c>
      <c r="BW723" s="17"/>
    </row>
    <row r="724" spans="1:75" hidden="1" x14ac:dyDescent="0.25">
      <c r="A724" s="15" t="s">
        <v>1233</v>
      </c>
      <c r="B724" s="15" t="s">
        <v>52</v>
      </c>
      <c r="C724" s="15">
        <v>2009</v>
      </c>
      <c r="D724" s="15" t="s">
        <v>1234</v>
      </c>
      <c r="E724" s="15">
        <v>1510</v>
      </c>
      <c r="F724" s="15">
        <v>18294611</v>
      </c>
      <c r="G724" s="15" t="s">
        <v>32</v>
      </c>
      <c r="H724" s="15" t="s">
        <v>58</v>
      </c>
      <c r="I724" s="15" t="s">
        <v>1240</v>
      </c>
      <c r="J724" s="15" t="s">
        <v>1241</v>
      </c>
      <c r="K724" s="15" t="s">
        <v>34</v>
      </c>
      <c r="L724" s="15" t="s">
        <v>1242</v>
      </c>
      <c r="M724" s="15" t="s">
        <v>1243</v>
      </c>
      <c r="N724" s="15"/>
      <c r="O724" s="15" t="s">
        <v>1244</v>
      </c>
      <c r="P724" s="15" t="s">
        <v>1245</v>
      </c>
      <c r="Q724" s="15" t="s">
        <v>1246</v>
      </c>
      <c r="R724" s="15" t="s">
        <v>1247</v>
      </c>
      <c r="S724" s="15" t="s">
        <v>1248</v>
      </c>
      <c r="T724" s="15"/>
      <c r="U724" s="15"/>
      <c r="V724" s="15"/>
      <c r="W724" s="15"/>
      <c r="X724" s="15"/>
      <c r="AE724" s="51" t="str">
        <f t="shared" si="86"/>
        <v/>
      </c>
      <c r="AF724" s="51" t="str">
        <f t="shared" si="87"/>
        <v/>
      </c>
      <c r="AG724" s="51" t="str">
        <f t="shared" si="88"/>
        <v/>
      </c>
      <c r="AH724" s="51" t="str">
        <f t="shared" si="89"/>
        <v/>
      </c>
      <c r="BG724" s="15"/>
      <c r="BM724" s="17"/>
      <c r="BN724" s="17"/>
      <c r="BO724" s="17"/>
      <c r="BP724" s="17"/>
      <c r="BQ724" s="17"/>
      <c r="BW724" s="17" t="s">
        <v>1249</v>
      </c>
    </row>
    <row r="725" spans="1:75" hidden="1" x14ac:dyDescent="0.25">
      <c r="A725" s="15" t="s">
        <v>1250</v>
      </c>
      <c r="B725" s="15" t="s">
        <v>30</v>
      </c>
      <c r="C725" s="15">
        <v>2017</v>
      </c>
      <c r="D725" s="15" t="s">
        <v>1251</v>
      </c>
      <c r="E725" s="17">
        <v>50500</v>
      </c>
      <c r="F725" s="17">
        <v>23545963</v>
      </c>
      <c r="G725" s="15" t="s">
        <v>109</v>
      </c>
      <c r="H725" s="15" t="s">
        <v>77</v>
      </c>
      <c r="I725" s="15" t="s">
        <v>1252</v>
      </c>
      <c r="J725" s="15" t="s">
        <v>1253</v>
      </c>
      <c r="K725" s="15" t="s">
        <v>241</v>
      </c>
      <c r="L725" s="15"/>
      <c r="M725" s="15" t="s">
        <v>1254</v>
      </c>
      <c r="N725" s="15" t="s">
        <v>1890</v>
      </c>
      <c r="O725" s="15"/>
      <c r="P725" s="15"/>
      <c r="Q725" s="15" t="s">
        <v>1255</v>
      </c>
      <c r="R725" s="15" t="s">
        <v>1256</v>
      </c>
      <c r="S725" s="15" t="s">
        <v>1257</v>
      </c>
      <c r="T725" s="15"/>
      <c r="U725" s="15"/>
      <c r="V725" s="15" t="s">
        <v>1258</v>
      </c>
      <c r="W725" s="15" t="s">
        <v>1259</v>
      </c>
      <c r="X725" s="15" t="s">
        <v>1257</v>
      </c>
      <c r="AC725" s="17">
        <v>1437626</v>
      </c>
      <c r="AD725" s="17">
        <v>33807</v>
      </c>
      <c r="AE725" s="51" t="str">
        <f t="shared" si="86"/>
        <v/>
      </c>
      <c r="AF725" s="51" t="str">
        <f t="shared" si="87"/>
        <v/>
      </c>
      <c r="AG725" s="51">
        <f t="shared" si="88"/>
        <v>61.056156420529497</v>
      </c>
      <c r="AH725" s="51">
        <f t="shared" si="89"/>
        <v>1.4357875275689509</v>
      </c>
      <c r="AV725" s="15" t="s">
        <v>1260</v>
      </c>
      <c r="BG725" s="15"/>
      <c r="BM725" s="17"/>
      <c r="BN725" s="17"/>
      <c r="BO725" s="17"/>
      <c r="BP725" s="17"/>
      <c r="BQ725" s="17"/>
      <c r="BT725" s="15" t="s">
        <v>1112</v>
      </c>
      <c r="BW725" s="17"/>
    </row>
    <row r="726" spans="1:75" hidden="1" x14ac:dyDescent="0.25">
      <c r="A726" s="15" t="s">
        <v>1250</v>
      </c>
      <c r="B726" s="15" t="s">
        <v>30</v>
      </c>
      <c r="C726" s="15">
        <v>2016</v>
      </c>
      <c r="D726" s="15" t="s">
        <v>1251</v>
      </c>
      <c r="E726" s="17">
        <v>49100</v>
      </c>
      <c r="F726" s="17">
        <v>23508428</v>
      </c>
      <c r="G726" s="15" t="s">
        <v>109</v>
      </c>
      <c r="H726" s="15" t="s">
        <v>77</v>
      </c>
      <c r="I726" s="15" t="s">
        <v>1252</v>
      </c>
      <c r="J726" s="15" t="s">
        <v>1253</v>
      </c>
      <c r="K726" s="15" t="s">
        <v>241</v>
      </c>
      <c r="L726" s="15"/>
      <c r="M726" s="15" t="s">
        <v>1254</v>
      </c>
      <c r="N726" s="15" t="s">
        <v>1890</v>
      </c>
      <c r="O726" s="15"/>
      <c r="P726" s="15"/>
      <c r="Q726" s="15" t="s">
        <v>1255</v>
      </c>
      <c r="R726" s="15" t="s">
        <v>1256</v>
      </c>
      <c r="S726" s="15" t="s">
        <v>1257</v>
      </c>
      <c r="T726" s="15"/>
      <c r="U726" s="15"/>
      <c r="V726" s="15" t="s">
        <v>1258</v>
      </c>
      <c r="W726" s="15" t="s">
        <v>1259</v>
      </c>
      <c r="X726" s="15" t="s">
        <v>1257</v>
      </c>
      <c r="AC726" s="17">
        <v>1408313</v>
      </c>
      <c r="AD726" s="17">
        <v>32645</v>
      </c>
      <c r="AE726" s="51" t="str">
        <f t="shared" si="86"/>
        <v/>
      </c>
      <c r="AF726" s="51" t="str">
        <f t="shared" si="87"/>
        <v/>
      </c>
      <c r="AG726" s="51">
        <f t="shared" si="88"/>
        <v>59.906727919025464</v>
      </c>
      <c r="AH726" s="51">
        <f t="shared" si="89"/>
        <v>1.388650912770518</v>
      </c>
      <c r="AV726" s="15" t="s">
        <v>1260</v>
      </c>
      <c r="BG726" s="15"/>
      <c r="BM726" s="17"/>
      <c r="BN726" s="17"/>
      <c r="BO726" s="17"/>
      <c r="BP726" s="17"/>
      <c r="BQ726" s="17"/>
      <c r="BT726" s="15" t="s">
        <v>1261</v>
      </c>
      <c r="BW726" s="17"/>
    </row>
    <row r="727" spans="1:75" hidden="1" x14ac:dyDescent="0.25">
      <c r="A727" s="15" t="s">
        <v>1250</v>
      </c>
      <c r="B727" s="15" t="s">
        <v>30</v>
      </c>
      <c r="C727" s="15">
        <v>2015</v>
      </c>
      <c r="D727" s="15" t="s">
        <v>1251</v>
      </c>
      <c r="E727" s="17">
        <v>48500</v>
      </c>
      <c r="F727" s="17">
        <v>23508428</v>
      </c>
      <c r="G727" s="15" t="s">
        <v>109</v>
      </c>
      <c r="H727" s="15" t="s">
        <v>77</v>
      </c>
      <c r="I727" s="15" t="s">
        <v>1252</v>
      </c>
      <c r="J727" s="15" t="s">
        <v>1253</v>
      </c>
      <c r="K727" s="15" t="s">
        <v>241</v>
      </c>
      <c r="L727" s="15"/>
      <c r="M727" s="15" t="s">
        <v>1254</v>
      </c>
      <c r="N727" s="15" t="s">
        <v>1890</v>
      </c>
      <c r="O727" s="15"/>
      <c r="P727" s="15"/>
      <c r="Q727" s="15" t="s">
        <v>1255</v>
      </c>
      <c r="R727" s="15" t="s">
        <v>1256</v>
      </c>
      <c r="S727" s="15" t="s">
        <v>1257</v>
      </c>
      <c r="T727" s="15"/>
      <c r="U727" s="15"/>
      <c r="V727" s="15" t="s">
        <v>1258</v>
      </c>
      <c r="W727" s="15" t="s">
        <v>1259</v>
      </c>
      <c r="X727" s="15" t="s">
        <v>1257</v>
      </c>
      <c r="AC727" s="17">
        <v>1383981</v>
      </c>
      <c r="AD727" s="17">
        <v>32757</v>
      </c>
      <c r="AE727" s="51" t="str">
        <f t="shared" si="86"/>
        <v/>
      </c>
      <c r="AF727" s="51" t="str">
        <f t="shared" si="87"/>
        <v/>
      </c>
      <c r="AG727" s="51">
        <f t="shared" si="88"/>
        <v>58.871694866198624</v>
      </c>
      <c r="AH727" s="51">
        <f t="shared" si="89"/>
        <v>1.3934151615752444</v>
      </c>
      <c r="AV727" s="15" t="s">
        <v>1260</v>
      </c>
      <c r="BG727" s="15"/>
      <c r="BM727" s="17"/>
      <c r="BN727" s="17"/>
      <c r="BO727" s="17"/>
      <c r="BP727" s="17"/>
      <c r="BQ727" s="17"/>
      <c r="BT727" s="15" t="s">
        <v>1262</v>
      </c>
      <c r="BW727" s="17"/>
    </row>
    <row r="728" spans="1:75" hidden="1" x14ac:dyDescent="0.25">
      <c r="A728" s="15" t="s">
        <v>1250</v>
      </c>
      <c r="B728" s="15" t="s">
        <v>30</v>
      </c>
      <c r="C728" s="15">
        <v>2014</v>
      </c>
      <c r="D728" s="15" t="s">
        <v>1251</v>
      </c>
      <c r="E728" s="17">
        <v>48500</v>
      </c>
      <c r="F728" s="17">
        <v>23508428</v>
      </c>
      <c r="G728" s="15" t="s">
        <v>109</v>
      </c>
      <c r="H728" s="15" t="s">
        <v>77</v>
      </c>
      <c r="I728" s="15" t="s">
        <v>1252</v>
      </c>
      <c r="J728" s="15" t="s">
        <v>1253</v>
      </c>
      <c r="K728" s="15" t="s">
        <v>241</v>
      </c>
      <c r="L728" s="15"/>
      <c r="M728" s="15" t="s">
        <v>1254</v>
      </c>
      <c r="N728" s="15" t="s">
        <v>1890</v>
      </c>
      <c r="O728" s="15"/>
      <c r="P728" s="15"/>
      <c r="Q728" s="15" t="s">
        <v>1255</v>
      </c>
      <c r="R728" s="15" t="s">
        <v>1256</v>
      </c>
      <c r="S728" s="15" t="s">
        <v>1257</v>
      </c>
      <c r="T728" s="15"/>
      <c r="U728" s="15"/>
      <c r="V728" s="15" t="s">
        <v>1258</v>
      </c>
      <c r="W728" s="15" t="s">
        <v>1259</v>
      </c>
      <c r="X728" s="15" t="s">
        <v>1257</v>
      </c>
      <c r="AC728" s="17">
        <v>1353049</v>
      </c>
      <c r="AD728" s="17">
        <v>33079</v>
      </c>
      <c r="AE728" s="51" t="str">
        <f t="shared" si="86"/>
        <v/>
      </c>
      <c r="AF728" s="51" t="str">
        <f t="shared" si="87"/>
        <v/>
      </c>
      <c r="AG728" s="51">
        <f t="shared" si="88"/>
        <v>57.555911437378967</v>
      </c>
      <c r="AH728" s="51">
        <f t="shared" si="89"/>
        <v>1.4071123768888332</v>
      </c>
      <c r="AV728" s="15" t="s">
        <v>1260</v>
      </c>
      <c r="BG728" s="15"/>
      <c r="BM728" s="17"/>
      <c r="BN728" s="17"/>
      <c r="BO728" s="17"/>
      <c r="BP728" s="17"/>
      <c r="BQ728" s="17"/>
      <c r="BT728" s="15" t="s">
        <v>1262</v>
      </c>
      <c r="BW728" s="17"/>
    </row>
    <row r="729" spans="1:75" hidden="1" x14ac:dyDescent="0.25">
      <c r="A729" s="15" t="s">
        <v>1250</v>
      </c>
      <c r="B729" s="15" t="s">
        <v>30</v>
      </c>
      <c r="C729" s="15">
        <v>2013</v>
      </c>
      <c r="D729" s="15" t="s">
        <v>1251</v>
      </c>
      <c r="E729" s="17">
        <v>48500</v>
      </c>
      <c r="F729" s="17">
        <v>23508428</v>
      </c>
      <c r="G729" s="15" t="s">
        <v>109</v>
      </c>
      <c r="H729" s="15" t="s">
        <v>77</v>
      </c>
      <c r="I729" s="15" t="s">
        <v>1252</v>
      </c>
      <c r="J729" s="15" t="s">
        <v>1253</v>
      </c>
      <c r="K729" s="15" t="s">
        <v>241</v>
      </c>
      <c r="L729" s="15"/>
      <c r="M729" s="15" t="s">
        <v>1254</v>
      </c>
      <c r="N729" s="15" t="s">
        <v>1890</v>
      </c>
      <c r="O729" s="15"/>
      <c r="P729" s="15"/>
      <c r="Q729" s="15" t="s">
        <v>1255</v>
      </c>
      <c r="R729" s="15" t="s">
        <v>1256</v>
      </c>
      <c r="S729" s="15" t="s">
        <v>1257</v>
      </c>
      <c r="T729" s="15"/>
      <c r="U729" s="15"/>
      <c r="V729" s="15" t="s">
        <v>1258</v>
      </c>
      <c r="W729" s="15" t="s">
        <v>1259</v>
      </c>
      <c r="X729" s="15" t="s">
        <v>1257</v>
      </c>
      <c r="AC729" s="17">
        <v>1331182</v>
      </c>
      <c r="AD729" s="17">
        <v>32211</v>
      </c>
      <c r="AE729" s="51" t="str">
        <f t="shared" si="86"/>
        <v/>
      </c>
      <c r="AF729" s="51" t="str">
        <f t="shared" si="87"/>
        <v/>
      </c>
      <c r="AG729" s="51">
        <f t="shared" si="88"/>
        <v>56.625734396191866</v>
      </c>
      <c r="AH729" s="51">
        <f t="shared" si="89"/>
        <v>1.3701894486522026</v>
      </c>
      <c r="AV729" s="15" t="s">
        <v>1260</v>
      </c>
      <c r="BG729" s="15"/>
      <c r="BM729" s="17"/>
      <c r="BN729" s="17"/>
      <c r="BO729" s="17"/>
      <c r="BP729" s="17"/>
      <c r="BQ729" s="17"/>
      <c r="BT729" s="15" t="s">
        <v>1262</v>
      </c>
      <c r="BW729" s="17"/>
    </row>
    <row r="730" spans="1:75" hidden="1" x14ac:dyDescent="0.25">
      <c r="A730" s="15" t="s">
        <v>1250</v>
      </c>
      <c r="B730" s="15" t="s">
        <v>30</v>
      </c>
      <c r="C730" s="15">
        <v>2012</v>
      </c>
      <c r="D730" s="15" t="s">
        <v>1251</v>
      </c>
      <c r="E730" s="17">
        <v>48500</v>
      </c>
      <c r="F730" s="17">
        <v>23508428</v>
      </c>
      <c r="G730" s="15" t="s">
        <v>109</v>
      </c>
      <c r="H730" s="15" t="s">
        <v>77</v>
      </c>
      <c r="I730" s="15" t="s">
        <v>1252</v>
      </c>
      <c r="J730" s="15" t="s">
        <v>1253</v>
      </c>
      <c r="K730" s="15" t="s">
        <v>241</v>
      </c>
      <c r="L730" s="15"/>
      <c r="M730" s="15" t="s">
        <v>1254</v>
      </c>
      <c r="N730" s="15" t="s">
        <v>1890</v>
      </c>
      <c r="O730" s="15"/>
      <c r="P730" s="15"/>
      <c r="Q730" s="15" t="s">
        <v>1255</v>
      </c>
      <c r="R730" s="15" t="s">
        <v>1256</v>
      </c>
      <c r="S730" s="15" t="s">
        <v>1257</v>
      </c>
      <c r="T730" s="15"/>
      <c r="U730" s="15"/>
      <c r="V730" s="15" t="s">
        <v>1258</v>
      </c>
      <c r="W730" s="15" t="s">
        <v>1259</v>
      </c>
      <c r="X730" s="15" t="s">
        <v>1257</v>
      </c>
      <c r="AC730" s="17">
        <v>1302351</v>
      </c>
      <c r="AD730" s="17">
        <v>31003</v>
      </c>
      <c r="AE730" s="51" t="str">
        <f t="shared" si="86"/>
        <v/>
      </c>
      <c r="AF730" s="51" t="str">
        <f t="shared" si="87"/>
        <v/>
      </c>
      <c r="AG730" s="51">
        <f t="shared" si="88"/>
        <v>55.399323170396592</v>
      </c>
      <c r="AH730" s="51">
        <f t="shared" si="89"/>
        <v>1.3188036222583663</v>
      </c>
      <c r="AV730" s="15" t="s">
        <v>1260</v>
      </c>
      <c r="BG730" s="15"/>
      <c r="BM730" s="17"/>
      <c r="BN730" s="17"/>
      <c r="BO730" s="17"/>
      <c r="BP730" s="17"/>
      <c r="BQ730" s="17"/>
      <c r="BT730" s="15" t="s">
        <v>1262</v>
      </c>
      <c r="BW730" s="17"/>
    </row>
    <row r="731" spans="1:75" hidden="1" x14ac:dyDescent="0.25">
      <c r="A731" s="15" t="s">
        <v>1263</v>
      </c>
      <c r="B731" s="15" t="s">
        <v>30</v>
      </c>
      <c r="C731" s="15">
        <v>2007</v>
      </c>
      <c r="D731" s="15" t="s">
        <v>1264</v>
      </c>
      <c r="E731" s="15">
        <v>440</v>
      </c>
      <c r="F731" s="15">
        <v>7111025</v>
      </c>
      <c r="G731" s="15" t="s">
        <v>32</v>
      </c>
      <c r="H731" s="15" t="s">
        <v>43</v>
      </c>
      <c r="I731" s="15" t="s">
        <v>1265</v>
      </c>
      <c r="J731" s="15" t="s">
        <v>1266</v>
      </c>
      <c r="K731" s="15" t="s">
        <v>1267</v>
      </c>
      <c r="L731" s="15" t="s">
        <v>1268</v>
      </c>
      <c r="M731" s="15" t="s">
        <v>1269</v>
      </c>
      <c r="N731" s="15" t="s">
        <v>101</v>
      </c>
      <c r="O731" s="15"/>
      <c r="P731" s="15"/>
      <c r="Q731" s="15"/>
      <c r="R731" s="15"/>
      <c r="S731" s="15"/>
      <c r="T731" s="15"/>
      <c r="U731" s="15"/>
      <c r="V731" s="15"/>
      <c r="W731" s="15"/>
      <c r="X731" s="15"/>
      <c r="Y731" s="17">
        <v>147307</v>
      </c>
      <c r="Z731" s="17">
        <v>7374</v>
      </c>
      <c r="AA731" s="17">
        <v>610</v>
      </c>
      <c r="AB731" s="17">
        <v>7984</v>
      </c>
      <c r="AC731" s="17">
        <v>155291</v>
      </c>
      <c r="AD731" s="17">
        <v>117</v>
      </c>
      <c r="AE731" s="51">
        <f t="shared" si="86"/>
        <v>20.715297724308382</v>
      </c>
      <c r="AF731" s="51">
        <f t="shared" si="87"/>
        <v>1.1227635959654199</v>
      </c>
      <c r="AG731" s="51">
        <f t="shared" si="88"/>
        <v>21.838061320273798</v>
      </c>
      <c r="AH731" s="51">
        <f t="shared" si="89"/>
        <v>1.645332423947321E-2</v>
      </c>
      <c r="BG731" s="15"/>
      <c r="BM731" s="17"/>
      <c r="BN731" s="17"/>
      <c r="BO731" s="17"/>
      <c r="BP731" s="17"/>
      <c r="BQ731" s="17"/>
      <c r="BW731" s="17"/>
    </row>
    <row r="732" spans="1:75" hidden="1" x14ac:dyDescent="0.25">
      <c r="A732" s="15" t="s">
        <v>1270</v>
      </c>
      <c r="B732" s="15" t="s">
        <v>30</v>
      </c>
      <c r="C732" s="15">
        <v>2012</v>
      </c>
      <c r="D732" s="15" t="s">
        <v>1271</v>
      </c>
      <c r="E732" s="15">
        <v>770</v>
      </c>
      <c r="F732" s="15">
        <v>49082997</v>
      </c>
      <c r="G732" s="15" t="s">
        <v>32</v>
      </c>
      <c r="H732" s="15" t="s">
        <v>89</v>
      </c>
      <c r="I732" s="15" t="s">
        <v>1272</v>
      </c>
      <c r="J732" s="15" t="s">
        <v>1273</v>
      </c>
      <c r="K732" s="15" t="s">
        <v>46</v>
      </c>
      <c r="L732" s="15" t="s">
        <v>647</v>
      </c>
      <c r="M732" s="15" t="s">
        <v>407</v>
      </c>
      <c r="N732" s="15" t="s">
        <v>310</v>
      </c>
      <c r="O732" s="15" t="s">
        <v>602</v>
      </c>
      <c r="P732" s="15" t="s">
        <v>1274</v>
      </c>
      <c r="Q732" s="15" t="s">
        <v>1275</v>
      </c>
      <c r="R732" s="15" t="s">
        <v>1276</v>
      </c>
      <c r="S732" s="15" t="s">
        <v>1277</v>
      </c>
      <c r="T732" s="15"/>
      <c r="U732" s="15"/>
      <c r="V732" s="15"/>
      <c r="W732" s="15"/>
      <c r="X732" s="15" t="s">
        <v>1277</v>
      </c>
      <c r="Y732" s="17">
        <v>3074736</v>
      </c>
      <c r="AB732" s="17">
        <v>88150</v>
      </c>
      <c r="AC732" s="17">
        <v>3162886</v>
      </c>
      <c r="AE732" s="51">
        <f t="shared" si="86"/>
        <v>62.643607520543213</v>
      </c>
      <c r="AF732" s="51">
        <f t="shared" si="87"/>
        <v>1.7959376034026611</v>
      </c>
      <c r="AG732" s="51">
        <f t="shared" si="88"/>
        <v>64.439545123945862</v>
      </c>
      <c r="AH732" s="51" t="str">
        <f t="shared" si="89"/>
        <v/>
      </c>
      <c r="AM732" s="17">
        <v>5200000</v>
      </c>
      <c r="AS732" s="17">
        <v>16587237755565</v>
      </c>
      <c r="AU732" s="15" t="s">
        <v>1278</v>
      </c>
      <c r="AV732" s="15" t="s">
        <v>1278</v>
      </c>
      <c r="BG732" s="15"/>
      <c r="BM732" s="17"/>
      <c r="BN732" s="17">
        <v>1704112</v>
      </c>
      <c r="BO732" s="17"/>
      <c r="BP732" s="17"/>
      <c r="BQ732" s="17"/>
      <c r="BW732" s="17"/>
    </row>
    <row r="733" spans="1:75" hidden="1" x14ac:dyDescent="0.25">
      <c r="A733" s="15" t="s">
        <v>1280</v>
      </c>
      <c r="B733" s="15" t="s">
        <v>30</v>
      </c>
      <c r="C733" s="15">
        <v>2016</v>
      </c>
      <c r="D733" s="15" t="s">
        <v>1281</v>
      </c>
      <c r="E733" s="15">
        <v>5700</v>
      </c>
      <c r="F733" s="15">
        <v>69037513</v>
      </c>
      <c r="G733" s="15" t="s">
        <v>42</v>
      </c>
      <c r="H733" s="15" t="s">
        <v>77</v>
      </c>
      <c r="I733" s="15" t="s">
        <v>1282</v>
      </c>
      <c r="J733" s="15" t="s">
        <v>1283</v>
      </c>
      <c r="K733" s="15"/>
      <c r="L733" s="15" t="s">
        <v>1899</v>
      </c>
      <c r="M733" s="15" t="s">
        <v>1284</v>
      </c>
      <c r="N733" s="15" t="s">
        <v>1285</v>
      </c>
      <c r="O733" s="15"/>
      <c r="P733" s="15" t="s">
        <v>1906</v>
      </c>
      <c r="Q733" s="15" t="s">
        <v>1286</v>
      </c>
      <c r="R733" s="15" t="s">
        <v>1287</v>
      </c>
      <c r="S733" s="15" t="s">
        <v>1288</v>
      </c>
      <c r="T733" s="15"/>
      <c r="U733" s="15"/>
      <c r="V733" s="15"/>
      <c r="W733" s="15"/>
      <c r="X733" s="15"/>
      <c r="Z733" s="17">
        <v>2989378</v>
      </c>
      <c r="AA733" s="17">
        <v>15301</v>
      </c>
      <c r="AC733" s="17">
        <v>3004679</v>
      </c>
      <c r="AD733" s="17">
        <v>9025</v>
      </c>
      <c r="AE733" s="51" t="str">
        <f t="shared" si="86"/>
        <v/>
      </c>
      <c r="AF733" s="51" t="str">
        <f t="shared" si="87"/>
        <v/>
      </c>
      <c r="AG733" s="51">
        <f t="shared" si="88"/>
        <v>43.522410779774184</v>
      </c>
      <c r="AH733" s="51">
        <f t="shared" si="89"/>
        <v>0.13072603006426375</v>
      </c>
      <c r="AJ733" s="17">
        <v>10653656</v>
      </c>
      <c r="AK733" s="17">
        <v>1093437</v>
      </c>
      <c r="AM733" s="17">
        <v>11747093</v>
      </c>
      <c r="AN733" s="17">
        <v>3032908</v>
      </c>
      <c r="AP733" s="17">
        <v>4267810000000</v>
      </c>
      <c r="AQ733" s="17">
        <v>1793333000000</v>
      </c>
      <c r="AS733" s="17">
        <v>6061143000000</v>
      </c>
      <c r="AT733" s="17">
        <v>6233497777251.1846</v>
      </c>
      <c r="AV733" s="15" t="s">
        <v>1289</v>
      </c>
      <c r="BG733" s="15"/>
      <c r="BJ733" s="21">
        <v>0.04</v>
      </c>
      <c r="BM733" s="17"/>
      <c r="BN733" s="17"/>
      <c r="BO733" s="17"/>
      <c r="BP733" s="17"/>
      <c r="BQ733" s="17"/>
      <c r="BW733" s="17"/>
    </row>
    <row r="734" spans="1:75" hidden="1" x14ac:dyDescent="0.25">
      <c r="A734" s="15" t="s">
        <v>1280</v>
      </c>
      <c r="B734" s="15" t="s">
        <v>30</v>
      </c>
      <c r="C734" s="15">
        <v>2015</v>
      </c>
      <c r="D734" s="15" t="s">
        <v>1281</v>
      </c>
      <c r="E734" s="15">
        <v>5710</v>
      </c>
      <c r="F734" s="15">
        <v>68657600</v>
      </c>
      <c r="G734" s="15" t="s">
        <v>42</v>
      </c>
      <c r="H734" s="15" t="s">
        <v>77</v>
      </c>
      <c r="I734" s="15" t="s">
        <v>1282</v>
      </c>
      <c r="J734" s="15" t="s">
        <v>1283</v>
      </c>
      <c r="K734" s="15"/>
      <c r="L734" s="15" t="s">
        <v>1899</v>
      </c>
      <c r="M734" s="15" t="s">
        <v>1284</v>
      </c>
      <c r="N734" s="15" t="s">
        <v>1285</v>
      </c>
      <c r="O734" s="15"/>
      <c r="P734" s="15" t="s">
        <v>1906</v>
      </c>
      <c r="Q734" s="15" t="s">
        <v>1286</v>
      </c>
      <c r="R734" s="15" t="s">
        <v>1287</v>
      </c>
      <c r="S734" s="15" t="s">
        <v>1288</v>
      </c>
      <c r="T734" s="15"/>
      <c r="U734" s="15"/>
      <c r="V734" s="15"/>
      <c r="W734" s="15"/>
      <c r="X734" s="15"/>
      <c r="Z734" s="17">
        <v>2753038</v>
      </c>
      <c r="AA734" s="17">
        <v>12928</v>
      </c>
      <c r="AC734" s="17">
        <v>2765966</v>
      </c>
      <c r="AD734" s="17">
        <v>7156</v>
      </c>
      <c r="AE734" s="51" t="str">
        <f t="shared" si="86"/>
        <v/>
      </c>
      <c r="AF734" s="51" t="str">
        <f t="shared" si="87"/>
        <v/>
      </c>
      <c r="AG734" s="51">
        <f t="shared" si="88"/>
        <v>40.286377618792386</v>
      </c>
      <c r="AH734" s="51">
        <f t="shared" si="89"/>
        <v>0.10422735429144042</v>
      </c>
      <c r="AJ734" s="17">
        <v>9767074</v>
      </c>
      <c r="AK734" s="17">
        <v>984891</v>
      </c>
      <c r="AM734" s="17">
        <v>10751965</v>
      </c>
      <c r="AN734" s="17">
        <v>2615033</v>
      </c>
      <c r="AV734" s="15" t="s">
        <v>1289</v>
      </c>
      <c r="BG734" s="15"/>
      <c r="BM734" s="17"/>
      <c r="BN734" s="17"/>
      <c r="BO734" s="17"/>
      <c r="BP734" s="17"/>
      <c r="BQ734" s="17"/>
      <c r="BS734" s="15" t="s">
        <v>1290</v>
      </c>
      <c r="BW734" s="17"/>
    </row>
    <row r="735" spans="1:75" hidden="1" x14ac:dyDescent="0.25">
      <c r="A735" s="15" t="s">
        <v>1280</v>
      </c>
      <c r="B735" s="15" t="s">
        <v>30</v>
      </c>
      <c r="C735" s="15">
        <v>2014</v>
      </c>
      <c r="D735" s="15" t="s">
        <v>1281</v>
      </c>
      <c r="E735" s="15">
        <v>5760</v>
      </c>
      <c r="F735" s="15">
        <v>68416772</v>
      </c>
      <c r="G735" s="15" t="s">
        <v>42</v>
      </c>
      <c r="H735" s="15" t="s">
        <v>77</v>
      </c>
      <c r="I735" s="15" t="s">
        <v>1291</v>
      </c>
      <c r="J735" s="15" t="s">
        <v>1289</v>
      </c>
      <c r="K735" s="15"/>
      <c r="L735" s="15" t="s">
        <v>1899</v>
      </c>
      <c r="M735" s="15" t="s">
        <v>1284</v>
      </c>
      <c r="N735" s="15" t="s">
        <v>1285</v>
      </c>
      <c r="O735" s="15"/>
      <c r="P735" s="15" t="s">
        <v>1906</v>
      </c>
      <c r="Q735" s="15" t="s">
        <v>1286</v>
      </c>
      <c r="R735" s="15" t="s">
        <v>1287</v>
      </c>
      <c r="S735" s="15" t="s">
        <v>1288</v>
      </c>
      <c r="T735" s="15"/>
      <c r="U735" s="15"/>
      <c r="V735" s="15"/>
      <c r="W735" s="15"/>
      <c r="X735" s="15"/>
      <c r="Z735" s="17">
        <v>2723932</v>
      </c>
      <c r="AA735" s="17">
        <v>12812</v>
      </c>
      <c r="AC735" s="17">
        <v>2736744</v>
      </c>
      <c r="AD735" s="17">
        <v>7062</v>
      </c>
      <c r="AE735" s="51" t="str">
        <f t="shared" si="86"/>
        <v/>
      </c>
      <c r="AF735" s="51" t="str">
        <f t="shared" si="87"/>
        <v/>
      </c>
      <c r="AG735" s="51">
        <f t="shared" si="88"/>
        <v>40.001068743786981</v>
      </c>
      <c r="AH735" s="51">
        <f t="shared" si="89"/>
        <v>0.10322030393366118</v>
      </c>
      <c r="AJ735" s="17">
        <v>9525101</v>
      </c>
      <c r="AK735" s="17">
        <v>976065</v>
      </c>
      <c r="AM735" s="17">
        <v>10501166</v>
      </c>
      <c r="AN735" s="17">
        <v>2575949</v>
      </c>
      <c r="AP735" s="17">
        <v>3650000000000</v>
      </c>
      <c r="AQ735" s="17">
        <v>1560000000000</v>
      </c>
      <c r="AS735" s="17">
        <v>5210000000000</v>
      </c>
      <c r="AT735" s="17">
        <v>5740000000000</v>
      </c>
      <c r="AV735" s="15" t="s">
        <v>1289</v>
      </c>
      <c r="BG735" s="15"/>
      <c r="BJ735" s="21">
        <v>3.5999999999999997E-2</v>
      </c>
      <c r="BM735" s="17"/>
      <c r="BN735" s="17"/>
      <c r="BO735" s="17"/>
      <c r="BP735" s="17"/>
      <c r="BQ735" s="17"/>
      <c r="BW735" s="17"/>
    </row>
    <row r="736" spans="1:75" hidden="1" x14ac:dyDescent="0.25">
      <c r="A736" s="15" t="s">
        <v>1280</v>
      </c>
      <c r="B736" s="15" t="s">
        <v>30</v>
      </c>
      <c r="C736" s="15">
        <v>2013</v>
      </c>
      <c r="D736" s="15" t="s">
        <v>1281</v>
      </c>
      <c r="E736" s="15">
        <v>5720</v>
      </c>
      <c r="F736" s="15">
        <v>68143065</v>
      </c>
      <c r="G736" s="15" t="s">
        <v>42</v>
      </c>
      <c r="H736" s="15" t="s">
        <v>77</v>
      </c>
      <c r="I736" s="15" t="s">
        <v>1292</v>
      </c>
      <c r="J736" s="15" t="s">
        <v>1289</v>
      </c>
      <c r="K736" s="15"/>
      <c r="L736" s="15" t="s">
        <v>1899</v>
      </c>
      <c r="M736" s="15" t="s">
        <v>1284</v>
      </c>
      <c r="N736" s="15" t="s">
        <v>1285</v>
      </c>
      <c r="O736" s="15"/>
      <c r="P736" s="15" t="s">
        <v>1906</v>
      </c>
      <c r="Q736" s="15" t="s">
        <v>1286</v>
      </c>
      <c r="R736" s="15" t="s">
        <v>1287</v>
      </c>
      <c r="S736" s="15" t="s">
        <v>1288</v>
      </c>
      <c r="T736" s="15"/>
      <c r="U736" s="15"/>
      <c r="V736" s="15"/>
      <c r="W736" s="15"/>
      <c r="X736" s="15"/>
      <c r="Z736" s="17">
        <v>2716038</v>
      </c>
      <c r="AA736" s="17">
        <v>12645</v>
      </c>
      <c r="AC736" s="17">
        <v>2728683</v>
      </c>
      <c r="AD736" s="17">
        <v>6966</v>
      </c>
      <c r="AE736" s="51" t="str">
        <f t="shared" si="86"/>
        <v/>
      </c>
      <c r="AF736" s="51" t="str">
        <f t="shared" si="87"/>
        <v/>
      </c>
      <c r="AG736" s="51">
        <f t="shared" si="88"/>
        <v>40.043443892639694</v>
      </c>
      <c r="AH736" s="51">
        <f t="shared" si="89"/>
        <v>0.10222610327257807</v>
      </c>
      <c r="AJ736" s="17">
        <v>9273480</v>
      </c>
      <c r="AK736" s="17">
        <v>961759</v>
      </c>
      <c r="AM736" s="17">
        <v>10235239</v>
      </c>
      <c r="AN736" s="17">
        <v>2544412</v>
      </c>
      <c r="AS736" s="17">
        <v>4454939600000</v>
      </c>
      <c r="AT736" s="17">
        <v>5479337475935.8291</v>
      </c>
      <c r="AV736" s="15" t="s">
        <v>1289</v>
      </c>
      <c r="BD736" s="42">
        <v>0.38700000000000001</v>
      </c>
      <c r="BG736" s="15"/>
      <c r="BJ736" s="21">
        <v>3.1E-2</v>
      </c>
      <c r="BM736" s="17"/>
      <c r="BN736" s="17"/>
      <c r="BO736" s="17"/>
      <c r="BP736" s="17"/>
      <c r="BQ736" s="17"/>
      <c r="BS736" s="15" t="s">
        <v>1293</v>
      </c>
      <c r="BW736" s="17"/>
    </row>
    <row r="737" spans="1:75" hidden="1" x14ac:dyDescent="0.25">
      <c r="A737" s="15" t="s">
        <v>1280</v>
      </c>
      <c r="B737" s="15" t="s">
        <v>30</v>
      </c>
      <c r="C737" s="15">
        <v>2012</v>
      </c>
      <c r="D737" s="15" t="s">
        <v>1281</v>
      </c>
      <c r="E737" s="15">
        <v>5520</v>
      </c>
      <c r="F737" s="15">
        <v>67843979</v>
      </c>
      <c r="G737" s="15" t="s">
        <v>42</v>
      </c>
      <c r="H737" s="15" t="s">
        <v>77</v>
      </c>
      <c r="I737" s="15" t="s">
        <v>1294</v>
      </c>
      <c r="J737" s="15" t="s">
        <v>1289</v>
      </c>
      <c r="K737" s="15"/>
      <c r="L737" s="15" t="s">
        <v>1899</v>
      </c>
      <c r="M737" s="15" t="s">
        <v>1284</v>
      </c>
      <c r="N737" s="15" t="s">
        <v>1285</v>
      </c>
      <c r="O737" s="15"/>
      <c r="P737" s="15" t="s">
        <v>1906</v>
      </c>
      <c r="Q737" s="15" t="s">
        <v>1286</v>
      </c>
      <c r="R737" s="15" t="s">
        <v>1287</v>
      </c>
      <c r="S737" s="15" t="s">
        <v>1288</v>
      </c>
      <c r="T737" s="15"/>
      <c r="U737" s="15"/>
      <c r="V737" s="15"/>
      <c r="W737" s="15"/>
      <c r="X737" s="15"/>
      <c r="Z737" s="17">
        <v>2724902</v>
      </c>
      <c r="AA737" s="17">
        <v>14240</v>
      </c>
      <c r="AC737" s="17">
        <v>2728683</v>
      </c>
      <c r="AD737" s="17">
        <v>7591</v>
      </c>
      <c r="AE737" s="51" t="str">
        <f t="shared" si="86"/>
        <v/>
      </c>
      <c r="AF737" s="51" t="str">
        <f t="shared" si="87"/>
        <v/>
      </c>
      <c r="AG737" s="51">
        <f t="shared" si="88"/>
        <v>40.219972947046635</v>
      </c>
      <c r="AH737" s="51">
        <f t="shared" si="89"/>
        <v>0.11188907419477857</v>
      </c>
      <c r="AJ737" s="17">
        <v>10531709</v>
      </c>
      <c r="AK737" s="17">
        <v>1251434</v>
      </c>
      <c r="AM737" s="17">
        <f>+AK737+AJ737</f>
        <v>11783143</v>
      </c>
      <c r="AN737" s="17">
        <v>2251547</v>
      </c>
      <c r="AP737" s="17">
        <v>2824898200000</v>
      </c>
      <c r="AQ737" s="17">
        <v>1386364500000</v>
      </c>
      <c r="AS737" s="17">
        <v>4211262700000</v>
      </c>
      <c r="AT737" s="17">
        <v>5258387479459.459</v>
      </c>
      <c r="AV737" s="15" t="s">
        <v>1289</v>
      </c>
      <c r="BD737" s="42">
        <v>0.376</v>
      </c>
      <c r="BG737" s="15"/>
      <c r="BJ737" s="21">
        <v>3.3000000000000002E-2</v>
      </c>
      <c r="BM737" s="17"/>
      <c r="BN737" s="17"/>
      <c r="BO737" s="17"/>
      <c r="BP737" s="17"/>
      <c r="BQ737" s="17"/>
      <c r="BW737" s="17"/>
    </row>
    <row r="738" spans="1:75" hidden="1" x14ac:dyDescent="0.25">
      <c r="A738" s="15" t="s">
        <v>1280</v>
      </c>
      <c r="B738" s="15" t="s">
        <v>30</v>
      </c>
      <c r="C738" s="15">
        <v>2011</v>
      </c>
      <c r="D738" s="15" t="s">
        <v>1281</v>
      </c>
      <c r="E738" s="15">
        <v>4950</v>
      </c>
      <c r="F738" s="15">
        <v>67530130</v>
      </c>
      <c r="G738" s="15" t="s">
        <v>42</v>
      </c>
      <c r="H738" s="15" t="s">
        <v>77</v>
      </c>
      <c r="I738" s="15" t="s">
        <v>1295</v>
      </c>
      <c r="J738" s="15" t="s">
        <v>1289</v>
      </c>
      <c r="K738" s="15"/>
      <c r="L738" s="15" t="s">
        <v>1899</v>
      </c>
      <c r="M738" s="15" t="s">
        <v>1284</v>
      </c>
      <c r="N738" s="15" t="s">
        <v>1285</v>
      </c>
      <c r="O738" s="15"/>
      <c r="P738" s="15" t="s">
        <v>1906</v>
      </c>
      <c r="Q738" s="15" t="s">
        <v>1286</v>
      </c>
      <c r="R738" s="15" t="s">
        <v>1287</v>
      </c>
      <c r="S738" s="15" t="s">
        <v>1288</v>
      </c>
      <c r="T738" s="15"/>
      <c r="U738" s="15"/>
      <c r="V738" s="15"/>
      <c r="W738" s="15"/>
      <c r="X738" s="15"/>
      <c r="Z738" s="17">
        <v>2634840</v>
      </c>
      <c r="AA738" s="17">
        <v>11709</v>
      </c>
      <c r="AC738" s="17">
        <v>2646549</v>
      </c>
      <c r="AD738" s="17">
        <v>6253</v>
      </c>
      <c r="AE738" s="51" t="str">
        <f t="shared" si="86"/>
        <v/>
      </c>
      <c r="AF738" s="51" t="str">
        <f t="shared" si="87"/>
        <v/>
      </c>
      <c r="AG738" s="51">
        <f t="shared" si="88"/>
        <v>39.190639792933915</v>
      </c>
      <c r="AH738" s="51">
        <f t="shared" si="89"/>
        <v>9.2595705057875649E-2</v>
      </c>
      <c r="AJ738" s="17">
        <v>9885927</v>
      </c>
      <c r="AK738" s="17">
        <v>1110050</v>
      </c>
      <c r="AM738" s="17">
        <f>+AK738+AJ738</f>
        <v>10995977</v>
      </c>
      <c r="AN738" s="17">
        <v>2111229</v>
      </c>
      <c r="AP738" s="17">
        <v>2583873400000</v>
      </c>
      <c r="AQ738" s="17">
        <v>1275714300000</v>
      </c>
      <c r="AS738" s="17">
        <f>+AP738+AQ738</f>
        <v>3859587700000</v>
      </c>
      <c r="AT738" s="17">
        <v>4808666642622.9502</v>
      </c>
      <c r="AV738" s="15" t="s">
        <v>1289</v>
      </c>
      <c r="BD738" s="42">
        <v>0.36799999999999999</v>
      </c>
      <c r="BG738" s="15"/>
      <c r="BJ738" s="21">
        <v>3.5999999999999997E-2</v>
      </c>
      <c r="BM738" s="17"/>
      <c r="BN738" s="17"/>
      <c r="BO738" s="17"/>
      <c r="BP738" s="17"/>
      <c r="BQ738" s="17"/>
      <c r="BW738" s="17"/>
    </row>
    <row r="739" spans="1:75" hidden="1" x14ac:dyDescent="0.25">
      <c r="A739" s="15" t="s">
        <v>1280</v>
      </c>
      <c r="B739" s="15" t="s">
        <v>30</v>
      </c>
      <c r="C739" s="15">
        <v>2010</v>
      </c>
      <c r="D739" s="15" t="s">
        <v>1281</v>
      </c>
      <c r="E739" s="15">
        <v>4580</v>
      </c>
      <c r="F739" s="15">
        <v>67208808</v>
      </c>
      <c r="G739" s="15" t="s">
        <v>42</v>
      </c>
      <c r="H739" s="15" t="s">
        <v>77</v>
      </c>
      <c r="I739" s="15" t="s">
        <v>1296</v>
      </c>
      <c r="J739" s="15" t="s">
        <v>1289</v>
      </c>
      <c r="K739" s="15"/>
      <c r="L739" s="15" t="s">
        <v>1899</v>
      </c>
      <c r="M739" s="15" t="s">
        <v>1284</v>
      </c>
      <c r="N739" s="15" t="s">
        <v>1285</v>
      </c>
      <c r="O739" s="15"/>
      <c r="P739" s="15" t="s">
        <v>1906</v>
      </c>
      <c r="Q739" s="15" t="s">
        <v>1286</v>
      </c>
      <c r="R739" s="15" t="s">
        <v>1287</v>
      </c>
      <c r="S739" s="15" t="s">
        <v>1288</v>
      </c>
      <c r="T739" s="15"/>
      <c r="U739" s="15"/>
      <c r="V739" s="15"/>
      <c r="W739" s="15"/>
      <c r="X739" s="15"/>
      <c r="Z739" s="17">
        <v>2894780</v>
      </c>
      <c r="AA739" s="17">
        <v>18387</v>
      </c>
      <c r="AC739" s="17">
        <v>2913167</v>
      </c>
      <c r="AD739" s="17">
        <v>9140</v>
      </c>
      <c r="AE739" s="51" t="str">
        <f t="shared" si="86"/>
        <v/>
      </c>
      <c r="AF739" s="51" t="str">
        <f t="shared" si="87"/>
        <v/>
      </c>
      <c r="AG739" s="51">
        <f t="shared" si="88"/>
        <v>43.345018111316598</v>
      </c>
      <c r="AH739" s="51">
        <f t="shared" si="89"/>
        <v>0.13599407982358505</v>
      </c>
      <c r="AJ739" s="17">
        <v>9005265</v>
      </c>
      <c r="AK739" s="17">
        <v>1502242</v>
      </c>
      <c r="AM739" s="17">
        <f>+AK739+AJ739</f>
        <v>10507507</v>
      </c>
      <c r="AN739" s="17">
        <v>2988581</v>
      </c>
      <c r="AV739" s="15" t="s">
        <v>1289</v>
      </c>
      <c r="BD739" s="42">
        <v>0.38400000000000001</v>
      </c>
      <c r="BG739" s="15"/>
      <c r="BJ739" s="21">
        <v>4.4999999999999998E-2</v>
      </c>
      <c r="BM739" s="17"/>
      <c r="BN739" s="17"/>
      <c r="BO739" s="17"/>
      <c r="BP739" s="17"/>
      <c r="BQ739" s="17"/>
      <c r="BS739" s="15" t="s">
        <v>1290</v>
      </c>
      <c r="BW739" s="17"/>
    </row>
    <row r="740" spans="1:75" hidden="1" x14ac:dyDescent="0.25">
      <c r="A740" s="15" t="s">
        <v>1280</v>
      </c>
      <c r="B740" s="15" t="s">
        <v>30</v>
      </c>
      <c r="C740" s="15">
        <v>2009</v>
      </c>
      <c r="D740" s="15" t="s">
        <v>1281</v>
      </c>
      <c r="E740" s="15">
        <v>4140</v>
      </c>
      <c r="F740" s="15">
        <v>66881867</v>
      </c>
      <c r="G740" s="15" t="s">
        <v>42</v>
      </c>
      <c r="H740" s="15" t="s">
        <v>77</v>
      </c>
      <c r="I740" s="15" t="s">
        <v>1296</v>
      </c>
      <c r="J740" s="15" t="s">
        <v>1289</v>
      </c>
      <c r="K740" s="15"/>
      <c r="L740" s="15" t="s">
        <v>1899</v>
      </c>
      <c r="M740" s="15" t="s">
        <v>1284</v>
      </c>
      <c r="N740" s="15" t="s">
        <v>1285</v>
      </c>
      <c r="O740" s="15"/>
      <c r="P740" s="15" t="s">
        <v>1906</v>
      </c>
      <c r="Q740" s="15" t="s">
        <v>1286</v>
      </c>
      <c r="R740" s="15" t="s">
        <v>1287</v>
      </c>
      <c r="S740" s="15" t="s">
        <v>1288</v>
      </c>
      <c r="T740" s="15"/>
      <c r="U740" s="15"/>
      <c r="V740" s="15"/>
      <c r="W740" s="15"/>
      <c r="X740" s="15"/>
      <c r="Z740" s="17">
        <v>2884041</v>
      </c>
      <c r="AA740" s="17">
        <v>12065</v>
      </c>
      <c r="AC740" s="17">
        <v>2896106</v>
      </c>
      <c r="AD740" s="17">
        <v>4653</v>
      </c>
      <c r="AE740" s="51" t="str">
        <f t="shared" si="86"/>
        <v/>
      </c>
      <c r="AF740" s="51" t="str">
        <f t="shared" si="87"/>
        <v/>
      </c>
      <c r="AG740" s="51">
        <f t="shared" si="88"/>
        <v>43.301811535853211</v>
      </c>
      <c r="AH740" s="51">
        <f t="shared" si="89"/>
        <v>6.9570426315999828E-2</v>
      </c>
      <c r="AJ740" s="17">
        <v>8262643.2017999999</v>
      </c>
      <c r="AK740" s="17">
        <v>1438710.7982000001</v>
      </c>
      <c r="AM740" s="17">
        <v>9701354</v>
      </c>
      <c r="AN740" s="17">
        <v>2704243</v>
      </c>
      <c r="AP740" s="17">
        <v>2300195700000</v>
      </c>
      <c r="AQ740" s="17">
        <v>1117665000000</v>
      </c>
      <c r="AS740" s="17">
        <v>3417860700000</v>
      </c>
      <c r="AT740" s="17">
        <v>4150259421428.5698</v>
      </c>
      <c r="AV740" s="15" t="s">
        <v>1289</v>
      </c>
      <c r="BD740" s="42">
        <v>0.26900000000000002</v>
      </c>
      <c r="BG740" s="15"/>
      <c r="BJ740" s="21">
        <v>7.5999999999999998E-2</v>
      </c>
      <c r="BM740" s="17"/>
      <c r="BN740" s="17"/>
      <c r="BO740" s="17"/>
      <c r="BP740" s="17"/>
      <c r="BQ740" s="17"/>
      <c r="BW740" s="17"/>
    </row>
    <row r="741" spans="1:75" hidden="1" x14ac:dyDescent="0.25">
      <c r="A741" s="15" t="s">
        <v>1297</v>
      </c>
      <c r="B741" s="15" t="s">
        <v>30</v>
      </c>
      <c r="C741" s="15">
        <v>2004</v>
      </c>
      <c r="D741" s="15" t="s">
        <v>1298</v>
      </c>
      <c r="E741" s="15">
        <v>620</v>
      </c>
      <c r="F741" s="15">
        <v>996698</v>
      </c>
      <c r="G741" s="15" t="s">
        <v>88</v>
      </c>
      <c r="H741" s="15" t="s">
        <v>77</v>
      </c>
      <c r="I741" s="15" t="s">
        <v>1299</v>
      </c>
      <c r="J741" s="15" t="s">
        <v>1300</v>
      </c>
      <c r="K741" s="15" t="s">
        <v>190</v>
      </c>
      <c r="L741" s="15" t="s">
        <v>165</v>
      </c>
      <c r="M741" s="15" t="s">
        <v>372</v>
      </c>
      <c r="N741" s="15" t="s">
        <v>37</v>
      </c>
      <c r="O741" s="15"/>
      <c r="P741" s="15"/>
      <c r="Q741" s="15"/>
      <c r="R741" s="15"/>
      <c r="S741" s="15"/>
      <c r="T741" s="15"/>
      <c r="U741" s="15"/>
      <c r="V741" s="15"/>
      <c r="W741" s="15"/>
      <c r="X741" s="15"/>
      <c r="Y741" s="17">
        <v>3008.22</v>
      </c>
      <c r="Z741" s="17">
        <v>1071.99</v>
      </c>
      <c r="AA741" s="17">
        <v>58.17</v>
      </c>
      <c r="AB741" s="17">
        <v>1130.1600000000001</v>
      </c>
      <c r="AC741" s="17">
        <v>4138.38</v>
      </c>
      <c r="AD741" s="17">
        <v>16.62</v>
      </c>
      <c r="AE741" s="51">
        <f t="shared" si="86"/>
        <v>3.0181860503382167</v>
      </c>
      <c r="AF741" s="51">
        <f t="shared" si="87"/>
        <v>1.1339041515082804</v>
      </c>
      <c r="AG741" s="51">
        <f t="shared" si="88"/>
        <v>4.152090201846498</v>
      </c>
      <c r="AH741" s="51">
        <f t="shared" si="89"/>
        <v>1.667506105159236E-2</v>
      </c>
      <c r="BG741" s="15"/>
      <c r="BM741" s="17"/>
      <c r="BN741" s="17"/>
      <c r="BO741" s="17"/>
      <c r="BP741" s="17"/>
      <c r="BQ741" s="17"/>
      <c r="BW741" s="17"/>
    </row>
    <row r="742" spans="1:75" hidden="1" x14ac:dyDescent="0.25">
      <c r="A742" s="15" t="s">
        <v>1301</v>
      </c>
      <c r="B742" s="15" t="s">
        <v>30</v>
      </c>
      <c r="C742" s="15">
        <v>2009</v>
      </c>
      <c r="D742" s="15" t="s">
        <v>1302</v>
      </c>
      <c r="E742" s="15">
        <v>430</v>
      </c>
      <c r="F742" s="15">
        <v>6330472</v>
      </c>
      <c r="G742" s="15" t="s">
        <v>32</v>
      </c>
      <c r="H742" s="15" t="s">
        <v>89</v>
      </c>
      <c r="I742" s="15" t="s">
        <v>1303</v>
      </c>
      <c r="J742" s="15" t="s">
        <v>1304</v>
      </c>
      <c r="K742" s="15" t="s">
        <v>1305</v>
      </c>
      <c r="L742" s="15" t="s">
        <v>1306</v>
      </c>
      <c r="M742" s="15" t="s">
        <v>1307</v>
      </c>
      <c r="N742" s="15" t="s">
        <v>1308</v>
      </c>
      <c r="O742" s="15" t="s">
        <v>1309</v>
      </c>
      <c r="P742" s="15" t="s">
        <v>1310</v>
      </c>
      <c r="Q742" s="15" t="s">
        <v>1311</v>
      </c>
      <c r="R742" s="15" t="s">
        <v>1312</v>
      </c>
      <c r="S742" s="15" t="s">
        <v>296</v>
      </c>
      <c r="T742" s="15" t="s">
        <v>1313</v>
      </c>
      <c r="U742" s="15" t="s">
        <v>1314</v>
      </c>
      <c r="V742" s="15" t="s">
        <v>1315</v>
      </c>
      <c r="W742" s="15" t="s">
        <v>1316</v>
      </c>
      <c r="X742" s="15" t="s">
        <v>296</v>
      </c>
      <c r="AE742" s="51" t="str">
        <f t="shared" si="86"/>
        <v/>
      </c>
      <c r="AF742" s="51" t="str">
        <f t="shared" si="87"/>
        <v/>
      </c>
      <c r="AG742" s="51" t="str">
        <f t="shared" si="88"/>
        <v/>
      </c>
      <c r="AH742" s="51" t="str">
        <f t="shared" si="89"/>
        <v/>
      </c>
      <c r="BG742" s="15"/>
      <c r="BM742" s="17"/>
      <c r="BN742" s="17"/>
      <c r="BO742" s="17"/>
      <c r="BP742" s="17"/>
      <c r="BQ742" s="17"/>
      <c r="BS742" s="15" t="s">
        <v>1317</v>
      </c>
      <c r="BT742" s="15" t="s">
        <v>1318</v>
      </c>
      <c r="BW742" s="17"/>
    </row>
    <row r="743" spans="1:75" hidden="1" x14ac:dyDescent="0.25">
      <c r="A743" s="15" t="s">
        <v>1319</v>
      </c>
      <c r="B743" s="15" t="s">
        <v>30</v>
      </c>
      <c r="C743" s="15">
        <v>2016</v>
      </c>
      <c r="D743" s="15" t="s">
        <v>1320</v>
      </c>
      <c r="E743" s="15">
        <v>4060</v>
      </c>
      <c r="F743" s="15">
        <v>108020</v>
      </c>
      <c r="G743" s="15" t="s">
        <v>42</v>
      </c>
      <c r="H743" s="15" t="s">
        <v>77</v>
      </c>
      <c r="I743" s="15" t="s">
        <v>1321</v>
      </c>
      <c r="J743" s="15" t="s">
        <v>1322</v>
      </c>
      <c r="K743" s="15" t="s">
        <v>34</v>
      </c>
      <c r="L743" s="15" t="s">
        <v>1323</v>
      </c>
      <c r="M743" s="15" t="s">
        <v>1324</v>
      </c>
      <c r="N743" s="15" t="s">
        <v>1325</v>
      </c>
      <c r="O743" s="15"/>
      <c r="P743" s="15"/>
      <c r="Q743" s="15"/>
      <c r="R743" s="15"/>
      <c r="S743" s="15" t="s">
        <v>1326</v>
      </c>
      <c r="T743" s="15" t="s">
        <v>574</v>
      </c>
      <c r="U743" s="15" t="s">
        <v>1327</v>
      </c>
      <c r="V743" s="15" t="s">
        <v>1328</v>
      </c>
      <c r="W743" s="15" t="s">
        <v>1329</v>
      </c>
      <c r="X743" s="15" t="s">
        <v>1326</v>
      </c>
      <c r="AE743" s="51" t="str">
        <f t="shared" si="86"/>
        <v/>
      </c>
      <c r="AF743" s="51" t="str">
        <f t="shared" si="87"/>
        <v/>
      </c>
      <c r="AG743" s="51" t="str">
        <f t="shared" si="88"/>
        <v/>
      </c>
      <c r="AH743" s="51" t="str">
        <f t="shared" si="89"/>
        <v/>
      </c>
      <c r="BG743" s="15"/>
      <c r="BM743" s="17"/>
      <c r="BN743" s="17"/>
      <c r="BO743" s="17"/>
      <c r="BP743" s="17"/>
      <c r="BQ743" s="17"/>
      <c r="BW743" s="17"/>
    </row>
    <row r="744" spans="1:75" hidden="1" x14ac:dyDescent="0.25">
      <c r="A744" s="15" t="s">
        <v>1330</v>
      </c>
      <c r="B744" s="15" t="s">
        <v>30</v>
      </c>
      <c r="C744" s="15">
        <v>2014</v>
      </c>
      <c r="D744" s="15" t="s">
        <v>1331</v>
      </c>
      <c r="E744" s="15">
        <v>18370</v>
      </c>
      <c r="F744" s="15">
        <v>1354493</v>
      </c>
      <c r="G744" s="15" t="s">
        <v>109</v>
      </c>
      <c r="H744" s="15" t="s">
        <v>110</v>
      </c>
      <c r="I744" s="15" t="s">
        <v>1332</v>
      </c>
      <c r="J744" s="15" t="s">
        <v>1333</v>
      </c>
      <c r="K744" s="15" t="s">
        <v>724</v>
      </c>
      <c r="L744" s="15" t="s">
        <v>960</v>
      </c>
      <c r="M744" s="15"/>
      <c r="N744" s="15"/>
      <c r="O744" s="15" t="s">
        <v>103</v>
      </c>
      <c r="P744" s="15" t="s">
        <v>1334</v>
      </c>
      <c r="Q744" s="15"/>
      <c r="R744" s="15"/>
      <c r="S744" s="15" t="s">
        <v>1335</v>
      </c>
      <c r="T744" s="15" t="s">
        <v>1199</v>
      </c>
      <c r="U744" s="15" t="s">
        <v>602</v>
      </c>
      <c r="V744" s="15"/>
      <c r="W744" s="15"/>
      <c r="X744" s="15"/>
      <c r="AE744" s="51" t="str">
        <f t="shared" si="86"/>
        <v/>
      </c>
      <c r="AF744" s="51" t="str">
        <f t="shared" si="87"/>
        <v/>
      </c>
      <c r="AG744" s="51" t="str">
        <f t="shared" si="88"/>
        <v/>
      </c>
      <c r="AH744" s="51" t="str">
        <f t="shared" si="89"/>
        <v/>
      </c>
      <c r="BG744" s="15"/>
      <c r="BM744" s="17"/>
      <c r="BN744" s="17"/>
      <c r="BO744" s="17"/>
      <c r="BP744" s="17"/>
      <c r="BQ744" s="17"/>
      <c r="BW744" s="17" t="s">
        <v>1336</v>
      </c>
    </row>
    <row r="745" spans="1:75" hidden="1" x14ac:dyDescent="0.25">
      <c r="A745" s="15" t="s">
        <v>1337</v>
      </c>
      <c r="B745" s="15" t="s">
        <v>30</v>
      </c>
      <c r="C745" s="15">
        <v>2016</v>
      </c>
      <c r="D745" s="15" t="s">
        <v>1338</v>
      </c>
      <c r="E745" s="15">
        <v>3690</v>
      </c>
      <c r="F745" s="15">
        <v>11532127</v>
      </c>
      <c r="G745" s="15" t="s">
        <v>88</v>
      </c>
      <c r="H745" s="15" t="s">
        <v>58</v>
      </c>
      <c r="I745" s="15" t="s">
        <v>1339</v>
      </c>
      <c r="J745" s="15" t="s">
        <v>1340</v>
      </c>
      <c r="K745" s="15" t="s">
        <v>724</v>
      </c>
      <c r="L745" s="15" t="s">
        <v>1341</v>
      </c>
      <c r="M745" s="15" t="s">
        <v>541</v>
      </c>
      <c r="N745" s="15" t="s">
        <v>184</v>
      </c>
      <c r="O745" s="15"/>
      <c r="P745" s="15"/>
      <c r="Q745" s="15"/>
      <c r="R745" s="15"/>
      <c r="S745" s="15"/>
      <c r="T745" s="15"/>
      <c r="U745" s="15"/>
      <c r="V745" s="15"/>
      <c r="W745" s="15"/>
      <c r="X745" s="15"/>
      <c r="Y745" s="17">
        <v>720639</v>
      </c>
      <c r="Z745" s="17">
        <v>16115</v>
      </c>
      <c r="AA745" s="17">
        <v>2485</v>
      </c>
      <c r="AB745" s="17">
        <v>18600</v>
      </c>
      <c r="AC745" s="17">
        <v>739239</v>
      </c>
      <c r="AD745" s="17">
        <v>815</v>
      </c>
      <c r="AE745" s="51">
        <f t="shared" si="86"/>
        <v>62.489686421247349</v>
      </c>
      <c r="AF745" s="51">
        <f t="shared" si="87"/>
        <v>1.6128854633668186</v>
      </c>
      <c r="AG745" s="51">
        <f t="shared" si="88"/>
        <v>64.102571884614164</v>
      </c>
      <c r="AH745" s="51">
        <f t="shared" si="89"/>
        <v>7.0672131862578341E-2</v>
      </c>
      <c r="AI745" s="17">
        <v>116881</v>
      </c>
      <c r="AJ745" s="17">
        <v>228124</v>
      </c>
      <c r="AK745" s="17">
        <v>235302</v>
      </c>
      <c r="AL745" s="17">
        <f t="shared" ref="AL745:AL756" si="90">+AJ745+AK745</f>
        <v>463426</v>
      </c>
      <c r="AM745" s="17">
        <f t="shared" ref="AM745:AM756" si="91">+AL745+AI745</f>
        <v>580307</v>
      </c>
      <c r="AN745" s="17">
        <v>421626</v>
      </c>
      <c r="BG745" s="15"/>
      <c r="BM745" s="17"/>
      <c r="BN745" s="17"/>
      <c r="BO745" s="17"/>
      <c r="BP745" s="17"/>
      <c r="BQ745" s="17"/>
      <c r="BW745" s="17"/>
    </row>
    <row r="746" spans="1:75" hidden="1" x14ac:dyDescent="0.25">
      <c r="A746" s="15" t="s">
        <v>1337</v>
      </c>
      <c r="B746" s="15" t="s">
        <v>30</v>
      </c>
      <c r="C746" s="15">
        <v>2015</v>
      </c>
      <c r="D746" s="15" t="s">
        <v>1338</v>
      </c>
      <c r="E746" s="15">
        <v>3930</v>
      </c>
      <c r="F746" s="15">
        <v>11273661</v>
      </c>
      <c r="G746" s="15" t="s">
        <v>88</v>
      </c>
      <c r="H746" s="15" t="s">
        <v>58</v>
      </c>
      <c r="I746" s="15" t="s">
        <v>1339</v>
      </c>
      <c r="J746" s="15" t="s">
        <v>1340</v>
      </c>
      <c r="K746" s="15" t="s">
        <v>724</v>
      </c>
      <c r="L746" s="15" t="s">
        <v>1341</v>
      </c>
      <c r="M746" s="15" t="s">
        <v>541</v>
      </c>
      <c r="N746" s="15" t="s">
        <v>184</v>
      </c>
      <c r="O746" s="15"/>
      <c r="P746" s="15"/>
      <c r="Q746" s="15"/>
      <c r="R746" s="15"/>
      <c r="S746" s="15"/>
      <c r="T746" s="15"/>
      <c r="U746" s="15"/>
      <c r="V746" s="15"/>
      <c r="W746" s="15"/>
      <c r="X746" s="15"/>
      <c r="Y746" s="17">
        <v>692186</v>
      </c>
      <c r="Z746" s="17">
        <v>15898</v>
      </c>
      <c r="AA746" s="17">
        <v>2554</v>
      </c>
      <c r="AB746" s="17">
        <v>18452</v>
      </c>
      <c r="AC746" s="17">
        <v>710638</v>
      </c>
      <c r="AD746" s="17">
        <v>804</v>
      </c>
      <c r="AE746" s="51">
        <f t="shared" si="86"/>
        <v>61.398511095907537</v>
      </c>
      <c r="AF746" s="51">
        <f t="shared" si="87"/>
        <v>1.6367353958931354</v>
      </c>
      <c r="AG746" s="51">
        <f t="shared" si="88"/>
        <v>63.03524649180067</v>
      </c>
      <c r="AH746" s="51">
        <f t="shared" si="89"/>
        <v>7.1316673439089581E-2</v>
      </c>
      <c r="AI746" s="17">
        <v>113499</v>
      </c>
      <c r="AJ746" s="17">
        <v>223848</v>
      </c>
      <c r="AK746" s="17">
        <v>242835</v>
      </c>
      <c r="AL746" s="17">
        <f t="shared" si="90"/>
        <v>466683</v>
      </c>
      <c r="AM746" s="17">
        <f t="shared" si="91"/>
        <v>580182</v>
      </c>
      <c r="AN746" s="17">
        <v>416807</v>
      </c>
      <c r="BG746" s="15"/>
      <c r="BM746" s="17"/>
      <c r="BN746" s="17"/>
      <c r="BO746" s="17"/>
      <c r="BP746" s="17"/>
      <c r="BQ746" s="17"/>
      <c r="BW746" s="17"/>
    </row>
    <row r="747" spans="1:75" hidden="1" x14ac:dyDescent="0.25">
      <c r="A747" s="15" t="s">
        <v>1337</v>
      </c>
      <c r="B747" s="15" t="s">
        <v>30</v>
      </c>
      <c r="C747" s="15">
        <v>2014</v>
      </c>
      <c r="D747" s="15" t="s">
        <v>1338</v>
      </c>
      <c r="E747" s="15">
        <v>4130</v>
      </c>
      <c r="F747" s="15">
        <v>11143908</v>
      </c>
      <c r="G747" s="15" t="s">
        <v>88</v>
      </c>
      <c r="H747" s="15" t="s">
        <v>58</v>
      </c>
      <c r="I747" s="15" t="s">
        <v>1339</v>
      </c>
      <c r="J747" s="15" t="s">
        <v>1340</v>
      </c>
      <c r="K747" s="15" t="s">
        <v>724</v>
      </c>
      <c r="L747" s="15" t="s">
        <v>1341</v>
      </c>
      <c r="M747" s="15" t="s">
        <v>541</v>
      </c>
      <c r="N747" s="15" t="s">
        <v>184</v>
      </c>
      <c r="O747" s="15"/>
      <c r="P747" s="15"/>
      <c r="Q747" s="15"/>
      <c r="R747" s="15"/>
      <c r="S747" s="15"/>
      <c r="T747" s="15"/>
      <c r="U747" s="15"/>
      <c r="V747" s="15"/>
      <c r="W747" s="15"/>
      <c r="X747" s="15"/>
      <c r="Y747" s="17">
        <v>661429</v>
      </c>
      <c r="Z747" s="17">
        <v>15395</v>
      </c>
      <c r="AA747" s="17">
        <v>2610</v>
      </c>
      <c r="AB747" s="17">
        <v>18005</v>
      </c>
      <c r="AC747" s="17">
        <v>679434</v>
      </c>
      <c r="AD747" s="17">
        <v>807</v>
      </c>
      <c r="AE747" s="51">
        <f t="shared" si="86"/>
        <v>59.353415336881824</v>
      </c>
      <c r="AF747" s="51">
        <f t="shared" si="87"/>
        <v>1.6156809621902837</v>
      </c>
      <c r="AG747" s="51">
        <f t="shared" si="88"/>
        <v>60.969096299072099</v>
      </c>
      <c r="AH747" s="51">
        <f t="shared" si="89"/>
        <v>7.241624751388831E-2</v>
      </c>
      <c r="AI747" s="17">
        <v>109531</v>
      </c>
      <c r="AJ747" s="17">
        <v>218444</v>
      </c>
      <c r="AK747" s="17">
        <v>248794</v>
      </c>
      <c r="AL747" s="17">
        <f t="shared" si="90"/>
        <v>467238</v>
      </c>
      <c r="AM747" s="17">
        <f t="shared" si="91"/>
        <v>576769</v>
      </c>
      <c r="AN747" s="17">
        <v>422207</v>
      </c>
      <c r="BG747" s="15"/>
      <c r="BM747" s="17"/>
      <c r="BN747" s="17"/>
      <c r="BO747" s="17"/>
      <c r="BP747" s="17"/>
      <c r="BQ747" s="17"/>
      <c r="BW747" s="17"/>
    </row>
    <row r="748" spans="1:75" hidden="1" x14ac:dyDescent="0.25">
      <c r="A748" s="15" t="s">
        <v>1337</v>
      </c>
      <c r="B748" s="15" t="s">
        <v>30</v>
      </c>
      <c r="C748" s="15">
        <v>2013</v>
      </c>
      <c r="D748" s="15" t="s">
        <v>1338</v>
      </c>
      <c r="E748" s="15">
        <v>4130</v>
      </c>
      <c r="F748" s="15">
        <v>11014558</v>
      </c>
      <c r="G748" s="15" t="s">
        <v>88</v>
      </c>
      <c r="H748" s="15" t="s">
        <v>58</v>
      </c>
      <c r="I748" s="15" t="s">
        <v>1339</v>
      </c>
      <c r="J748" s="15" t="s">
        <v>1340</v>
      </c>
      <c r="K748" s="15" t="s">
        <v>724</v>
      </c>
      <c r="L748" s="15" t="s">
        <v>1341</v>
      </c>
      <c r="M748" s="15" t="s">
        <v>541</v>
      </c>
      <c r="N748" s="15" t="s">
        <v>184</v>
      </c>
      <c r="O748" s="15"/>
      <c r="P748" s="15"/>
      <c r="Q748" s="15"/>
      <c r="R748" s="15"/>
      <c r="S748" s="15"/>
      <c r="T748" s="15"/>
      <c r="U748" s="15"/>
      <c r="V748" s="15"/>
      <c r="W748" s="15"/>
      <c r="X748" s="15"/>
      <c r="Y748" s="17">
        <v>636029</v>
      </c>
      <c r="Z748" s="17">
        <v>15117</v>
      </c>
      <c r="AA748" s="17">
        <v>2573</v>
      </c>
      <c r="AB748" s="17">
        <v>17690</v>
      </c>
      <c r="AC748" s="17">
        <v>653719</v>
      </c>
      <c r="AD748" s="17">
        <v>805</v>
      </c>
      <c r="AE748" s="51">
        <f t="shared" si="86"/>
        <v>57.744396098327321</v>
      </c>
      <c r="AF748" s="51">
        <f t="shared" si="87"/>
        <v>1.6060562757034826</v>
      </c>
      <c r="AG748" s="51">
        <f t="shared" si="88"/>
        <v>59.350452374030802</v>
      </c>
      <c r="AH748" s="51">
        <f t="shared" si="89"/>
        <v>7.3085093382775773E-2</v>
      </c>
      <c r="AI748" s="17">
        <v>107050</v>
      </c>
      <c r="AJ748" s="17">
        <v>216395</v>
      </c>
      <c r="AK748" s="17">
        <v>247629</v>
      </c>
      <c r="AL748" s="17">
        <f t="shared" si="90"/>
        <v>464024</v>
      </c>
      <c r="AM748" s="17">
        <f t="shared" si="91"/>
        <v>571074</v>
      </c>
      <c r="AN748" s="17">
        <v>418286</v>
      </c>
      <c r="BG748" s="15"/>
      <c r="BM748" s="17"/>
      <c r="BN748" s="17"/>
      <c r="BO748" s="17"/>
      <c r="BP748" s="17"/>
      <c r="BQ748" s="17"/>
      <c r="BW748" s="17"/>
    </row>
    <row r="749" spans="1:75" hidden="1" x14ac:dyDescent="0.25">
      <c r="A749" s="15" t="s">
        <v>1337</v>
      </c>
      <c r="B749" s="15" t="s">
        <v>30</v>
      </c>
      <c r="C749" s="15">
        <v>2012</v>
      </c>
      <c r="D749" s="15" t="s">
        <v>1338</v>
      </c>
      <c r="E749" s="15">
        <v>4090</v>
      </c>
      <c r="F749" s="15">
        <v>10886668</v>
      </c>
      <c r="G749" s="15" t="s">
        <v>88</v>
      </c>
      <c r="H749" s="15" t="s">
        <v>58</v>
      </c>
      <c r="I749" s="15" t="s">
        <v>1339</v>
      </c>
      <c r="J749" s="15" t="s">
        <v>1340</v>
      </c>
      <c r="K749" s="15" t="s">
        <v>724</v>
      </c>
      <c r="L749" s="15" t="s">
        <v>1341</v>
      </c>
      <c r="M749" s="15" t="s">
        <v>541</v>
      </c>
      <c r="N749" s="15" t="s">
        <v>184</v>
      </c>
      <c r="O749" s="15"/>
      <c r="P749" s="15"/>
      <c r="Q749" s="15"/>
      <c r="R749" s="15"/>
      <c r="S749" s="15"/>
      <c r="T749" s="15"/>
      <c r="U749" s="15"/>
      <c r="V749" s="15"/>
      <c r="W749" s="15"/>
      <c r="X749" s="15"/>
      <c r="Y749" s="17">
        <v>607930</v>
      </c>
      <c r="Z749" s="17">
        <v>14832</v>
      </c>
      <c r="AA749" s="17">
        <v>2562</v>
      </c>
      <c r="AB749" s="17">
        <v>17394</v>
      </c>
      <c r="AC749" s="17">
        <v>625324</v>
      </c>
      <c r="AD749" s="17">
        <v>778</v>
      </c>
      <c r="AE749" s="51">
        <f t="shared" si="86"/>
        <v>55.841695549088115</v>
      </c>
      <c r="AF749" s="51">
        <f t="shared" si="87"/>
        <v>1.5977340357949741</v>
      </c>
      <c r="AG749" s="51">
        <f t="shared" si="88"/>
        <v>57.439429584883086</v>
      </c>
      <c r="AH749" s="51">
        <f t="shared" si="89"/>
        <v>7.1463555240225934E-2</v>
      </c>
      <c r="AI749" s="17">
        <v>103541</v>
      </c>
      <c r="AJ749" s="17">
        <v>213102</v>
      </c>
      <c r="AK749" s="17">
        <v>248328</v>
      </c>
      <c r="AL749" s="17">
        <f t="shared" si="90"/>
        <v>461430</v>
      </c>
      <c r="AM749" s="17">
        <f t="shared" si="91"/>
        <v>564971</v>
      </c>
      <c r="AN749" s="17">
        <v>403973</v>
      </c>
      <c r="BG749" s="15"/>
      <c r="BM749" s="17"/>
      <c r="BN749" s="17"/>
      <c r="BO749" s="17"/>
      <c r="BP749" s="17"/>
      <c r="BQ749" s="17"/>
      <c r="BW749" s="17"/>
    </row>
    <row r="750" spans="1:75" hidden="1" x14ac:dyDescent="0.25">
      <c r="A750" s="15" t="s">
        <v>1337</v>
      </c>
      <c r="B750" s="15" t="s">
        <v>30</v>
      </c>
      <c r="C750" s="15">
        <v>2011</v>
      </c>
      <c r="D750" s="15" t="s">
        <v>1338</v>
      </c>
      <c r="E750" s="15">
        <v>3980</v>
      </c>
      <c r="F750" s="15">
        <v>10761467</v>
      </c>
      <c r="G750" s="15" t="s">
        <v>88</v>
      </c>
      <c r="H750" s="15" t="s">
        <v>58</v>
      </c>
      <c r="I750" s="15" t="s">
        <v>1339</v>
      </c>
      <c r="J750" s="15" t="s">
        <v>1340</v>
      </c>
      <c r="K750" s="15" t="s">
        <v>724</v>
      </c>
      <c r="L750" s="15" t="s">
        <v>1341</v>
      </c>
      <c r="M750" s="15" t="s">
        <v>541</v>
      </c>
      <c r="N750" s="15" t="s">
        <v>184</v>
      </c>
      <c r="O750" s="15"/>
      <c r="P750" s="15"/>
      <c r="Q750" s="15"/>
      <c r="R750" s="15"/>
      <c r="S750" s="15"/>
      <c r="T750" s="15"/>
      <c r="U750" s="15"/>
      <c r="V750" s="15"/>
      <c r="W750" s="15"/>
      <c r="X750" s="15"/>
      <c r="Y750" s="17">
        <v>583871</v>
      </c>
      <c r="Z750" s="17">
        <v>14875</v>
      </c>
      <c r="AA750" s="17">
        <v>2667</v>
      </c>
      <c r="AB750" s="17">
        <v>17542</v>
      </c>
      <c r="AC750" s="17">
        <v>601413</v>
      </c>
      <c r="AD750" s="17">
        <v>809</v>
      </c>
      <c r="AE750" s="51">
        <f t="shared" si="86"/>
        <v>54.255706958911823</v>
      </c>
      <c r="AF750" s="51">
        <f t="shared" si="87"/>
        <v>1.6300751561102216</v>
      </c>
      <c r="AG750" s="51">
        <f t="shared" si="88"/>
        <v>55.885782115022046</v>
      </c>
      <c r="AH750" s="51">
        <f t="shared" si="89"/>
        <v>7.5175624289885376E-2</v>
      </c>
      <c r="AI750" s="17">
        <v>101519</v>
      </c>
      <c r="AJ750" s="17">
        <v>215138</v>
      </c>
      <c r="AK750" s="17">
        <v>258437</v>
      </c>
      <c r="AL750" s="17">
        <f t="shared" si="90"/>
        <v>473575</v>
      </c>
      <c r="AM750" s="17">
        <f t="shared" si="91"/>
        <v>575094</v>
      </c>
      <c r="AN750" s="17">
        <v>408955</v>
      </c>
      <c r="BG750" s="15"/>
      <c r="BM750" s="17"/>
      <c r="BN750" s="17"/>
      <c r="BO750" s="17"/>
      <c r="BP750" s="17"/>
      <c r="BQ750" s="17"/>
      <c r="BW750" s="17"/>
    </row>
    <row r="751" spans="1:75" hidden="1" x14ac:dyDescent="0.25">
      <c r="A751" s="15" t="s">
        <v>1337</v>
      </c>
      <c r="B751" s="15" t="s">
        <v>30</v>
      </c>
      <c r="C751" s="15">
        <v>2010</v>
      </c>
      <c r="D751" s="15" t="s">
        <v>1338</v>
      </c>
      <c r="E751" s="15">
        <v>4130</v>
      </c>
      <c r="F751" s="15">
        <v>10639931</v>
      </c>
      <c r="G751" s="15" t="s">
        <v>88</v>
      </c>
      <c r="H751" s="15" t="s">
        <v>58</v>
      </c>
      <c r="I751" s="15" t="s">
        <v>1339</v>
      </c>
      <c r="J751" s="15" t="s">
        <v>1340</v>
      </c>
      <c r="K751" s="15" t="s">
        <v>724</v>
      </c>
      <c r="L751" s="15" t="s">
        <v>1341</v>
      </c>
      <c r="M751" s="15" t="s">
        <v>541</v>
      </c>
      <c r="N751" s="15" t="s">
        <v>184</v>
      </c>
      <c r="O751" s="15"/>
      <c r="P751" s="15"/>
      <c r="Q751" s="15"/>
      <c r="R751" s="15"/>
      <c r="S751" s="15"/>
      <c r="T751" s="15"/>
      <c r="U751" s="15"/>
      <c r="V751" s="15"/>
      <c r="W751" s="15"/>
      <c r="X751" s="15"/>
      <c r="Y751" s="17">
        <v>578912</v>
      </c>
      <c r="Z751" s="17">
        <v>15240</v>
      </c>
      <c r="AA751" s="17">
        <v>2619</v>
      </c>
      <c r="AB751" s="17">
        <v>17859</v>
      </c>
      <c r="AC751" s="17">
        <v>596771</v>
      </c>
      <c r="AD751" s="17">
        <v>826</v>
      </c>
      <c r="AE751" s="51">
        <f t="shared" si="86"/>
        <v>54.409375399144977</v>
      </c>
      <c r="AF751" s="51">
        <f t="shared" si="87"/>
        <v>1.6784883285427321</v>
      </c>
      <c r="AG751" s="51">
        <f t="shared" si="88"/>
        <v>56.087863727687711</v>
      </c>
      <c r="AH751" s="51">
        <f t="shared" si="89"/>
        <v>7.763208238850422E-2</v>
      </c>
      <c r="AI751" s="17">
        <v>103118</v>
      </c>
      <c r="AJ751" s="17">
        <v>216166</v>
      </c>
      <c r="AK751" s="17">
        <v>248886</v>
      </c>
      <c r="AL751" s="17">
        <f t="shared" si="90"/>
        <v>465052</v>
      </c>
      <c r="AM751" s="17">
        <f t="shared" si="91"/>
        <v>568170</v>
      </c>
      <c r="AN751" s="17">
        <v>423773</v>
      </c>
      <c r="BG751" s="15"/>
      <c r="BM751" s="17"/>
      <c r="BN751" s="17"/>
      <c r="BO751" s="17"/>
      <c r="BP751" s="17"/>
      <c r="BQ751" s="17"/>
      <c r="BW751" s="17"/>
    </row>
    <row r="752" spans="1:75" hidden="1" x14ac:dyDescent="0.25">
      <c r="A752" s="15" t="s">
        <v>1337</v>
      </c>
      <c r="B752" s="15" t="s">
        <v>30</v>
      </c>
      <c r="C752" s="15">
        <v>2009</v>
      </c>
      <c r="D752" s="15" t="s">
        <v>1338</v>
      </c>
      <c r="E752" s="15">
        <v>4070</v>
      </c>
      <c r="F752" s="15">
        <v>10521834</v>
      </c>
      <c r="G752" s="15" t="s">
        <v>88</v>
      </c>
      <c r="H752" s="15" t="s">
        <v>58</v>
      </c>
      <c r="I752" s="15" t="s">
        <v>1339</v>
      </c>
      <c r="J752" s="15" t="s">
        <v>1340</v>
      </c>
      <c r="K752" s="15" t="s">
        <v>724</v>
      </c>
      <c r="L752" s="15" t="s">
        <v>1341</v>
      </c>
      <c r="M752" s="15" t="s">
        <v>541</v>
      </c>
      <c r="N752" s="15" t="s">
        <v>184</v>
      </c>
      <c r="O752" s="15"/>
      <c r="P752" s="15"/>
      <c r="Q752" s="15"/>
      <c r="R752" s="15"/>
      <c r="S752" s="15"/>
      <c r="T752" s="15"/>
      <c r="U752" s="15"/>
      <c r="V752" s="15"/>
      <c r="W752" s="15"/>
      <c r="X752" s="15"/>
      <c r="Y752" s="17">
        <v>550653</v>
      </c>
      <c r="Z752" s="17">
        <v>14728</v>
      </c>
      <c r="AA752" s="17">
        <v>2502</v>
      </c>
      <c r="AB752" s="17">
        <v>17230</v>
      </c>
      <c r="AC752" s="17">
        <v>567883</v>
      </c>
      <c r="AD752" s="17">
        <v>812</v>
      </c>
      <c r="AE752" s="51">
        <f t="shared" si="86"/>
        <v>52.334317382311866</v>
      </c>
      <c r="AF752" s="51">
        <f t="shared" si="87"/>
        <v>1.6375472184792119</v>
      </c>
      <c r="AG752" s="51">
        <f t="shared" si="88"/>
        <v>53.971864600791079</v>
      </c>
      <c r="AH752" s="51">
        <f t="shared" si="89"/>
        <v>7.7172857887702853E-2</v>
      </c>
      <c r="AI752" s="17">
        <v>100342</v>
      </c>
      <c r="AJ752" s="17">
        <v>210623</v>
      </c>
      <c r="AK752" s="17">
        <v>240564</v>
      </c>
      <c r="AL752" s="17">
        <f t="shared" si="90"/>
        <v>451187</v>
      </c>
      <c r="AM752" s="17">
        <f t="shared" si="91"/>
        <v>551529</v>
      </c>
      <c r="AN752" s="17">
        <v>408150</v>
      </c>
      <c r="BG752" s="15"/>
      <c r="BM752" s="17"/>
      <c r="BN752" s="17"/>
      <c r="BO752" s="17"/>
      <c r="BP752" s="17"/>
      <c r="BQ752" s="17"/>
      <c r="BW752" s="17"/>
    </row>
    <row r="753" spans="1:75" hidden="1" x14ac:dyDescent="0.25">
      <c r="A753" s="15" t="s">
        <v>1337</v>
      </c>
      <c r="B753" s="15" t="s">
        <v>30</v>
      </c>
      <c r="C753" s="15">
        <v>2008</v>
      </c>
      <c r="D753" s="15" t="s">
        <v>1338</v>
      </c>
      <c r="E753" s="15">
        <v>3860</v>
      </c>
      <c r="F753" s="15">
        <v>10407336</v>
      </c>
      <c r="G753" s="15" t="s">
        <v>88</v>
      </c>
      <c r="H753" s="15" t="s">
        <v>58</v>
      </c>
      <c r="I753" s="15" t="s">
        <v>1339</v>
      </c>
      <c r="J753" s="15" t="s">
        <v>1340</v>
      </c>
      <c r="K753" s="15" t="s">
        <v>724</v>
      </c>
      <c r="L753" s="15" t="s">
        <v>1341</v>
      </c>
      <c r="M753" s="15" t="s">
        <v>541</v>
      </c>
      <c r="N753" s="15" t="s">
        <v>184</v>
      </c>
      <c r="O753" s="15"/>
      <c r="P753" s="15"/>
      <c r="Q753" s="15"/>
      <c r="R753" s="15"/>
      <c r="S753" s="15"/>
      <c r="T753" s="15"/>
      <c r="U753" s="15"/>
      <c r="V753" s="15"/>
      <c r="W753" s="15"/>
      <c r="X753" s="15"/>
      <c r="Y753" s="17">
        <v>524969</v>
      </c>
      <c r="Z753" s="17">
        <v>14134</v>
      </c>
      <c r="AA753" s="17">
        <v>2494</v>
      </c>
      <c r="AB753" s="17">
        <v>16628</v>
      </c>
      <c r="AC753" s="17">
        <v>541597</v>
      </c>
      <c r="AD753" s="17">
        <v>808</v>
      </c>
      <c r="AE753" s="51">
        <f t="shared" si="86"/>
        <v>50.442207304539799</v>
      </c>
      <c r="AF753" s="51">
        <f t="shared" si="87"/>
        <v>1.5977191473399148</v>
      </c>
      <c r="AG753" s="51">
        <f t="shared" si="88"/>
        <v>52.039926451879715</v>
      </c>
      <c r="AH753" s="51">
        <f t="shared" si="89"/>
        <v>7.763754336364273E-2</v>
      </c>
      <c r="AI753" s="17">
        <v>96892</v>
      </c>
      <c r="AJ753" s="17">
        <v>205117</v>
      </c>
      <c r="AK753" s="17">
        <v>240046</v>
      </c>
      <c r="AL753" s="17">
        <f t="shared" si="90"/>
        <v>445163</v>
      </c>
      <c r="AM753" s="17">
        <f t="shared" si="91"/>
        <v>542055</v>
      </c>
      <c r="AN753" s="17">
        <v>401623</v>
      </c>
      <c r="BG753" s="15"/>
      <c r="BM753" s="17"/>
      <c r="BN753" s="17"/>
      <c r="BO753" s="17"/>
      <c r="BP753" s="17"/>
      <c r="BQ753" s="17"/>
      <c r="BW753" s="17"/>
    </row>
    <row r="754" spans="1:75" hidden="1" x14ac:dyDescent="0.25">
      <c r="A754" s="15" t="s">
        <v>1337</v>
      </c>
      <c r="B754" s="15" t="s">
        <v>30</v>
      </c>
      <c r="C754" s="15">
        <v>2007</v>
      </c>
      <c r="D754" s="15" t="s">
        <v>1338</v>
      </c>
      <c r="E754" s="15">
        <v>3530</v>
      </c>
      <c r="F754" s="15">
        <v>10298087</v>
      </c>
      <c r="G754" s="15" t="s">
        <v>88</v>
      </c>
      <c r="H754" s="15" t="s">
        <v>58</v>
      </c>
      <c r="I754" s="15" t="s">
        <v>1339</v>
      </c>
      <c r="J754" s="15" t="s">
        <v>1340</v>
      </c>
      <c r="K754" s="15" t="s">
        <v>724</v>
      </c>
      <c r="L754" s="15" t="s">
        <v>1341</v>
      </c>
      <c r="M754" s="15" t="s">
        <v>541</v>
      </c>
      <c r="N754" s="15" t="s">
        <v>184</v>
      </c>
      <c r="O754" s="15"/>
      <c r="P754" s="15"/>
      <c r="Q754" s="15"/>
      <c r="R754" s="15"/>
      <c r="S754" s="15"/>
      <c r="T754" s="15"/>
      <c r="U754" s="15"/>
      <c r="V754" s="15"/>
      <c r="W754" s="15"/>
      <c r="X754" s="15"/>
      <c r="Y754" s="17">
        <v>503750</v>
      </c>
      <c r="Z754" s="17">
        <v>13380</v>
      </c>
      <c r="AA754" s="17">
        <v>2416</v>
      </c>
      <c r="AB754" s="17">
        <v>15796</v>
      </c>
      <c r="AC754" s="17">
        <v>519546</v>
      </c>
      <c r="AD754" s="17">
        <v>779</v>
      </c>
      <c r="AE754" s="51">
        <f t="shared" si="86"/>
        <v>48.916852227020414</v>
      </c>
      <c r="AF754" s="51">
        <f t="shared" si="87"/>
        <v>1.5338771171771999</v>
      </c>
      <c r="AG754" s="51">
        <f t="shared" si="88"/>
        <v>50.450729344197612</v>
      </c>
      <c r="AH754" s="51">
        <f t="shared" si="89"/>
        <v>7.5645117389278232E-2</v>
      </c>
      <c r="AI754" s="17">
        <v>93871</v>
      </c>
      <c r="AJ754" s="17">
        <v>194645</v>
      </c>
      <c r="AK754" s="17">
        <v>235037</v>
      </c>
      <c r="AL754" s="17">
        <f t="shared" si="90"/>
        <v>429682</v>
      </c>
      <c r="AM754" s="17">
        <f t="shared" si="91"/>
        <v>523553</v>
      </c>
      <c r="AN754" s="17">
        <v>371229</v>
      </c>
      <c r="BG754" s="15"/>
      <c r="BM754" s="17"/>
      <c r="BN754" s="17"/>
      <c r="BO754" s="17"/>
      <c r="BP754" s="17"/>
      <c r="BQ754" s="17"/>
      <c r="BW754" s="17"/>
    </row>
    <row r="755" spans="1:75" hidden="1" x14ac:dyDescent="0.25">
      <c r="A755" s="15" t="s">
        <v>1337</v>
      </c>
      <c r="B755" s="15" t="s">
        <v>30</v>
      </c>
      <c r="C755" s="15">
        <v>2006</v>
      </c>
      <c r="D755" s="15" t="s">
        <v>1338</v>
      </c>
      <c r="E755" s="15">
        <v>3340</v>
      </c>
      <c r="F755" s="15">
        <v>10196136</v>
      </c>
      <c r="G755" s="15" t="s">
        <v>88</v>
      </c>
      <c r="H755" s="15" t="s">
        <v>58</v>
      </c>
      <c r="I755" s="15" t="s">
        <v>1339</v>
      </c>
      <c r="J755" s="15" t="s">
        <v>1340</v>
      </c>
      <c r="K755" s="15" t="s">
        <v>724</v>
      </c>
      <c r="L755" s="15" t="s">
        <v>1341</v>
      </c>
      <c r="M755" s="15" t="s">
        <v>541</v>
      </c>
      <c r="N755" s="15" t="s">
        <v>184</v>
      </c>
      <c r="O755" s="15"/>
      <c r="P755" s="15"/>
      <c r="Q755" s="15"/>
      <c r="R755" s="15"/>
      <c r="S755" s="15"/>
      <c r="T755" s="15"/>
      <c r="U755" s="15"/>
      <c r="V755" s="15"/>
      <c r="W755" s="15"/>
      <c r="X755" s="15"/>
      <c r="Y755" s="17">
        <v>488303</v>
      </c>
      <c r="Z755" s="17">
        <v>12884</v>
      </c>
      <c r="AA755" s="17">
        <v>2347</v>
      </c>
      <c r="AB755" s="17">
        <v>15231</v>
      </c>
      <c r="AC755" s="17">
        <v>503534</v>
      </c>
      <c r="AD755" s="17">
        <v>750</v>
      </c>
      <c r="AE755" s="51">
        <f t="shared" si="86"/>
        <v>47.890985369359534</v>
      </c>
      <c r="AF755" s="51">
        <f t="shared" si="87"/>
        <v>1.4938011811533309</v>
      </c>
      <c r="AG755" s="51">
        <f t="shared" si="88"/>
        <v>49.384786550512857</v>
      </c>
      <c r="AH755" s="51">
        <f t="shared" si="89"/>
        <v>7.3557276991989912E-2</v>
      </c>
      <c r="AI755" s="17">
        <v>89444</v>
      </c>
      <c r="AJ755" s="17">
        <v>186591</v>
      </c>
      <c r="AK755" s="17">
        <v>231140</v>
      </c>
      <c r="AL755" s="17">
        <f t="shared" si="90"/>
        <v>417731</v>
      </c>
      <c r="AM755" s="17">
        <f t="shared" si="91"/>
        <v>507175</v>
      </c>
      <c r="AN755" s="17">
        <v>347970</v>
      </c>
      <c r="BG755" s="15"/>
      <c r="BM755" s="17"/>
      <c r="BN755" s="17"/>
      <c r="BO755" s="17"/>
      <c r="BP755" s="17"/>
      <c r="BQ755" s="17"/>
      <c r="BW755" s="17"/>
    </row>
    <row r="756" spans="1:75" hidden="1" x14ac:dyDescent="0.25">
      <c r="A756" s="15" t="s">
        <v>1337</v>
      </c>
      <c r="B756" s="15" t="s">
        <v>30</v>
      </c>
      <c r="C756" s="15">
        <v>2005</v>
      </c>
      <c r="D756" s="15" t="s">
        <v>1338</v>
      </c>
      <c r="E756" s="15">
        <v>3170</v>
      </c>
      <c r="F756" s="15">
        <v>10102482</v>
      </c>
      <c r="G756" s="15" t="s">
        <v>88</v>
      </c>
      <c r="H756" s="15" t="s">
        <v>58</v>
      </c>
      <c r="I756" s="15" t="s">
        <v>1339</v>
      </c>
      <c r="J756" s="15" t="s">
        <v>1340</v>
      </c>
      <c r="K756" s="15" t="s">
        <v>724</v>
      </c>
      <c r="L756" s="15" t="s">
        <v>1341</v>
      </c>
      <c r="M756" s="15" t="s">
        <v>541</v>
      </c>
      <c r="N756" s="15" t="s">
        <v>184</v>
      </c>
      <c r="O756" s="15"/>
      <c r="P756" s="15"/>
      <c r="Q756" s="15"/>
      <c r="R756" s="15"/>
      <c r="S756" s="15"/>
      <c r="T756" s="15"/>
      <c r="U756" s="15"/>
      <c r="V756" s="15"/>
      <c r="W756" s="15"/>
      <c r="X756" s="15"/>
      <c r="Y756" s="17">
        <v>462404</v>
      </c>
      <c r="Z756" s="17">
        <v>12696</v>
      </c>
      <c r="AA756" s="17">
        <v>2282</v>
      </c>
      <c r="AB756" s="17">
        <v>14978</v>
      </c>
      <c r="AC756" s="17">
        <v>477382</v>
      </c>
      <c r="AD756" s="17">
        <v>707</v>
      </c>
      <c r="AE756" s="51">
        <f t="shared" si="86"/>
        <v>45.771326293875106</v>
      </c>
      <c r="AF756" s="51">
        <f t="shared" si="87"/>
        <v>1.4826059576250668</v>
      </c>
      <c r="AG756" s="51">
        <f t="shared" si="88"/>
        <v>47.253932251500174</v>
      </c>
      <c r="AH756" s="51">
        <f t="shared" si="89"/>
        <v>6.998280224602231E-2</v>
      </c>
      <c r="AI756" s="17">
        <v>87040</v>
      </c>
      <c r="AJ756" s="17">
        <v>185723</v>
      </c>
      <c r="AK756" s="17">
        <v>226893</v>
      </c>
      <c r="AL756" s="17">
        <f t="shared" si="90"/>
        <v>412616</v>
      </c>
      <c r="AM756" s="17">
        <f t="shared" si="91"/>
        <v>499656</v>
      </c>
      <c r="AN756" s="17">
        <v>330306</v>
      </c>
      <c r="BG756" s="15"/>
      <c r="BM756" s="17"/>
      <c r="BN756" s="17"/>
      <c r="BO756" s="17"/>
      <c r="BP756" s="17"/>
      <c r="BQ756" s="17"/>
      <c r="BW756" s="17"/>
    </row>
    <row r="757" spans="1:75" hidden="1" x14ac:dyDescent="0.25">
      <c r="A757" s="15" t="s">
        <v>1337</v>
      </c>
      <c r="B757" s="15" t="s">
        <v>30</v>
      </c>
      <c r="C757" s="15">
        <v>2004</v>
      </c>
      <c r="D757" s="15" t="s">
        <v>1338</v>
      </c>
      <c r="E757" s="15">
        <v>2900</v>
      </c>
      <c r="F757" s="15">
        <v>10017601</v>
      </c>
      <c r="G757" s="15" t="s">
        <v>88</v>
      </c>
      <c r="H757" s="15" t="s">
        <v>58</v>
      </c>
      <c r="I757" s="15" t="s">
        <v>1339</v>
      </c>
      <c r="J757" s="15" t="s">
        <v>1340</v>
      </c>
      <c r="K757" s="15" t="s">
        <v>724</v>
      </c>
      <c r="L757" s="15" t="s">
        <v>1341</v>
      </c>
      <c r="M757" s="15" t="s">
        <v>541</v>
      </c>
      <c r="N757" s="15" t="s">
        <v>184</v>
      </c>
      <c r="O757" s="15"/>
      <c r="P757" s="15"/>
      <c r="Q757" s="15"/>
      <c r="R757" s="15"/>
      <c r="S757" s="15"/>
      <c r="T757" s="15"/>
      <c r="U757" s="15"/>
      <c r="V757" s="15"/>
      <c r="W757" s="15"/>
      <c r="X757" s="15"/>
      <c r="Y757" s="17">
        <v>442738</v>
      </c>
      <c r="Z757" s="17">
        <v>12621</v>
      </c>
      <c r="AA757" s="17">
        <v>2320</v>
      </c>
      <c r="AB757" s="17">
        <v>14941</v>
      </c>
      <c r="AC757" s="17">
        <v>457679</v>
      </c>
      <c r="AD757" s="17">
        <v>723</v>
      </c>
      <c r="AE757" s="51">
        <f t="shared" si="86"/>
        <v>44.196010601739879</v>
      </c>
      <c r="AF757" s="51">
        <f t="shared" si="87"/>
        <v>1.4914748551075252</v>
      </c>
      <c r="AG757" s="51">
        <f t="shared" si="88"/>
        <v>45.687485456847398</v>
      </c>
      <c r="AH757" s="51">
        <f t="shared" si="89"/>
        <v>7.2172968358392389E-2</v>
      </c>
      <c r="AI757" s="17">
        <v>86229</v>
      </c>
      <c r="AJ757" s="17">
        <v>183874</v>
      </c>
      <c r="AK757" s="17">
        <v>229201</v>
      </c>
      <c r="AL757" s="17">
        <v>413075</v>
      </c>
      <c r="AM757" s="17">
        <v>499304</v>
      </c>
      <c r="AN757" s="17">
        <v>329216</v>
      </c>
      <c r="BG757" s="15"/>
      <c r="BM757" s="17"/>
      <c r="BN757" s="17"/>
      <c r="BO757" s="17"/>
      <c r="BP757" s="17"/>
      <c r="BQ757" s="17"/>
      <c r="BW757" s="17"/>
    </row>
    <row r="758" spans="1:75" hidden="1" x14ac:dyDescent="0.25">
      <c r="A758" s="15" t="s">
        <v>1337</v>
      </c>
      <c r="B758" s="15" t="s">
        <v>30</v>
      </c>
      <c r="C758" s="15">
        <v>2003</v>
      </c>
      <c r="D758" s="15" t="s">
        <v>1338</v>
      </c>
      <c r="E758" s="15">
        <v>2460</v>
      </c>
      <c r="F758" s="15">
        <v>9939678</v>
      </c>
      <c r="G758" s="15" t="s">
        <v>88</v>
      </c>
      <c r="H758" s="15" t="s">
        <v>58</v>
      </c>
      <c r="I758" s="15" t="s">
        <v>1339</v>
      </c>
      <c r="J758" s="15" t="s">
        <v>1340</v>
      </c>
      <c r="K758" s="15" t="s">
        <v>724</v>
      </c>
      <c r="L758" s="15" t="s">
        <v>1341</v>
      </c>
      <c r="M758" s="15" t="s">
        <v>541</v>
      </c>
      <c r="N758" s="15" t="s">
        <v>184</v>
      </c>
      <c r="O758" s="15"/>
      <c r="P758" s="15"/>
      <c r="Q758" s="15"/>
      <c r="R758" s="15"/>
      <c r="S758" s="15"/>
      <c r="T758" s="15"/>
      <c r="U758" s="15"/>
      <c r="V758" s="15"/>
      <c r="W758" s="15"/>
      <c r="X758" s="15"/>
      <c r="Y758" s="17">
        <v>423351</v>
      </c>
      <c r="Z758" s="17">
        <v>12305</v>
      </c>
      <c r="AA758" s="17">
        <v>2282</v>
      </c>
      <c r="AB758" s="17">
        <v>14587</v>
      </c>
      <c r="AC758" s="17">
        <v>437938</v>
      </c>
      <c r="AD758" s="17">
        <v>714</v>
      </c>
      <c r="AE758" s="51">
        <f t="shared" si="86"/>
        <v>42.592023604788807</v>
      </c>
      <c r="AF758" s="51">
        <f t="shared" si="87"/>
        <v>1.4675525706164727</v>
      </c>
      <c r="AG758" s="51">
        <f t="shared" si="88"/>
        <v>44.059576175405276</v>
      </c>
      <c r="AH758" s="51">
        <f t="shared" si="89"/>
        <v>7.1833312910136518E-2</v>
      </c>
      <c r="AI758" s="17">
        <v>84251</v>
      </c>
      <c r="AJ758" s="17">
        <v>181455</v>
      </c>
      <c r="AK758" s="17">
        <v>225587</v>
      </c>
      <c r="AL758" s="17">
        <v>407042</v>
      </c>
      <c r="AM758" s="17">
        <v>491293</v>
      </c>
      <c r="AN758" s="17">
        <v>315442</v>
      </c>
      <c r="BG758" s="15"/>
      <c r="BM758" s="17"/>
      <c r="BN758" s="17"/>
      <c r="BO758" s="17"/>
      <c r="BP758" s="17"/>
      <c r="BQ758" s="17"/>
      <c r="BW758" s="17"/>
    </row>
    <row r="759" spans="1:75" hidden="1" x14ac:dyDescent="0.25">
      <c r="A759" s="15" t="s">
        <v>1337</v>
      </c>
      <c r="B759" s="15" t="s">
        <v>30</v>
      </c>
      <c r="C759" s="15">
        <v>2002</v>
      </c>
      <c r="D759" s="15" t="s">
        <v>1338</v>
      </c>
      <c r="E759" s="15">
        <v>2180</v>
      </c>
      <c r="F759" s="15">
        <v>9864326</v>
      </c>
      <c r="G759" s="15" t="s">
        <v>88</v>
      </c>
      <c r="H759" s="15" t="s">
        <v>58</v>
      </c>
      <c r="I759" s="15" t="s">
        <v>1339</v>
      </c>
      <c r="J759" s="15" t="s">
        <v>1340</v>
      </c>
      <c r="K759" s="15" t="s">
        <v>724</v>
      </c>
      <c r="L759" s="15" t="s">
        <v>1341</v>
      </c>
      <c r="M759" s="15" t="s">
        <v>541</v>
      </c>
      <c r="N759" s="15" t="s">
        <v>184</v>
      </c>
      <c r="O759" s="15"/>
      <c r="P759" s="15"/>
      <c r="Q759" s="15"/>
      <c r="R759" s="15"/>
      <c r="S759" s="15"/>
      <c r="T759" s="15"/>
      <c r="U759" s="15"/>
      <c r="V759" s="15"/>
      <c r="W759" s="15"/>
      <c r="X759" s="15"/>
      <c r="Y759" s="17">
        <v>399391</v>
      </c>
      <c r="Z759" s="17">
        <v>12673</v>
      </c>
      <c r="AA759" s="17">
        <v>2336</v>
      </c>
      <c r="AB759" s="17">
        <v>15009</v>
      </c>
      <c r="AC759" s="17">
        <v>414400</v>
      </c>
      <c r="AD759" s="17">
        <v>712</v>
      </c>
      <c r="AE759" s="51">
        <f t="shared" si="86"/>
        <v>40.488422625124109</v>
      </c>
      <c r="AF759" s="51">
        <f t="shared" si="87"/>
        <v>1.5215433877590827</v>
      </c>
      <c r="AG759" s="51">
        <f t="shared" si="88"/>
        <v>42.00996601288319</v>
      </c>
      <c r="AH759" s="51">
        <f t="shared" si="89"/>
        <v>7.2179285234490423E-2</v>
      </c>
      <c r="AI759" s="17">
        <v>95836</v>
      </c>
      <c r="AJ759" s="17">
        <v>188067</v>
      </c>
      <c r="AK759" s="17">
        <v>230360</v>
      </c>
      <c r="AL759" s="17">
        <v>418427</v>
      </c>
      <c r="AM759" s="17">
        <v>514263</v>
      </c>
      <c r="AN759" s="17">
        <v>312433</v>
      </c>
      <c r="BG759" s="15"/>
      <c r="BM759" s="17"/>
      <c r="BN759" s="17"/>
      <c r="BO759" s="17"/>
      <c r="BP759" s="17"/>
      <c r="BQ759" s="17"/>
      <c r="BW759" s="17"/>
    </row>
    <row r="760" spans="1:75" hidden="1" x14ac:dyDescent="0.25">
      <c r="A760" s="15" t="s">
        <v>1337</v>
      </c>
      <c r="B760" s="15" t="s">
        <v>30</v>
      </c>
      <c r="C760" s="15">
        <v>2001</v>
      </c>
      <c r="D760" s="15" t="s">
        <v>1338</v>
      </c>
      <c r="E760" s="15">
        <v>2250</v>
      </c>
      <c r="F760" s="15">
        <v>9785701</v>
      </c>
      <c r="G760" s="15" t="s">
        <v>88</v>
      </c>
      <c r="H760" s="15" t="s">
        <v>58</v>
      </c>
      <c r="I760" s="15" t="s">
        <v>1339</v>
      </c>
      <c r="J760" s="15" t="s">
        <v>1340</v>
      </c>
      <c r="K760" s="15" t="s">
        <v>724</v>
      </c>
      <c r="L760" s="15" t="s">
        <v>1341</v>
      </c>
      <c r="M760" s="15" t="s">
        <v>541</v>
      </c>
      <c r="N760" s="15" t="s">
        <v>184</v>
      </c>
      <c r="O760" s="15"/>
      <c r="P760" s="15"/>
      <c r="Q760" s="15"/>
      <c r="R760" s="15"/>
      <c r="S760" s="15"/>
      <c r="T760" s="15"/>
      <c r="U760" s="15"/>
      <c r="V760" s="15"/>
      <c r="W760" s="15"/>
      <c r="X760" s="15"/>
      <c r="Y760" s="17">
        <v>379473</v>
      </c>
      <c r="Z760" s="17">
        <v>12072</v>
      </c>
      <c r="AA760" s="17">
        <v>2318</v>
      </c>
      <c r="AB760" s="17">
        <v>14390</v>
      </c>
      <c r="AC760" s="17">
        <v>393863</v>
      </c>
      <c r="AD760" s="17">
        <v>695</v>
      </c>
      <c r="AE760" s="51">
        <f t="shared" si="86"/>
        <v>38.778315421654511</v>
      </c>
      <c r="AF760" s="51">
        <f t="shared" si="87"/>
        <v>1.4705129453679404</v>
      </c>
      <c r="AG760" s="51">
        <f t="shared" si="88"/>
        <v>40.248828367022455</v>
      </c>
      <c r="AH760" s="51">
        <f t="shared" si="89"/>
        <v>7.102199423424034E-2</v>
      </c>
      <c r="AI760" s="17">
        <v>90794</v>
      </c>
      <c r="AJ760" s="17">
        <v>177937</v>
      </c>
      <c r="AK760" s="17">
        <v>224671</v>
      </c>
      <c r="AL760" s="17">
        <v>402608</v>
      </c>
      <c r="AM760" s="17">
        <v>493402</v>
      </c>
      <c r="AN760" s="17">
        <v>309422</v>
      </c>
      <c r="BG760" s="15"/>
      <c r="BM760" s="17"/>
      <c r="BN760" s="17"/>
      <c r="BO760" s="17"/>
      <c r="BP760" s="17"/>
      <c r="BQ760" s="17"/>
      <c r="BW760" s="17"/>
    </row>
    <row r="761" spans="1:75" hidden="1" x14ac:dyDescent="0.25">
      <c r="A761" s="15" t="s">
        <v>1337</v>
      </c>
      <c r="B761" s="15" t="s">
        <v>30</v>
      </c>
      <c r="C761" s="15">
        <v>2000</v>
      </c>
      <c r="D761" s="15" t="s">
        <v>1338</v>
      </c>
      <c r="E761" s="15">
        <v>2280</v>
      </c>
      <c r="F761" s="15">
        <v>9699197</v>
      </c>
      <c r="G761" s="15" t="s">
        <v>88</v>
      </c>
      <c r="H761" s="15" t="s">
        <v>58</v>
      </c>
      <c r="I761" s="15" t="s">
        <v>1339</v>
      </c>
      <c r="J761" s="15" t="s">
        <v>1340</v>
      </c>
      <c r="K761" s="15" t="s">
        <v>724</v>
      </c>
      <c r="L761" s="15" t="s">
        <v>1341</v>
      </c>
      <c r="M761" s="15" t="s">
        <v>541</v>
      </c>
      <c r="N761" s="15" t="s">
        <v>184</v>
      </c>
      <c r="O761" s="15"/>
      <c r="P761" s="15"/>
      <c r="Q761" s="15"/>
      <c r="R761" s="15"/>
      <c r="S761" s="15"/>
      <c r="T761" s="15"/>
      <c r="U761" s="15"/>
      <c r="V761" s="15"/>
      <c r="W761" s="15"/>
      <c r="X761" s="15"/>
      <c r="Y761" s="17">
        <v>362616</v>
      </c>
      <c r="Z761" s="17">
        <v>11955</v>
      </c>
      <c r="AA761" s="17">
        <v>2186</v>
      </c>
      <c r="AB761" s="17">
        <v>14141</v>
      </c>
      <c r="AC761" s="17">
        <v>376757</v>
      </c>
      <c r="AD761" s="17">
        <v>629</v>
      </c>
      <c r="AE761" s="51">
        <f t="shared" si="86"/>
        <v>37.3861877431709</v>
      </c>
      <c r="AF761" s="51">
        <f t="shared" si="87"/>
        <v>1.4579557462334252</v>
      </c>
      <c r="AG761" s="51">
        <f t="shared" si="88"/>
        <v>38.844143489404324</v>
      </c>
      <c r="AH761" s="51">
        <f t="shared" si="89"/>
        <v>6.485072939543346E-2</v>
      </c>
      <c r="AI761" s="17">
        <v>90230</v>
      </c>
      <c r="AJ761" s="17">
        <v>175010</v>
      </c>
      <c r="AK761" s="17">
        <v>214471</v>
      </c>
      <c r="AL761" s="17">
        <v>389481</v>
      </c>
      <c r="AM761" s="17">
        <v>479711</v>
      </c>
      <c r="AN761" s="17">
        <v>277917</v>
      </c>
      <c r="BG761" s="15"/>
      <c r="BM761" s="17"/>
      <c r="BN761" s="17"/>
      <c r="BO761" s="17"/>
      <c r="BP761" s="17"/>
      <c r="BQ761" s="17"/>
      <c r="BW761" s="17"/>
    </row>
    <row r="762" spans="1:75" ht="17.25" hidden="1" x14ac:dyDescent="0.3">
      <c r="A762" s="15" t="s">
        <v>1342</v>
      </c>
      <c r="B762" s="15" t="s">
        <v>52</v>
      </c>
      <c r="C762" s="15">
        <v>2014</v>
      </c>
      <c r="D762" s="15" t="s">
        <v>1343</v>
      </c>
      <c r="E762" s="15">
        <v>12590</v>
      </c>
      <c r="F762" s="15">
        <v>77030628</v>
      </c>
      <c r="G762" s="15" t="s">
        <v>42</v>
      </c>
      <c r="H762" s="15" t="s">
        <v>43</v>
      </c>
      <c r="I762" s="15" t="s">
        <v>1344</v>
      </c>
      <c r="J762" s="15" t="s">
        <v>1345</v>
      </c>
      <c r="K762" s="15" t="s">
        <v>92</v>
      </c>
      <c r="L762" s="15" t="s">
        <v>48</v>
      </c>
      <c r="M762" s="15" t="s">
        <v>62</v>
      </c>
      <c r="N762" s="15" t="s">
        <v>63</v>
      </c>
      <c r="O762" s="15"/>
      <c r="P762" s="15"/>
      <c r="Q762" s="15"/>
      <c r="R762" s="15"/>
      <c r="S762" s="15"/>
      <c r="T762" s="15" t="s">
        <v>1199</v>
      </c>
      <c r="U762" s="15" t="s">
        <v>533</v>
      </c>
      <c r="V762" s="15" t="s">
        <v>1346</v>
      </c>
      <c r="W762" s="22" t="s">
        <v>1885</v>
      </c>
      <c r="X762" s="15" t="s">
        <v>1347</v>
      </c>
      <c r="AC762" s="17">
        <v>2677000</v>
      </c>
      <c r="AE762" s="51" t="str">
        <f t="shared" si="86"/>
        <v/>
      </c>
      <c r="AF762" s="51" t="str">
        <f t="shared" si="87"/>
        <v/>
      </c>
      <c r="AG762" s="51">
        <f t="shared" si="88"/>
        <v>34.752410430822401</v>
      </c>
      <c r="AH762" s="51" t="str">
        <f t="shared" si="89"/>
        <v/>
      </c>
      <c r="AS762" s="17">
        <v>1267568843119.9998</v>
      </c>
      <c r="BM762" s="17"/>
      <c r="BN762" s="17"/>
      <c r="BO762" s="17"/>
      <c r="BP762" s="17"/>
      <c r="BQ762" s="17"/>
      <c r="BW762" s="17"/>
    </row>
    <row r="763" spans="1:75" ht="17.25" hidden="1" x14ac:dyDescent="0.3">
      <c r="A763" s="15" t="s">
        <v>1342</v>
      </c>
      <c r="B763" s="15" t="s">
        <v>52</v>
      </c>
      <c r="C763" s="15">
        <v>2013</v>
      </c>
      <c r="D763" s="15" t="s">
        <v>1343</v>
      </c>
      <c r="E763" s="15">
        <v>12530</v>
      </c>
      <c r="F763" s="15">
        <v>75787333</v>
      </c>
      <c r="G763" s="15" t="s">
        <v>42</v>
      </c>
      <c r="H763" s="15" t="s">
        <v>43</v>
      </c>
      <c r="I763" s="15" t="s">
        <v>1344</v>
      </c>
      <c r="J763" s="15" t="s">
        <v>1348</v>
      </c>
      <c r="K763" s="15" t="s">
        <v>92</v>
      </c>
      <c r="L763" s="15" t="s">
        <v>48</v>
      </c>
      <c r="M763" s="15" t="s">
        <v>62</v>
      </c>
      <c r="N763" s="15" t="s">
        <v>63</v>
      </c>
      <c r="O763" s="15"/>
      <c r="P763" s="15"/>
      <c r="Q763" s="15"/>
      <c r="R763" s="15"/>
      <c r="S763" s="15"/>
      <c r="T763" s="15" t="s">
        <v>1199</v>
      </c>
      <c r="U763" s="15" t="s">
        <v>533</v>
      </c>
      <c r="V763" s="15" t="s">
        <v>1346</v>
      </c>
      <c r="W763" s="22" t="s">
        <v>1885</v>
      </c>
      <c r="X763" s="15" t="s">
        <v>1347</v>
      </c>
      <c r="AC763" s="17">
        <v>2695131</v>
      </c>
      <c r="AE763" s="51" t="str">
        <f t="shared" si="86"/>
        <v/>
      </c>
      <c r="AF763" s="51" t="str">
        <f t="shared" si="87"/>
        <v/>
      </c>
      <c r="AG763" s="51">
        <f t="shared" si="88"/>
        <v>35.561760696870017</v>
      </c>
      <c r="AH763" s="51" t="str">
        <f t="shared" si="89"/>
        <v/>
      </c>
      <c r="AS763" s="17">
        <v>1154596949506</v>
      </c>
      <c r="BG763" s="15"/>
      <c r="BM763" s="17"/>
      <c r="BN763" s="17"/>
      <c r="BO763" s="17"/>
      <c r="BP763" s="17"/>
      <c r="BQ763" s="17"/>
      <c r="BW763" s="17"/>
    </row>
    <row r="764" spans="1:75" ht="17.25" hidden="1" x14ac:dyDescent="0.3">
      <c r="A764" s="15" t="s">
        <v>1342</v>
      </c>
      <c r="B764" s="15" t="s">
        <v>52</v>
      </c>
      <c r="C764" s="15">
        <v>2012</v>
      </c>
      <c r="D764" s="15" t="s">
        <v>1343</v>
      </c>
      <c r="E764" s="15">
        <v>11880</v>
      </c>
      <c r="F764" s="15">
        <v>74569867</v>
      </c>
      <c r="G764" s="15" t="s">
        <v>42</v>
      </c>
      <c r="H764" s="15" t="s">
        <v>43</v>
      </c>
      <c r="I764" s="15" t="s">
        <v>1344</v>
      </c>
      <c r="J764" s="15" t="s">
        <v>1349</v>
      </c>
      <c r="K764" s="15" t="s">
        <v>92</v>
      </c>
      <c r="L764" s="15" t="s">
        <v>48</v>
      </c>
      <c r="M764" s="15" t="s">
        <v>62</v>
      </c>
      <c r="N764" s="15" t="s">
        <v>63</v>
      </c>
      <c r="O764" s="15"/>
      <c r="P764" s="15"/>
      <c r="Q764" s="15"/>
      <c r="R764" s="15"/>
      <c r="S764" s="15"/>
      <c r="T764" s="15" t="s">
        <v>1199</v>
      </c>
      <c r="U764" s="15" t="s">
        <v>533</v>
      </c>
      <c r="V764" s="15" t="s">
        <v>1346</v>
      </c>
      <c r="W764" s="22" t="s">
        <v>1885</v>
      </c>
      <c r="X764" s="15" t="s">
        <v>1347</v>
      </c>
      <c r="AC764" s="17">
        <v>2646117</v>
      </c>
      <c r="AE764" s="51" t="str">
        <f t="shared" si="86"/>
        <v/>
      </c>
      <c r="AF764" s="51" t="str">
        <f t="shared" si="87"/>
        <v/>
      </c>
      <c r="AG764" s="51">
        <f t="shared" si="88"/>
        <v>35.485070665339933</v>
      </c>
      <c r="AH764" s="51" t="str">
        <f t="shared" si="89"/>
        <v/>
      </c>
      <c r="AS764" s="17">
        <v>993602448162.00012</v>
      </c>
      <c r="BG764" s="15"/>
      <c r="BM764" s="17"/>
      <c r="BN764" s="17"/>
      <c r="BO764" s="17"/>
      <c r="BP764" s="17"/>
      <c r="BQ764" s="17"/>
      <c r="BW764" s="17"/>
    </row>
    <row r="765" spans="1:75" ht="17.25" hidden="1" x14ac:dyDescent="0.3">
      <c r="A765" s="15" t="s">
        <v>1342</v>
      </c>
      <c r="B765" s="15" t="s">
        <v>52</v>
      </c>
      <c r="C765" s="15">
        <v>2011</v>
      </c>
      <c r="D765" s="15" t="s">
        <v>1343</v>
      </c>
      <c r="E765" s="15">
        <v>11230</v>
      </c>
      <c r="F765" s="15">
        <v>73409455</v>
      </c>
      <c r="G765" s="15" t="s">
        <v>42</v>
      </c>
      <c r="H765" s="15" t="s">
        <v>43</v>
      </c>
      <c r="I765" s="15" t="s">
        <v>1344</v>
      </c>
      <c r="J765" s="15" t="s">
        <v>1350</v>
      </c>
      <c r="K765" s="15" t="s">
        <v>92</v>
      </c>
      <c r="L765" s="15" t="s">
        <v>48</v>
      </c>
      <c r="M765" s="15" t="s">
        <v>62</v>
      </c>
      <c r="N765" s="15" t="s">
        <v>63</v>
      </c>
      <c r="O765" s="15"/>
      <c r="P765" s="15"/>
      <c r="Q765" s="15"/>
      <c r="R765" s="15"/>
      <c r="S765" s="15"/>
      <c r="T765" s="15" t="s">
        <v>1199</v>
      </c>
      <c r="U765" s="15" t="s">
        <v>602</v>
      </c>
      <c r="V765" s="15" t="s">
        <v>1351</v>
      </c>
      <c r="W765" s="22" t="s">
        <v>1884</v>
      </c>
      <c r="X765" s="15" t="s">
        <v>1347</v>
      </c>
      <c r="AC765" s="17">
        <v>2591082</v>
      </c>
      <c r="AE765" s="51" t="str">
        <f t="shared" si="86"/>
        <v/>
      </c>
      <c r="AF765" s="51" t="str">
        <f t="shared" si="87"/>
        <v/>
      </c>
      <c r="AG765" s="51">
        <f t="shared" si="88"/>
        <v>35.296298004119492</v>
      </c>
      <c r="AH765" s="51" t="str">
        <f t="shared" si="89"/>
        <v/>
      </c>
      <c r="AS765" s="17">
        <v>878520614580</v>
      </c>
      <c r="BG765" s="15"/>
      <c r="BM765" s="17"/>
      <c r="BN765" s="17"/>
      <c r="BO765" s="17"/>
      <c r="BP765" s="17"/>
      <c r="BQ765" s="17"/>
      <c r="BW765" s="17"/>
    </row>
    <row r="766" spans="1:75" hidden="1" x14ac:dyDescent="0.25">
      <c r="A766" s="15" t="s">
        <v>1342</v>
      </c>
      <c r="B766" s="15" t="s">
        <v>30</v>
      </c>
      <c r="C766" s="15">
        <v>2016</v>
      </c>
      <c r="D766" s="15" t="s">
        <v>1343</v>
      </c>
      <c r="E766" s="15">
        <v>11230</v>
      </c>
      <c r="F766" s="15">
        <v>80745020</v>
      </c>
      <c r="G766" s="15" t="s">
        <v>42</v>
      </c>
      <c r="H766" s="15" t="s">
        <v>43</v>
      </c>
      <c r="I766" s="15" t="s">
        <v>53</v>
      </c>
      <c r="J766" s="15" t="s">
        <v>1128</v>
      </c>
      <c r="K766" s="15" t="s">
        <v>92</v>
      </c>
      <c r="L766" s="15" t="s">
        <v>48</v>
      </c>
      <c r="M766" s="15" t="s">
        <v>62</v>
      </c>
      <c r="N766" s="15" t="s">
        <v>63</v>
      </c>
      <c r="O766" s="15"/>
      <c r="P766" s="15"/>
      <c r="Q766" s="15"/>
      <c r="R766" s="15"/>
      <c r="S766" s="15"/>
      <c r="T766" s="15"/>
      <c r="U766" s="15"/>
      <c r="V766" s="15"/>
      <c r="W766" s="15"/>
      <c r="X766" s="15" t="s">
        <v>55</v>
      </c>
      <c r="Y766" s="17">
        <v>2362995</v>
      </c>
      <c r="Z766" s="17">
        <v>48229</v>
      </c>
      <c r="AA766" s="17">
        <v>20692</v>
      </c>
      <c r="AB766" s="17">
        <v>68921</v>
      </c>
      <c r="AC766" s="17">
        <v>2431916</v>
      </c>
      <c r="AD766" s="17">
        <v>3858</v>
      </c>
      <c r="AE766" s="51">
        <f t="shared" si="86"/>
        <v>29.264900795120244</v>
      </c>
      <c r="AF766" s="51">
        <f t="shared" si="87"/>
        <v>0.85356347673206345</v>
      </c>
      <c r="AG766" s="51">
        <f t="shared" si="88"/>
        <v>30.118464271852311</v>
      </c>
      <c r="AH766" s="51">
        <f t="shared" si="89"/>
        <v>4.7780036465406787E-2</v>
      </c>
      <c r="AI766" s="17">
        <v>5312800</v>
      </c>
      <c r="AJ766" s="17">
        <v>1491995</v>
      </c>
      <c r="AK766" s="17">
        <v>2072448</v>
      </c>
      <c r="AL766" s="17">
        <f>+AJ766+AK766</f>
        <v>3564443</v>
      </c>
      <c r="AM766" s="17">
        <v>8877243</v>
      </c>
      <c r="AN766" s="17">
        <v>2879712</v>
      </c>
      <c r="AO766" s="17">
        <v>32785000000</v>
      </c>
      <c r="AP766" s="17">
        <v>20480000000</v>
      </c>
      <c r="AQ766" s="17">
        <v>32925000000</v>
      </c>
      <c r="AR766" s="17">
        <f>+AP766+AQ766</f>
        <v>53405000000</v>
      </c>
      <c r="AS766" s="17">
        <f>+AO766+AR766</f>
        <v>86190000000</v>
      </c>
      <c r="AT766" s="17">
        <v>73743000000</v>
      </c>
      <c r="BF766" s="21">
        <v>0.32</v>
      </c>
      <c r="BK766" s="21">
        <v>4.9000000000000002E-2</v>
      </c>
      <c r="BM766" s="17"/>
      <c r="BN766" s="17"/>
      <c r="BO766" s="17"/>
      <c r="BP766" s="17"/>
      <c r="BQ766" s="17"/>
      <c r="BW766" s="17"/>
    </row>
    <row r="767" spans="1:75" hidden="1" x14ac:dyDescent="0.25">
      <c r="A767" s="15" t="s">
        <v>1342</v>
      </c>
      <c r="B767" s="15" t="s">
        <v>142</v>
      </c>
      <c r="C767" s="15">
        <v>2015</v>
      </c>
      <c r="D767" s="15" t="s">
        <v>1343</v>
      </c>
      <c r="E767" s="15">
        <v>12000</v>
      </c>
      <c r="F767" s="15">
        <v>78271472</v>
      </c>
      <c r="G767" s="15" t="s">
        <v>42</v>
      </c>
      <c r="H767" s="15" t="s">
        <v>43</v>
      </c>
      <c r="I767" s="15" t="s">
        <v>1352</v>
      </c>
      <c r="J767" s="15" t="s">
        <v>1353</v>
      </c>
      <c r="K767" s="15" t="s">
        <v>1354</v>
      </c>
      <c r="L767" s="15" t="s">
        <v>622</v>
      </c>
      <c r="M767" s="15" t="s">
        <v>62</v>
      </c>
      <c r="N767" s="15" t="s">
        <v>63</v>
      </c>
      <c r="O767" s="15"/>
      <c r="P767" s="15"/>
      <c r="Q767" s="15"/>
      <c r="R767" s="15"/>
      <c r="S767" s="15"/>
      <c r="T767" s="15"/>
      <c r="U767" s="15"/>
      <c r="V767" s="15"/>
      <c r="W767" s="15"/>
      <c r="X767" s="15" t="s">
        <v>55</v>
      </c>
      <c r="AE767" s="51" t="str">
        <f t="shared" si="86"/>
        <v/>
      </c>
      <c r="AF767" s="51" t="str">
        <f t="shared" si="87"/>
        <v/>
      </c>
      <c r="AG767" s="51" t="str">
        <f t="shared" si="88"/>
        <v/>
      </c>
      <c r="AH767" s="51" t="str">
        <f t="shared" si="89"/>
        <v/>
      </c>
      <c r="BF767" s="21">
        <v>0.35339999999999999</v>
      </c>
      <c r="BK767" s="21">
        <v>3.9199999999999999E-2</v>
      </c>
      <c r="BM767" s="17"/>
      <c r="BN767" s="17"/>
      <c r="BO767" s="17"/>
      <c r="BP767" s="17"/>
      <c r="BQ767" s="17"/>
      <c r="BW767" s="17"/>
    </row>
    <row r="768" spans="1:75" hidden="1" x14ac:dyDescent="0.25">
      <c r="A768" s="15" t="s">
        <v>1342</v>
      </c>
      <c r="B768" s="15" t="s">
        <v>142</v>
      </c>
      <c r="C768" s="15">
        <v>2014</v>
      </c>
      <c r="D768" s="15" t="s">
        <v>1343</v>
      </c>
      <c r="E768" s="15">
        <v>12590</v>
      </c>
      <c r="F768" s="15">
        <v>77030628</v>
      </c>
      <c r="G768" s="15" t="s">
        <v>42</v>
      </c>
      <c r="H768" s="15" t="s">
        <v>43</v>
      </c>
      <c r="I768" s="15" t="s">
        <v>1352</v>
      </c>
      <c r="J768" s="15" t="s">
        <v>1353</v>
      </c>
      <c r="K768" s="15" t="s">
        <v>1354</v>
      </c>
      <c r="L768" s="15" t="s">
        <v>622</v>
      </c>
      <c r="M768" s="15" t="s">
        <v>62</v>
      </c>
      <c r="N768" s="15" t="s">
        <v>63</v>
      </c>
      <c r="O768" s="15"/>
      <c r="P768" s="15"/>
      <c r="Q768" s="15"/>
      <c r="R768" s="15"/>
      <c r="S768" s="15"/>
      <c r="T768" s="15"/>
      <c r="U768" s="15"/>
      <c r="V768" s="15"/>
      <c r="W768" s="15"/>
      <c r="X768" s="15" t="s">
        <v>55</v>
      </c>
      <c r="AE768" s="51" t="str">
        <f t="shared" si="86"/>
        <v/>
      </c>
      <c r="AF768" s="51" t="str">
        <f t="shared" si="87"/>
        <v/>
      </c>
      <c r="AG768" s="51" t="str">
        <f t="shared" si="88"/>
        <v/>
      </c>
      <c r="AH768" s="51" t="str">
        <f t="shared" si="89"/>
        <v/>
      </c>
      <c r="BF768" s="21">
        <v>0.37669999999999998</v>
      </c>
      <c r="BK768" s="21">
        <v>3.27E-2</v>
      </c>
      <c r="BM768" s="17"/>
      <c r="BN768" s="17"/>
      <c r="BO768" s="17"/>
      <c r="BP768" s="17"/>
      <c r="BQ768" s="17"/>
      <c r="BW768" s="17"/>
    </row>
    <row r="769" spans="1:75" hidden="1" x14ac:dyDescent="0.25">
      <c r="A769" s="15" t="s">
        <v>1342</v>
      </c>
      <c r="B769" s="15" t="s">
        <v>142</v>
      </c>
      <c r="C769" s="15">
        <v>2013</v>
      </c>
      <c r="D769" s="15" t="s">
        <v>1343</v>
      </c>
      <c r="E769" s="15">
        <v>12530</v>
      </c>
      <c r="F769" s="15">
        <v>75787333</v>
      </c>
      <c r="G769" s="15" t="s">
        <v>42</v>
      </c>
      <c r="H769" s="15" t="s">
        <v>43</v>
      </c>
      <c r="I769" s="15" t="s">
        <v>1352</v>
      </c>
      <c r="J769" s="15" t="s">
        <v>1353</v>
      </c>
      <c r="K769" s="15" t="s">
        <v>1354</v>
      </c>
      <c r="L769" s="15" t="s">
        <v>622</v>
      </c>
      <c r="M769" s="15" t="s">
        <v>62</v>
      </c>
      <c r="N769" s="15" t="s">
        <v>63</v>
      </c>
      <c r="O769" s="15"/>
      <c r="P769" s="15"/>
      <c r="Q769" s="15"/>
      <c r="R769" s="15"/>
      <c r="S769" s="15"/>
      <c r="T769" s="15"/>
      <c r="U769" s="15"/>
      <c r="V769" s="15"/>
      <c r="W769" s="15"/>
      <c r="X769" s="15" t="s">
        <v>55</v>
      </c>
      <c r="AE769" s="51" t="str">
        <f t="shared" si="86"/>
        <v/>
      </c>
      <c r="AF769" s="51" t="str">
        <f t="shared" si="87"/>
        <v/>
      </c>
      <c r="AG769" s="51" t="str">
        <f t="shared" si="88"/>
        <v/>
      </c>
      <c r="AH769" s="51" t="str">
        <f t="shared" si="89"/>
        <v/>
      </c>
      <c r="BF769" s="21">
        <v>0.37940000000000002</v>
      </c>
      <c r="BK769" s="21">
        <v>3.1199999999999999E-2</v>
      </c>
      <c r="BM769" s="17"/>
      <c r="BN769" s="17"/>
      <c r="BO769" s="17"/>
      <c r="BP769" s="17"/>
      <c r="BQ769" s="17"/>
      <c r="BW769" s="17"/>
    </row>
    <row r="770" spans="1:75" hidden="1" x14ac:dyDescent="0.25">
      <c r="A770" s="15" t="s">
        <v>1342</v>
      </c>
      <c r="B770" s="15" t="s">
        <v>142</v>
      </c>
      <c r="C770" s="15">
        <v>2012</v>
      </c>
      <c r="D770" s="15" t="s">
        <v>1343</v>
      </c>
      <c r="E770" s="15">
        <v>11880</v>
      </c>
      <c r="F770" s="15">
        <v>74569867</v>
      </c>
      <c r="G770" s="15" t="s">
        <v>42</v>
      </c>
      <c r="H770" s="15" t="s">
        <v>43</v>
      </c>
      <c r="I770" s="15" t="s">
        <v>1352</v>
      </c>
      <c r="J770" s="15" t="s">
        <v>1353</v>
      </c>
      <c r="K770" s="15" t="s">
        <v>1354</v>
      </c>
      <c r="L770" s="15" t="s">
        <v>622</v>
      </c>
      <c r="M770" s="15" t="s">
        <v>62</v>
      </c>
      <c r="N770" s="15" t="s">
        <v>63</v>
      </c>
      <c r="O770" s="15"/>
      <c r="P770" s="15"/>
      <c r="Q770" s="15"/>
      <c r="R770" s="15"/>
      <c r="S770" s="15"/>
      <c r="T770" s="15"/>
      <c r="U770" s="15"/>
      <c r="V770" s="15"/>
      <c r="W770" s="15"/>
      <c r="X770" s="15" t="s">
        <v>55</v>
      </c>
      <c r="AE770" s="51" t="str">
        <f t="shared" si="86"/>
        <v/>
      </c>
      <c r="AF770" s="51" t="str">
        <f t="shared" si="87"/>
        <v/>
      </c>
      <c r="AG770" s="51" t="str">
        <f t="shared" si="88"/>
        <v/>
      </c>
      <c r="AH770" s="51" t="str">
        <f t="shared" si="89"/>
        <v/>
      </c>
      <c r="BF770" s="21">
        <v>0.37769999999999998</v>
      </c>
      <c r="BK770" s="21">
        <v>3.1699999999999999E-2</v>
      </c>
      <c r="BM770" s="17"/>
      <c r="BN770" s="17"/>
      <c r="BO770" s="17"/>
      <c r="BP770" s="17"/>
      <c r="BQ770" s="17"/>
      <c r="BW770" s="17"/>
    </row>
    <row r="771" spans="1:75" hidden="1" x14ac:dyDescent="0.25">
      <c r="A771" s="15" t="s">
        <v>1342</v>
      </c>
      <c r="B771" s="15" t="s">
        <v>142</v>
      </c>
      <c r="C771" s="15">
        <v>2011</v>
      </c>
      <c r="D771" s="15" t="s">
        <v>1343</v>
      </c>
      <c r="E771" s="15">
        <v>11230</v>
      </c>
      <c r="F771" s="15">
        <v>73409455</v>
      </c>
      <c r="G771" s="15" t="s">
        <v>42</v>
      </c>
      <c r="H771" s="15" t="s">
        <v>43</v>
      </c>
      <c r="I771" s="15" t="s">
        <v>1352</v>
      </c>
      <c r="J771" s="15" t="s">
        <v>1353</v>
      </c>
      <c r="K771" s="15" t="s">
        <v>1354</v>
      </c>
      <c r="L771" s="15" t="s">
        <v>622</v>
      </c>
      <c r="M771" s="15" t="s">
        <v>62</v>
      </c>
      <c r="N771" s="15" t="s">
        <v>63</v>
      </c>
      <c r="O771" s="15"/>
      <c r="P771" s="15"/>
      <c r="Q771" s="15"/>
      <c r="R771" s="15"/>
      <c r="S771" s="15"/>
      <c r="T771" s="15"/>
      <c r="U771" s="15"/>
      <c r="V771" s="15"/>
      <c r="W771" s="15"/>
      <c r="X771" s="15" t="s">
        <v>55</v>
      </c>
      <c r="AE771" s="51" t="str">
        <f t="shared" si="86"/>
        <v/>
      </c>
      <c r="AF771" s="51" t="str">
        <f t="shared" si="87"/>
        <v/>
      </c>
      <c r="AG771" s="51" t="str">
        <f t="shared" si="88"/>
        <v/>
      </c>
      <c r="AH771" s="51" t="str">
        <f t="shared" si="89"/>
        <v/>
      </c>
      <c r="BF771" s="21">
        <v>0.35470000000000002</v>
      </c>
      <c r="BK771" s="21">
        <v>3.1E-2</v>
      </c>
      <c r="BM771" s="17"/>
      <c r="BN771" s="17"/>
      <c r="BO771" s="17"/>
      <c r="BP771" s="17"/>
      <c r="BQ771" s="17"/>
      <c r="BW771" s="17"/>
    </row>
    <row r="772" spans="1:75" hidden="1" x14ac:dyDescent="0.25">
      <c r="A772" s="15" t="s">
        <v>1357</v>
      </c>
      <c r="B772" s="15" t="s">
        <v>52</v>
      </c>
      <c r="C772" s="15">
        <v>2018</v>
      </c>
      <c r="D772" s="15" t="s">
        <v>1358</v>
      </c>
      <c r="E772" s="15">
        <v>600</v>
      </c>
      <c r="F772" s="15">
        <v>42862958</v>
      </c>
      <c r="G772" s="15" t="s">
        <v>32</v>
      </c>
      <c r="H772" s="15" t="s">
        <v>89</v>
      </c>
      <c r="I772" s="15" t="s">
        <v>1359</v>
      </c>
      <c r="J772" s="15" t="s">
        <v>1360</v>
      </c>
      <c r="K772" s="15" t="s">
        <v>241</v>
      </c>
      <c r="L772" s="15" t="s">
        <v>647</v>
      </c>
      <c r="M772" s="15" t="s">
        <v>682</v>
      </c>
      <c r="N772" s="15" t="s">
        <v>37</v>
      </c>
      <c r="O772" s="15" t="s">
        <v>168</v>
      </c>
      <c r="P772" s="15" t="s">
        <v>1361</v>
      </c>
      <c r="Q772" s="15" t="s">
        <v>1362</v>
      </c>
      <c r="R772" s="15" t="s">
        <v>1363</v>
      </c>
      <c r="S772" s="15" t="s">
        <v>1364</v>
      </c>
      <c r="T772" s="15"/>
      <c r="U772" s="15"/>
      <c r="V772" s="15"/>
      <c r="W772" s="15"/>
      <c r="X772" s="15"/>
      <c r="AE772" s="51" t="str">
        <f t="shared" si="86"/>
        <v/>
      </c>
      <c r="AF772" s="51" t="str">
        <f t="shared" si="87"/>
        <v/>
      </c>
      <c r="AG772" s="51" t="str">
        <f t="shared" si="88"/>
        <v/>
      </c>
      <c r="AH772" s="51" t="str">
        <f t="shared" si="89"/>
        <v/>
      </c>
      <c r="AU772" s="15" t="s">
        <v>1365</v>
      </c>
      <c r="AV772" s="15" t="s">
        <v>1366</v>
      </c>
      <c r="BG772" s="15"/>
      <c r="BM772" s="17"/>
      <c r="BN772" s="17"/>
      <c r="BO772" s="17"/>
      <c r="BP772" s="17"/>
      <c r="BQ772" s="17"/>
      <c r="BW772" s="17"/>
    </row>
    <row r="773" spans="1:75" hidden="1" x14ac:dyDescent="0.25">
      <c r="A773" s="15" t="s">
        <v>1357</v>
      </c>
      <c r="B773" s="15" t="s">
        <v>30</v>
      </c>
      <c r="C773" s="15">
        <v>2006</v>
      </c>
      <c r="D773" s="15" t="s">
        <v>1358</v>
      </c>
      <c r="E773" s="15">
        <v>340</v>
      </c>
      <c r="F773" s="15">
        <v>29550662</v>
      </c>
      <c r="G773" s="15" t="s">
        <v>32</v>
      </c>
      <c r="H773" s="15" t="s">
        <v>89</v>
      </c>
      <c r="I773" s="15" t="s">
        <v>1367</v>
      </c>
      <c r="J773" s="15" t="s">
        <v>1368</v>
      </c>
      <c r="K773" s="15" t="s">
        <v>92</v>
      </c>
      <c r="L773" s="15" t="s">
        <v>48</v>
      </c>
      <c r="M773" s="15" t="s">
        <v>407</v>
      </c>
      <c r="N773" s="15" t="s">
        <v>310</v>
      </c>
      <c r="O773" s="15"/>
      <c r="P773" s="15"/>
      <c r="Q773" s="15"/>
      <c r="R773" s="15"/>
      <c r="S773" s="15"/>
      <c r="T773" s="15"/>
      <c r="U773" s="15"/>
      <c r="V773" s="15"/>
      <c r="W773" s="15"/>
      <c r="X773" s="15"/>
      <c r="Y773" s="17">
        <v>19270</v>
      </c>
      <c r="Z773" s="17">
        <v>5485</v>
      </c>
      <c r="AA773" s="17">
        <v>378</v>
      </c>
      <c r="AB773" s="17">
        <v>5863</v>
      </c>
      <c r="AC773" s="17">
        <v>25133</v>
      </c>
      <c r="AD773" s="17">
        <v>334</v>
      </c>
      <c r="AE773" s="51">
        <f t="shared" si="86"/>
        <v>0.65210045040615328</v>
      </c>
      <c r="AF773" s="51">
        <f t="shared" si="87"/>
        <v>0.1984050306554892</v>
      </c>
      <c r="AG773" s="51">
        <f t="shared" si="88"/>
        <v>0.85050548106164259</v>
      </c>
      <c r="AH773" s="51">
        <f t="shared" si="89"/>
        <v>1.1302623271180864E-2</v>
      </c>
      <c r="BG773" s="15"/>
      <c r="BM773" s="17"/>
      <c r="BN773" s="17"/>
      <c r="BO773" s="17"/>
      <c r="BP773" s="17"/>
      <c r="BQ773" s="17"/>
      <c r="BW773" s="17" t="s">
        <v>1369</v>
      </c>
    </row>
    <row r="774" spans="1:75" hidden="1" x14ac:dyDescent="0.25">
      <c r="A774" s="15" t="s">
        <v>1370</v>
      </c>
      <c r="B774" s="15" t="s">
        <v>30</v>
      </c>
      <c r="C774" s="15">
        <v>2017</v>
      </c>
      <c r="D774" s="15" t="s">
        <v>1371</v>
      </c>
      <c r="E774" s="15">
        <v>2390</v>
      </c>
      <c r="F774" s="15">
        <v>44831159</v>
      </c>
      <c r="G774" s="15" t="s">
        <v>88</v>
      </c>
      <c r="H774" s="15" t="s">
        <v>43</v>
      </c>
      <c r="I774" s="15" t="s">
        <v>1372</v>
      </c>
      <c r="J774" s="15" t="s">
        <v>1373</v>
      </c>
      <c r="K774" s="15" t="s">
        <v>98</v>
      </c>
      <c r="L774" s="15" t="s">
        <v>402</v>
      </c>
      <c r="M774" s="15" t="s">
        <v>660</v>
      </c>
      <c r="N774" s="15" t="s">
        <v>167</v>
      </c>
      <c r="O774" s="15"/>
      <c r="P774" s="15"/>
      <c r="Q774" s="15"/>
      <c r="R774" s="15"/>
      <c r="S774" s="15"/>
      <c r="T774" s="15" t="s">
        <v>115</v>
      </c>
      <c r="U774" s="15" t="s">
        <v>1067</v>
      </c>
      <c r="V774" s="15" t="s">
        <v>169</v>
      </c>
      <c r="W774" s="15" t="s">
        <v>503</v>
      </c>
      <c r="X774" s="15" t="s">
        <v>1374</v>
      </c>
      <c r="Y774" s="17">
        <v>278102</v>
      </c>
      <c r="Z774" s="17">
        <v>44818</v>
      </c>
      <c r="AA774" s="17">
        <v>14937</v>
      </c>
      <c r="AB774" s="17">
        <f t="shared" ref="AB774:AB780" si="92">+Z774+AA774</f>
        <v>59755</v>
      </c>
      <c r="AC774" s="17">
        <f t="shared" ref="AC774:AC780" si="93">+AB774+Y774</f>
        <v>337857</v>
      </c>
      <c r="AD774" s="17">
        <v>399</v>
      </c>
      <c r="AE774" s="51">
        <f t="shared" si="86"/>
        <v>6.2033194368229472</v>
      </c>
      <c r="AF774" s="51">
        <f t="shared" si="87"/>
        <v>1.332889921494111</v>
      </c>
      <c r="AG774" s="51">
        <f t="shared" si="88"/>
        <v>7.5362093583170582</v>
      </c>
      <c r="AH774" s="51">
        <f t="shared" si="89"/>
        <v>8.9000598891498649E-3</v>
      </c>
      <c r="AI774" s="17">
        <v>714600</v>
      </c>
      <c r="AJ774" s="17">
        <v>944300.00000000012</v>
      </c>
      <c r="AK774" s="17">
        <v>2593100</v>
      </c>
      <c r="AL774" s="17">
        <v>3537400</v>
      </c>
      <c r="AM774" s="17">
        <v>4252000</v>
      </c>
      <c r="AN774" s="17">
        <v>1560900</v>
      </c>
      <c r="AO774" s="17">
        <v>140131400000</v>
      </c>
      <c r="AP774" s="17">
        <v>249078500000.00003</v>
      </c>
      <c r="AQ774" s="17">
        <v>865520800000</v>
      </c>
      <c r="AR774" s="17">
        <v>1114599300000</v>
      </c>
      <c r="AS774" s="17">
        <v>1254730700000</v>
      </c>
      <c r="AT774" s="17">
        <v>844774100000</v>
      </c>
      <c r="AU774" s="15" t="s">
        <v>1373</v>
      </c>
      <c r="AV774" s="15" t="s">
        <v>1373</v>
      </c>
      <c r="BG774" s="15"/>
      <c r="BM774" s="17"/>
      <c r="BN774" s="17"/>
      <c r="BO774" s="17"/>
      <c r="BP774" s="17"/>
      <c r="BQ774" s="17"/>
      <c r="BS774" s="15" t="s">
        <v>1375</v>
      </c>
      <c r="BW774" s="17"/>
    </row>
    <row r="775" spans="1:75" hidden="1" x14ac:dyDescent="0.25">
      <c r="A775" s="15" t="s">
        <v>1370</v>
      </c>
      <c r="B775" s="15" t="s">
        <v>30</v>
      </c>
      <c r="C775" s="15">
        <v>2016</v>
      </c>
      <c r="D775" s="15" t="s">
        <v>1371</v>
      </c>
      <c r="E775" s="15">
        <v>2310</v>
      </c>
      <c r="F775" s="15">
        <v>45004645</v>
      </c>
      <c r="G775" s="15" t="s">
        <v>88</v>
      </c>
      <c r="H775" s="15" t="s">
        <v>43</v>
      </c>
      <c r="I775" s="15" t="s">
        <v>1372</v>
      </c>
      <c r="J775" s="15" t="s">
        <v>1373</v>
      </c>
      <c r="K775" s="15" t="s">
        <v>98</v>
      </c>
      <c r="L775" s="15" t="s">
        <v>402</v>
      </c>
      <c r="M775" s="15" t="s">
        <v>660</v>
      </c>
      <c r="N775" s="15" t="s">
        <v>167</v>
      </c>
      <c r="O775" s="15"/>
      <c r="P775" s="15"/>
      <c r="Q775" s="15"/>
      <c r="R775" s="15"/>
      <c r="S775" s="15"/>
      <c r="T775" s="15" t="s">
        <v>115</v>
      </c>
      <c r="U775" s="15" t="s">
        <v>1067</v>
      </c>
      <c r="V775" s="15" t="s">
        <v>169</v>
      </c>
      <c r="W775" s="15" t="s">
        <v>503</v>
      </c>
      <c r="X775" s="15" t="s">
        <v>1374</v>
      </c>
      <c r="Y775" s="17">
        <v>247695</v>
      </c>
      <c r="Z775" s="17">
        <v>43459</v>
      </c>
      <c r="AA775" s="17">
        <v>14832</v>
      </c>
      <c r="AB775" s="17">
        <f t="shared" si="92"/>
        <v>58291</v>
      </c>
      <c r="AC775" s="17">
        <f t="shared" si="93"/>
        <v>305986</v>
      </c>
      <c r="AD775" s="17">
        <v>383</v>
      </c>
      <c r="AE775" s="51">
        <f t="shared" ref="AE775:AE838" si="94">IF(ISERROR((Y775/$F775)*1000),"",IF((Y775/$F775)*1000=0,"",(Y775/$F775)*1000))</f>
        <v>5.5037652224564821</v>
      </c>
      <c r="AF775" s="51">
        <f t="shared" ref="AF775:AF838" si="95">IF(ISERROR((AB775/$F775)*1000),"",IF((AB775/$F775)*1000=0,"",(AB775/$F775)*1000))</f>
        <v>1.2952218598769083</v>
      </c>
      <c r="AG775" s="51">
        <f t="shared" ref="AG775:AG838" si="96">IF(ISERROR((AC775/$F775)*1000),"",IF((AC775/$F775)*1000=0,"",(AC775/$F775)*1000))</f>
        <v>6.7989870823333902</v>
      </c>
      <c r="AH775" s="51">
        <f t="shared" ref="AH775:AH838" si="97">IF(ISERROR((AD775/$F775)*1000),"",IF((AD775/$F775)*1000=0,"",(AD775/$F775)*1000))</f>
        <v>8.5102326659837E-3</v>
      </c>
      <c r="AI775" s="17">
        <v>642700</v>
      </c>
      <c r="AJ775" s="17">
        <v>949000</v>
      </c>
      <c r="AK775" s="17">
        <v>2622800</v>
      </c>
      <c r="AL775" s="17">
        <v>3571800</v>
      </c>
      <c r="AM775" s="17">
        <v>4214500</v>
      </c>
      <c r="AN775" s="17">
        <v>1586600</v>
      </c>
      <c r="AO775" s="17">
        <v>91867400000</v>
      </c>
      <c r="AP775" s="17">
        <v>192271600000</v>
      </c>
      <c r="AQ775" s="17">
        <v>738338300000</v>
      </c>
      <c r="AR775" s="17">
        <v>930609900000</v>
      </c>
      <c r="AS775" s="17">
        <v>1022477300000</v>
      </c>
      <c r="AT775" s="17">
        <v>680193200000</v>
      </c>
      <c r="AU775" s="15" t="s">
        <v>1373</v>
      </c>
      <c r="AV775" s="15" t="s">
        <v>1373</v>
      </c>
      <c r="BG775" s="15"/>
      <c r="BM775" s="17"/>
      <c r="BN775" s="17"/>
      <c r="BO775" s="17"/>
      <c r="BP775" s="17"/>
      <c r="BQ775" s="17"/>
      <c r="BS775" s="15" t="s">
        <v>1375</v>
      </c>
      <c r="BW775" s="17"/>
    </row>
    <row r="776" spans="1:75" hidden="1" x14ac:dyDescent="0.25">
      <c r="A776" s="15" t="s">
        <v>1370</v>
      </c>
      <c r="B776" s="15" t="s">
        <v>30</v>
      </c>
      <c r="C776" s="15">
        <v>2015</v>
      </c>
      <c r="D776" s="15" t="s">
        <v>1371</v>
      </c>
      <c r="E776" s="15">
        <v>2650</v>
      </c>
      <c r="F776" s="15">
        <v>45154029</v>
      </c>
      <c r="G776" s="15" t="s">
        <v>88</v>
      </c>
      <c r="H776" s="15" t="s">
        <v>43</v>
      </c>
      <c r="I776" s="15" t="s">
        <v>1372</v>
      </c>
      <c r="J776" s="15" t="s">
        <v>1373</v>
      </c>
      <c r="K776" s="15" t="s">
        <v>98</v>
      </c>
      <c r="L776" s="15" t="s">
        <v>402</v>
      </c>
      <c r="M776" s="15" t="s">
        <v>660</v>
      </c>
      <c r="N776" s="15" t="s">
        <v>167</v>
      </c>
      <c r="O776" s="15"/>
      <c r="P776" s="15"/>
      <c r="Q776" s="15"/>
      <c r="R776" s="15"/>
      <c r="S776" s="15"/>
      <c r="T776" s="15" t="s">
        <v>115</v>
      </c>
      <c r="U776" s="15" t="s">
        <v>1067</v>
      </c>
      <c r="V776" s="15" t="s">
        <v>169</v>
      </c>
      <c r="W776" s="15" t="s">
        <v>503</v>
      </c>
      <c r="X776" s="15" t="s">
        <v>1374</v>
      </c>
      <c r="Y776" s="17">
        <v>284241</v>
      </c>
      <c r="Z776" s="17">
        <v>43573</v>
      </c>
      <c r="AA776" s="17">
        <v>15203</v>
      </c>
      <c r="AB776" s="17">
        <f t="shared" si="92"/>
        <v>58776</v>
      </c>
      <c r="AC776" s="17">
        <f t="shared" si="93"/>
        <v>343017</v>
      </c>
      <c r="AD776" s="17">
        <v>423</v>
      </c>
      <c r="AE776" s="51">
        <f t="shared" si="94"/>
        <v>6.2949199948469721</v>
      </c>
      <c r="AF776" s="51">
        <f t="shared" si="95"/>
        <v>1.3016778635634043</v>
      </c>
      <c r="AG776" s="51">
        <f t="shared" si="96"/>
        <v>7.5965978584103757</v>
      </c>
      <c r="AH776" s="51">
        <f t="shared" si="97"/>
        <v>9.3679348082094729E-3</v>
      </c>
      <c r="AI776" s="17">
        <v>691400</v>
      </c>
      <c r="AJ776" s="17">
        <v>885000.00000000012</v>
      </c>
      <c r="AK776" s="17">
        <v>2604700</v>
      </c>
      <c r="AL776" s="17">
        <v>3489700</v>
      </c>
      <c r="AM776" s="17">
        <v>4181099.9999999995</v>
      </c>
      <c r="AN776" s="17">
        <v>1708600</v>
      </c>
      <c r="AO776" s="17">
        <v>62548700000</v>
      </c>
      <c r="AP776" s="17">
        <v>143628000000</v>
      </c>
      <c r="AQ776" s="17">
        <v>537956000000</v>
      </c>
      <c r="AR776" s="17">
        <v>681584000000</v>
      </c>
      <c r="AS776" s="17">
        <v>744132700000</v>
      </c>
      <c r="AT776" s="17">
        <v>585131800000</v>
      </c>
      <c r="AU776" s="15" t="s">
        <v>1373</v>
      </c>
      <c r="AV776" s="15" t="s">
        <v>1373</v>
      </c>
      <c r="BG776" s="15"/>
      <c r="BM776" s="17"/>
      <c r="BN776" s="17"/>
      <c r="BO776" s="17"/>
      <c r="BP776" s="17"/>
      <c r="BQ776" s="17"/>
      <c r="BS776" s="15" t="s">
        <v>1375</v>
      </c>
      <c r="BW776" s="17"/>
    </row>
    <row r="777" spans="1:75" hidden="1" x14ac:dyDescent="0.25">
      <c r="A777" s="15" t="s">
        <v>1370</v>
      </c>
      <c r="B777" s="15" t="s">
        <v>30</v>
      </c>
      <c r="C777" s="15">
        <v>2014</v>
      </c>
      <c r="D777" s="15" t="s">
        <v>1371</v>
      </c>
      <c r="E777" s="15">
        <v>3560</v>
      </c>
      <c r="F777" s="15">
        <v>45271947</v>
      </c>
      <c r="G777" s="15" t="s">
        <v>88</v>
      </c>
      <c r="H777" s="15" t="s">
        <v>43</v>
      </c>
      <c r="I777" s="15" t="s">
        <v>1372</v>
      </c>
      <c r="J777" s="15" t="s">
        <v>1373</v>
      </c>
      <c r="K777" s="15" t="s">
        <v>98</v>
      </c>
      <c r="L777" s="15" t="s">
        <v>402</v>
      </c>
      <c r="M777" s="15" t="s">
        <v>660</v>
      </c>
      <c r="N777" s="15" t="s">
        <v>167</v>
      </c>
      <c r="O777" s="15"/>
      <c r="P777" s="15"/>
      <c r="Q777" s="15"/>
      <c r="R777" s="15"/>
      <c r="S777" s="15"/>
      <c r="T777" s="15" t="s">
        <v>115</v>
      </c>
      <c r="U777" s="15" t="s">
        <v>1067</v>
      </c>
      <c r="V777" s="15" t="s">
        <v>169</v>
      </c>
      <c r="W777" s="15" t="s">
        <v>503</v>
      </c>
      <c r="X777" s="15" t="s">
        <v>1374</v>
      </c>
      <c r="Y777" s="17">
        <v>278922</v>
      </c>
      <c r="Z777" s="17">
        <v>45676</v>
      </c>
      <c r="AA777" s="17">
        <v>15906</v>
      </c>
      <c r="AB777" s="17">
        <f t="shared" si="92"/>
        <v>61582</v>
      </c>
      <c r="AC777" s="17">
        <f t="shared" si="93"/>
        <v>340504</v>
      </c>
      <c r="AD777" s="17">
        <v>497</v>
      </c>
      <c r="AE777" s="51">
        <f t="shared" si="94"/>
        <v>6.1610338958914221</v>
      </c>
      <c r="AF777" s="51">
        <f t="shared" si="95"/>
        <v>1.3602684240640237</v>
      </c>
      <c r="AG777" s="51">
        <f t="shared" si="96"/>
        <v>7.5213023199554465</v>
      </c>
      <c r="AH777" s="51">
        <f t="shared" si="97"/>
        <v>1.0978100853493225E-2</v>
      </c>
      <c r="AI777" s="17">
        <v>723500</v>
      </c>
      <c r="AJ777" s="17">
        <v>963400.00000000012</v>
      </c>
      <c r="AK777" s="17">
        <v>2696500</v>
      </c>
      <c r="AL777" s="17">
        <v>3659900</v>
      </c>
      <c r="AM777" s="17">
        <v>4383400</v>
      </c>
      <c r="AN777" s="17">
        <v>1915100</v>
      </c>
      <c r="AO777" s="17">
        <v>81059800000</v>
      </c>
      <c r="AP777" s="17">
        <v>135690400000.00003</v>
      </c>
      <c r="AQ777" s="17">
        <v>486547500000</v>
      </c>
      <c r="AR777" s="17">
        <v>622237900000</v>
      </c>
      <c r="AS777" s="17">
        <v>703297700000.00012</v>
      </c>
      <c r="AT777" s="17">
        <v>530792400000</v>
      </c>
      <c r="AU777" s="15" t="s">
        <v>1373</v>
      </c>
      <c r="AV777" s="15" t="s">
        <v>1373</v>
      </c>
      <c r="BG777" s="15"/>
      <c r="BM777" s="17"/>
      <c r="BN777" s="17"/>
      <c r="BO777" s="17"/>
      <c r="BP777" s="17"/>
      <c r="BQ777" s="17"/>
      <c r="BS777" s="15" t="s">
        <v>1375</v>
      </c>
      <c r="BW777" s="17"/>
    </row>
    <row r="778" spans="1:75" hidden="1" x14ac:dyDescent="0.25">
      <c r="A778" s="15" t="s">
        <v>1370</v>
      </c>
      <c r="B778" s="15" t="s">
        <v>30</v>
      </c>
      <c r="C778" s="15">
        <v>2013</v>
      </c>
      <c r="D778" s="15" t="s">
        <v>1371</v>
      </c>
      <c r="E778" s="15">
        <v>3800</v>
      </c>
      <c r="F778" s="15">
        <v>45489600</v>
      </c>
      <c r="G778" s="15" t="s">
        <v>88</v>
      </c>
      <c r="H778" s="15" t="s">
        <v>43</v>
      </c>
      <c r="I778" s="15" t="s">
        <v>1372</v>
      </c>
      <c r="J778" s="15" t="s">
        <v>1373</v>
      </c>
      <c r="K778" s="15" t="s">
        <v>98</v>
      </c>
      <c r="L778" s="15" t="s">
        <v>402</v>
      </c>
      <c r="M778" s="15" t="s">
        <v>660</v>
      </c>
      <c r="N778" s="15" t="s">
        <v>167</v>
      </c>
      <c r="O778" s="15"/>
      <c r="P778" s="15"/>
      <c r="Q778" s="15"/>
      <c r="R778" s="15"/>
      <c r="S778" s="15"/>
      <c r="T778" s="15" t="s">
        <v>115</v>
      </c>
      <c r="U778" s="15" t="s">
        <v>1067</v>
      </c>
      <c r="V778" s="15" t="s">
        <v>169</v>
      </c>
      <c r="W778" s="15" t="s">
        <v>503</v>
      </c>
      <c r="X778" s="15" t="s">
        <v>1374</v>
      </c>
      <c r="Y778" s="17">
        <v>318477</v>
      </c>
      <c r="Z778" s="17">
        <v>55332</v>
      </c>
      <c r="AA778" s="17">
        <v>18859</v>
      </c>
      <c r="AB778" s="17">
        <f t="shared" si="92"/>
        <v>74191</v>
      </c>
      <c r="AC778" s="17">
        <f t="shared" si="93"/>
        <v>392668</v>
      </c>
      <c r="AD778" s="17">
        <v>659</v>
      </c>
      <c r="AE778" s="51">
        <f t="shared" si="94"/>
        <v>7.0010947557243854</v>
      </c>
      <c r="AF778" s="51">
        <f t="shared" si="95"/>
        <v>1.6309442158207592</v>
      </c>
      <c r="AG778" s="51">
        <f t="shared" si="96"/>
        <v>8.6320389715451444</v>
      </c>
      <c r="AH778" s="51">
        <f t="shared" si="97"/>
        <v>1.4486827758432696E-2</v>
      </c>
      <c r="AI778" s="17">
        <v>795300</v>
      </c>
      <c r="AJ778" s="17">
        <v>1215400</v>
      </c>
      <c r="AK778" s="17">
        <v>3012100</v>
      </c>
      <c r="AL778" s="17">
        <v>4227500</v>
      </c>
      <c r="AM778" s="17">
        <v>5022800</v>
      </c>
      <c r="AN778" s="17">
        <v>2383700</v>
      </c>
      <c r="AO778" s="17">
        <v>42164200000</v>
      </c>
      <c r="AP778" s="17">
        <v>108212300000</v>
      </c>
      <c r="AQ778" s="17">
        <v>410647500000</v>
      </c>
      <c r="AR778" s="17">
        <v>518859800000</v>
      </c>
      <c r="AS778" s="17">
        <v>561024000000</v>
      </c>
      <c r="AT778" s="17">
        <v>416121000000</v>
      </c>
      <c r="AU778" s="15" t="s">
        <v>1373</v>
      </c>
      <c r="AV778" s="15" t="s">
        <v>1373</v>
      </c>
      <c r="BG778" s="15"/>
      <c r="BM778" s="17"/>
      <c r="BN778" s="17"/>
      <c r="BO778" s="17"/>
      <c r="BP778" s="17"/>
      <c r="BQ778" s="17"/>
      <c r="BS778" s="15" t="s">
        <v>1375</v>
      </c>
      <c r="BW778" s="17"/>
    </row>
    <row r="779" spans="1:75" hidden="1" x14ac:dyDescent="0.25">
      <c r="A779" s="15" t="s">
        <v>1370</v>
      </c>
      <c r="B779" s="15" t="s">
        <v>30</v>
      </c>
      <c r="C779" s="15">
        <v>2012</v>
      </c>
      <c r="D779" s="15" t="s">
        <v>1371</v>
      </c>
      <c r="E779" s="15">
        <v>3500</v>
      </c>
      <c r="F779" s="15">
        <v>45593300</v>
      </c>
      <c r="G779" s="15" t="s">
        <v>88</v>
      </c>
      <c r="H779" s="15" t="s">
        <v>43</v>
      </c>
      <c r="I779" s="15" t="s">
        <v>1372</v>
      </c>
      <c r="J779" s="15" t="s">
        <v>1373</v>
      </c>
      <c r="K779" s="15" t="s">
        <v>98</v>
      </c>
      <c r="L779" s="15" t="s">
        <v>402</v>
      </c>
      <c r="M779" s="15" t="s">
        <v>660</v>
      </c>
      <c r="N779" s="15" t="s">
        <v>167</v>
      </c>
      <c r="O779" s="15"/>
      <c r="P779" s="15"/>
      <c r="Q779" s="15"/>
      <c r="R779" s="15"/>
      <c r="S779" s="15"/>
      <c r="T779" s="15" t="s">
        <v>115</v>
      </c>
      <c r="U779" s="15" t="s">
        <v>1067</v>
      </c>
      <c r="V779" s="15" t="s">
        <v>169</v>
      </c>
      <c r="W779" s="15" t="s">
        <v>503</v>
      </c>
      <c r="X779" s="15" t="s">
        <v>1374</v>
      </c>
      <c r="Y779" s="17">
        <v>286461</v>
      </c>
      <c r="Z779" s="17">
        <v>57587</v>
      </c>
      <c r="AA779" s="17">
        <v>20189</v>
      </c>
      <c r="AB779" s="17">
        <f t="shared" si="92"/>
        <v>77776</v>
      </c>
      <c r="AC779" s="17">
        <f t="shared" si="93"/>
        <v>364237</v>
      </c>
      <c r="AD779" s="17">
        <v>698</v>
      </c>
      <c r="AE779" s="51">
        <f t="shared" si="94"/>
        <v>6.2829626282809095</v>
      </c>
      <c r="AF779" s="51">
        <f t="shared" si="95"/>
        <v>1.7058646774855077</v>
      </c>
      <c r="AG779" s="51">
        <f t="shared" si="96"/>
        <v>7.9888273057664181</v>
      </c>
      <c r="AH779" s="51">
        <f t="shared" si="97"/>
        <v>1.5309266931764095E-2</v>
      </c>
      <c r="AI779" s="17">
        <v>788200</v>
      </c>
      <c r="AJ779" s="17">
        <v>1263100.0000000002</v>
      </c>
      <c r="AK779" s="17">
        <v>3144200</v>
      </c>
      <c r="AL779" s="17">
        <v>4407300</v>
      </c>
      <c r="AM779" s="17">
        <v>5195500</v>
      </c>
      <c r="AN779" s="17">
        <v>2484200</v>
      </c>
      <c r="AO779" s="17">
        <v>27038900000</v>
      </c>
      <c r="AP779" s="17">
        <v>81288900000</v>
      </c>
      <c r="AQ779" s="17">
        <v>424927200000</v>
      </c>
      <c r="AR779" s="17">
        <v>506216100000</v>
      </c>
      <c r="AS779" s="17">
        <v>533255000000</v>
      </c>
      <c r="AT779" s="17">
        <v>482248500000</v>
      </c>
      <c r="AU779" s="15" t="s">
        <v>1373</v>
      </c>
      <c r="AV779" s="15" t="s">
        <v>1373</v>
      </c>
      <c r="BG779" s="15"/>
      <c r="BM779" s="17"/>
      <c r="BN779" s="17"/>
      <c r="BO779" s="17"/>
      <c r="BP779" s="17"/>
      <c r="BQ779" s="17"/>
      <c r="BS779" s="15" t="s">
        <v>1375</v>
      </c>
      <c r="BW779" s="17"/>
    </row>
    <row r="780" spans="1:75" hidden="1" x14ac:dyDescent="0.25">
      <c r="A780" s="15" t="s">
        <v>1370</v>
      </c>
      <c r="B780" s="15" t="s">
        <v>30</v>
      </c>
      <c r="C780" s="15">
        <v>2011</v>
      </c>
      <c r="D780" s="15" t="s">
        <v>1371</v>
      </c>
      <c r="E780" s="15">
        <v>3120</v>
      </c>
      <c r="F780" s="15">
        <v>45706100</v>
      </c>
      <c r="G780" s="15" t="s">
        <v>88</v>
      </c>
      <c r="H780" s="15" t="s">
        <v>43</v>
      </c>
      <c r="I780" s="15" t="s">
        <v>1372</v>
      </c>
      <c r="J780" s="15" t="s">
        <v>1373</v>
      </c>
      <c r="K780" s="15" t="s">
        <v>98</v>
      </c>
      <c r="L780" s="15" t="s">
        <v>402</v>
      </c>
      <c r="M780" s="15" t="s">
        <v>660</v>
      </c>
      <c r="N780" s="15" t="s">
        <v>167</v>
      </c>
      <c r="O780" s="15"/>
      <c r="P780" s="15"/>
      <c r="Q780" s="15"/>
      <c r="R780" s="15"/>
      <c r="S780" s="15"/>
      <c r="T780" s="15" t="s">
        <v>115</v>
      </c>
      <c r="U780" s="15" t="s">
        <v>1067</v>
      </c>
      <c r="V780" s="15" t="s">
        <v>169</v>
      </c>
      <c r="W780" s="15" t="s">
        <v>503</v>
      </c>
      <c r="X780" s="15" t="s">
        <v>1374</v>
      </c>
      <c r="Y780" s="17">
        <v>295815</v>
      </c>
      <c r="Z780" s="17">
        <v>58468</v>
      </c>
      <c r="AA780" s="17">
        <v>20753</v>
      </c>
      <c r="AB780" s="17">
        <f t="shared" si="92"/>
        <v>79221</v>
      </c>
      <c r="AC780" s="17">
        <f t="shared" si="93"/>
        <v>375036</v>
      </c>
      <c r="AD780" s="17">
        <v>659</v>
      </c>
      <c r="AE780" s="51">
        <f t="shared" si="94"/>
        <v>6.4721120375617254</v>
      </c>
      <c r="AF780" s="51">
        <f t="shared" si="95"/>
        <v>1.7332697386125704</v>
      </c>
      <c r="AG780" s="51">
        <f t="shared" si="96"/>
        <v>8.2053817761742955</v>
      </c>
      <c r="AH780" s="51">
        <f t="shared" si="97"/>
        <v>1.4418206760147989E-2</v>
      </c>
      <c r="AI780" s="17">
        <v>788900</v>
      </c>
      <c r="AJ780" s="17">
        <v>1302600</v>
      </c>
      <c r="AK780" s="17">
        <v>3252600</v>
      </c>
      <c r="AL780" s="17">
        <v>4555200</v>
      </c>
      <c r="AM780" s="17">
        <v>5344099.9999999991</v>
      </c>
      <c r="AN780" s="17">
        <v>2449000</v>
      </c>
      <c r="AU780" s="15" t="s">
        <v>1373</v>
      </c>
      <c r="AV780" s="15" t="s">
        <v>1373</v>
      </c>
      <c r="BG780" s="15"/>
      <c r="BM780" s="17"/>
      <c r="BN780" s="17"/>
      <c r="BO780" s="17"/>
      <c r="BP780" s="17"/>
      <c r="BQ780" s="17"/>
      <c r="BS780" s="15" t="s">
        <v>1375</v>
      </c>
      <c r="BW780" s="17"/>
    </row>
    <row r="781" spans="1:75" ht="0.6" hidden="1" customHeight="1" x14ac:dyDescent="0.25">
      <c r="A781" s="15" t="s">
        <v>1376</v>
      </c>
      <c r="B781" s="15" t="s">
        <v>30</v>
      </c>
      <c r="C781" s="15">
        <v>2008</v>
      </c>
      <c r="D781" s="15" t="s">
        <v>1377</v>
      </c>
      <c r="E781" s="15">
        <v>41040</v>
      </c>
      <c r="F781" s="15">
        <v>6894278</v>
      </c>
      <c r="G781" s="15" t="s">
        <v>109</v>
      </c>
      <c r="H781" s="15" t="s">
        <v>58</v>
      </c>
      <c r="I781" s="15" t="s">
        <v>1378</v>
      </c>
      <c r="J781" s="15" t="s">
        <v>1379</v>
      </c>
      <c r="K781" s="15" t="s">
        <v>1897</v>
      </c>
      <c r="L781" s="15" t="s">
        <v>1900</v>
      </c>
      <c r="M781" s="15" t="s">
        <v>1902</v>
      </c>
      <c r="N781" s="15" t="s">
        <v>1380</v>
      </c>
      <c r="O781" s="15"/>
      <c r="P781" s="15"/>
      <c r="Q781" s="15"/>
      <c r="R781" s="15"/>
      <c r="S781" s="15"/>
      <c r="T781" s="15" t="s">
        <v>1909</v>
      </c>
      <c r="U781" s="15" t="s">
        <v>1911</v>
      </c>
      <c r="V781" s="15" t="s">
        <v>1913</v>
      </c>
      <c r="W781" s="15" t="s">
        <v>1381</v>
      </c>
      <c r="X781" s="15" t="s">
        <v>1382</v>
      </c>
      <c r="Y781" s="17">
        <v>56475</v>
      </c>
      <c r="Z781" s="17">
        <v>15731</v>
      </c>
      <c r="AA781" s="17">
        <v>2476</v>
      </c>
      <c r="AB781" s="17">
        <v>18207</v>
      </c>
      <c r="AC781" s="17">
        <v>74682</v>
      </c>
      <c r="AD781" s="17">
        <v>2026</v>
      </c>
      <c r="AE781" s="51">
        <f t="shared" si="94"/>
        <v>8.1915756805861317</v>
      </c>
      <c r="AF781" s="51">
        <f t="shared" si="95"/>
        <v>2.6408856735977282</v>
      </c>
      <c r="AG781" s="51">
        <f t="shared" si="96"/>
        <v>10.832461354183861</v>
      </c>
      <c r="AH781" s="51">
        <f t="shared" si="97"/>
        <v>0.29386688497330687</v>
      </c>
      <c r="AI781" s="17">
        <v>832600</v>
      </c>
      <c r="AJ781" s="17">
        <v>1332000</v>
      </c>
      <c r="AK781" s="17">
        <v>3393300</v>
      </c>
      <c r="AL781" s="17">
        <v>4725300</v>
      </c>
      <c r="AM781" s="17">
        <v>5557900.0000000009</v>
      </c>
      <c r="AN781" s="17">
        <v>2400300</v>
      </c>
      <c r="AO781" s="17">
        <v>181903100000</v>
      </c>
      <c r="AP781" s="17">
        <v>386364000000</v>
      </c>
      <c r="AQ781" s="17">
        <v>1396364300000</v>
      </c>
      <c r="AR781" s="17">
        <v>1782728300000</v>
      </c>
      <c r="AS781" s="17">
        <v>1964631400000.0002</v>
      </c>
      <c r="AT781" s="17">
        <v>1401596800000</v>
      </c>
      <c r="AU781" s="15" t="s">
        <v>1379</v>
      </c>
      <c r="AV781" s="15" t="s">
        <v>1379</v>
      </c>
      <c r="BG781" s="15"/>
      <c r="BM781" s="17"/>
      <c r="BN781" s="17"/>
      <c r="BO781" s="17"/>
      <c r="BP781" s="17"/>
      <c r="BQ781" s="17"/>
      <c r="BW781" s="17"/>
    </row>
    <row r="782" spans="1:75" hidden="1" x14ac:dyDescent="0.25">
      <c r="A782" s="15" t="s">
        <v>1383</v>
      </c>
      <c r="B782" s="15" t="s">
        <v>30</v>
      </c>
      <c r="C782" s="15">
        <v>2017</v>
      </c>
      <c r="D782" s="15" t="s">
        <v>1384</v>
      </c>
      <c r="E782" s="15">
        <v>40530</v>
      </c>
      <c r="F782" s="15">
        <v>66022273</v>
      </c>
      <c r="G782" s="15" t="s">
        <v>109</v>
      </c>
      <c r="H782" s="15" t="s">
        <v>43</v>
      </c>
      <c r="I782" s="15" t="s">
        <v>1385</v>
      </c>
      <c r="J782" s="15" t="s">
        <v>1386</v>
      </c>
      <c r="K782" s="15" t="s">
        <v>190</v>
      </c>
      <c r="L782" s="15" t="s">
        <v>48</v>
      </c>
      <c r="M782" s="15" t="s">
        <v>62</v>
      </c>
      <c r="N782" s="15" t="s">
        <v>63</v>
      </c>
      <c r="O782" s="15"/>
      <c r="P782" s="15"/>
      <c r="Q782" s="15"/>
      <c r="R782" s="15"/>
      <c r="S782" s="15"/>
      <c r="T782" s="15" t="s">
        <v>1870</v>
      </c>
      <c r="U782" s="15" t="s">
        <v>1819</v>
      </c>
      <c r="V782" s="15" t="s">
        <v>1869</v>
      </c>
      <c r="W782" s="15" t="s">
        <v>1390</v>
      </c>
      <c r="X782" s="15" t="s">
        <v>55</v>
      </c>
      <c r="Y782" s="17">
        <v>2386740</v>
      </c>
      <c r="Z782" s="17">
        <v>231715</v>
      </c>
      <c r="AA782" s="17">
        <v>40530</v>
      </c>
      <c r="AB782" s="17">
        <v>272245</v>
      </c>
      <c r="AC782" s="17">
        <v>2658985</v>
      </c>
      <c r="AD782" s="17">
        <v>9825</v>
      </c>
      <c r="AE782" s="51">
        <f t="shared" si="94"/>
        <v>36.150527565144571</v>
      </c>
      <c r="AF782" s="51">
        <f t="shared" si="95"/>
        <v>4.1235326751019308</v>
      </c>
      <c r="AG782" s="51">
        <f t="shared" si="96"/>
        <v>40.274060240246499</v>
      </c>
      <c r="AH782" s="51">
        <f t="shared" si="97"/>
        <v>0.14881341634511736</v>
      </c>
      <c r="AU782" s="15" t="s">
        <v>1391</v>
      </c>
      <c r="AV782" s="15" t="s">
        <v>1391</v>
      </c>
      <c r="BG782" s="15"/>
      <c r="BM782" s="17"/>
      <c r="BN782" s="17"/>
      <c r="BO782" s="17"/>
      <c r="BP782" s="17"/>
      <c r="BQ782" s="17"/>
      <c r="BW782" s="17"/>
    </row>
    <row r="783" spans="1:75" hidden="1" x14ac:dyDescent="0.25">
      <c r="A783" s="15" t="s">
        <v>1383</v>
      </c>
      <c r="B783" s="15" t="s">
        <v>30</v>
      </c>
      <c r="C783" s="15">
        <v>2016</v>
      </c>
      <c r="D783" s="15" t="s">
        <v>1384</v>
      </c>
      <c r="E783" s="15">
        <v>42370</v>
      </c>
      <c r="F783" s="15">
        <v>66022273</v>
      </c>
      <c r="G783" s="15" t="s">
        <v>109</v>
      </c>
      <c r="H783" s="15" t="s">
        <v>43</v>
      </c>
      <c r="I783" s="15" t="s">
        <v>1385</v>
      </c>
      <c r="J783" s="15" t="s">
        <v>1386</v>
      </c>
      <c r="K783" s="15" t="s">
        <v>190</v>
      </c>
      <c r="L783" s="15" t="s">
        <v>48</v>
      </c>
      <c r="M783" s="15" t="s">
        <v>62</v>
      </c>
      <c r="N783" s="15" t="s">
        <v>63</v>
      </c>
      <c r="O783" s="15"/>
      <c r="P783" s="15"/>
      <c r="Q783" s="15"/>
      <c r="R783" s="15"/>
      <c r="S783" s="15"/>
      <c r="T783" s="15" t="s">
        <v>1387</v>
      </c>
      <c r="U783" s="15" t="s">
        <v>1388</v>
      </c>
      <c r="V783" s="15" t="s">
        <v>1389</v>
      </c>
      <c r="W783" s="15" t="s">
        <v>1390</v>
      </c>
      <c r="X783" s="15" t="s">
        <v>55</v>
      </c>
      <c r="Y783" s="17">
        <v>2277480</v>
      </c>
      <c r="Z783" s="17">
        <v>227450</v>
      </c>
      <c r="AA783" s="17">
        <v>39890</v>
      </c>
      <c r="AB783" s="17">
        <v>267340</v>
      </c>
      <c r="AC783" s="17">
        <v>2544820</v>
      </c>
      <c r="AD783" s="17">
        <v>9690</v>
      </c>
      <c r="AE783" s="51">
        <f t="shared" si="94"/>
        <v>34.49563149696467</v>
      </c>
      <c r="AF783" s="51">
        <f t="shared" si="95"/>
        <v>4.0492395649571176</v>
      </c>
      <c r="AG783" s="51">
        <f t="shared" si="96"/>
        <v>38.544871061921789</v>
      </c>
      <c r="AH783" s="51">
        <f t="shared" si="97"/>
        <v>0.1467686518457188</v>
      </c>
      <c r="BG783" s="15"/>
      <c r="BM783" s="17"/>
      <c r="BN783" s="17"/>
      <c r="BO783" s="17"/>
      <c r="BP783" s="17"/>
      <c r="BQ783" s="17"/>
      <c r="BW783" s="17"/>
    </row>
    <row r="784" spans="1:75" hidden="1" x14ac:dyDescent="0.25">
      <c r="A784" s="15" t="s">
        <v>1383</v>
      </c>
      <c r="B784" s="15" t="s">
        <v>30</v>
      </c>
      <c r="C784" s="15">
        <v>2015</v>
      </c>
      <c r="D784" s="15" t="s">
        <v>1384</v>
      </c>
      <c r="E784" s="15">
        <v>43720</v>
      </c>
      <c r="F784" s="15">
        <v>65128861</v>
      </c>
      <c r="G784" s="15" t="s">
        <v>109</v>
      </c>
      <c r="H784" s="15" t="s">
        <v>43</v>
      </c>
      <c r="I784" s="15" t="s">
        <v>1385</v>
      </c>
      <c r="J784" s="15" t="s">
        <v>1386</v>
      </c>
      <c r="K784" s="15" t="s">
        <v>190</v>
      </c>
      <c r="L784" s="15" t="s">
        <v>48</v>
      </c>
      <c r="M784" s="15" t="s">
        <v>62</v>
      </c>
      <c r="N784" s="15" t="s">
        <v>63</v>
      </c>
      <c r="O784" s="15"/>
      <c r="P784" s="15"/>
      <c r="Q784" s="15"/>
      <c r="R784" s="15"/>
      <c r="S784" s="15"/>
      <c r="T784" s="15" t="s">
        <v>1387</v>
      </c>
      <c r="U784" s="15" t="s">
        <v>1388</v>
      </c>
      <c r="V784" s="15" t="s">
        <v>1389</v>
      </c>
      <c r="W784" s="15" t="s">
        <v>1390</v>
      </c>
      <c r="X784" s="15" t="s">
        <v>55</v>
      </c>
      <c r="Y784" s="17">
        <v>2173355</v>
      </c>
      <c r="Z784" s="17">
        <v>227770</v>
      </c>
      <c r="AA784" s="17">
        <v>38940</v>
      </c>
      <c r="AB784" s="17">
        <v>266710</v>
      </c>
      <c r="AC784" s="17">
        <v>2440065</v>
      </c>
      <c r="AD784" s="17">
        <v>9350</v>
      </c>
      <c r="AE784" s="51">
        <f t="shared" si="94"/>
        <v>33.370075364898518</v>
      </c>
      <c r="AF784" s="51">
        <f t="shared" si="95"/>
        <v>4.0951123035914909</v>
      </c>
      <c r="AG784" s="51">
        <f t="shared" si="96"/>
        <v>37.46518766849001</v>
      </c>
      <c r="AH784" s="51">
        <f t="shared" si="97"/>
        <v>0.1435615463933877</v>
      </c>
      <c r="BG784" s="15"/>
      <c r="BM784" s="17"/>
      <c r="BN784" s="17"/>
      <c r="BO784" s="17"/>
      <c r="BP784" s="17"/>
      <c r="BQ784" s="17"/>
      <c r="BW784" s="17"/>
    </row>
    <row r="785" spans="1:75" hidden="1" x14ac:dyDescent="0.25">
      <c r="A785" s="15" t="s">
        <v>1383</v>
      </c>
      <c r="B785" s="15" t="s">
        <v>30</v>
      </c>
      <c r="C785" s="15">
        <v>2014</v>
      </c>
      <c r="D785" s="15" t="s">
        <v>1384</v>
      </c>
      <c r="E785" s="15">
        <v>43740</v>
      </c>
      <c r="F785" s="15">
        <v>64613160</v>
      </c>
      <c r="G785" s="15" t="s">
        <v>109</v>
      </c>
      <c r="H785" s="15" t="s">
        <v>43</v>
      </c>
      <c r="I785" s="15" t="s">
        <v>1385</v>
      </c>
      <c r="J785" s="15" t="s">
        <v>1386</v>
      </c>
      <c r="K785" s="15" t="s">
        <v>190</v>
      </c>
      <c r="L785" s="15" t="s">
        <v>48</v>
      </c>
      <c r="M785" s="15" t="s">
        <v>62</v>
      </c>
      <c r="N785" s="15" t="s">
        <v>63</v>
      </c>
      <c r="O785" s="15"/>
      <c r="P785" s="15"/>
      <c r="Q785" s="15"/>
      <c r="R785" s="15"/>
      <c r="S785" s="15"/>
      <c r="T785" s="15" t="s">
        <v>1387</v>
      </c>
      <c r="U785" s="15" t="s">
        <v>1388</v>
      </c>
      <c r="V785" s="15" t="s">
        <v>1389</v>
      </c>
      <c r="W785" s="15" t="s">
        <v>1390</v>
      </c>
      <c r="X785" s="15" t="s">
        <v>55</v>
      </c>
      <c r="Y785" s="17">
        <v>1998860</v>
      </c>
      <c r="Z785" s="17">
        <v>218085</v>
      </c>
      <c r="AA785" s="17">
        <v>37635</v>
      </c>
      <c r="AB785" s="17">
        <v>255720</v>
      </c>
      <c r="AC785" s="17">
        <v>2254580</v>
      </c>
      <c r="AD785" s="17">
        <v>9070</v>
      </c>
      <c r="AE785" s="51">
        <f t="shared" si="94"/>
        <v>30.935803170747256</v>
      </c>
      <c r="AF785" s="51">
        <f t="shared" si="95"/>
        <v>3.9577076867932166</v>
      </c>
      <c r="AG785" s="51">
        <f t="shared" si="96"/>
        <v>34.893510857540477</v>
      </c>
      <c r="AH785" s="51">
        <f t="shared" si="97"/>
        <v>0.14037388049121882</v>
      </c>
      <c r="AL785" s="17" t="s">
        <v>705</v>
      </c>
      <c r="BG785" s="15"/>
      <c r="BM785" s="17"/>
      <c r="BN785" s="17"/>
      <c r="BO785" s="17"/>
      <c r="BP785" s="17"/>
      <c r="BQ785" s="17"/>
      <c r="BW785" s="17"/>
    </row>
    <row r="786" spans="1:75" hidden="1" x14ac:dyDescent="0.25">
      <c r="A786" s="15" t="s">
        <v>1383</v>
      </c>
      <c r="B786" s="15" t="s">
        <v>52</v>
      </c>
      <c r="C786" s="15">
        <v>2016</v>
      </c>
      <c r="D786" s="15" t="s">
        <v>1384</v>
      </c>
      <c r="E786" s="15">
        <v>42370</v>
      </c>
      <c r="F786" s="15">
        <v>66022273</v>
      </c>
      <c r="G786" s="15" t="s">
        <v>109</v>
      </c>
      <c r="H786" s="15" t="s">
        <v>43</v>
      </c>
      <c r="I786" s="15" t="s">
        <v>1392</v>
      </c>
      <c r="J786" s="15" t="s">
        <v>1393</v>
      </c>
      <c r="K786" s="15" t="s">
        <v>92</v>
      </c>
      <c r="L786" s="15" t="s">
        <v>48</v>
      </c>
      <c r="M786" s="15" t="s">
        <v>62</v>
      </c>
      <c r="N786" s="15" t="s">
        <v>63</v>
      </c>
      <c r="O786" s="15"/>
      <c r="P786" s="15"/>
      <c r="Q786" s="15"/>
      <c r="R786" s="15"/>
      <c r="S786" s="15"/>
      <c r="T786" s="15"/>
      <c r="U786" s="15"/>
      <c r="V786" s="15"/>
      <c r="W786" s="15"/>
      <c r="X786" s="15" t="s">
        <v>1394</v>
      </c>
      <c r="Y786" s="17">
        <v>1081425</v>
      </c>
      <c r="Z786" s="17">
        <v>203550</v>
      </c>
      <c r="AA786" s="17">
        <v>33310</v>
      </c>
      <c r="AB786" s="17">
        <v>236860</v>
      </c>
      <c r="AC786" s="17">
        <v>1318285</v>
      </c>
      <c r="AD786" s="17">
        <v>7200</v>
      </c>
      <c r="AE786" s="51">
        <f t="shared" si="94"/>
        <v>16.379699620459899</v>
      </c>
      <c r="AF786" s="51">
        <f t="shared" si="95"/>
        <v>3.5875771802040197</v>
      </c>
      <c r="AG786" s="51">
        <f t="shared" si="96"/>
        <v>19.967276800663925</v>
      </c>
      <c r="AH786" s="51">
        <f t="shared" si="97"/>
        <v>0.10905410663458982</v>
      </c>
      <c r="BE786" s="16">
        <v>94359000000000</v>
      </c>
      <c r="BF786" s="42">
        <v>0.2104</v>
      </c>
      <c r="BM786" s="17"/>
      <c r="BN786" s="17"/>
      <c r="BO786" s="17"/>
      <c r="BP786" s="17"/>
      <c r="BQ786" s="17"/>
      <c r="BW786" s="17"/>
    </row>
    <row r="787" spans="1:75" hidden="1" x14ac:dyDescent="0.25">
      <c r="A787" s="15" t="s">
        <v>1383</v>
      </c>
      <c r="B787" s="15" t="s">
        <v>52</v>
      </c>
      <c r="C787" s="15">
        <v>2015</v>
      </c>
      <c r="D787" s="15" t="s">
        <v>1384</v>
      </c>
      <c r="E787" s="15">
        <v>43720</v>
      </c>
      <c r="F787" s="15">
        <v>65128861</v>
      </c>
      <c r="G787" s="15" t="s">
        <v>109</v>
      </c>
      <c r="H787" s="15" t="s">
        <v>43</v>
      </c>
      <c r="I787" s="15" t="s">
        <v>1392</v>
      </c>
      <c r="J787" s="15" t="s">
        <v>1393</v>
      </c>
      <c r="K787" s="15" t="s">
        <v>92</v>
      </c>
      <c r="L787" s="15" t="s">
        <v>48</v>
      </c>
      <c r="M787" s="15" t="s">
        <v>62</v>
      </c>
      <c r="N787" s="15" t="s">
        <v>63</v>
      </c>
      <c r="O787" s="15"/>
      <c r="P787" s="15"/>
      <c r="Q787" s="15"/>
      <c r="R787" s="15"/>
      <c r="S787" s="15"/>
      <c r="T787" s="15"/>
      <c r="U787" s="15"/>
      <c r="V787" s="15"/>
      <c r="W787" s="15"/>
      <c r="X787" s="15" t="s">
        <v>1394</v>
      </c>
      <c r="AE787" s="51" t="str">
        <f t="shared" si="94"/>
        <v/>
      </c>
      <c r="AF787" s="51" t="str">
        <f t="shared" si="95"/>
        <v/>
      </c>
      <c r="AG787" s="51" t="str">
        <f t="shared" si="96"/>
        <v/>
      </c>
      <c r="AH787" s="51" t="str">
        <f t="shared" si="97"/>
        <v/>
      </c>
      <c r="BE787" s="16">
        <v>96565000000000</v>
      </c>
      <c r="BF787" s="42">
        <v>0.22509999999999999</v>
      </c>
      <c r="BM787" s="17"/>
      <c r="BN787" s="17"/>
      <c r="BO787" s="17"/>
      <c r="BP787" s="17"/>
      <c r="BQ787" s="17"/>
      <c r="BW787" s="17"/>
    </row>
    <row r="788" spans="1:75" hidden="1" x14ac:dyDescent="0.25">
      <c r="A788" s="15" t="s">
        <v>1383</v>
      </c>
      <c r="B788" s="15" t="s">
        <v>52</v>
      </c>
      <c r="C788" s="15">
        <v>2014</v>
      </c>
      <c r="D788" s="15" t="s">
        <v>1384</v>
      </c>
      <c r="E788" s="15">
        <v>43740</v>
      </c>
      <c r="F788" s="15">
        <v>64613160</v>
      </c>
      <c r="G788" s="15" t="s">
        <v>109</v>
      </c>
      <c r="H788" s="15" t="s">
        <v>43</v>
      </c>
      <c r="I788" s="15" t="s">
        <v>1392</v>
      </c>
      <c r="J788" s="15" t="s">
        <v>1393</v>
      </c>
      <c r="K788" s="15" t="s">
        <v>92</v>
      </c>
      <c r="L788" s="15" t="s">
        <v>48</v>
      </c>
      <c r="M788" s="15" t="s">
        <v>62</v>
      </c>
      <c r="N788" s="15" t="s">
        <v>63</v>
      </c>
      <c r="O788" s="15"/>
      <c r="P788" s="15"/>
      <c r="Q788" s="15"/>
      <c r="R788" s="15"/>
      <c r="S788" s="15"/>
      <c r="T788" s="15"/>
      <c r="U788" s="15"/>
      <c r="V788" s="15"/>
      <c r="W788" s="15"/>
      <c r="X788" s="15" t="s">
        <v>1394</v>
      </c>
      <c r="AE788" s="51" t="str">
        <f t="shared" si="94"/>
        <v/>
      </c>
      <c r="AF788" s="51" t="str">
        <f t="shared" si="95"/>
        <v/>
      </c>
      <c r="AG788" s="51" t="str">
        <f t="shared" si="96"/>
        <v/>
      </c>
      <c r="AH788" s="51" t="str">
        <f t="shared" si="97"/>
        <v/>
      </c>
      <c r="BE788" s="16">
        <v>97940000000000</v>
      </c>
      <c r="BF788" s="42">
        <v>0.22520000000000001</v>
      </c>
      <c r="BM788" s="17"/>
      <c r="BN788" s="17"/>
      <c r="BO788" s="17"/>
      <c r="BP788" s="17"/>
      <c r="BQ788" s="17"/>
      <c r="BW788" s="17"/>
    </row>
    <row r="789" spans="1:75" ht="15.75" hidden="1" customHeight="1" x14ac:dyDescent="0.25">
      <c r="A789" s="15" t="s">
        <v>1383</v>
      </c>
      <c r="B789" s="15" t="s">
        <v>52</v>
      </c>
      <c r="C789" s="15">
        <v>2013</v>
      </c>
      <c r="D789" s="15" t="s">
        <v>1384</v>
      </c>
      <c r="E789" s="15">
        <v>42340</v>
      </c>
      <c r="F789" s="15">
        <v>64128226</v>
      </c>
      <c r="G789" s="15" t="s">
        <v>109</v>
      </c>
      <c r="H789" s="15" t="s">
        <v>43</v>
      </c>
      <c r="I789" s="15" t="s">
        <v>1392</v>
      </c>
      <c r="J789" s="15" t="s">
        <v>1393</v>
      </c>
      <c r="K789" s="15" t="s">
        <v>92</v>
      </c>
      <c r="L789" s="15" t="s">
        <v>48</v>
      </c>
      <c r="M789" s="15" t="s">
        <v>62</v>
      </c>
      <c r="N789" s="15" t="s">
        <v>63</v>
      </c>
      <c r="O789" s="15"/>
      <c r="P789" s="15"/>
      <c r="Q789" s="15"/>
      <c r="R789" s="15"/>
      <c r="S789" s="15"/>
      <c r="T789" s="15"/>
      <c r="U789" s="15"/>
      <c r="V789" s="15"/>
      <c r="W789" s="15"/>
      <c r="X789" s="15" t="s">
        <v>1394</v>
      </c>
      <c r="AE789" s="51" t="str">
        <f t="shared" si="94"/>
        <v/>
      </c>
      <c r="AF789" s="51" t="str">
        <f t="shared" si="95"/>
        <v/>
      </c>
      <c r="AG789" s="51" t="str">
        <f t="shared" si="96"/>
        <v/>
      </c>
      <c r="AH789" s="51" t="str">
        <f t="shared" si="97"/>
        <v/>
      </c>
      <c r="BE789" s="16">
        <v>99828000000000</v>
      </c>
      <c r="BF789" s="42">
        <v>0.2213</v>
      </c>
      <c r="BM789" s="17"/>
      <c r="BN789" s="17"/>
      <c r="BO789" s="17"/>
      <c r="BP789" s="17"/>
      <c r="BQ789" s="17"/>
      <c r="BW789" s="17"/>
    </row>
    <row r="790" spans="1:75" hidden="1" x14ac:dyDescent="0.25">
      <c r="A790" s="15" t="s">
        <v>1383</v>
      </c>
      <c r="B790" s="15" t="s">
        <v>52</v>
      </c>
      <c r="C790" s="15">
        <v>2012</v>
      </c>
      <c r="D790" s="15" t="s">
        <v>1384</v>
      </c>
      <c r="E790" s="15">
        <v>41200</v>
      </c>
      <c r="F790" s="15">
        <v>63700300</v>
      </c>
      <c r="G790" s="15" t="s">
        <v>109</v>
      </c>
      <c r="H790" s="15" t="s">
        <v>43</v>
      </c>
      <c r="I790" s="15" t="s">
        <v>1392</v>
      </c>
      <c r="J790" s="15" t="s">
        <v>1393</v>
      </c>
      <c r="K790" s="15" t="s">
        <v>92</v>
      </c>
      <c r="L790" s="15" t="s">
        <v>48</v>
      </c>
      <c r="M790" s="15" t="s">
        <v>62</v>
      </c>
      <c r="N790" s="15" t="s">
        <v>63</v>
      </c>
      <c r="O790" s="15"/>
      <c r="P790" s="15"/>
      <c r="Q790" s="15"/>
      <c r="R790" s="15"/>
      <c r="S790" s="15"/>
      <c r="T790" s="15"/>
      <c r="U790" s="15"/>
      <c r="V790" s="15"/>
      <c r="W790" s="15"/>
      <c r="X790" s="15" t="s">
        <v>1394</v>
      </c>
      <c r="AE790" s="51" t="str">
        <f t="shared" si="94"/>
        <v/>
      </c>
      <c r="AF790" s="51" t="str">
        <f t="shared" si="95"/>
        <v/>
      </c>
      <c r="AG790" s="51" t="str">
        <f t="shared" si="96"/>
        <v/>
      </c>
      <c r="AH790" s="51" t="str">
        <f t="shared" si="97"/>
        <v/>
      </c>
      <c r="BE790" s="16">
        <v>102050000000000</v>
      </c>
      <c r="BF790" s="42">
        <v>0.21510000000000001</v>
      </c>
      <c r="BM790" s="17"/>
      <c r="BN790" s="17"/>
      <c r="BO790" s="17"/>
      <c r="BP790" s="17"/>
      <c r="BQ790" s="17"/>
      <c r="BW790" s="17"/>
    </row>
    <row r="791" spans="1:75" hidden="1" x14ac:dyDescent="0.25">
      <c r="A791" s="15" t="s">
        <v>1383</v>
      </c>
      <c r="B791" s="15" t="s">
        <v>52</v>
      </c>
      <c r="C791" s="15">
        <v>2011</v>
      </c>
      <c r="D791" s="15" t="s">
        <v>1384</v>
      </c>
      <c r="E791" s="15">
        <v>40620</v>
      </c>
      <c r="F791" s="15">
        <v>63258918</v>
      </c>
      <c r="G791" s="15" t="s">
        <v>109</v>
      </c>
      <c r="H791" s="15" t="s">
        <v>43</v>
      </c>
      <c r="I791" s="15" t="s">
        <v>1392</v>
      </c>
      <c r="J791" s="15" t="s">
        <v>1393</v>
      </c>
      <c r="K791" s="15" t="s">
        <v>92</v>
      </c>
      <c r="L791" s="15" t="s">
        <v>48</v>
      </c>
      <c r="M791" s="15" t="s">
        <v>62</v>
      </c>
      <c r="N791" s="15" t="s">
        <v>63</v>
      </c>
      <c r="O791" s="15"/>
      <c r="P791" s="15"/>
      <c r="Q791" s="15"/>
      <c r="R791" s="15"/>
      <c r="S791" s="15"/>
      <c r="T791" s="15"/>
      <c r="U791" s="15"/>
      <c r="V791" s="15"/>
      <c r="W791" s="15"/>
      <c r="X791" s="15" t="s">
        <v>1394</v>
      </c>
      <c r="AE791" s="51" t="str">
        <f t="shared" si="94"/>
        <v/>
      </c>
      <c r="AF791" s="51" t="str">
        <f t="shared" si="95"/>
        <v/>
      </c>
      <c r="AG791" s="51" t="str">
        <f t="shared" si="96"/>
        <v/>
      </c>
      <c r="AH791" s="51" t="str">
        <f t="shared" si="97"/>
        <v/>
      </c>
      <c r="BE791" s="16">
        <v>106849000000000</v>
      </c>
      <c r="BF791" s="42">
        <v>0.21129999999999999</v>
      </c>
      <c r="BM791" s="17"/>
      <c r="BN791" s="17"/>
      <c r="BO791" s="17"/>
      <c r="BP791" s="17"/>
      <c r="BQ791" s="17"/>
      <c r="BW791" s="17"/>
    </row>
    <row r="792" spans="1:75" hidden="1" x14ac:dyDescent="0.25">
      <c r="A792" s="15" t="s">
        <v>1395</v>
      </c>
      <c r="B792" s="15" t="s">
        <v>30</v>
      </c>
      <c r="C792" s="15">
        <v>2016</v>
      </c>
      <c r="D792" s="15" t="s">
        <v>1396</v>
      </c>
      <c r="E792" s="15">
        <v>56800</v>
      </c>
      <c r="F792" s="15">
        <v>325719178</v>
      </c>
      <c r="G792" s="15" t="s">
        <v>109</v>
      </c>
      <c r="H792" s="15" t="s">
        <v>300</v>
      </c>
      <c r="I792" s="15" t="s">
        <v>2023</v>
      </c>
      <c r="J792" s="64" t="s">
        <v>2022</v>
      </c>
      <c r="K792" s="15" t="s">
        <v>1354</v>
      </c>
      <c r="L792" s="15" t="s">
        <v>309</v>
      </c>
      <c r="M792" s="15" t="s">
        <v>422</v>
      </c>
      <c r="N792" s="15" t="s">
        <v>1084</v>
      </c>
      <c r="O792" s="15"/>
      <c r="P792" s="15"/>
      <c r="Q792" s="15"/>
      <c r="R792" s="15"/>
      <c r="S792" s="15" t="s">
        <v>102</v>
      </c>
      <c r="T792" s="15"/>
      <c r="U792" s="15"/>
      <c r="V792" s="15"/>
      <c r="W792" s="15"/>
      <c r="X792" s="15" t="s">
        <v>102</v>
      </c>
      <c r="Y792" s="17">
        <v>31440440</v>
      </c>
      <c r="Z792" s="17">
        <v>941284</v>
      </c>
      <c r="AA792" s="17">
        <v>168803</v>
      </c>
      <c r="AB792" s="17">
        <f>+Z792+AA792</f>
        <v>1110087</v>
      </c>
      <c r="AC792" s="17">
        <f>+Y792+AB792</f>
        <v>32550527</v>
      </c>
      <c r="AD792" s="17">
        <v>20328</v>
      </c>
      <c r="AE792" s="51">
        <f>IF(ISERROR((Y792/$F792)*1000),"",IF((Y792/$F792)*1000=0,"",(Y792/$F792)*1000))</f>
        <v>96.526216825955515</v>
      </c>
      <c r="AF792" s="51">
        <f>IF(ISERROR((AB792/$F792)*1000),"",IF((AB792/$F792)*1000=0,"",(AB792/$F792)*1000))</f>
        <v>3.408110651685361</v>
      </c>
      <c r="AG792" s="51">
        <f>IF(ISERROR((AC792/$F792)*1000),"",IF((AC792/$F792)*1000=0,"",(AC792/$F792)*1000))</f>
        <v>99.934327477640878</v>
      </c>
      <c r="AH792" s="51">
        <f>IF(ISERROR((AD792/$F792)*1000),"",IF((AD792/$F792)*1000=0,"",(AD792/$F792)*1000))</f>
        <v>6.2409588912814951E-2</v>
      </c>
      <c r="AI792" s="17">
        <v>21391399</v>
      </c>
      <c r="AJ792" s="17">
        <v>20780702</v>
      </c>
      <c r="AK792" s="17">
        <v>17500851</v>
      </c>
      <c r="AL792" s="17">
        <f t="shared" ref="AL792:AL793" si="98">+AJ792+AK792</f>
        <v>38281553</v>
      </c>
      <c r="AM792" s="17">
        <f t="shared" ref="AM792:AM793" si="99">+AL792+AI792</f>
        <v>59672952</v>
      </c>
      <c r="AN792" s="17">
        <v>64558383</v>
      </c>
      <c r="BG792" s="15"/>
      <c r="BM792" s="17"/>
      <c r="BN792" s="17"/>
      <c r="BO792" s="17"/>
      <c r="BP792" s="17"/>
      <c r="BQ792" s="17"/>
      <c r="BW792" s="17"/>
    </row>
    <row r="793" spans="1:75" hidden="1" x14ac:dyDescent="0.25">
      <c r="A793" s="15" t="s">
        <v>1395</v>
      </c>
      <c r="B793" s="15" t="s">
        <v>30</v>
      </c>
      <c r="C793" s="15">
        <v>2015</v>
      </c>
      <c r="D793" s="15" t="s">
        <v>1396</v>
      </c>
      <c r="E793" s="15">
        <v>56300</v>
      </c>
      <c r="F793" s="15">
        <v>321039839</v>
      </c>
      <c r="G793" s="15" t="s">
        <v>109</v>
      </c>
      <c r="H793" s="15" t="s">
        <v>300</v>
      </c>
      <c r="I793" s="15" t="s">
        <v>2023</v>
      </c>
      <c r="J793" s="64" t="s">
        <v>2022</v>
      </c>
      <c r="K793" s="15" t="s">
        <v>1354</v>
      </c>
      <c r="L793" s="15" t="s">
        <v>309</v>
      </c>
      <c r="M793" s="15" t="s">
        <v>422</v>
      </c>
      <c r="N793" s="15" t="s">
        <v>1084</v>
      </c>
      <c r="O793" s="15"/>
      <c r="P793" s="15"/>
      <c r="Q793" s="15"/>
      <c r="R793" s="15"/>
      <c r="S793" s="15" t="s">
        <v>102</v>
      </c>
      <c r="T793" s="15"/>
      <c r="U793" s="15"/>
      <c r="V793" s="15"/>
      <c r="W793" s="15"/>
      <c r="X793" s="15" t="s">
        <v>102</v>
      </c>
      <c r="Y793" s="17">
        <v>30890802</v>
      </c>
      <c r="Z793" s="17">
        <v>918713</v>
      </c>
      <c r="AA793" s="17">
        <v>165816</v>
      </c>
      <c r="AB793" s="17">
        <f t="shared" ref="AB793:AB798" si="100">+Z793+AA793</f>
        <v>1084529</v>
      </c>
      <c r="AC793" s="17">
        <f t="shared" ref="AC793:AC798" si="101">+Y793+AB793</f>
        <v>31975331</v>
      </c>
      <c r="AD793" s="17">
        <v>20010</v>
      </c>
      <c r="AE793" s="51">
        <f t="shared" ref="AE793:AE798" si="102">IF(ISERROR((Y793/$F793)*1000),"",IF((Y793/$F793)*1000=0,"",(Y793/$F793)*1000))</f>
        <v>96.221086131307217</v>
      </c>
      <c r="AF793" s="51">
        <f t="shared" ref="AF793:AF798" si="103">IF(ISERROR((AB793/$F793)*1000),"",IF((AB793/$F793)*1000=0,"",(AB793/$F793)*1000))</f>
        <v>3.3781757534459764</v>
      </c>
      <c r="AG793" s="51">
        <f t="shared" ref="AG793:AG798" si="104">IF(ISERROR((AC793/$F793)*1000),"",IF((AC793/$F793)*1000=0,"",(AC793/$F793)*1000))</f>
        <v>99.599261884753176</v>
      </c>
      <c r="AH793" s="51">
        <f t="shared" ref="AH793:AH798" si="105">IF(ISERROR((AD793/$F793)*1000),"",IF((AD793/$F793)*1000=0,"",(AD793/$F793)*1000))</f>
        <v>6.2328713041748071E-2</v>
      </c>
      <c r="AI793" s="17">
        <v>21153253</v>
      </c>
      <c r="AJ793" s="17">
        <v>20361862</v>
      </c>
      <c r="AK793" s="17">
        <v>17068317</v>
      </c>
      <c r="AL793" s="17">
        <f t="shared" si="98"/>
        <v>37430179</v>
      </c>
      <c r="AM793" s="17">
        <f t="shared" si="99"/>
        <v>58583432</v>
      </c>
      <c r="AN793" s="17">
        <v>63054019</v>
      </c>
      <c r="BG793" s="15"/>
      <c r="BM793" s="17"/>
      <c r="BN793" s="17"/>
      <c r="BO793" s="17"/>
      <c r="BP793" s="17"/>
      <c r="BQ793" s="17"/>
      <c r="BW793" s="17"/>
    </row>
    <row r="794" spans="1:75" hidden="1" x14ac:dyDescent="0.25">
      <c r="A794" s="15" t="s">
        <v>1395</v>
      </c>
      <c r="B794" s="15" t="s">
        <v>30</v>
      </c>
      <c r="C794" s="15">
        <v>2014</v>
      </c>
      <c r="D794" s="15" t="s">
        <v>1396</v>
      </c>
      <c r="E794" s="15">
        <v>55340</v>
      </c>
      <c r="F794" s="15">
        <v>318622525</v>
      </c>
      <c r="G794" s="15" t="s">
        <v>109</v>
      </c>
      <c r="H794" s="15" t="s">
        <v>300</v>
      </c>
      <c r="I794" s="15" t="s">
        <v>2023</v>
      </c>
      <c r="J794" s="64" t="s">
        <v>2022</v>
      </c>
      <c r="K794" s="15" t="s">
        <v>1354</v>
      </c>
      <c r="L794" s="15" t="s">
        <v>309</v>
      </c>
      <c r="M794" s="15" t="s">
        <v>422</v>
      </c>
      <c r="N794" s="15" t="s">
        <v>1084</v>
      </c>
      <c r="O794" s="15"/>
      <c r="P794" s="15"/>
      <c r="Q794" s="15"/>
      <c r="R794" s="15"/>
      <c r="S794" s="15" t="s">
        <v>102</v>
      </c>
      <c r="T794" s="15"/>
      <c r="U794" s="15"/>
      <c r="V794" s="15"/>
      <c r="W794" s="15"/>
      <c r="X794" s="15" t="s">
        <v>102</v>
      </c>
      <c r="Y794" s="17">
        <v>29042577</v>
      </c>
      <c r="Z794" s="17">
        <v>513179</v>
      </c>
      <c r="AA794" s="17">
        <v>87563</v>
      </c>
      <c r="AB794" s="17">
        <f t="shared" si="100"/>
        <v>600742</v>
      </c>
      <c r="AC794" s="17">
        <f t="shared" si="101"/>
        <v>29643319</v>
      </c>
      <c r="AD794" s="17">
        <v>19076</v>
      </c>
      <c r="AE794" s="51">
        <f t="shared" si="102"/>
        <v>91.150420077802096</v>
      </c>
      <c r="AF794" s="51">
        <f t="shared" si="103"/>
        <v>1.8854348103606298</v>
      </c>
      <c r="AG794" s="51">
        <f t="shared" si="104"/>
        <v>93.035854888162731</v>
      </c>
      <c r="AH794" s="51">
        <f t="shared" si="105"/>
        <v>5.9870217901261062E-2</v>
      </c>
      <c r="AI794" s="17">
        <v>20687543</v>
      </c>
      <c r="AJ794" s="17">
        <v>20121588</v>
      </c>
      <c r="AK794" s="17">
        <v>17085461</v>
      </c>
      <c r="AL794" s="17">
        <v>37207049</v>
      </c>
      <c r="AM794" s="17">
        <v>57894592</v>
      </c>
      <c r="AN794" s="17">
        <v>63175352</v>
      </c>
      <c r="BG794" s="15"/>
      <c r="BM794" s="17"/>
      <c r="BN794" s="17"/>
      <c r="BO794" s="17"/>
      <c r="BP794" s="17"/>
      <c r="BQ794" s="17"/>
      <c r="BS794" s="15" t="s">
        <v>2021</v>
      </c>
      <c r="BW794" s="17"/>
    </row>
    <row r="795" spans="1:75" hidden="1" x14ac:dyDescent="0.25">
      <c r="A795" s="15" t="s">
        <v>1395</v>
      </c>
      <c r="B795" s="15" t="s">
        <v>30</v>
      </c>
      <c r="C795" s="15">
        <v>2013</v>
      </c>
      <c r="D795" s="15" t="s">
        <v>1396</v>
      </c>
      <c r="E795" s="15">
        <v>53650</v>
      </c>
      <c r="F795" s="15">
        <v>316234505</v>
      </c>
      <c r="G795" s="15" t="s">
        <v>109</v>
      </c>
      <c r="H795" s="15" t="s">
        <v>300</v>
      </c>
      <c r="I795" s="15" t="s">
        <v>2023</v>
      </c>
      <c r="J795" s="64" t="s">
        <v>2022</v>
      </c>
      <c r="K795" s="15" t="s">
        <v>1354</v>
      </c>
      <c r="L795" s="15" t="s">
        <v>309</v>
      </c>
      <c r="M795" s="15" t="s">
        <v>422</v>
      </c>
      <c r="N795" s="15" t="s">
        <v>1084</v>
      </c>
      <c r="O795" s="15"/>
      <c r="P795" s="15"/>
      <c r="Q795" s="15"/>
      <c r="R795" s="15"/>
      <c r="S795" s="15" t="s">
        <v>102</v>
      </c>
      <c r="T795" s="15"/>
      <c r="U795" s="15"/>
      <c r="V795" s="15"/>
      <c r="W795" s="15"/>
      <c r="X795" s="15" t="s">
        <v>102</v>
      </c>
      <c r="Y795" s="17">
        <v>28173742</v>
      </c>
      <c r="Z795" s="17">
        <v>503033</v>
      </c>
      <c r="AA795" s="17">
        <v>85264</v>
      </c>
      <c r="AB795" s="17">
        <f t="shared" si="100"/>
        <v>588297</v>
      </c>
      <c r="AC795" s="17">
        <f t="shared" si="101"/>
        <v>28762039</v>
      </c>
      <c r="AD795" s="17">
        <v>18636</v>
      </c>
      <c r="AE795" s="51">
        <f t="shared" si="102"/>
        <v>89.091296346677922</v>
      </c>
      <c r="AF795" s="51">
        <f t="shared" si="103"/>
        <v>1.8603188162531472</v>
      </c>
      <c r="AG795" s="51">
        <f t="shared" si="104"/>
        <v>90.951615162931077</v>
      </c>
      <c r="AH795" s="51">
        <f t="shared" si="105"/>
        <v>5.8930950624758671E-2</v>
      </c>
      <c r="AI795" s="17">
        <v>20508253</v>
      </c>
      <c r="AJ795" s="17">
        <v>19697707</v>
      </c>
      <c r="AK795" s="17">
        <v>16617417</v>
      </c>
      <c r="AL795" s="17">
        <v>36315124</v>
      </c>
      <c r="AM795" s="17">
        <v>56823377</v>
      </c>
      <c r="AN795" s="17">
        <v>61442876</v>
      </c>
      <c r="BG795" s="15"/>
      <c r="BM795" s="17"/>
      <c r="BN795" s="17"/>
      <c r="BO795" s="17"/>
      <c r="BP795" s="17"/>
      <c r="BQ795" s="17"/>
      <c r="BS795" s="15" t="s">
        <v>2021</v>
      </c>
      <c r="BW795" s="17"/>
    </row>
    <row r="796" spans="1:75" hidden="1" x14ac:dyDescent="0.25">
      <c r="A796" s="15" t="s">
        <v>1395</v>
      </c>
      <c r="B796" s="15" t="s">
        <v>30</v>
      </c>
      <c r="C796" s="15">
        <v>2012</v>
      </c>
      <c r="D796" s="15" t="s">
        <v>1396</v>
      </c>
      <c r="E796" s="15">
        <v>52540</v>
      </c>
      <c r="F796" s="15">
        <v>313993272</v>
      </c>
      <c r="G796" s="15" t="s">
        <v>109</v>
      </c>
      <c r="H796" s="15" t="s">
        <v>300</v>
      </c>
      <c r="I796" s="15" t="s">
        <v>2023</v>
      </c>
      <c r="J796" s="64" t="s">
        <v>2022</v>
      </c>
      <c r="K796" s="15" t="s">
        <v>1354</v>
      </c>
      <c r="L796" s="15" t="s">
        <v>309</v>
      </c>
      <c r="M796" s="15" t="s">
        <v>422</v>
      </c>
      <c r="N796" s="15" t="s">
        <v>1084</v>
      </c>
      <c r="O796" s="15"/>
      <c r="P796" s="15"/>
      <c r="Q796" s="15"/>
      <c r="R796" s="15"/>
      <c r="S796" s="15" t="s">
        <v>102</v>
      </c>
      <c r="T796" s="15"/>
      <c r="U796" s="15"/>
      <c r="V796" s="15"/>
      <c r="W796" s="15"/>
      <c r="X796" s="15" t="s">
        <v>102</v>
      </c>
      <c r="Y796" s="17">
        <v>27866263</v>
      </c>
      <c r="Z796" s="17">
        <v>494170</v>
      </c>
      <c r="AA796" s="17">
        <v>83423</v>
      </c>
      <c r="AB796" s="17">
        <f t="shared" si="100"/>
        <v>577593</v>
      </c>
      <c r="AC796" s="17">
        <f t="shared" si="101"/>
        <v>28443856</v>
      </c>
      <c r="AD796" s="17">
        <v>18219</v>
      </c>
      <c r="AE796" s="51">
        <f t="shared" si="102"/>
        <v>88.747962090092173</v>
      </c>
      <c r="AF796" s="51">
        <f t="shared" si="103"/>
        <v>1.839507567537944</v>
      </c>
      <c r="AG796" s="51">
        <f t="shared" si="104"/>
        <v>90.587469657630123</v>
      </c>
      <c r="AH796" s="51">
        <f t="shared" si="105"/>
        <v>5.8023536249528301E-2</v>
      </c>
      <c r="AI796" s="17">
        <v>20408789</v>
      </c>
      <c r="AJ796" s="17">
        <v>19387249</v>
      </c>
      <c r="AK796" s="17">
        <v>16266855</v>
      </c>
      <c r="AL796" s="17">
        <v>35654104</v>
      </c>
      <c r="AM796" s="17">
        <v>56062893</v>
      </c>
      <c r="AN796" s="17">
        <v>59875575</v>
      </c>
      <c r="BG796" s="15"/>
      <c r="BM796" s="17"/>
      <c r="BN796" s="17"/>
      <c r="BO796" s="17"/>
      <c r="BP796" s="17"/>
      <c r="BQ796" s="17"/>
      <c r="BS796" s="15" t="s">
        <v>2021</v>
      </c>
      <c r="BW796" s="17"/>
    </row>
    <row r="797" spans="1:75" hidden="1" x14ac:dyDescent="0.25">
      <c r="A797" s="15" t="s">
        <v>1395</v>
      </c>
      <c r="B797" s="15" t="s">
        <v>30</v>
      </c>
      <c r="C797" s="15">
        <v>2011</v>
      </c>
      <c r="D797" s="15" t="s">
        <v>1396</v>
      </c>
      <c r="E797" s="15">
        <v>50470</v>
      </c>
      <c r="F797" s="15">
        <v>311644280</v>
      </c>
      <c r="G797" s="15" t="s">
        <v>109</v>
      </c>
      <c r="H797" s="15" t="s">
        <v>300</v>
      </c>
      <c r="I797" s="15" t="s">
        <v>2023</v>
      </c>
      <c r="J797" s="64" t="s">
        <v>2022</v>
      </c>
      <c r="K797" s="15" t="s">
        <v>1354</v>
      </c>
      <c r="L797" s="15" t="s">
        <v>309</v>
      </c>
      <c r="M797" s="15" t="s">
        <v>422</v>
      </c>
      <c r="N797" s="15" t="s">
        <v>1084</v>
      </c>
      <c r="O797" s="15"/>
      <c r="P797" s="15"/>
      <c r="Q797" s="15"/>
      <c r="R797" s="15"/>
      <c r="S797" s="15" t="s">
        <v>102</v>
      </c>
      <c r="T797" s="15"/>
      <c r="U797" s="15"/>
      <c r="V797" s="15"/>
      <c r="W797" s="15"/>
      <c r="X797" s="15" t="s">
        <v>102</v>
      </c>
      <c r="Y797" s="17">
        <v>27595094</v>
      </c>
      <c r="Z797" s="17">
        <v>481496</v>
      </c>
      <c r="AA797" s="17">
        <v>81243</v>
      </c>
      <c r="AB797" s="17">
        <f t="shared" si="100"/>
        <v>562739</v>
      </c>
      <c r="AC797" s="17">
        <f t="shared" si="101"/>
        <v>28157833</v>
      </c>
      <c r="AD797" s="17">
        <v>17671</v>
      </c>
      <c r="AE797" s="51">
        <f t="shared" si="102"/>
        <v>88.546768771113022</v>
      </c>
      <c r="AF797" s="51">
        <f t="shared" si="103"/>
        <v>1.8057093812214362</v>
      </c>
      <c r="AG797" s="51">
        <f t="shared" si="104"/>
        <v>90.352478152334456</v>
      </c>
      <c r="AH797" s="51">
        <f t="shared" si="105"/>
        <v>5.6702468596567857E-2</v>
      </c>
      <c r="AI797" s="17">
        <v>20250874</v>
      </c>
      <c r="AJ797" s="17">
        <v>18880001</v>
      </c>
      <c r="AK797" s="17">
        <v>15867437</v>
      </c>
      <c r="AL797" s="17">
        <v>34747438</v>
      </c>
      <c r="AM797" s="17">
        <v>54998312</v>
      </c>
      <c r="AN797" s="17">
        <v>58427653</v>
      </c>
      <c r="BG797" s="15"/>
      <c r="BM797" s="17"/>
      <c r="BN797" s="17"/>
      <c r="BO797" s="17"/>
      <c r="BP797" s="17"/>
      <c r="BQ797" s="17"/>
      <c r="BS797" s="15" t="s">
        <v>2021</v>
      </c>
      <c r="BW797" s="17"/>
    </row>
    <row r="798" spans="1:75" hidden="1" x14ac:dyDescent="0.25">
      <c r="A798" s="15" t="s">
        <v>1395</v>
      </c>
      <c r="B798" s="15" t="s">
        <v>30</v>
      </c>
      <c r="C798" s="15">
        <v>2010</v>
      </c>
      <c r="D798" s="15" t="s">
        <v>1396</v>
      </c>
      <c r="E798" s="15">
        <v>48950</v>
      </c>
      <c r="F798" s="15">
        <v>309338421</v>
      </c>
      <c r="G798" s="15" t="s">
        <v>109</v>
      </c>
      <c r="H798" s="15" t="s">
        <v>300</v>
      </c>
      <c r="I798" s="15" t="s">
        <v>2023</v>
      </c>
      <c r="J798" s="64" t="s">
        <v>2022</v>
      </c>
      <c r="K798" s="15" t="s">
        <v>1354</v>
      </c>
      <c r="L798" s="15" t="s">
        <v>309</v>
      </c>
      <c r="M798" s="15" t="s">
        <v>422</v>
      </c>
      <c r="N798" s="15" t="s">
        <v>1084</v>
      </c>
      <c r="O798" s="15"/>
      <c r="P798" s="15"/>
      <c r="Q798" s="15"/>
      <c r="R798" s="15"/>
      <c r="S798" s="15" t="s">
        <v>102</v>
      </c>
      <c r="T798" s="15"/>
      <c r="U798" s="15"/>
      <c r="V798" s="15"/>
      <c r="W798" s="15"/>
      <c r="X798" s="15" t="s">
        <v>102</v>
      </c>
      <c r="Y798" s="17">
        <v>27271032</v>
      </c>
      <c r="Z798" s="17">
        <v>475125</v>
      </c>
      <c r="AA798" s="17">
        <v>81773</v>
      </c>
      <c r="AB798" s="17">
        <f t="shared" si="100"/>
        <v>556898</v>
      </c>
      <c r="AC798" s="17">
        <f t="shared" si="101"/>
        <v>27827930</v>
      </c>
      <c r="AD798" s="17">
        <v>17236</v>
      </c>
      <c r="AE798" s="51">
        <f t="shared" si="102"/>
        <v>88.159213821033887</v>
      </c>
      <c r="AF798" s="51">
        <f t="shared" si="103"/>
        <v>1.8002872006642847</v>
      </c>
      <c r="AG798" s="51">
        <f t="shared" si="104"/>
        <v>89.959501021698173</v>
      </c>
      <c r="AH798" s="51">
        <f t="shared" si="105"/>
        <v>5.5718911166227229E-2</v>
      </c>
      <c r="AI798" s="17">
        <v>20573768</v>
      </c>
      <c r="AJ798" s="17">
        <v>18554372</v>
      </c>
      <c r="AK798" s="17">
        <v>15868540</v>
      </c>
      <c r="AL798" s="17">
        <v>34422912</v>
      </c>
      <c r="AM798" s="17">
        <v>54996680</v>
      </c>
      <c r="AN798" s="17">
        <v>56973415</v>
      </c>
      <c r="BG798" s="15"/>
      <c r="BM798" s="17"/>
      <c r="BN798" s="17"/>
      <c r="BO798" s="17"/>
      <c r="BP798" s="17"/>
      <c r="BQ798" s="17"/>
      <c r="BS798" s="15" t="s">
        <v>2021</v>
      </c>
      <c r="BW798" s="17"/>
    </row>
    <row r="799" spans="1:75" hidden="1" x14ac:dyDescent="0.25">
      <c r="A799" s="15" t="s">
        <v>1395</v>
      </c>
      <c r="B799" s="15" t="s">
        <v>52</v>
      </c>
      <c r="C799" s="15">
        <v>2012</v>
      </c>
      <c r="D799" s="15" t="s">
        <v>1396</v>
      </c>
      <c r="E799" s="15">
        <v>52540</v>
      </c>
      <c r="F799" s="15">
        <v>313993272</v>
      </c>
      <c r="G799" s="15" t="s">
        <v>109</v>
      </c>
      <c r="H799" s="15" t="s">
        <v>300</v>
      </c>
      <c r="I799" s="15" t="s">
        <v>1397</v>
      </c>
      <c r="J799" s="15" t="s">
        <v>1398</v>
      </c>
      <c r="K799" s="15" t="s">
        <v>954</v>
      </c>
      <c r="L799" s="15" t="s">
        <v>309</v>
      </c>
      <c r="M799" s="15" t="s">
        <v>422</v>
      </c>
      <c r="N799" s="15" t="s">
        <v>1084</v>
      </c>
      <c r="O799" s="15"/>
      <c r="P799" s="15"/>
      <c r="Q799" s="15"/>
      <c r="R799" s="15"/>
      <c r="S799" s="15" t="s">
        <v>102</v>
      </c>
      <c r="T799" s="15"/>
      <c r="U799" s="15"/>
      <c r="V799" s="15"/>
      <c r="W799" s="15"/>
      <c r="X799" s="15" t="s">
        <v>102</v>
      </c>
      <c r="AE799" s="51" t="str">
        <f t="shared" si="94"/>
        <v/>
      </c>
      <c r="AF799" s="51" t="str">
        <f t="shared" si="95"/>
        <v/>
      </c>
      <c r="AG799" s="51" t="str">
        <f t="shared" si="96"/>
        <v/>
      </c>
      <c r="AH799" s="51" t="str">
        <f t="shared" si="97"/>
        <v/>
      </c>
      <c r="AU799" s="15" t="s">
        <v>1399</v>
      </c>
      <c r="AV799" s="15" t="s">
        <v>1399</v>
      </c>
      <c r="BG799" s="15"/>
      <c r="BL799" s="15" t="s">
        <v>1400</v>
      </c>
      <c r="BM799" s="17">
        <v>829407</v>
      </c>
      <c r="BN799" s="17">
        <v>71943</v>
      </c>
      <c r="BO799" s="17">
        <f>BN799+BM799</f>
        <v>901350</v>
      </c>
      <c r="BP799" s="17"/>
      <c r="BQ799" s="17"/>
      <c r="BW799" s="17"/>
    </row>
    <row r="800" spans="1:75" hidden="1" x14ac:dyDescent="0.25">
      <c r="A800" s="15" t="s">
        <v>1395</v>
      </c>
      <c r="B800" s="15" t="s">
        <v>142</v>
      </c>
      <c r="C800" s="15">
        <v>2015</v>
      </c>
      <c r="D800" s="15" t="s">
        <v>1396</v>
      </c>
      <c r="E800" s="15">
        <v>56300</v>
      </c>
      <c r="F800" s="15">
        <v>321039839</v>
      </c>
      <c r="G800" s="15" t="s">
        <v>109</v>
      </c>
      <c r="H800" s="15" t="s">
        <v>300</v>
      </c>
      <c r="I800" s="15" t="s">
        <v>1401</v>
      </c>
      <c r="J800" s="15" t="s">
        <v>1402</v>
      </c>
      <c r="K800" s="15" t="s">
        <v>954</v>
      </c>
      <c r="L800" s="15" t="s">
        <v>309</v>
      </c>
      <c r="M800" s="15" t="s">
        <v>422</v>
      </c>
      <c r="N800" s="15" t="s">
        <v>1084</v>
      </c>
      <c r="O800" s="15"/>
      <c r="P800" s="15"/>
      <c r="Q800" s="15"/>
      <c r="R800" s="15"/>
      <c r="S800" s="15"/>
      <c r="T800" s="15"/>
      <c r="U800" s="15"/>
      <c r="V800" s="15"/>
      <c r="W800" s="15"/>
      <c r="X800" s="15"/>
      <c r="AE800" s="51" t="str">
        <f t="shared" si="94"/>
        <v/>
      </c>
      <c r="AF800" s="51" t="str">
        <f t="shared" si="95"/>
        <v/>
      </c>
      <c r="AG800" s="51" t="str">
        <f t="shared" si="96"/>
        <v/>
      </c>
      <c r="AH800" s="51" t="str">
        <f t="shared" si="97"/>
        <v/>
      </c>
      <c r="BE800" s="16">
        <v>599000000000</v>
      </c>
      <c r="BF800" s="45">
        <v>0.22</v>
      </c>
      <c r="BG800" s="17">
        <v>2119700000</v>
      </c>
      <c r="BH800" s="45">
        <v>0.78</v>
      </c>
      <c r="BM800" s="17"/>
      <c r="BN800" s="17"/>
      <c r="BO800" s="17"/>
      <c r="BP800" s="17"/>
      <c r="BQ800" s="17"/>
      <c r="BW800" s="17"/>
    </row>
    <row r="801" spans="1:75" hidden="1" x14ac:dyDescent="0.25">
      <c r="A801" s="15" t="s">
        <v>1395</v>
      </c>
      <c r="B801" s="15" t="s">
        <v>142</v>
      </c>
      <c r="C801" s="15">
        <v>2014</v>
      </c>
      <c r="D801" s="15" t="s">
        <v>1396</v>
      </c>
      <c r="E801" s="15">
        <v>55340</v>
      </c>
      <c r="F801" s="15">
        <v>318622525</v>
      </c>
      <c r="G801" s="15" t="s">
        <v>109</v>
      </c>
      <c r="H801" s="15" t="s">
        <v>300</v>
      </c>
      <c r="I801" s="15" t="s">
        <v>1401</v>
      </c>
      <c r="J801" s="15" t="s">
        <v>1403</v>
      </c>
      <c r="K801" s="15" t="s">
        <v>954</v>
      </c>
      <c r="L801" s="15" t="s">
        <v>309</v>
      </c>
      <c r="M801" s="15" t="s">
        <v>422</v>
      </c>
      <c r="N801" s="15" t="s">
        <v>1084</v>
      </c>
      <c r="O801" s="15"/>
      <c r="P801" s="15"/>
      <c r="Q801" s="15"/>
      <c r="R801" s="15"/>
      <c r="S801" s="15"/>
      <c r="T801" s="15"/>
      <c r="U801" s="15"/>
      <c r="V801" s="15"/>
      <c r="W801" s="15"/>
      <c r="X801" s="15"/>
      <c r="AE801" s="51" t="str">
        <f t="shared" si="94"/>
        <v/>
      </c>
      <c r="BE801" s="16">
        <v>589800000000</v>
      </c>
      <c r="BF801" s="45">
        <v>0.23</v>
      </c>
      <c r="BG801" s="17">
        <v>1949000000</v>
      </c>
      <c r="BH801" s="45">
        <v>0.77</v>
      </c>
      <c r="BM801" s="17"/>
      <c r="BN801" s="17"/>
      <c r="BO801" s="17"/>
      <c r="BP801" s="17"/>
      <c r="BQ801" s="17"/>
      <c r="BW801" s="17"/>
    </row>
    <row r="802" spans="1:75" hidden="1" x14ac:dyDescent="0.25">
      <c r="A802" s="15" t="s">
        <v>1395</v>
      </c>
      <c r="B802" s="15" t="s">
        <v>142</v>
      </c>
      <c r="C802" s="15">
        <v>2013</v>
      </c>
      <c r="D802" s="15" t="s">
        <v>1396</v>
      </c>
      <c r="E802" s="15">
        <v>53650</v>
      </c>
      <c r="F802" s="15">
        <v>316234505</v>
      </c>
      <c r="G802" s="15" t="s">
        <v>109</v>
      </c>
      <c r="H802" s="15" t="s">
        <v>300</v>
      </c>
      <c r="I802" s="15" t="s">
        <v>1401</v>
      </c>
      <c r="J802" s="15" t="s">
        <v>1404</v>
      </c>
      <c r="K802" s="15" t="s">
        <v>954</v>
      </c>
      <c r="L802" s="15" t="s">
        <v>309</v>
      </c>
      <c r="M802" s="15" t="s">
        <v>422</v>
      </c>
      <c r="N802" s="15" t="s">
        <v>1084</v>
      </c>
      <c r="O802" s="15"/>
      <c r="P802" s="15"/>
      <c r="Q802" s="15"/>
      <c r="R802" s="15"/>
      <c r="S802" s="15"/>
      <c r="T802" s="15"/>
      <c r="U802" s="15"/>
      <c r="V802" s="15"/>
      <c r="W802" s="15"/>
      <c r="X802" s="15"/>
      <c r="AE802" s="51" t="str">
        <f t="shared" si="94"/>
        <v/>
      </c>
      <c r="BE802" s="16">
        <v>584700000000</v>
      </c>
      <c r="BF802" s="45">
        <v>0.25</v>
      </c>
      <c r="BG802" s="17">
        <v>1781200000</v>
      </c>
      <c r="BH802" s="45">
        <v>0.75</v>
      </c>
      <c r="BM802" s="17"/>
      <c r="BN802" s="17"/>
      <c r="BO802" s="17"/>
      <c r="BP802" s="17"/>
      <c r="BQ802" s="17"/>
      <c r="BW802" s="17"/>
    </row>
    <row r="803" spans="1:75" hidden="1" x14ac:dyDescent="0.25">
      <c r="A803" s="15" t="s">
        <v>1395</v>
      </c>
      <c r="B803" s="15" t="s">
        <v>142</v>
      </c>
      <c r="C803" s="15">
        <v>2012</v>
      </c>
      <c r="D803" s="15" t="s">
        <v>1396</v>
      </c>
      <c r="E803" s="15">
        <v>52540</v>
      </c>
      <c r="F803" s="15">
        <v>313993272</v>
      </c>
      <c r="G803" s="15" t="s">
        <v>109</v>
      </c>
      <c r="H803" s="15" t="s">
        <v>300</v>
      </c>
      <c r="I803" s="15" t="s">
        <v>1401</v>
      </c>
      <c r="J803" s="15" t="s">
        <v>1405</v>
      </c>
      <c r="K803" s="15" t="s">
        <v>954</v>
      </c>
      <c r="L803" s="15" t="s">
        <v>309</v>
      </c>
      <c r="M803" s="15" t="s">
        <v>422</v>
      </c>
      <c r="N803" s="15" t="s">
        <v>1084</v>
      </c>
      <c r="O803" s="15"/>
      <c r="P803" s="15"/>
      <c r="Q803" s="15"/>
      <c r="R803" s="15"/>
      <c r="S803" s="15"/>
      <c r="T803" s="15"/>
      <c r="U803" s="15"/>
      <c r="V803" s="15"/>
      <c r="W803" s="15"/>
      <c r="X803" s="15"/>
      <c r="AE803" s="51" t="str">
        <f t="shared" si="94"/>
        <v/>
      </c>
      <c r="BE803" s="16">
        <v>588500000000</v>
      </c>
      <c r="BF803" s="45">
        <v>0.26</v>
      </c>
      <c r="BG803" s="17">
        <v>1681200000</v>
      </c>
      <c r="BH803" s="45">
        <v>0.74</v>
      </c>
      <c r="BM803" s="17"/>
      <c r="BN803" s="17"/>
      <c r="BO803" s="17"/>
      <c r="BP803" s="17"/>
      <c r="BQ803" s="17"/>
      <c r="BW803" s="17"/>
    </row>
    <row r="804" spans="1:75" hidden="1" x14ac:dyDescent="0.25">
      <c r="A804" s="15" t="s">
        <v>1395</v>
      </c>
      <c r="B804" s="15" t="s">
        <v>142</v>
      </c>
      <c r="C804" s="15">
        <v>2011</v>
      </c>
      <c r="D804" s="15" t="s">
        <v>1396</v>
      </c>
      <c r="E804" s="15">
        <v>50470</v>
      </c>
      <c r="F804" s="15">
        <v>311644280</v>
      </c>
      <c r="G804" s="15" t="s">
        <v>109</v>
      </c>
      <c r="H804" s="15" t="s">
        <v>300</v>
      </c>
      <c r="I804" s="15" t="s">
        <v>1401</v>
      </c>
      <c r="J804" s="15" t="s">
        <v>1406</v>
      </c>
      <c r="K804" s="15" t="s">
        <v>954</v>
      </c>
      <c r="L804" s="15" t="s">
        <v>309</v>
      </c>
      <c r="M804" s="15" t="s">
        <v>422</v>
      </c>
      <c r="N804" s="15" t="s">
        <v>1084</v>
      </c>
      <c r="O804" s="15"/>
      <c r="P804" s="15"/>
      <c r="Q804" s="15"/>
      <c r="R804" s="15"/>
      <c r="S804" s="15"/>
      <c r="T804" s="15"/>
      <c r="U804" s="15"/>
      <c r="V804" s="15"/>
      <c r="W804" s="15"/>
      <c r="X804" s="15"/>
      <c r="AE804" s="51" t="str">
        <f t="shared" si="94"/>
        <v/>
      </c>
      <c r="BE804" s="16">
        <v>607000000000</v>
      </c>
      <c r="BF804" s="45">
        <v>0.28999999999999998</v>
      </c>
      <c r="BG804" s="17">
        <v>1509300000</v>
      </c>
      <c r="BH804" s="45">
        <v>0.71</v>
      </c>
      <c r="BM804" s="17"/>
      <c r="BN804" s="17"/>
      <c r="BO804" s="17"/>
      <c r="BP804" s="17"/>
      <c r="BQ804" s="17"/>
      <c r="BW804" s="17"/>
    </row>
    <row r="805" spans="1:75" hidden="1" x14ac:dyDescent="0.25">
      <c r="A805" s="15" t="s">
        <v>1395</v>
      </c>
      <c r="B805" s="15" t="s">
        <v>142</v>
      </c>
      <c r="C805" s="15">
        <v>2010</v>
      </c>
      <c r="D805" s="15" t="s">
        <v>1396</v>
      </c>
      <c r="E805" s="15">
        <v>48950</v>
      </c>
      <c r="F805" s="15">
        <v>309338421</v>
      </c>
      <c r="G805" s="15" t="s">
        <v>109</v>
      </c>
      <c r="H805" s="15" t="s">
        <v>300</v>
      </c>
      <c r="I805" s="15" t="s">
        <v>1401</v>
      </c>
      <c r="J805" s="15" t="s">
        <v>1407</v>
      </c>
      <c r="K805" s="15" t="s">
        <v>954</v>
      </c>
      <c r="L805" s="15" t="s">
        <v>309</v>
      </c>
      <c r="M805" s="15" t="s">
        <v>422</v>
      </c>
      <c r="N805" s="15" t="s">
        <v>1084</v>
      </c>
      <c r="O805" s="15"/>
      <c r="P805" s="15"/>
      <c r="Q805" s="15"/>
      <c r="R805" s="15"/>
      <c r="S805" s="15"/>
      <c r="T805" s="15"/>
      <c r="U805" s="15"/>
      <c r="V805" s="15"/>
      <c r="W805" s="15"/>
      <c r="X805" s="15"/>
      <c r="AE805" s="51" t="str">
        <f t="shared" si="94"/>
        <v/>
      </c>
      <c r="BE805" s="16">
        <v>652200000000</v>
      </c>
      <c r="BF805" s="45">
        <v>0.31</v>
      </c>
      <c r="BG805" s="17">
        <v>1444800000</v>
      </c>
      <c r="BH805" s="45">
        <v>0.69</v>
      </c>
      <c r="BM805" s="17"/>
      <c r="BN805" s="17"/>
      <c r="BO805" s="17"/>
      <c r="BP805" s="17"/>
      <c r="BQ805" s="17"/>
      <c r="BW805" s="17"/>
    </row>
    <row r="806" spans="1:75" hidden="1" x14ac:dyDescent="0.25">
      <c r="A806" s="15" t="s">
        <v>1395</v>
      </c>
      <c r="B806" s="15" t="s">
        <v>150</v>
      </c>
      <c r="C806" s="15">
        <v>2016</v>
      </c>
      <c r="D806" s="15" t="s">
        <v>1396</v>
      </c>
      <c r="E806" s="15">
        <v>56800</v>
      </c>
      <c r="F806" s="15">
        <v>325719178</v>
      </c>
      <c r="G806" s="15" t="s">
        <v>109</v>
      </c>
      <c r="H806" s="15" t="s">
        <v>300</v>
      </c>
      <c r="I806" s="15" t="s">
        <v>1408</v>
      </c>
      <c r="J806" s="15" t="s">
        <v>1409</v>
      </c>
      <c r="K806" s="15" t="s">
        <v>92</v>
      </c>
      <c r="L806" s="15" t="s">
        <v>893</v>
      </c>
      <c r="M806" s="15" t="s">
        <v>422</v>
      </c>
      <c r="N806" s="15" t="s">
        <v>1084</v>
      </c>
      <c r="O806" s="15"/>
      <c r="P806" s="15"/>
      <c r="Q806" s="15"/>
      <c r="R806" s="15"/>
      <c r="S806" s="15"/>
      <c r="T806" s="15"/>
      <c r="U806" s="15"/>
      <c r="V806" s="15"/>
      <c r="W806" s="15"/>
      <c r="X806" s="15"/>
      <c r="AE806" s="51" t="str">
        <f t="shared" si="94"/>
        <v/>
      </c>
      <c r="BE806" s="16">
        <v>613000000000</v>
      </c>
      <c r="BF806" s="42">
        <v>0.185</v>
      </c>
      <c r="BK806" s="21">
        <v>1.2500000000000001E-2</v>
      </c>
      <c r="BM806" s="17"/>
      <c r="BN806" s="17"/>
      <c r="BO806" s="17"/>
      <c r="BP806" s="17"/>
      <c r="BQ806" s="17"/>
      <c r="BW806" s="17"/>
    </row>
    <row r="807" spans="1:75" hidden="1" x14ac:dyDescent="0.25">
      <c r="A807" s="15" t="s">
        <v>1395</v>
      </c>
      <c r="B807" s="15" t="s">
        <v>150</v>
      </c>
      <c r="C807" s="15">
        <v>2015</v>
      </c>
      <c r="D807" s="15" t="s">
        <v>1396</v>
      </c>
      <c r="E807" s="15">
        <v>56300</v>
      </c>
      <c r="F807" s="15">
        <v>321039839</v>
      </c>
      <c r="G807" s="15" t="s">
        <v>109</v>
      </c>
      <c r="H807" s="15" t="s">
        <v>300</v>
      </c>
      <c r="I807" s="15" t="s">
        <v>1408</v>
      </c>
      <c r="J807" s="15" t="s">
        <v>1409</v>
      </c>
      <c r="K807" s="15" t="s">
        <v>92</v>
      </c>
      <c r="L807" s="15" t="s">
        <v>893</v>
      </c>
      <c r="M807" s="15" t="s">
        <v>422</v>
      </c>
      <c r="N807" s="15" t="s">
        <v>1084</v>
      </c>
      <c r="O807" s="15"/>
      <c r="P807" s="15"/>
      <c r="Q807" s="15"/>
      <c r="R807" s="15"/>
      <c r="S807" s="15"/>
      <c r="T807" s="15"/>
      <c r="U807" s="15"/>
      <c r="V807" s="15"/>
      <c r="W807" s="15"/>
      <c r="X807" s="15"/>
      <c r="AE807" s="51" t="str">
        <f t="shared" si="94"/>
        <v/>
      </c>
      <c r="AF807" s="51" t="str">
        <f t="shared" si="95"/>
        <v/>
      </c>
      <c r="AG807" s="51" t="str">
        <f t="shared" si="96"/>
        <v/>
      </c>
      <c r="AH807" s="51" t="str">
        <f t="shared" si="97"/>
        <v/>
      </c>
      <c r="BE807" s="16">
        <v>599000000000</v>
      </c>
      <c r="BF807" s="42">
        <v>0.19520000000000001</v>
      </c>
      <c r="BK807" s="21">
        <v>1.23E-2</v>
      </c>
      <c r="BM807" s="17"/>
      <c r="BN807" s="17"/>
      <c r="BO807" s="17"/>
      <c r="BP807" s="17"/>
      <c r="BQ807" s="17"/>
      <c r="BW807" s="17"/>
    </row>
    <row r="808" spans="1:75" hidden="1" x14ac:dyDescent="0.25">
      <c r="A808" s="15" t="s">
        <v>1395</v>
      </c>
      <c r="B808" s="15" t="s">
        <v>150</v>
      </c>
      <c r="C808" s="15">
        <v>2014</v>
      </c>
      <c r="D808" s="15" t="s">
        <v>1396</v>
      </c>
      <c r="E808" s="15">
        <v>55340</v>
      </c>
      <c r="F808" s="15">
        <v>318622525</v>
      </c>
      <c r="G808" s="15" t="s">
        <v>109</v>
      </c>
      <c r="H808" s="15" t="s">
        <v>300</v>
      </c>
      <c r="I808" s="15" t="s">
        <v>1408</v>
      </c>
      <c r="J808" s="15" t="s">
        <v>1409</v>
      </c>
      <c r="K808" s="15" t="s">
        <v>92</v>
      </c>
      <c r="L808" s="15" t="s">
        <v>893</v>
      </c>
      <c r="M808" s="15" t="s">
        <v>422</v>
      </c>
      <c r="N808" s="15" t="s">
        <v>1084</v>
      </c>
      <c r="O808" s="15"/>
      <c r="P808" s="15"/>
      <c r="Q808" s="15"/>
      <c r="R808" s="15"/>
      <c r="S808" s="15"/>
      <c r="T808" s="15"/>
      <c r="U808" s="15"/>
      <c r="V808" s="15"/>
      <c r="W808" s="15"/>
      <c r="X808" s="15"/>
      <c r="AE808" s="51" t="str">
        <f t="shared" si="94"/>
        <v/>
      </c>
      <c r="AF808" s="51" t="str">
        <f t="shared" si="95"/>
        <v/>
      </c>
      <c r="AG808" s="51" t="str">
        <f t="shared" si="96"/>
        <v/>
      </c>
      <c r="AH808" s="51" t="str">
        <f t="shared" si="97"/>
        <v/>
      </c>
      <c r="BE808" s="16">
        <v>590000000000</v>
      </c>
      <c r="BF808" s="42">
        <v>0.20580000000000001</v>
      </c>
      <c r="BK808" s="21">
        <v>1.21E-2</v>
      </c>
      <c r="BM808" s="17"/>
      <c r="BN808" s="17"/>
      <c r="BO808" s="17"/>
      <c r="BP808" s="17"/>
      <c r="BQ808" s="17"/>
      <c r="BW808" s="17"/>
    </row>
    <row r="809" spans="1:75" hidden="1" x14ac:dyDescent="0.25">
      <c r="A809" s="15" t="s">
        <v>1395</v>
      </c>
      <c r="B809" s="15" t="s">
        <v>150</v>
      </c>
      <c r="C809" s="15">
        <v>2013</v>
      </c>
      <c r="D809" s="15" t="s">
        <v>1396</v>
      </c>
      <c r="E809" s="15">
        <v>53650</v>
      </c>
      <c r="F809" s="15">
        <v>316234505</v>
      </c>
      <c r="G809" s="15" t="s">
        <v>109</v>
      </c>
      <c r="H809" s="15" t="s">
        <v>300</v>
      </c>
      <c r="I809" s="15" t="s">
        <v>1408</v>
      </c>
      <c r="J809" s="15" t="s">
        <v>1409</v>
      </c>
      <c r="K809" s="15" t="s">
        <v>92</v>
      </c>
      <c r="L809" s="15" t="s">
        <v>893</v>
      </c>
      <c r="M809" s="15" t="s">
        <v>422</v>
      </c>
      <c r="N809" s="15" t="s">
        <v>1084</v>
      </c>
      <c r="O809" s="15"/>
      <c r="P809" s="15"/>
      <c r="Q809" s="15"/>
      <c r="R809" s="15"/>
      <c r="S809" s="15"/>
      <c r="T809" s="15"/>
      <c r="U809" s="15"/>
      <c r="V809" s="15"/>
      <c r="W809" s="15"/>
      <c r="X809" s="15"/>
      <c r="AE809" s="51" t="str">
        <f t="shared" si="94"/>
        <v/>
      </c>
      <c r="AF809" s="51" t="str">
        <f t="shared" si="95"/>
        <v/>
      </c>
      <c r="AG809" s="51" t="str">
        <f t="shared" si="96"/>
        <v/>
      </c>
      <c r="AH809" s="51" t="str">
        <f t="shared" si="97"/>
        <v/>
      </c>
      <c r="BE809" s="16">
        <v>585000000000</v>
      </c>
      <c r="BF809" s="42">
        <v>0.219</v>
      </c>
      <c r="BK809" s="21">
        <v>1.21E-2</v>
      </c>
      <c r="BM809" s="17"/>
      <c r="BN809" s="17"/>
      <c r="BO809" s="17"/>
      <c r="BP809" s="17"/>
      <c r="BQ809" s="17"/>
      <c r="BW809" s="17"/>
    </row>
    <row r="810" spans="1:75" hidden="1" x14ac:dyDescent="0.25">
      <c r="A810" s="15" t="s">
        <v>1395</v>
      </c>
      <c r="B810" s="15" t="s">
        <v>150</v>
      </c>
      <c r="C810" s="15">
        <v>2012</v>
      </c>
      <c r="D810" s="15" t="s">
        <v>1396</v>
      </c>
      <c r="E810" s="15">
        <v>52540</v>
      </c>
      <c r="F810" s="15">
        <v>313993272</v>
      </c>
      <c r="G810" s="15" t="s">
        <v>109</v>
      </c>
      <c r="H810" s="15" t="s">
        <v>300</v>
      </c>
      <c r="I810" s="15" t="s">
        <v>1408</v>
      </c>
      <c r="J810" s="15" t="s">
        <v>1409</v>
      </c>
      <c r="K810" s="15" t="s">
        <v>92</v>
      </c>
      <c r="L810" s="15" t="s">
        <v>893</v>
      </c>
      <c r="M810" s="15" t="s">
        <v>422</v>
      </c>
      <c r="N810" s="15" t="s">
        <v>1084</v>
      </c>
      <c r="O810" s="15"/>
      <c r="P810" s="15"/>
      <c r="Q810" s="15"/>
      <c r="R810" s="15"/>
      <c r="S810" s="15"/>
      <c r="T810" s="15"/>
      <c r="U810" s="15"/>
      <c r="V810" s="15"/>
      <c r="W810" s="15"/>
      <c r="X810" s="15"/>
      <c r="AE810" s="51" t="str">
        <f t="shared" si="94"/>
        <v/>
      </c>
      <c r="AF810" s="51" t="str">
        <f t="shared" si="95"/>
        <v/>
      </c>
      <c r="AG810" s="51" t="str">
        <f t="shared" si="96"/>
        <v/>
      </c>
      <c r="AH810" s="51" t="str">
        <f t="shared" si="97"/>
        <v/>
      </c>
      <c r="BE810" s="16">
        <v>588000000000</v>
      </c>
      <c r="BF810" s="42">
        <v>0.2311</v>
      </c>
      <c r="BK810" s="21">
        <v>1.43E-2</v>
      </c>
      <c r="BM810" s="17"/>
      <c r="BN810" s="17"/>
      <c r="BO810" s="17"/>
      <c r="BP810" s="17"/>
      <c r="BQ810" s="17"/>
      <c r="BW810" s="17"/>
    </row>
    <row r="811" spans="1:75" hidden="1" x14ac:dyDescent="0.25">
      <c r="A811" s="15" t="s">
        <v>1395</v>
      </c>
      <c r="B811" s="15" t="s">
        <v>150</v>
      </c>
      <c r="C811" s="15">
        <v>2011</v>
      </c>
      <c r="D811" s="15" t="s">
        <v>1396</v>
      </c>
      <c r="E811" s="15">
        <v>50470</v>
      </c>
      <c r="F811" s="15">
        <v>311644280</v>
      </c>
      <c r="G811" s="15" t="s">
        <v>109</v>
      </c>
      <c r="H811" s="15" t="s">
        <v>300</v>
      </c>
      <c r="I811" s="15" t="s">
        <v>1408</v>
      </c>
      <c r="J811" s="15" t="s">
        <v>1409</v>
      </c>
      <c r="K811" s="15" t="s">
        <v>92</v>
      </c>
      <c r="L811" s="15" t="s">
        <v>893</v>
      </c>
      <c r="M811" s="15" t="s">
        <v>422</v>
      </c>
      <c r="N811" s="15" t="s">
        <v>1084</v>
      </c>
      <c r="O811" s="15"/>
      <c r="P811" s="15"/>
      <c r="Q811" s="15"/>
      <c r="R811" s="15"/>
      <c r="S811" s="15"/>
      <c r="T811" s="15"/>
      <c r="U811" s="15"/>
      <c r="V811" s="15"/>
      <c r="W811" s="15"/>
      <c r="X811" s="15"/>
      <c r="AE811" s="51" t="str">
        <f t="shared" si="94"/>
        <v/>
      </c>
      <c r="AF811" s="51" t="str">
        <f t="shared" si="95"/>
        <v/>
      </c>
      <c r="AG811" s="51" t="str">
        <f t="shared" si="96"/>
        <v/>
      </c>
      <c r="AH811" s="51" t="str">
        <f t="shared" si="97"/>
        <v/>
      </c>
      <c r="BE811" s="16">
        <v>608000000000</v>
      </c>
      <c r="BF811" s="42">
        <v>0.25879999999999997</v>
      </c>
      <c r="BK811" s="21">
        <v>1.9199999999999998E-2</v>
      </c>
      <c r="BM811" s="17"/>
      <c r="BN811" s="17"/>
      <c r="BO811" s="17"/>
      <c r="BP811" s="17"/>
      <c r="BQ811" s="17"/>
      <c r="BW811" s="17"/>
    </row>
    <row r="812" spans="1:75" hidden="1" x14ac:dyDescent="0.25">
      <c r="A812" s="15" t="s">
        <v>1395</v>
      </c>
      <c r="B812" s="15" t="s">
        <v>150</v>
      </c>
      <c r="C812" s="15">
        <v>2010</v>
      </c>
      <c r="D812" s="15" t="s">
        <v>1396</v>
      </c>
      <c r="E812" s="15">
        <v>48950</v>
      </c>
      <c r="F812" s="15">
        <v>309338421</v>
      </c>
      <c r="G812" s="15" t="s">
        <v>109</v>
      </c>
      <c r="H812" s="15" t="s">
        <v>300</v>
      </c>
      <c r="I812" s="15" t="s">
        <v>1408</v>
      </c>
      <c r="J812" s="15" t="s">
        <v>1409</v>
      </c>
      <c r="K812" s="15" t="s">
        <v>92</v>
      </c>
      <c r="L812" s="15" t="s">
        <v>893</v>
      </c>
      <c r="M812" s="15" t="s">
        <v>422</v>
      </c>
      <c r="N812" s="15" t="s">
        <v>1084</v>
      </c>
      <c r="O812" s="15"/>
      <c r="P812" s="15"/>
      <c r="Q812" s="15"/>
      <c r="R812" s="15"/>
      <c r="S812" s="15"/>
      <c r="T812" s="15"/>
      <c r="U812" s="15"/>
      <c r="V812" s="15"/>
      <c r="W812" s="15"/>
      <c r="X812" s="15"/>
      <c r="AE812" s="51" t="str">
        <f t="shared" si="94"/>
        <v/>
      </c>
      <c r="AF812" s="51" t="str">
        <f t="shared" si="95"/>
        <v/>
      </c>
      <c r="AG812" s="51" t="str">
        <f t="shared" si="96"/>
        <v/>
      </c>
      <c r="AH812" s="51" t="str">
        <f t="shared" si="97"/>
        <v/>
      </c>
      <c r="BE812" s="16">
        <v>652000000000</v>
      </c>
      <c r="BF812" s="42">
        <v>0.28370000000000001</v>
      </c>
      <c r="BK812" s="21">
        <v>2.7400000000000001E-2</v>
      </c>
      <c r="BM812" s="17"/>
      <c r="BN812" s="17"/>
      <c r="BO812" s="17"/>
      <c r="BP812" s="17"/>
      <c r="BQ812" s="17"/>
      <c r="BW812" s="17"/>
    </row>
    <row r="813" spans="1:75" hidden="1" x14ac:dyDescent="0.25">
      <c r="A813" s="15" t="s">
        <v>1410</v>
      </c>
      <c r="B813" s="15" t="s">
        <v>30</v>
      </c>
      <c r="C813" s="15">
        <v>2016</v>
      </c>
      <c r="D813" s="15" t="s">
        <v>1411</v>
      </c>
      <c r="E813" s="15">
        <v>15200</v>
      </c>
      <c r="F813" s="15">
        <v>3456750</v>
      </c>
      <c r="G813" s="15" t="s">
        <v>109</v>
      </c>
      <c r="H813" s="15" t="s">
        <v>110</v>
      </c>
      <c r="I813" s="15" t="s">
        <v>1412</v>
      </c>
      <c r="J813" s="15" t="s">
        <v>1413</v>
      </c>
      <c r="K813" s="15" t="s">
        <v>241</v>
      </c>
      <c r="L813" s="15" t="s">
        <v>182</v>
      </c>
      <c r="M813" s="15" t="s">
        <v>309</v>
      </c>
      <c r="N813" s="15" t="s">
        <v>310</v>
      </c>
      <c r="O813" s="15"/>
      <c r="P813" s="15"/>
      <c r="Q813" s="15"/>
      <c r="R813" s="15"/>
      <c r="S813" s="15"/>
      <c r="T813" s="15"/>
      <c r="U813" s="15"/>
      <c r="V813" s="15"/>
      <c r="W813" s="15"/>
      <c r="X813" s="15"/>
      <c r="Y813" s="17">
        <v>146510</v>
      </c>
      <c r="Z813" s="17">
        <v>23190</v>
      </c>
      <c r="AA813" s="17">
        <v>5071</v>
      </c>
      <c r="AB813" s="17">
        <v>28261</v>
      </c>
      <c r="AC813" s="17">
        <v>174771</v>
      </c>
      <c r="AD813" s="17">
        <v>834</v>
      </c>
      <c r="AE813" s="51">
        <f t="shared" si="94"/>
        <v>42.383741954147681</v>
      </c>
      <c r="AF813" s="51">
        <f t="shared" si="95"/>
        <v>8.1755984667679193</v>
      </c>
      <c r="AG813" s="51">
        <f t="shared" si="96"/>
        <v>50.559340420915603</v>
      </c>
      <c r="AH813" s="51">
        <f t="shared" si="97"/>
        <v>0.24126708613582121</v>
      </c>
      <c r="AI813" s="17">
        <v>225207</v>
      </c>
      <c r="AJ813" s="17" t="s">
        <v>1414</v>
      </c>
      <c r="AK813" s="17" t="s">
        <v>1415</v>
      </c>
      <c r="AL813" s="17" t="s">
        <v>1416</v>
      </c>
      <c r="AM813" s="17" t="s">
        <v>1417</v>
      </c>
      <c r="AN813" s="17" t="s">
        <v>1418</v>
      </c>
      <c r="AU813" s="15" t="s">
        <v>1413</v>
      </c>
      <c r="AV813" s="15" t="s">
        <v>1413</v>
      </c>
      <c r="BG813" s="15"/>
      <c r="BM813" s="17"/>
      <c r="BN813" s="17"/>
      <c r="BO813" s="17"/>
      <c r="BP813" s="17"/>
      <c r="BQ813" s="17"/>
      <c r="BS813" s="15" t="s">
        <v>1419</v>
      </c>
      <c r="BT813" s="15" t="s">
        <v>1420</v>
      </c>
      <c r="BU813" s="15" t="s">
        <v>1421</v>
      </c>
      <c r="BV813" s="15" t="s">
        <v>1422</v>
      </c>
      <c r="BW813" s="17"/>
    </row>
    <row r="814" spans="1:75" hidden="1" x14ac:dyDescent="0.25">
      <c r="A814" s="15" t="s">
        <v>1410</v>
      </c>
      <c r="B814" s="15" t="s">
        <v>30</v>
      </c>
      <c r="C814" s="15">
        <v>2015</v>
      </c>
      <c r="D814" s="15" t="s">
        <v>1411</v>
      </c>
      <c r="E814" s="15">
        <v>15830</v>
      </c>
      <c r="F814" s="15">
        <v>3431552</v>
      </c>
      <c r="G814" s="15" t="s">
        <v>109</v>
      </c>
      <c r="H814" s="15" t="s">
        <v>110</v>
      </c>
      <c r="I814" s="15" t="s">
        <v>1412</v>
      </c>
      <c r="J814" s="15" t="s">
        <v>1413</v>
      </c>
      <c r="K814" s="15" t="s">
        <v>241</v>
      </c>
      <c r="L814" s="15" t="s">
        <v>182</v>
      </c>
      <c r="M814" s="15" t="s">
        <v>309</v>
      </c>
      <c r="N814" s="15" t="s">
        <v>310</v>
      </c>
      <c r="O814" s="15"/>
      <c r="P814" s="15"/>
      <c r="Q814" s="15"/>
      <c r="R814" s="15"/>
      <c r="S814" s="15"/>
      <c r="T814" s="15"/>
      <c r="U814" s="15"/>
      <c r="V814" s="15"/>
      <c r="W814" s="15"/>
      <c r="X814" s="15"/>
      <c r="Y814" s="17">
        <v>145673</v>
      </c>
      <c r="Z814" s="17">
        <v>20606</v>
      </c>
      <c r="AA814" s="17">
        <v>4952</v>
      </c>
      <c r="AB814" s="17">
        <v>25558</v>
      </c>
      <c r="AC814" s="17">
        <v>171231</v>
      </c>
      <c r="AD814" s="17">
        <v>852</v>
      </c>
      <c r="AE814" s="51">
        <f t="shared" si="94"/>
        <v>42.451054216867469</v>
      </c>
      <c r="AF814" s="51">
        <f t="shared" si="95"/>
        <v>7.4479419224887158</v>
      </c>
      <c r="AG814" s="51">
        <f t="shared" si="96"/>
        <v>49.898996139356186</v>
      </c>
      <c r="AH814" s="51">
        <f t="shared" si="97"/>
        <v>0.2482841583050468</v>
      </c>
      <c r="AI814" s="17">
        <v>240859</v>
      </c>
      <c r="AJ814" s="17" t="s">
        <v>1423</v>
      </c>
      <c r="AK814" s="17" t="s">
        <v>1424</v>
      </c>
      <c r="AL814" s="17" t="s">
        <v>1425</v>
      </c>
      <c r="AM814" s="17" t="s">
        <v>1426</v>
      </c>
      <c r="AN814" s="17" t="s">
        <v>1427</v>
      </c>
      <c r="BG814" s="15"/>
      <c r="BM814" s="17"/>
      <c r="BN814" s="17"/>
      <c r="BO814" s="17"/>
      <c r="BP814" s="17"/>
      <c r="BQ814" s="17"/>
      <c r="BW814" s="17"/>
    </row>
    <row r="815" spans="1:75" hidden="1" x14ac:dyDescent="0.25">
      <c r="A815" s="15" t="s">
        <v>1410</v>
      </c>
      <c r="B815" s="15" t="s">
        <v>30</v>
      </c>
      <c r="C815" s="15">
        <v>2014</v>
      </c>
      <c r="D815" s="15" t="s">
        <v>1411</v>
      </c>
      <c r="E815" s="15">
        <v>16230</v>
      </c>
      <c r="F815" s="15">
        <v>3419546</v>
      </c>
      <c r="G815" s="15" t="s">
        <v>109</v>
      </c>
      <c r="H815" s="15" t="s">
        <v>110</v>
      </c>
      <c r="I815" s="15" t="s">
        <v>1412</v>
      </c>
      <c r="J815" s="15" t="s">
        <v>1413</v>
      </c>
      <c r="K815" s="15" t="s">
        <v>241</v>
      </c>
      <c r="L815" s="15" t="s">
        <v>182</v>
      </c>
      <c r="M815" s="15" t="s">
        <v>309</v>
      </c>
      <c r="N815" s="15" t="s">
        <v>310</v>
      </c>
      <c r="O815" s="15"/>
      <c r="P815" s="15"/>
      <c r="Q815" s="15"/>
      <c r="R815" s="15"/>
      <c r="S815" s="15"/>
      <c r="T815" s="15"/>
      <c r="U815" s="15"/>
      <c r="V815" s="15"/>
      <c r="W815" s="15"/>
      <c r="X815" s="15"/>
      <c r="Y815" s="17">
        <v>138175</v>
      </c>
      <c r="Z815" s="17">
        <v>20233</v>
      </c>
      <c r="AA815" s="17">
        <v>4891</v>
      </c>
      <c r="AB815" s="17">
        <v>25124</v>
      </c>
      <c r="AC815" s="17">
        <v>163299</v>
      </c>
      <c r="AD815" s="17">
        <v>905</v>
      </c>
      <c r="AE815" s="51">
        <f t="shared" si="94"/>
        <v>40.407410808335378</v>
      </c>
      <c r="AF815" s="51">
        <f t="shared" si="95"/>
        <v>7.3471741570372204</v>
      </c>
      <c r="AG815" s="51">
        <f t="shared" si="96"/>
        <v>47.754584965372594</v>
      </c>
      <c r="AH815" s="51">
        <f t="shared" si="97"/>
        <v>0.26465501560733501</v>
      </c>
      <c r="AI815" s="17">
        <v>238813</v>
      </c>
      <c r="AJ815" s="17" t="s">
        <v>1428</v>
      </c>
      <c r="AK815" s="17" t="s">
        <v>1429</v>
      </c>
      <c r="AL815" s="17" t="s">
        <v>1430</v>
      </c>
      <c r="AM815" s="17" t="s">
        <v>1431</v>
      </c>
      <c r="AN815" s="17" t="s">
        <v>1432</v>
      </c>
      <c r="BG815" s="15"/>
      <c r="BM815" s="17"/>
      <c r="BN815" s="17"/>
      <c r="BO815" s="17"/>
      <c r="BP815" s="17"/>
      <c r="BQ815" s="17"/>
      <c r="BW815" s="17"/>
    </row>
    <row r="816" spans="1:75" hidden="1" x14ac:dyDescent="0.25">
      <c r="A816" s="15" t="s">
        <v>1410</v>
      </c>
      <c r="B816" s="15" t="s">
        <v>30</v>
      </c>
      <c r="C816" s="15">
        <v>2013</v>
      </c>
      <c r="D816" s="15" t="s">
        <v>1411</v>
      </c>
      <c r="E816" s="15">
        <v>15580</v>
      </c>
      <c r="F816" s="15">
        <v>3408005</v>
      </c>
      <c r="G816" s="15" t="s">
        <v>109</v>
      </c>
      <c r="H816" s="15" t="s">
        <v>110</v>
      </c>
      <c r="I816" s="15" t="s">
        <v>1412</v>
      </c>
      <c r="J816" s="15" t="s">
        <v>1413</v>
      </c>
      <c r="K816" s="15" t="s">
        <v>241</v>
      </c>
      <c r="L816" s="15" t="s">
        <v>182</v>
      </c>
      <c r="M816" s="15" t="s">
        <v>309</v>
      </c>
      <c r="N816" s="15" t="s">
        <v>310</v>
      </c>
      <c r="O816" s="15"/>
      <c r="P816" s="15"/>
      <c r="Q816" s="15"/>
      <c r="R816" s="15"/>
      <c r="S816" s="15"/>
      <c r="T816" s="15"/>
      <c r="U816" s="15"/>
      <c r="V816" s="15"/>
      <c r="W816" s="15"/>
      <c r="X816" s="15"/>
      <c r="Y816" s="17">
        <v>135322</v>
      </c>
      <c r="Z816" s="17">
        <v>20340</v>
      </c>
      <c r="AA816" s="17">
        <v>4758</v>
      </c>
      <c r="AB816" s="17">
        <v>25098</v>
      </c>
      <c r="AC816" s="17">
        <v>160420</v>
      </c>
      <c r="AD816" s="17">
        <v>837</v>
      </c>
      <c r="AE816" s="51">
        <f t="shared" si="94"/>
        <v>39.707101368689308</v>
      </c>
      <c r="AF816" s="51">
        <f t="shared" si="95"/>
        <v>7.3644258151029716</v>
      </c>
      <c r="AG816" s="51">
        <f t="shared" si="96"/>
        <v>47.071527183792277</v>
      </c>
      <c r="AH816" s="51">
        <f t="shared" si="97"/>
        <v>0.24559823122325233</v>
      </c>
      <c r="AI816" s="17">
        <v>202311</v>
      </c>
      <c r="AJ816" s="17" t="s">
        <v>1433</v>
      </c>
      <c r="AK816" s="17" t="s">
        <v>1434</v>
      </c>
      <c r="AL816" s="17" t="s">
        <v>1435</v>
      </c>
      <c r="AM816" s="17" t="s">
        <v>1436</v>
      </c>
      <c r="AN816" s="17" t="s">
        <v>1437</v>
      </c>
      <c r="BG816" s="15"/>
      <c r="BM816" s="17"/>
      <c r="BN816" s="17"/>
      <c r="BO816" s="17"/>
      <c r="BP816" s="17"/>
      <c r="BQ816" s="17"/>
      <c r="BW816" s="17"/>
    </row>
    <row r="817" spans="1:75" hidden="1" x14ac:dyDescent="0.25">
      <c r="A817" s="15" t="s">
        <v>1410</v>
      </c>
      <c r="B817" s="15" t="s">
        <v>30</v>
      </c>
      <c r="C817" s="15">
        <v>2012</v>
      </c>
      <c r="D817" s="15" t="s">
        <v>1411</v>
      </c>
      <c r="E817" s="15">
        <v>13910</v>
      </c>
      <c r="F817" s="15">
        <v>3396777</v>
      </c>
      <c r="G817" s="15" t="s">
        <v>109</v>
      </c>
      <c r="H817" s="15" t="s">
        <v>110</v>
      </c>
      <c r="I817" s="15" t="s">
        <v>1412</v>
      </c>
      <c r="J817" s="15" t="s">
        <v>1413</v>
      </c>
      <c r="K817" s="15" t="s">
        <v>241</v>
      </c>
      <c r="L817" s="15" t="s">
        <v>182</v>
      </c>
      <c r="M817" s="15" t="s">
        <v>309</v>
      </c>
      <c r="N817" s="15" t="s">
        <v>310</v>
      </c>
      <c r="O817" s="15"/>
      <c r="P817" s="15"/>
      <c r="Q817" s="15"/>
      <c r="R817" s="15"/>
      <c r="S817" s="15"/>
      <c r="T817" s="15"/>
      <c r="U817" s="15"/>
      <c r="V817" s="15"/>
      <c r="W817" s="15"/>
      <c r="X817" s="15"/>
      <c r="Y817" s="17">
        <v>125973</v>
      </c>
      <c r="Z817" s="17">
        <v>19567</v>
      </c>
      <c r="AA817" s="17">
        <v>4625</v>
      </c>
      <c r="AB817" s="17">
        <v>24192</v>
      </c>
      <c r="AC817" s="17">
        <v>150165</v>
      </c>
      <c r="AD817" s="17">
        <v>801</v>
      </c>
      <c r="AE817" s="51">
        <f t="shared" si="94"/>
        <v>37.086037735182501</v>
      </c>
      <c r="AF817" s="51">
        <f t="shared" si="95"/>
        <v>7.12204539774027</v>
      </c>
      <c r="AG817" s="51">
        <f t="shared" si="96"/>
        <v>44.208083132922766</v>
      </c>
      <c r="AH817" s="51">
        <f t="shared" si="97"/>
        <v>0.23581177098172768</v>
      </c>
      <c r="AI817" s="17">
        <v>202730</v>
      </c>
      <c r="AJ817" s="17" t="s">
        <v>1438</v>
      </c>
      <c r="AK817" s="17" t="s">
        <v>1439</v>
      </c>
      <c r="AL817" s="17" t="s">
        <v>1440</v>
      </c>
      <c r="AM817" s="17" t="s">
        <v>1441</v>
      </c>
      <c r="AN817" s="17" t="s">
        <v>1442</v>
      </c>
      <c r="BG817" s="15"/>
      <c r="BM817" s="17"/>
      <c r="BN817" s="17"/>
      <c r="BO817" s="17"/>
      <c r="BP817" s="17"/>
      <c r="BQ817" s="17"/>
      <c r="BW817" s="17"/>
    </row>
    <row r="818" spans="1:75" hidden="1" x14ac:dyDescent="0.25">
      <c r="A818" s="15" t="s">
        <v>1410</v>
      </c>
      <c r="B818" s="15" t="s">
        <v>30</v>
      </c>
      <c r="C818" s="15">
        <v>2011</v>
      </c>
      <c r="D818" s="15" t="s">
        <v>1411</v>
      </c>
      <c r="E818" s="15">
        <v>12000</v>
      </c>
      <c r="F818" s="15">
        <v>3385624</v>
      </c>
      <c r="G818" s="15" t="s">
        <v>109</v>
      </c>
      <c r="H818" s="15" t="s">
        <v>110</v>
      </c>
      <c r="I818" s="15" t="s">
        <v>1412</v>
      </c>
      <c r="J818" s="15" t="s">
        <v>1413</v>
      </c>
      <c r="K818" s="15" t="s">
        <v>241</v>
      </c>
      <c r="L818" s="15" t="s">
        <v>182</v>
      </c>
      <c r="M818" s="15" t="s">
        <v>309</v>
      </c>
      <c r="N818" s="15" t="s">
        <v>310</v>
      </c>
      <c r="O818" s="15"/>
      <c r="P818" s="15"/>
      <c r="Q818" s="15"/>
      <c r="R818" s="15"/>
      <c r="S818" s="15"/>
      <c r="T818" s="15"/>
      <c r="U818" s="15"/>
      <c r="V818" s="15"/>
      <c r="W818" s="15"/>
      <c r="X818" s="15"/>
      <c r="Y818" s="17">
        <v>122079</v>
      </c>
      <c r="Z818" s="17">
        <v>18980</v>
      </c>
      <c r="AA818" s="17">
        <v>4384</v>
      </c>
      <c r="AB818" s="17">
        <v>23364</v>
      </c>
      <c r="AC818" s="17">
        <v>145443</v>
      </c>
      <c r="AD818" s="17">
        <v>765</v>
      </c>
      <c r="AE818" s="51">
        <f t="shared" si="94"/>
        <v>36.058050155599084</v>
      </c>
      <c r="AF818" s="51">
        <f t="shared" si="95"/>
        <v>6.9009435188313883</v>
      </c>
      <c r="AG818" s="51">
        <f t="shared" si="96"/>
        <v>42.958993674430481</v>
      </c>
      <c r="AH818" s="51">
        <f t="shared" si="97"/>
        <v>0.22595539256574268</v>
      </c>
      <c r="AI818" s="17">
        <v>179075</v>
      </c>
      <c r="AJ818" s="17" t="s">
        <v>1443</v>
      </c>
      <c r="AK818" s="17" t="s">
        <v>1444</v>
      </c>
      <c r="AL818" s="17" t="s">
        <v>1445</v>
      </c>
      <c r="AM818" s="17" t="s">
        <v>1446</v>
      </c>
      <c r="AN818" s="17" t="s">
        <v>1447</v>
      </c>
      <c r="BG818" s="15"/>
      <c r="BM818" s="17"/>
      <c r="BN818" s="17"/>
      <c r="BO818" s="17"/>
      <c r="BP818" s="17"/>
      <c r="BQ818" s="17"/>
      <c r="BW818" s="17"/>
    </row>
    <row r="819" spans="1:75" hidden="1" x14ac:dyDescent="0.25">
      <c r="A819" s="15" t="s">
        <v>1410</v>
      </c>
      <c r="B819" s="15" t="s">
        <v>30</v>
      </c>
      <c r="C819" s="15">
        <v>2010</v>
      </c>
      <c r="D819" s="15" t="s">
        <v>1411</v>
      </c>
      <c r="E819" s="15">
        <v>10390</v>
      </c>
      <c r="F819" s="15">
        <v>3374415</v>
      </c>
      <c r="G819" s="15" t="s">
        <v>109</v>
      </c>
      <c r="H819" s="15" t="s">
        <v>110</v>
      </c>
      <c r="I819" s="15" t="s">
        <v>1412</v>
      </c>
      <c r="J819" s="15" t="s">
        <v>1413</v>
      </c>
      <c r="K819" s="15" t="s">
        <v>241</v>
      </c>
      <c r="L819" s="15" t="s">
        <v>182</v>
      </c>
      <c r="M819" s="15" t="s">
        <v>309</v>
      </c>
      <c r="N819" s="15" t="s">
        <v>310</v>
      </c>
      <c r="O819" s="15"/>
      <c r="P819" s="15"/>
      <c r="Q819" s="15"/>
      <c r="R819" s="15"/>
      <c r="S819" s="15"/>
      <c r="T819" s="15"/>
      <c r="U819" s="15"/>
      <c r="V819" s="15"/>
      <c r="W819" s="15"/>
      <c r="X819" s="15"/>
      <c r="Y819" s="17">
        <v>101339</v>
      </c>
      <c r="Z819" s="17">
        <v>16843</v>
      </c>
      <c r="AA819" s="17">
        <v>3890</v>
      </c>
      <c r="AB819" s="17">
        <v>20733</v>
      </c>
      <c r="AC819" s="17">
        <v>122072</v>
      </c>
      <c r="AD819" s="17">
        <v>686</v>
      </c>
      <c r="AE819" s="51">
        <f t="shared" si="94"/>
        <v>30.031575843516581</v>
      </c>
      <c r="AF819" s="51">
        <f t="shared" si="95"/>
        <v>6.1441761016353951</v>
      </c>
      <c r="AG819" s="51">
        <f t="shared" si="96"/>
        <v>36.17575194515198</v>
      </c>
      <c r="AH819" s="51">
        <f t="shared" si="97"/>
        <v>0.20329449697206775</v>
      </c>
      <c r="AI819" s="17">
        <v>157164</v>
      </c>
      <c r="AJ819" s="17" t="s">
        <v>1448</v>
      </c>
      <c r="AK819" s="17" t="s">
        <v>1449</v>
      </c>
      <c r="AL819" s="17" t="s">
        <v>1450</v>
      </c>
      <c r="AM819" s="17" t="s">
        <v>1451</v>
      </c>
      <c r="AN819" s="17" t="s">
        <v>1452</v>
      </c>
      <c r="BG819" s="15"/>
      <c r="BM819" s="17"/>
      <c r="BN819" s="17"/>
      <c r="BO819" s="17"/>
      <c r="BP819" s="17"/>
      <c r="BQ819" s="17"/>
      <c r="BW819" s="17"/>
    </row>
    <row r="820" spans="1:75" hidden="1" x14ac:dyDescent="0.25">
      <c r="A820" s="15" t="s">
        <v>1410</v>
      </c>
      <c r="B820" s="15" t="s">
        <v>30</v>
      </c>
      <c r="C820" s="15">
        <v>2009</v>
      </c>
      <c r="D820" s="15" t="s">
        <v>1411</v>
      </c>
      <c r="E820" s="15">
        <v>8770</v>
      </c>
      <c r="F820" s="15">
        <v>3362755</v>
      </c>
      <c r="G820" s="15" t="s">
        <v>109</v>
      </c>
      <c r="H820" s="15" t="s">
        <v>110</v>
      </c>
      <c r="I820" s="15" t="s">
        <v>1412</v>
      </c>
      <c r="J820" s="15" t="s">
        <v>1413</v>
      </c>
      <c r="K820" s="15" t="s">
        <v>241</v>
      </c>
      <c r="L820" s="15" t="s">
        <v>182</v>
      </c>
      <c r="M820" s="15" t="s">
        <v>309</v>
      </c>
      <c r="N820" s="15" t="s">
        <v>310</v>
      </c>
      <c r="O820" s="15"/>
      <c r="P820" s="15"/>
      <c r="Q820" s="15"/>
      <c r="R820" s="15"/>
      <c r="S820" s="15"/>
      <c r="T820" s="15"/>
      <c r="U820" s="15"/>
      <c r="V820" s="15"/>
      <c r="W820" s="15"/>
      <c r="X820" s="15"/>
      <c r="Y820" s="17">
        <v>92004</v>
      </c>
      <c r="Z820" s="17">
        <v>14748</v>
      </c>
      <c r="AA820" s="17">
        <v>3433</v>
      </c>
      <c r="AB820" s="17">
        <v>18181</v>
      </c>
      <c r="AC820" s="17">
        <v>110185</v>
      </c>
      <c r="AD820" s="17">
        <v>639</v>
      </c>
      <c r="AE820" s="51">
        <f t="shared" si="94"/>
        <v>27.359709523887407</v>
      </c>
      <c r="AF820" s="51">
        <f t="shared" si="95"/>
        <v>5.4065788319398829</v>
      </c>
      <c r="AG820" s="51">
        <f t="shared" si="96"/>
        <v>32.766288355827285</v>
      </c>
      <c r="AH820" s="51">
        <f t="shared" si="97"/>
        <v>0.19002276407291047</v>
      </c>
      <c r="AI820" s="17">
        <v>154738</v>
      </c>
      <c r="AJ820" s="17" t="s">
        <v>1453</v>
      </c>
      <c r="AK820" s="17" t="s">
        <v>1454</v>
      </c>
      <c r="AL820" s="17" t="s">
        <v>1455</v>
      </c>
      <c r="AM820" s="17" t="s">
        <v>1456</v>
      </c>
      <c r="AN820" s="17" t="s">
        <v>1457</v>
      </c>
      <c r="BG820" s="15"/>
      <c r="BM820" s="17"/>
      <c r="BN820" s="17"/>
      <c r="BO820" s="17"/>
      <c r="BP820" s="17"/>
      <c r="BQ820" s="17"/>
      <c r="BW820" s="17"/>
    </row>
    <row r="821" spans="1:75" hidden="1" x14ac:dyDescent="0.25">
      <c r="A821" s="15" t="s">
        <v>1410</v>
      </c>
      <c r="B821" s="15" t="s">
        <v>30</v>
      </c>
      <c r="C821" s="15">
        <v>2008</v>
      </c>
      <c r="D821" s="15" t="s">
        <v>1411</v>
      </c>
      <c r="E821" s="15">
        <v>7690</v>
      </c>
      <c r="F821" s="15">
        <v>3350824</v>
      </c>
      <c r="G821" s="15" t="s">
        <v>109</v>
      </c>
      <c r="H821" s="15" t="s">
        <v>110</v>
      </c>
      <c r="I821" s="15" t="s">
        <v>1412</v>
      </c>
      <c r="J821" s="15" t="s">
        <v>1413</v>
      </c>
      <c r="K821" s="15" t="s">
        <v>241</v>
      </c>
      <c r="L821" s="15" t="s">
        <v>182</v>
      </c>
      <c r="M821" s="15" t="s">
        <v>309</v>
      </c>
      <c r="N821" s="15" t="s">
        <v>310</v>
      </c>
      <c r="O821" s="15"/>
      <c r="P821" s="15"/>
      <c r="Q821" s="15"/>
      <c r="R821" s="15"/>
      <c r="S821" s="15"/>
      <c r="T821" s="15"/>
      <c r="U821" s="15"/>
      <c r="V821" s="15"/>
      <c r="W821" s="15"/>
      <c r="X821" s="15"/>
      <c r="Y821" s="17">
        <v>95142</v>
      </c>
      <c r="Z821" s="17">
        <v>15407</v>
      </c>
      <c r="AA821" s="17">
        <v>3393</v>
      </c>
      <c r="AB821" s="17">
        <v>18800</v>
      </c>
      <c r="AC821" s="17">
        <v>113942</v>
      </c>
      <c r="AD821" s="17">
        <v>609</v>
      </c>
      <c r="AE821" s="51">
        <f t="shared" si="94"/>
        <v>28.393613033689622</v>
      </c>
      <c r="AF821" s="51">
        <f t="shared" si="95"/>
        <v>5.6105602681609064</v>
      </c>
      <c r="AG821" s="51">
        <f t="shared" si="96"/>
        <v>34.004173301850528</v>
      </c>
      <c r="AH821" s="51">
        <f t="shared" si="97"/>
        <v>0.18174634060159531</v>
      </c>
      <c r="AI821" s="17">
        <v>160479</v>
      </c>
      <c r="AJ821" s="17" t="s">
        <v>1458</v>
      </c>
      <c r="AK821" s="17" t="s">
        <v>1459</v>
      </c>
      <c r="AL821" s="17" t="s">
        <v>1460</v>
      </c>
      <c r="AM821" s="17" t="s">
        <v>1461</v>
      </c>
      <c r="AN821" s="17" t="s">
        <v>1462</v>
      </c>
      <c r="BG821" s="15"/>
      <c r="BM821" s="17"/>
      <c r="BN821" s="17"/>
      <c r="BO821" s="17"/>
      <c r="BP821" s="17"/>
      <c r="BQ821" s="17"/>
      <c r="BW821" s="17"/>
    </row>
    <row r="822" spans="1:75" hidden="1" x14ac:dyDescent="0.25">
      <c r="A822" s="15" t="s">
        <v>1410</v>
      </c>
      <c r="B822" s="15" t="s">
        <v>30</v>
      </c>
      <c r="C822" s="15">
        <v>2007</v>
      </c>
      <c r="D822" s="15" t="s">
        <v>1411</v>
      </c>
      <c r="E822" s="15">
        <v>6370</v>
      </c>
      <c r="F822" s="15">
        <v>3339741</v>
      </c>
      <c r="G822" s="15" t="s">
        <v>109</v>
      </c>
      <c r="H822" s="15" t="s">
        <v>110</v>
      </c>
      <c r="I822" s="15" t="s">
        <v>1412</v>
      </c>
      <c r="J822" s="15" t="s">
        <v>1413</v>
      </c>
      <c r="K822" s="15" t="s">
        <v>241</v>
      </c>
      <c r="L822" s="15" t="s">
        <v>182</v>
      </c>
      <c r="M822" s="15" t="s">
        <v>309</v>
      </c>
      <c r="N822" s="15" t="s">
        <v>310</v>
      </c>
      <c r="O822" s="15"/>
      <c r="P822" s="15"/>
      <c r="Q822" s="15"/>
      <c r="R822" s="15"/>
      <c r="S822" s="15"/>
      <c r="T822" s="15"/>
      <c r="U822" s="15"/>
      <c r="V822" s="15"/>
      <c r="W822" s="15"/>
      <c r="X822" s="15"/>
      <c r="Y822" s="17">
        <v>102116</v>
      </c>
      <c r="Z822" s="17">
        <v>14518</v>
      </c>
      <c r="AA822" s="17">
        <v>3325</v>
      </c>
      <c r="AB822" s="17">
        <v>17843</v>
      </c>
      <c r="AC822" s="17">
        <v>119959</v>
      </c>
      <c r="AD822" s="17">
        <v>617</v>
      </c>
      <c r="AE822" s="51">
        <f t="shared" si="94"/>
        <v>30.576023709622994</v>
      </c>
      <c r="AF822" s="51">
        <f t="shared" si="95"/>
        <v>5.3426298626150945</v>
      </c>
      <c r="AG822" s="51">
        <f t="shared" si="96"/>
        <v>35.918653572238085</v>
      </c>
      <c r="AH822" s="51">
        <f t="shared" si="97"/>
        <v>0.18474486494611408</v>
      </c>
      <c r="AI822" s="17">
        <v>164371</v>
      </c>
      <c r="AJ822" s="17" t="s">
        <v>1463</v>
      </c>
      <c r="AK822" s="17" t="s">
        <v>1464</v>
      </c>
      <c r="AL822" s="17" t="s">
        <v>1465</v>
      </c>
      <c r="AM822" s="17" t="s">
        <v>1466</v>
      </c>
      <c r="AN822" s="17" t="s">
        <v>1467</v>
      </c>
      <c r="BG822" s="15"/>
      <c r="BM822" s="17"/>
      <c r="BN822" s="17"/>
      <c r="BO822" s="17"/>
      <c r="BP822" s="17"/>
      <c r="BQ822" s="17"/>
      <c r="BW822" s="17"/>
    </row>
    <row r="823" spans="1:75" hidden="1" x14ac:dyDescent="0.25">
      <c r="A823" s="15" t="s">
        <v>1410</v>
      </c>
      <c r="B823" s="15" t="s">
        <v>30</v>
      </c>
      <c r="C823" s="15">
        <v>2006</v>
      </c>
      <c r="D823" s="15" t="s">
        <v>1411</v>
      </c>
      <c r="E823" s="15">
        <v>5380</v>
      </c>
      <c r="F823" s="15">
        <v>3331043</v>
      </c>
      <c r="G823" s="15" t="s">
        <v>109</v>
      </c>
      <c r="H823" s="15" t="s">
        <v>110</v>
      </c>
      <c r="I823" s="15" t="s">
        <v>1412</v>
      </c>
      <c r="J823" s="15" t="s">
        <v>1413</v>
      </c>
      <c r="K823" s="15" t="s">
        <v>241</v>
      </c>
      <c r="L823" s="15" t="s">
        <v>182</v>
      </c>
      <c r="M823" s="15" t="s">
        <v>309</v>
      </c>
      <c r="N823" s="15" t="s">
        <v>310</v>
      </c>
      <c r="O823" s="15"/>
      <c r="P823" s="15"/>
      <c r="Q823" s="15"/>
      <c r="R823" s="15"/>
      <c r="S823" s="15"/>
      <c r="T823" s="15"/>
      <c r="U823" s="15"/>
      <c r="V823" s="15"/>
      <c r="W823" s="15"/>
      <c r="X823" s="15"/>
      <c r="Y823" s="17">
        <v>100771</v>
      </c>
      <c r="Z823" s="17">
        <v>13598</v>
      </c>
      <c r="AA823" s="17">
        <v>3046</v>
      </c>
      <c r="AB823" s="17">
        <v>16644</v>
      </c>
      <c r="AC823" s="17">
        <v>117415</v>
      </c>
      <c r="AD823" s="17">
        <v>581</v>
      </c>
      <c r="AE823" s="51">
        <f t="shared" si="94"/>
        <v>30.252086208433816</v>
      </c>
      <c r="AF823" s="51">
        <f t="shared" si="95"/>
        <v>4.9966331866625557</v>
      </c>
      <c r="AG823" s="51">
        <f t="shared" si="96"/>
        <v>35.248719395096373</v>
      </c>
      <c r="AH823" s="51">
        <f t="shared" si="97"/>
        <v>0.17441984387472631</v>
      </c>
      <c r="AI823" s="17">
        <v>160458</v>
      </c>
      <c r="AJ823" s="17" t="s">
        <v>1468</v>
      </c>
      <c r="AK823" s="17" t="s">
        <v>1469</v>
      </c>
      <c r="AL823" s="17" t="s">
        <v>1470</v>
      </c>
      <c r="AM823" s="17" t="s">
        <v>1471</v>
      </c>
      <c r="AN823" s="17" t="s">
        <v>1472</v>
      </c>
      <c r="BG823" s="15"/>
      <c r="BM823" s="17"/>
      <c r="BN823" s="17"/>
      <c r="BO823" s="17"/>
      <c r="BP823" s="17"/>
      <c r="BQ823" s="17"/>
      <c r="BW823" s="17"/>
    </row>
    <row r="824" spans="1:75" hidden="1" x14ac:dyDescent="0.25">
      <c r="A824" s="15" t="s">
        <v>1410</v>
      </c>
      <c r="B824" s="15" t="s">
        <v>30</v>
      </c>
      <c r="C824" s="15">
        <v>2005</v>
      </c>
      <c r="D824" s="15" t="s">
        <v>1411</v>
      </c>
      <c r="E824" s="15">
        <v>4720</v>
      </c>
      <c r="F824" s="15">
        <v>3325612</v>
      </c>
      <c r="G824" s="15" t="s">
        <v>109</v>
      </c>
      <c r="H824" s="15" t="s">
        <v>110</v>
      </c>
      <c r="I824" s="15" t="s">
        <v>1412</v>
      </c>
      <c r="J824" s="15" t="s">
        <v>1413</v>
      </c>
      <c r="K824" s="15" t="s">
        <v>241</v>
      </c>
      <c r="L824" s="15" t="s">
        <v>182</v>
      </c>
      <c r="M824" s="15" t="s">
        <v>309</v>
      </c>
      <c r="N824" s="15" t="s">
        <v>310</v>
      </c>
      <c r="O824" s="15"/>
      <c r="P824" s="15"/>
      <c r="Q824" s="15"/>
      <c r="R824" s="15"/>
      <c r="S824" s="15"/>
      <c r="T824" s="15"/>
      <c r="U824" s="15"/>
      <c r="V824" s="15"/>
      <c r="W824" s="15"/>
      <c r="X824" s="15"/>
      <c r="Y824" s="17">
        <v>94452</v>
      </c>
      <c r="Z824" s="17">
        <v>12873</v>
      </c>
      <c r="AA824" s="17">
        <v>2868</v>
      </c>
      <c r="AB824" s="17">
        <v>15741</v>
      </c>
      <c r="AC824" s="17">
        <v>110193</v>
      </c>
      <c r="AD824" s="17">
        <v>523</v>
      </c>
      <c r="AE824" s="51">
        <f t="shared" si="94"/>
        <v>28.401388977427313</v>
      </c>
      <c r="AF824" s="51">
        <f t="shared" si="95"/>
        <v>4.7332641330377685</v>
      </c>
      <c r="AG824" s="51">
        <f t="shared" si="96"/>
        <v>33.134653110465081</v>
      </c>
      <c r="AH824" s="51">
        <f t="shared" si="97"/>
        <v>0.15726428699439379</v>
      </c>
      <c r="AI824" s="17">
        <v>150748</v>
      </c>
      <c r="AJ824" s="17" t="s">
        <v>1473</v>
      </c>
      <c r="AK824" s="17" t="s">
        <v>1474</v>
      </c>
      <c r="AL824" s="17" t="s">
        <v>1475</v>
      </c>
      <c r="AM824" s="17" t="s">
        <v>1476</v>
      </c>
      <c r="AN824" s="17" t="s">
        <v>1477</v>
      </c>
      <c r="BG824" s="15"/>
      <c r="BM824" s="17"/>
      <c r="BN824" s="17"/>
      <c r="BO824" s="17"/>
      <c r="BP824" s="17"/>
      <c r="BQ824" s="17"/>
      <c r="BW824" s="17"/>
    </row>
    <row r="825" spans="1:75" hidden="1" x14ac:dyDescent="0.25">
      <c r="A825" s="15" t="s">
        <v>1410</v>
      </c>
      <c r="B825" s="15" t="s">
        <v>30</v>
      </c>
      <c r="C825" s="15">
        <v>2004</v>
      </c>
      <c r="D825" s="15" t="s">
        <v>1411</v>
      </c>
      <c r="E825" s="15">
        <v>4130</v>
      </c>
      <c r="F825" s="15">
        <v>3324096</v>
      </c>
      <c r="G825" s="15" t="s">
        <v>109</v>
      </c>
      <c r="H825" s="15" t="s">
        <v>110</v>
      </c>
      <c r="I825" s="15" t="s">
        <v>1412</v>
      </c>
      <c r="J825" s="15" t="s">
        <v>1413</v>
      </c>
      <c r="K825" s="15" t="s">
        <v>241</v>
      </c>
      <c r="L825" s="15" t="s">
        <v>182</v>
      </c>
      <c r="M825" s="15" t="s">
        <v>309</v>
      </c>
      <c r="N825" s="15" t="s">
        <v>310</v>
      </c>
      <c r="O825" s="15"/>
      <c r="P825" s="15"/>
      <c r="Q825" s="15"/>
      <c r="R825" s="15"/>
      <c r="S825" s="15"/>
      <c r="T825" s="15"/>
      <c r="U825" s="15"/>
      <c r="V825" s="15"/>
      <c r="W825" s="15"/>
      <c r="X825" s="15"/>
      <c r="Y825" s="17">
        <v>110214</v>
      </c>
      <c r="Z825" s="17">
        <v>12409</v>
      </c>
      <c r="AA825" s="17">
        <v>2490</v>
      </c>
      <c r="AB825" s="17">
        <v>14899</v>
      </c>
      <c r="AC825" s="17">
        <v>125113</v>
      </c>
      <c r="AD825" s="17">
        <v>463</v>
      </c>
      <c r="AE825" s="51">
        <f t="shared" si="94"/>
        <v>33.156082134811989</v>
      </c>
      <c r="AF825" s="51">
        <f t="shared" si="95"/>
        <v>4.4821208533086896</v>
      </c>
      <c r="AG825" s="51">
        <f t="shared" si="96"/>
        <v>37.638202988120675</v>
      </c>
      <c r="AH825" s="51">
        <f t="shared" si="97"/>
        <v>0.13928598933364139</v>
      </c>
      <c r="AI825" s="17">
        <v>116440</v>
      </c>
      <c r="AJ825" s="17" t="s">
        <v>1478</v>
      </c>
      <c r="AK825" s="17">
        <v>95758</v>
      </c>
      <c r="AL825" s="17" t="s">
        <v>1479</v>
      </c>
      <c r="AM825" s="17" t="s">
        <v>1480</v>
      </c>
      <c r="AN825" s="17" t="s">
        <v>1481</v>
      </c>
      <c r="BG825" s="15"/>
      <c r="BM825" s="17"/>
      <c r="BN825" s="17"/>
      <c r="BO825" s="17"/>
      <c r="BP825" s="17"/>
      <c r="BQ825" s="17"/>
      <c r="BW825" s="17"/>
    </row>
    <row r="826" spans="1:75" hidden="1" x14ac:dyDescent="0.25">
      <c r="A826" s="15" t="s">
        <v>1410</v>
      </c>
      <c r="B826" s="15" t="s">
        <v>30</v>
      </c>
      <c r="C826" s="15">
        <v>2003</v>
      </c>
      <c r="D826" s="15" t="s">
        <v>1411</v>
      </c>
      <c r="E826" s="15">
        <v>4240</v>
      </c>
      <c r="F826" s="15">
        <v>3325637</v>
      </c>
      <c r="G826" s="15" t="s">
        <v>109</v>
      </c>
      <c r="H826" s="15" t="s">
        <v>110</v>
      </c>
      <c r="I826" s="15" t="s">
        <v>1412</v>
      </c>
      <c r="J826" s="15" t="s">
        <v>1413</v>
      </c>
      <c r="K826" s="15" t="s">
        <v>241</v>
      </c>
      <c r="L826" s="15" t="s">
        <v>182</v>
      </c>
      <c r="M826" s="15" t="s">
        <v>309</v>
      </c>
      <c r="N826" s="15" t="s">
        <v>310</v>
      </c>
      <c r="O826" s="15"/>
      <c r="P826" s="15"/>
      <c r="Q826" s="15"/>
      <c r="R826" s="15"/>
      <c r="S826" s="15"/>
      <c r="T826" s="15"/>
      <c r="U826" s="15"/>
      <c r="V826" s="15"/>
      <c r="W826" s="15"/>
      <c r="X826" s="15"/>
      <c r="Y826" s="17">
        <v>129074</v>
      </c>
      <c r="Z826" s="17">
        <v>11663</v>
      </c>
      <c r="AA826" s="17">
        <v>2298</v>
      </c>
      <c r="AB826" s="17">
        <v>13961</v>
      </c>
      <c r="AC826" s="17">
        <v>143035</v>
      </c>
      <c r="AD826" s="17">
        <v>427</v>
      </c>
      <c r="AE826" s="51">
        <f t="shared" si="94"/>
        <v>38.811812594098512</v>
      </c>
      <c r="AF826" s="51">
        <f t="shared" si="95"/>
        <v>4.1979927454499695</v>
      </c>
      <c r="AG826" s="51">
        <f t="shared" si="96"/>
        <v>43.009805339548485</v>
      </c>
      <c r="AH826" s="51">
        <f t="shared" si="97"/>
        <v>0.12839645457396584</v>
      </c>
      <c r="BG826" s="15"/>
      <c r="BM826" s="17"/>
      <c r="BN826" s="17"/>
      <c r="BO826" s="17"/>
      <c r="BP826" s="17"/>
      <c r="BQ826" s="17"/>
      <c r="BW826" s="17"/>
    </row>
    <row r="827" spans="1:75" hidden="1" x14ac:dyDescent="0.25">
      <c r="A827" s="15" t="s">
        <v>1410</v>
      </c>
      <c r="B827" s="15" t="s">
        <v>52</v>
      </c>
      <c r="C827" s="15">
        <v>2007</v>
      </c>
      <c r="D827" s="15" t="s">
        <v>1411</v>
      </c>
      <c r="E827" s="15">
        <v>6370</v>
      </c>
      <c r="F827" s="15">
        <v>3339741</v>
      </c>
      <c r="G827" s="15" t="s">
        <v>109</v>
      </c>
      <c r="H827" s="15" t="s">
        <v>110</v>
      </c>
      <c r="I827" s="15" t="s">
        <v>1482</v>
      </c>
      <c r="J827" s="15" t="s">
        <v>1483</v>
      </c>
      <c r="K827" s="15" t="s">
        <v>241</v>
      </c>
      <c r="L827" s="15" t="s">
        <v>182</v>
      </c>
      <c r="M827" s="15" t="s">
        <v>309</v>
      </c>
      <c r="N827" s="15" t="s">
        <v>310</v>
      </c>
      <c r="O827" s="15"/>
      <c r="P827" s="15"/>
      <c r="Q827" s="15"/>
      <c r="R827" s="15"/>
      <c r="S827" s="15"/>
      <c r="T827" s="15" t="s">
        <v>115</v>
      </c>
      <c r="U827" s="15" t="s">
        <v>1067</v>
      </c>
      <c r="V827" s="15" t="s">
        <v>1484</v>
      </c>
      <c r="W827" s="15" t="s">
        <v>886</v>
      </c>
      <c r="X827" s="15" t="s">
        <v>1485</v>
      </c>
      <c r="AE827" s="51" t="str">
        <f t="shared" si="94"/>
        <v/>
      </c>
      <c r="AF827" s="51" t="str">
        <f t="shared" si="95"/>
        <v/>
      </c>
      <c r="AG827" s="51" t="str">
        <f t="shared" si="96"/>
        <v/>
      </c>
      <c r="AH827" s="51" t="str">
        <f t="shared" si="97"/>
        <v/>
      </c>
      <c r="BG827" s="15"/>
      <c r="BM827" s="17"/>
      <c r="BN827" s="17"/>
      <c r="BO827" s="17"/>
      <c r="BP827" s="17"/>
      <c r="BQ827" s="17"/>
      <c r="BW827" s="17" t="s">
        <v>1486</v>
      </c>
    </row>
    <row r="828" spans="1:75" hidden="1" x14ac:dyDescent="0.25">
      <c r="A828" s="15" t="s">
        <v>1487</v>
      </c>
      <c r="B828" s="15" t="s">
        <v>30</v>
      </c>
      <c r="C828" s="15">
        <v>2018</v>
      </c>
      <c r="D828" s="15" t="s">
        <v>1488</v>
      </c>
      <c r="E828" s="15">
        <v>1980</v>
      </c>
      <c r="F828" s="15">
        <v>32387200</v>
      </c>
      <c r="G828" s="15" t="s">
        <v>88</v>
      </c>
      <c r="H828" s="15" t="s">
        <v>43</v>
      </c>
      <c r="I828" s="15" t="s">
        <v>1489</v>
      </c>
      <c r="J828" s="15" t="s">
        <v>1490</v>
      </c>
      <c r="K828" s="15" t="s">
        <v>1491</v>
      </c>
      <c r="L828" s="15" t="s">
        <v>1492</v>
      </c>
      <c r="M828" s="15" t="s">
        <v>1888</v>
      </c>
      <c r="N828" s="15"/>
      <c r="O828" s="15"/>
      <c r="P828" s="15"/>
      <c r="Q828" s="15"/>
      <c r="R828" s="15"/>
      <c r="S828" s="15"/>
      <c r="T828" s="15"/>
      <c r="U828" s="15"/>
      <c r="V828" s="15"/>
      <c r="W828" s="15"/>
      <c r="X828" s="15"/>
      <c r="AC828" s="17">
        <v>242400</v>
      </c>
      <c r="AE828" s="51" t="str">
        <f t="shared" si="94"/>
        <v/>
      </c>
      <c r="AF828" s="51" t="str">
        <f t="shared" si="95"/>
        <v/>
      </c>
      <c r="AG828" s="51">
        <f t="shared" si="96"/>
        <v>7.4844382966110068</v>
      </c>
      <c r="AH828" s="51" t="str">
        <f t="shared" si="97"/>
        <v/>
      </c>
      <c r="AU828" s="15" t="s">
        <v>1490</v>
      </c>
      <c r="BG828" s="15"/>
      <c r="BM828" s="17"/>
      <c r="BN828" s="17"/>
      <c r="BO828" s="17"/>
      <c r="BP828" s="17"/>
      <c r="BQ828" s="17"/>
      <c r="BW828" s="17" t="s">
        <v>1493</v>
      </c>
    </row>
    <row r="829" spans="1:75" hidden="1" x14ac:dyDescent="0.25">
      <c r="A829" s="15" t="s">
        <v>1487</v>
      </c>
      <c r="B829" s="15" t="s">
        <v>30</v>
      </c>
      <c r="C829" s="15">
        <v>2017</v>
      </c>
      <c r="D829" s="15" t="s">
        <v>1488</v>
      </c>
      <c r="E829" s="15">
        <v>1980</v>
      </c>
      <c r="F829" s="15">
        <v>32387200</v>
      </c>
      <c r="G829" s="15" t="s">
        <v>88</v>
      </c>
      <c r="H829" s="15" t="s">
        <v>43</v>
      </c>
      <c r="I829" s="15" t="s">
        <v>1489</v>
      </c>
      <c r="J829" s="15" t="s">
        <v>1490</v>
      </c>
      <c r="K829" s="15" t="s">
        <v>1491</v>
      </c>
      <c r="L829" s="15" t="s">
        <v>1492</v>
      </c>
      <c r="M829" s="15" t="s">
        <v>1888</v>
      </c>
      <c r="N829" s="15"/>
      <c r="O829" s="15"/>
      <c r="P829" s="15"/>
      <c r="Q829" s="15"/>
      <c r="R829" s="15"/>
      <c r="S829" s="15"/>
      <c r="T829" s="15"/>
      <c r="U829" s="15"/>
      <c r="V829" s="15"/>
      <c r="W829" s="15"/>
      <c r="X829" s="15"/>
      <c r="AC829" s="17">
        <v>225600</v>
      </c>
      <c r="AE829" s="51" t="str">
        <f t="shared" si="94"/>
        <v/>
      </c>
      <c r="AF829" s="51" t="str">
        <f t="shared" si="95"/>
        <v/>
      </c>
      <c r="AG829" s="51">
        <f t="shared" si="96"/>
        <v>6.9657148503112341</v>
      </c>
      <c r="AH829" s="51" t="str">
        <f t="shared" si="97"/>
        <v/>
      </c>
      <c r="BG829" s="15"/>
      <c r="BM829" s="17"/>
      <c r="BN829" s="17"/>
      <c r="BO829" s="17"/>
      <c r="BP829" s="17"/>
      <c r="BQ829" s="17"/>
      <c r="BW829" s="17" t="s">
        <v>1493</v>
      </c>
    </row>
    <row r="830" spans="1:75" hidden="1" x14ac:dyDescent="0.25">
      <c r="A830" s="15" t="s">
        <v>1487</v>
      </c>
      <c r="B830" s="15" t="s">
        <v>30</v>
      </c>
      <c r="C830" s="15">
        <v>2016</v>
      </c>
      <c r="D830" s="15" t="s">
        <v>1488</v>
      </c>
      <c r="E830" s="15">
        <v>2220</v>
      </c>
      <c r="F830" s="15">
        <v>32387200</v>
      </c>
      <c r="G830" s="15" t="s">
        <v>88</v>
      </c>
      <c r="H830" s="15" t="s">
        <v>43</v>
      </c>
      <c r="I830" s="15" t="s">
        <v>1489</v>
      </c>
      <c r="J830" s="15" t="s">
        <v>1490</v>
      </c>
      <c r="K830" s="15" t="s">
        <v>1491</v>
      </c>
      <c r="L830" s="15" t="s">
        <v>1492</v>
      </c>
      <c r="M830" s="15" t="s">
        <v>1888</v>
      </c>
      <c r="N830" s="15"/>
      <c r="O830" s="15"/>
      <c r="P830" s="15"/>
      <c r="Q830" s="15"/>
      <c r="R830" s="15"/>
      <c r="S830" s="15"/>
      <c r="T830" s="15"/>
      <c r="U830" s="15"/>
      <c r="V830" s="15"/>
      <c r="W830" s="15"/>
      <c r="X830" s="15"/>
      <c r="AC830" s="17">
        <v>226000</v>
      </c>
      <c r="AE830" s="51" t="str">
        <f t="shared" si="94"/>
        <v/>
      </c>
      <c r="AF830" s="51" t="str">
        <f t="shared" si="95"/>
        <v/>
      </c>
      <c r="AG830" s="51">
        <f t="shared" si="96"/>
        <v>6.9780654085564668</v>
      </c>
      <c r="AH830" s="51" t="str">
        <f t="shared" si="97"/>
        <v/>
      </c>
      <c r="BG830" s="15"/>
      <c r="BM830" s="17"/>
      <c r="BN830" s="17"/>
      <c r="BO830" s="17"/>
      <c r="BP830" s="17"/>
      <c r="BQ830" s="17"/>
      <c r="BW830" s="17" t="s">
        <v>1493</v>
      </c>
    </row>
    <row r="831" spans="1:75" hidden="1" x14ac:dyDescent="0.25">
      <c r="A831" s="15" t="s">
        <v>1487</v>
      </c>
      <c r="B831" s="15" t="s">
        <v>30</v>
      </c>
      <c r="C831" s="15">
        <v>2015</v>
      </c>
      <c r="D831" s="15" t="s">
        <v>1488</v>
      </c>
      <c r="E831" s="15">
        <v>2170</v>
      </c>
      <c r="F831" s="15">
        <v>31298900</v>
      </c>
      <c r="G831" s="15" t="s">
        <v>88</v>
      </c>
      <c r="H831" s="15" t="s">
        <v>43</v>
      </c>
      <c r="I831" s="15" t="s">
        <v>1489</v>
      </c>
      <c r="J831" s="15" t="s">
        <v>1490</v>
      </c>
      <c r="K831" s="15" t="s">
        <v>1491</v>
      </c>
      <c r="L831" s="15" t="s">
        <v>1492</v>
      </c>
      <c r="M831" s="15" t="s">
        <v>1888</v>
      </c>
      <c r="N831" s="15"/>
      <c r="O831" s="15"/>
      <c r="P831" s="15"/>
      <c r="Q831" s="15"/>
      <c r="R831" s="15"/>
      <c r="S831" s="15"/>
      <c r="T831" s="15"/>
      <c r="U831" s="15"/>
      <c r="V831" s="15"/>
      <c r="W831" s="15"/>
      <c r="X831" s="15"/>
      <c r="AC831" s="17">
        <v>221100</v>
      </c>
      <c r="AE831" s="51" t="str">
        <f t="shared" si="94"/>
        <v/>
      </c>
      <c r="AF831" s="51" t="str">
        <f t="shared" si="95"/>
        <v/>
      </c>
      <c r="AG831" s="51">
        <f t="shared" si="96"/>
        <v>7.0641460243011736</v>
      </c>
      <c r="AH831" s="51" t="str">
        <f t="shared" si="97"/>
        <v/>
      </c>
      <c r="BG831" s="15"/>
      <c r="BM831" s="17"/>
      <c r="BN831" s="17"/>
      <c r="BO831" s="17"/>
      <c r="BP831" s="17"/>
      <c r="BQ831" s="17"/>
      <c r="BW831" s="17" t="s">
        <v>1493</v>
      </c>
    </row>
    <row r="832" spans="1:75" hidden="1" x14ac:dyDescent="0.25">
      <c r="A832" s="15" t="s">
        <v>1487</v>
      </c>
      <c r="B832" s="15" t="s">
        <v>30</v>
      </c>
      <c r="C832" s="15">
        <v>2014</v>
      </c>
      <c r="D832" s="15" t="s">
        <v>1488</v>
      </c>
      <c r="E832" s="15">
        <v>2110</v>
      </c>
      <c r="F832" s="15">
        <v>30757700</v>
      </c>
      <c r="G832" s="15" t="s">
        <v>88</v>
      </c>
      <c r="H832" s="15" t="s">
        <v>43</v>
      </c>
      <c r="I832" s="15" t="s">
        <v>1489</v>
      </c>
      <c r="J832" s="15" t="s">
        <v>1490</v>
      </c>
      <c r="K832" s="15" t="s">
        <v>1491</v>
      </c>
      <c r="L832" s="15" t="s">
        <v>1492</v>
      </c>
      <c r="M832" s="15" t="s">
        <v>1888</v>
      </c>
      <c r="N832" s="15"/>
      <c r="O832" s="15"/>
      <c r="P832" s="15"/>
      <c r="Q832" s="15"/>
      <c r="R832" s="15"/>
      <c r="S832" s="15"/>
      <c r="T832" s="15"/>
      <c r="U832" s="15"/>
      <c r="V832" s="15"/>
      <c r="W832" s="15"/>
      <c r="X832" s="15"/>
      <c r="AC832" s="17">
        <v>213600</v>
      </c>
      <c r="AE832" s="51" t="str">
        <f t="shared" si="94"/>
        <v/>
      </c>
      <c r="AF832" s="51" t="str">
        <f t="shared" si="95"/>
        <v/>
      </c>
      <c r="AG832" s="51">
        <f t="shared" si="96"/>
        <v>6.9446024897830458</v>
      </c>
      <c r="AH832" s="51" t="str">
        <f t="shared" si="97"/>
        <v/>
      </c>
      <c r="AV832" s="15" t="s">
        <v>1490</v>
      </c>
      <c r="BG832" s="15"/>
      <c r="BM832" s="17"/>
      <c r="BN832" s="17"/>
      <c r="BO832" s="17"/>
      <c r="BP832" s="17"/>
      <c r="BQ832" s="17"/>
      <c r="BW832" s="17" t="s">
        <v>1493</v>
      </c>
    </row>
    <row r="833" spans="1:75" hidden="1" x14ac:dyDescent="0.25">
      <c r="A833" s="15" t="s">
        <v>1494</v>
      </c>
      <c r="B833" s="15" t="s">
        <v>30</v>
      </c>
      <c r="C833" s="15">
        <v>2010</v>
      </c>
      <c r="D833" s="15" t="s">
        <v>1495</v>
      </c>
      <c r="E833" s="15">
        <v>2690</v>
      </c>
      <c r="F833" s="15">
        <v>236295</v>
      </c>
      <c r="G833" s="15" t="s">
        <v>88</v>
      </c>
      <c r="H833" s="15" t="s">
        <v>77</v>
      </c>
      <c r="I833" s="15" t="s">
        <v>1496</v>
      </c>
      <c r="J833" s="15" t="s">
        <v>1497</v>
      </c>
      <c r="K833" s="15" t="s">
        <v>34</v>
      </c>
      <c r="L833" s="15" t="s">
        <v>35</v>
      </c>
      <c r="M833" s="15" t="s">
        <v>276</v>
      </c>
      <c r="N833" s="15" t="s">
        <v>244</v>
      </c>
      <c r="O833" s="15"/>
      <c r="P833" s="15"/>
      <c r="Q833" s="15"/>
      <c r="R833" s="15"/>
      <c r="S833" s="15"/>
      <c r="T833" s="15" t="s">
        <v>326</v>
      </c>
      <c r="U833" s="15" t="s">
        <v>502</v>
      </c>
      <c r="V833" s="15" t="s">
        <v>1498</v>
      </c>
      <c r="W833" s="15" t="s">
        <v>1894</v>
      </c>
      <c r="X833" s="15" t="s">
        <v>1499</v>
      </c>
      <c r="AE833" s="51" t="str">
        <f t="shared" si="94"/>
        <v/>
      </c>
      <c r="AF833" s="51" t="str">
        <f t="shared" si="95"/>
        <v/>
      </c>
      <c r="AG833" s="51" t="str">
        <f t="shared" si="96"/>
        <v/>
      </c>
      <c r="AH833" s="51" t="str">
        <f t="shared" si="97"/>
        <v/>
      </c>
      <c r="BG833" s="15"/>
      <c r="BM833" s="17"/>
      <c r="BN833" s="17"/>
      <c r="BO833" s="17"/>
      <c r="BP833" s="17"/>
      <c r="BQ833" s="17"/>
      <c r="BW833" s="17"/>
    </row>
    <row r="834" spans="1:75" hidden="1" x14ac:dyDescent="0.25">
      <c r="A834" s="15" t="s">
        <v>1500</v>
      </c>
      <c r="B834" s="15" t="s">
        <v>30</v>
      </c>
      <c r="C834" s="15">
        <v>2008</v>
      </c>
      <c r="D834" s="15" t="s">
        <v>1501</v>
      </c>
      <c r="E834" s="15">
        <v>9230</v>
      </c>
      <c r="F834" s="15">
        <v>28141701</v>
      </c>
      <c r="G834" s="15" t="s">
        <v>42</v>
      </c>
      <c r="H834" s="15" t="s">
        <v>110</v>
      </c>
      <c r="I834" s="15" t="s">
        <v>1502</v>
      </c>
      <c r="J834" s="15" t="s">
        <v>1503</v>
      </c>
      <c r="K834" s="15" t="s">
        <v>46</v>
      </c>
      <c r="L834" s="15" t="s">
        <v>716</v>
      </c>
      <c r="M834" s="15" t="s">
        <v>36</v>
      </c>
      <c r="N834" s="15" t="s">
        <v>37</v>
      </c>
      <c r="O834" s="15"/>
      <c r="P834" s="15"/>
      <c r="Q834" s="15"/>
      <c r="R834" s="15"/>
      <c r="S834" s="15"/>
      <c r="T834" s="15"/>
      <c r="U834" s="15"/>
      <c r="V834" s="15"/>
      <c r="W834" s="15"/>
      <c r="X834" s="15"/>
      <c r="Y834" s="17">
        <v>322845</v>
      </c>
      <c r="Z834" s="17">
        <v>90257</v>
      </c>
      <c r="AA834" s="17">
        <v>94502</v>
      </c>
      <c r="AB834" s="17">
        <v>184759</v>
      </c>
      <c r="AC834" s="17">
        <v>507604</v>
      </c>
      <c r="AD834" s="17">
        <v>2169</v>
      </c>
      <c r="AE834" s="51">
        <f t="shared" si="94"/>
        <v>11.472121034901194</v>
      </c>
      <c r="AF834" s="51">
        <f t="shared" si="95"/>
        <v>6.5653103200833529</v>
      </c>
      <c r="AG834" s="51">
        <f t="shared" si="96"/>
        <v>18.037431354984548</v>
      </c>
      <c r="AH834" s="51">
        <f t="shared" si="97"/>
        <v>7.7074232293207867E-2</v>
      </c>
      <c r="BG834" s="15"/>
      <c r="BM834" s="17"/>
      <c r="BN834" s="17"/>
      <c r="BO834" s="17"/>
      <c r="BP834" s="17"/>
      <c r="BQ834" s="17"/>
      <c r="BW834" s="17" t="s">
        <v>1504</v>
      </c>
    </row>
    <row r="835" spans="1:75" hidden="1" x14ac:dyDescent="0.25">
      <c r="A835" s="15" t="s">
        <v>1500</v>
      </c>
      <c r="B835" s="15" t="s">
        <v>52</v>
      </c>
      <c r="C835" s="15">
        <v>2014</v>
      </c>
      <c r="D835" s="15" t="s">
        <v>1501</v>
      </c>
      <c r="E835" s="15">
        <v>12780</v>
      </c>
      <c r="F835" s="15">
        <v>30738378</v>
      </c>
      <c r="G835" s="15" t="s">
        <v>42</v>
      </c>
      <c r="H835" s="15" t="s">
        <v>110</v>
      </c>
      <c r="I835" s="15" t="s">
        <v>1505</v>
      </c>
      <c r="J835" s="15" t="s">
        <v>1506</v>
      </c>
      <c r="K835" s="15"/>
      <c r="L835" s="15" t="s">
        <v>493</v>
      </c>
      <c r="M835" s="15" t="s">
        <v>682</v>
      </c>
      <c r="N835" s="15" t="s">
        <v>37</v>
      </c>
      <c r="O835" s="15"/>
      <c r="P835" s="15"/>
      <c r="Q835" s="15"/>
      <c r="R835" s="15"/>
      <c r="S835" s="15"/>
      <c r="T835" s="15"/>
      <c r="U835" s="15" t="s">
        <v>1507</v>
      </c>
      <c r="V835" s="15" t="s">
        <v>1508</v>
      </c>
      <c r="W835" s="15" t="s">
        <v>1895</v>
      </c>
      <c r="X835" s="15" t="s">
        <v>1509</v>
      </c>
      <c r="AE835" s="51" t="str">
        <f t="shared" si="94"/>
        <v/>
      </c>
      <c r="AF835" s="51" t="str">
        <f t="shared" si="95"/>
        <v/>
      </c>
      <c r="AG835" s="51" t="str">
        <f t="shared" si="96"/>
        <v/>
      </c>
      <c r="AH835" s="51" t="str">
        <f t="shared" si="97"/>
        <v/>
      </c>
      <c r="BG835" s="15"/>
      <c r="BM835" s="17"/>
      <c r="BN835" s="17"/>
      <c r="BO835" s="17"/>
      <c r="BP835" s="17"/>
      <c r="BQ835" s="17"/>
      <c r="BW835" s="17" t="s">
        <v>1510</v>
      </c>
    </row>
    <row r="836" spans="1:75" hidden="1" x14ac:dyDescent="0.25">
      <c r="A836" s="15" t="s">
        <v>1511</v>
      </c>
      <c r="B836" s="15" t="s">
        <v>30</v>
      </c>
      <c r="C836" s="15">
        <v>2015</v>
      </c>
      <c r="D836" s="15" t="s">
        <v>1512</v>
      </c>
      <c r="E836" s="15">
        <v>1950</v>
      </c>
      <c r="F836" s="15">
        <v>93571567</v>
      </c>
      <c r="G836" s="15" t="s">
        <v>88</v>
      </c>
      <c r="H836" s="15" t="s">
        <v>77</v>
      </c>
      <c r="I836" s="15" t="s">
        <v>1513</v>
      </c>
      <c r="J836" s="15" t="s">
        <v>1514</v>
      </c>
      <c r="K836" s="15" t="s">
        <v>98</v>
      </c>
      <c r="L836" s="15" t="s">
        <v>1515</v>
      </c>
      <c r="M836" s="15" t="s">
        <v>1516</v>
      </c>
      <c r="N836" s="15" t="s">
        <v>1517</v>
      </c>
      <c r="O836" s="15"/>
      <c r="P836" s="15" t="s">
        <v>1518</v>
      </c>
      <c r="Q836" s="15" t="s">
        <v>1519</v>
      </c>
      <c r="R836" s="15" t="s">
        <v>1520</v>
      </c>
      <c r="S836" s="15" t="s">
        <v>1521</v>
      </c>
      <c r="T836" s="15"/>
      <c r="U836" s="15"/>
      <c r="V836" s="15"/>
      <c r="W836" s="15"/>
      <c r="X836" s="15" t="s">
        <v>1521</v>
      </c>
      <c r="Y836" s="17">
        <v>303937</v>
      </c>
      <c r="Z836" s="17">
        <v>120830</v>
      </c>
      <c r="AA836" s="17">
        <v>11041</v>
      </c>
      <c r="AB836" s="17">
        <v>131871</v>
      </c>
      <c r="AC836" s="17">
        <v>435808</v>
      </c>
      <c r="AD836" s="17">
        <v>6607</v>
      </c>
      <c r="AE836" s="51">
        <f t="shared" si="94"/>
        <v>3.248176874071159</v>
      </c>
      <c r="AF836" s="51">
        <f t="shared" si="95"/>
        <v>1.409306312033868</v>
      </c>
      <c r="AG836" s="51">
        <f t="shared" si="96"/>
        <v>4.6574831861050265</v>
      </c>
      <c r="AH836" s="51">
        <f t="shared" si="97"/>
        <v>7.0609055847060898E-2</v>
      </c>
      <c r="BG836" s="15"/>
      <c r="BM836" s="17"/>
      <c r="BN836" s="17"/>
      <c r="BO836" s="17"/>
      <c r="BP836" s="17"/>
      <c r="BQ836" s="17"/>
      <c r="BW836" s="17"/>
    </row>
    <row r="837" spans="1:75" hidden="1" x14ac:dyDescent="0.25">
      <c r="A837" s="15" t="s">
        <v>1511</v>
      </c>
      <c r="B837" s="15" t="s">
        <v>30</v>
      </c>
      <c r="C837" s="15">
        <v>2014</v>
      </c>
      <c r="D837" s="15" t="s">
        <v>1512</v>
      </c>
      <c r="E837" s="15">
        <v>1860</v>
      </c>
      <c r="F837" s="15">
        <v>92544915</v>
      </c>
      <c r="G837" s="15" t="s">
        <v>88</v>
      </c>
      <c r="H837" s="15" t="s">
        <v>77</v>
      </c>
      <c r="I837" s="15" t="s">
        <v>1522</v>
      </c>
      <c r="J837" s="15" t="s">
        <v>1514</v>
      </c>
      <c r="K837" s="15" t="s">
        <v>98</v>
      </c>
      <c r="L837" s="15" t="s">
        <v>1515</v>
      </c>
      <c r="M837" s="15" t="s">
        <v>1516</v>
      </c>
      <c r="N837" s="15" t="s">
        <v>1517</v>
      </c>
      <c r="O837" s="15"/>
      <c r="P837" s="15" t="s">
        <v>1518</v>
      </c>
      <c r="Q837" s="15" t="s">
        <v>1519</v>
      </c>
      <c r="R837" s="15" t="s">
        <v>1520</v>
      </c>
      <c r="S837" s="15" t="s">
        <v>1521</v>
      </c>
      <c r="T837" s="15"/>
      <c r="U837" s="15"/>
      <c r="V837" s="15"/>
      <c r="W837" s="15"/>
      <c r="X837" s="15" t="s">
        <v>1521</v>
      </c>
      <c r="Y837" s="17">
        <v>271617</v>
      </c>
      <c r="Z837" s="17">
        <v>114271</v>
      </c>
      <c r="AA837" s="17">
        <v>10116</v>
      </c>
      <c r="AB837" s="17">
        <v>124387</v>
      </c>
      <c r="AC837" s="17">
        <v>396004</v>
      </c>
      <c r="AD837" s="17">
        <v>6322</v>
      </c>
      <c r="AE837" s="51">
        <f t="shared" si="94"/>
        <v>2.934974871390827</v>
      </c>
      <c r="AF837" s="51">
        <f t="shared" si="95"/>
        <v>1.3440716867047746</v>
      </c>
      <c r="AG837" s="51">
        <f t="shared" si="96"/>
        <v>4.2790465580956019</v>
      </c>
      <c r="AH837" s="51">
        <f t="shared" si="97"/>
        <v>6.8312775477723436E-2</v>
      </c>
      <c r="BG837" s="15"/>
      <c r="BM837" s="17"/>
      <c r="BN837" s="17"/>
      <c r="BO837" s="17"/>
      <c r="BP837" s="17"/>
      <c r="BQ837" s="17"/>
      <c r="BW837" s="17"/>
    </row>
    <row r="838" spans="1:75" hidden="1" x14ac:dyDescent="0.25">
      <c r="A838" s="15" t="s">
        <v>1511</v>
      </c>
      <c r="B838" s="15" t="s">
        <v>30</v>
      </c>
      <c r="C838" s="15">
        <v>2013</v>
      </c>
      <c r="D838" s="15" t="s">
        <v>1512</v>
      </c>
      <c r="E838" s="15">
        <v>1710</v>
      </c>
      <c r="F838" s="15">
        <v>91497725</v>
      </c>
      <c r="G838" s="15" t="s">
        <v>88</v>
      </c>
      <c r="H838" s="15" t="s">
        <v>77</v>
      </c>
      <c r="I838" s="15" t="s">
        <v>1523</v>
      </c>
      <c r="J838" s="15" t="s">
        <v>1514</v>
      </c>
      <c r="K838" s="15" t="s">
        <v>98</v>
      </c>
      <c r="L838" s="15" t="s">
        <v>1515</v>
      </c>
      <c r="M838" s="15" t="s">
        <v>1516</v>
      </c>
      <c r="N838" s="15" t="s">
        <v>1517</v>
      </c>
      <c r="O838" s="15"/>
      <c r="P838" s="15" t="s">
        <v>1518</v>
      </c>
      <c r="Q838" s="15" t="s">
        <v>1519</v>
      </c>
      <c r="R838" s="15" t="s">
        <v>1520</v>
      </c>
      <c r="S838" s="15" t="s">
        <v>1521</v>
      </c>
      <c r="T838" s="15"/>
      <c r="U838" s="15"/>
      <c r="V838" s="15"/>
      <c r="W838" s="15"/>
      <c r="X838" s="15" t="s">
        <v>1521</v>
      </c>
      <c r="Y838" s="17">
        <v>247085</v>
      </c>
      <c r="Z838" s="17">
        <v>110271</v>
      </c>
      <c r="AA838" s="17">
        <v>9889</v>
      </c>
      <c r="AB838" s="17">
        <v>120160</v>
      </c>
      <c r="AC838" s="17">
        <v>367245</v>
      </c>
      <c r="AD838" s="17">
        <v>5968</v>
      </c>
      <c r="AE838" s="51">
        <f t="shared" si="94"/>
        <v>2.7004496559887143</v>
      </c>
      <c r="AF838" s="51">
        <f t="shared" si="95"/>
        <v>1.3132566957265877</v>
      </c>
      <c r="AG838" s="51">
        <f t="shared" si="96"/>
        <v>4.0137063517153022</v>
      </c>
      <c r="AH838" s="51">
        <f t="shared" si="97"/>
        <v>6.5225665446873124E-2</v>
      </c>
      <c r="BG838" s="15"/>
      <c r="BM838" s="17"/>
      <c r="BN838" s="17"/>
      <c r="BO838" s="17"/>
      <c r="BP838" s="17"/>
      <c r="BQ838" s="17"/>
      <c r="BW838" s="17"/>
    </row>
    <row r="839" spans="1:75" hidden="1" x14ac:dyDescent="0.25">
      <c r="A839" s="15" t="s">
        <v>1511</v>
      </c>
      <c r="B839" s="15" t="s">
        <v>30</v>
      </c>
      <c r="C839" s="15">
        <v>2012</v>
      </c>
      <c r="D839" s="15" t="s">
        <v>1512</v>
      </c>
      <c r="E839" s="15">
        <v>1530</v>
      </c>
      <c r="F839" s="15">
        <v>90451881</v>
      </c>
      <c r="G839" s="15" t="s">
        <v>88</v>
      </c>
      <c r="H839" s="15" t="s">
        <v>77</v>
      </c>
      <c r="I839" s="15" t="s">
        <v>1524</v>
      </c>
      <c r="J839" s="15" t="s">
        <v>1514</v>
      </c>
      <c r="K839" s="15" t="s">
        <v>61</v>
      </c>
      <c r="L839" s="15" t="s">
        <v>1515</v>
      </c>
      <c r="M839" s="15" t="s">
        <v>1516</v>
      </c>
      <c r="N839" s="15" t="s">
        <v>1517</v>
      </c>
      <c r="O839" s="15"/>
      <c r="P839" s="15" t="s">
        <v>1518</v>
      </c>
      <c r="Q839" s="15" t="s">
        <v>1519</v>
      </c>
      <c r="R839" s="15" t="s">
        <v>1520</v>
      </c>
      <c r="S839" s="15" t="s">
        <v>1521</v>
      </c>
      <c r="T839" s="15"/>
      <c r="U839" s="15"/>
      <c r="V839" s="15"/>
      <c r="W839" s="15"/>
      <c r="X839" s="15" t="s">
        <v>1521</v>
      </c>
      <c r="Y839" s="17">
        <v>225037</v>
      </c>
      <c r="Z839" s="17">
        <v>93036</v>
      </c>
      <c r="AA839" s="17">
        <v>6735</v>
      </c>
      <c r="AB839" s="17">
        <v>99771</v>
      </c>
      <c r="AC839" s="17">
        <v>324808</v>
      </c>
      <c r="AD839" s="17">
        <v>7864</v>
      </c>
      <c r="AE839" s="51">
        <f t="shared" ref="AE839:AE848" si="106">IF(ISERROR((Y839/$F839)*1000),"",IF((Y839/$F839)*1000=0,"",(Y839/$F839)*1000))</f>
        <v>2.4879195160131604</v>
      </c>
      <c r="AF839" s="51">
        <f t="shared" ref="AF839:AF848" si="107">IF(ISERROR((AB839/$F839)*1000),"",IF((AB839/$F839)*1000=0,"",(AB839/$F839)*1000))</f>
        <v>1.1030284710165399</v>
      </c>
      <c r="AG839" s="51">
        <f t="shared" ref="AG839:AG848" si="108">IF(ISERROR((AC839/$F839)*1000),"",IF((AC839/$F839)*1000=0,"",(AC839/$F839)*1000))</f>
        <v>3.5909479870297005</v>
      </c>
      <c r="AH839" s="51">
        <f t="shared" ref="AH839:AH848" si="109">IF(ISERROR((AD839/$F839)*1000),"",IF((AD839/$F839)*1000=0,"",(AD839/$F839)*1000))</f>
        <v>8.694125443339315E-2</v>
      </c>
      <c r="BG839" s="15"/>
      <c r="BM839" s="17"/>
      <c r="BN839" s="17"/>
      <c r="BO839" s="17"/>
      <c r="BP839" s="17"/>
      <c r="BQ839" s="17"/>
      <c r="BW839" s="17"/>
    </row>
    <row r="840" spans="1:75" hidden="1" x14ac:dyDescent="0.25">
      <c r="A840" s="15" t="s">
        <v>1511</v>
      </c>
      <c r="B840" s="15" t="s">
        <v>30</v>
      </c>
      <c r="C840" s="15">
        <v>2011</v>
      </c>
      <c r="D840" s="15" t="s">
        <v>1512</v>
      </c>
      <c r="E840" s="15">
        <v>1360</v>
      </c>
      <c r="F840" s="15">
        <v>89436644</v>
      </c>
      <c r="G840" s="15" t="s">
        <v>88</v>
      </c>
      <c r="H840" s="15" t="s">
        <v>77</v>
      </c>
      <c r="I840" s="15" t="s">
        <v>1525</v>
      </c>
      <c r="J840" s="15" t="s">
        <v>1514</v>
      </c>
      <c r="K840" s="15" t="s">
        <v>98</v>
      </c>
      <c r="L840" s="15" t="s">
        <v>1515</v>
      </c>
      <c r="M840" s="15" t="s">
        <v>1516</v>
      </c>
      <c r="N840" s="15" t="s">
        <v>1517</v>
      </c>
      <c r="O840" s="15"/>
      <c r="P840" s="15" t="s">
        <v>1518</v>
      </c>
      <c r="Q840" s="15" t="s">
        <v>1519</v>
      </c>
      <c r="R840" s="15" t="s">
        <v>1520</v>
      </c>
      <c r="S840" s="15" t="s">
        <v>1521</v>
      </c>
      <c r="T840" s="15"/>
      <c r="U840" s="15"/>
      <c r="V840" s="15"/>
      <c r="W840" s="15"/>
      <c r="X840" s="15" t="s">
        <v>1521</v>
      </c>
      <c r="Y840" s="17">
        <v>216732</v>
      </c>
      <c r="Z840" s="17">
        <v>93356</v>
      </c>
      <c r="AA840" s="17">
        <v>6853</v>
      </c>
      <c r="AB840" s="17">
        <v>100209</v>
      </c>
      <c r="AC840" s="17">
        <v>316941</v>
      </c>
      <c r="AD840" s="17">
        <v>7750</v>
      </c>
      <c r="AE840" s="51">
        <f t="shared" si="106"/>
        <v>2.4233020192483967</v>
      </c>
      <c r="AF840" s="51">
        <f t="shared" si="107"/>
        <v>1.120446782417283</v>
      </c>
      <c r="AG840" s="51">
        <f t="shared" si="108"/>
        <v>3.54374880166568</v>
      </c>
      <c r="AH840" s="51">
        <f t="shared" si="109"/>
        <v>8.665351978099714E-2</v>
      </c>
      <c r="BG840" s="15"/>
      <c r="BM840" s="17"/>
      <c r="BN840" s="17"/>
      <c r="BO840" s="17"/>
      <c r="BP840" s="17"/>
      <c r="BQ840" s="17"/>
      <c r="BW840" s="17"/>
    </row>
    <row r="841" spans="1:75" hidden="1" x14ac:dyDescent="0.25">
      <c r="A841" s="15" t="s">
        <v>1511</v>
      </c>
      <c r="B841" s="15" t="s">
        <v>30</v>
      </c>
      <c r="C841" s="15">
        <v>2010</v>
      </c>
      <c r="D841" s="15" t="s">
        <v>1512</v>
      </c>
      <c r="E841" s="15">
        <v>1250</v>
      </c>
      <c r="F841" s="15">
        <v>88472512</v>
      </c>
      <c r="G841" s="15" t="s">
        <v>88</v>
      </c>
      <c r="H841" s="15" t="s">
        <v>77</v>
      </c>
      <c r="I841" s="15" t="s">
        <v>1526</v>
      </c>
      <c r="J841" s="15" t="s">
        <v>1514</v>
      </c>
      <c r="K841" s="15" t="s">
        <v>98</v>
      </c>
      <c r="L841" s="15" t="s">
        <v>1515</v>
      </c>
      <c r="M841" s="15" t="s">
        <v>1516</v>
      </c>
      <c r="N841" s="15" t="s">
        <v>1517</v>
      </c>
      <c r="O841" s="15"/>
      <c r="P841" s="15" t="s">
        <v>1518</v>
      </c>
      <c r="Q841" s="15" t="s">
        <v>1519</v>
      </c>
      <c r="R841" s="15" t="s">
        <v>1520</v>
      </c>
      <c r="S841" s="15" t="s">
        <v>1521</v>
      </c>
      <c r="T841" s="15"/>
      <c r="U841" s="15"/>
      <c r="V841" s="15"/>
      <c r="W841" s="15"/>
      <c r="X841" s="15" t="s">
        <v>1521</v>
      </c>
      <c r="Y841" s="17">
        <v>187580</v>
      </c>
      <c r="Z841" s="17">
        <v>79085</v>
      </c>
      <c r="AA841" s="17">
        <v>5618</v>
      </c>
      <c r="AB841" s="17">
        <v>84703</v>
      </c>
      <c r="AC841" s="17">
        <v>272283</v>
      </c>
      <c r="AD841" s="17">
        <v>7077</v>
      </c>
      <c r="AE841" s="51">
        <f t="shared" si="106"/>
        <v>2.1202065563595616</v>
      </c>
      <c r="AF841" s="51">
        <f t="shared" si="107"/>
        <v>0.95739341050924387</v>
      </c>
      <c r="AG841" s="51">
        <f t="shared" si="108"/>
        <v>3.0775999668688052</v>
      </c>
      <c r="AH841" s="51">
        <f t="shared" si="109"/>
        <v>7.9990946792603795E-2</v>
      </c>
      <c r="BG841" s="15"/>
      <c r="BM841" s="17"/>
      <c r="BN841" s="17"/>
      <c r="BO841" s="17"/>
      <c r="BP841" s="17"/>
      <c r="BQ841" s="17"/>
      <c r="BW841" s="17"/>
    </row>
    <row r="842" spans="1:75" hidden="1" x14ac:dyDescent="0.25">
      <c r="A842" s="15" t="s">
        <v>1527</v>
      </c>
      <c r="B842" s="15" t="s">
        <v>30</v>
      </c>
      <c r="C842" s="15">
        <v>2014</v>
      </c>
      <c r="D842" s="15" t="s">
        <v>1528</v>
      </c>
      <c r="E842" s="15">
        <v>34500</v>
      </c>
      <c r="F842" s="15">
        <v>107884</v>
      </c>
      <c r="G842" s="15" t="s">
        <v>109</v>
      </c>
      <c r="H842" s="15" t="s">
        <v>110</v>
      </c>
      <c r="I842" s="15" t="s">
        <v>1529</v>
      </c>
      <c r="J842" s="15" t="s">
        <v>1530</v>
      </c>
      <c r="K842" s="15" t="s">
        <v>954</v>
      </c>
      <c r="L842" s="15" t="s">
        <v>309</v>
      </c>
      <c r="M842" s="15" t="s">
        <v>422</v>
      </c>
      <c r="N842" s="15" t="s">
        <v>1084</v>
      </c>
      <c r="O842" s="15"/>
      <c r="P842" s="15"/>
      <c r="Q842" s="15"/>
      <c r="R842" s="15"/>
      <c r="S842" s="15"/>
      <c r="T842" s="15"/>
      <c r="U842" s="15"/>
      <c r="V842" s="15"/>
      <c r="W842" s="15"/>
      <c r="X842" s="15"/>
      <c r="AC842" s="17">
        <v>2609</v>
      </c>
      <c r="AE842" s="51" t="str">
        <f t="shared" si="106"/>
        <v/>
      </c>
      <c r="AF842" s="51" t="str">
        <f t="shared" si="107"/>
        <v/>
      </c>
      <c r="AG842" s="51">
        <f t="shared" si="108"/>
        <v>24.183382151199435</v>
      </c>
      <c r="AH842" s="51" t="str">
        <f t="shared" si="109"/>
        <v/>
      </c>
      <c r="AL842" s="17">
        <v>27618</v>
      </c>
      <c r="BG842" s="15"/>
      <c r="BM842" s="17"/>
      <c r="BN842" s="17"/>
      <c r="BO842" s="17"/>
      <c r="BP842" s="17"/>
      <c r="BQ842" s="17"/>
      <c r="BT842" s="15" t="s">
        <v>1112</v>
      </c>
      <c r="BW842" s="17"/>
    </row>
    <row r="843" spans="1:75" hidden="1" x14ac:dyDescent="0.25">
      <c r="A843" s="15" t="s">
        <v>1527</v>
      </c>
      <c r="B843" s="15" t="s">
        <v>30</v>
      </c>
      <c r="C843" s="15">
        <v>2007</v>
      </c>
      <c r="D843" s="15" t="s">
        <v>1528</v>
      </c>
      <c r="E843" s="15">
        <v>34500</v>
      </c>
      <c r="F843" s="15">
        <v>108339</v>
      </c>
      <c r="G843" s="15" t="s">
        <v>109</v>
      </c>
      <c r="H843" s="15" t="s">
        <v>110</v>
      </c>
      <c r="I843" s="15" t="s">
        <v>1529</v>
      </c>
      <c r="J843" s="15" t="s">
        <v>1530</v>
      </c>
      <c r="K843" s="15" t="s">
        <v>954</v>
      </c>
      <c r="L843" s="15" t="s">
        <v>309</v>
      </c>
      <c r="M843" s="15" t="s">
        <v>422</v>
      </c>
      <c r="N843" s="15" t="s">
        <v>1084</v>
      </c>
      <c r="O843" s="15"/>
      <c r="P843" s="15"/>
      <c r="Q843" s="15"/>
      <c r="R843" s="15"/>
      <c r="S843" s="15"/>
      <c r="T843" s="15"/>
      <c r="U843" s="15"/>
      <c r="V843" s="15"/>
      <c r="W843" s="15"/>
      <c r="X843" s="15"/>
      <c r="Y843" s="17">
        <v>1818</v>
      </c>
      <c r="AB843" s="17">
        <v>627</v>
      </c>
      <c r="AC843" s="17">
        <v>2245</v>
      </c>
      <c r="AE843" s="51">
        <f t="shared" si="106"/>
        <v>16.780660703901642</v>
      </c>
      <c r="AF843" s="51">
        <f t="shared" si="107"/>
        <v>5.7873895826987507</v>
      </c>
      <c r="AG843" s="51">
        <f t="shared" si="108"/>
        <v>20.721993003442897</v>
      </c>
      <c r="AH843" s="51" t="str">
        <f t="shared" si="109"/>
        <v/>
      </c>
      <c r="BG843" s="15"/>
      <c r="BM843" s="17"/>
      <c r="BN843" s="17"/>
      <c r="BO843" s="17"/>
      <c r="BP843" s="17"/>
      <c r="BQ843" s="17"/>
      <c r="BT843" s="15" t="s">
        <v>1531</v>
      </c>
      <c r="BW843" s="17"/>
    </row>
    <row r="844" spans="1:75" hidden="1" x14ac:dyDescent="0.25">
      <c r="A844" s="15" t="s">
        <v>1532</v>
      </c>
      <c r="B844" s="15" t="s">
        <v>30</v>
      </c>
      <c r="C844" s="15">
        <v>2012</v>
      </c>
      <c r="D844" s="15" t="s">
        <v>1533</v>
      </c>
      <c r="E844" s="15">
        <v>3070</v>
      </c>
      <c r="F844" s="15">
        <v>4046901</v>
      </c>
      <c r="G844" s="15" t="s">
        <v>88</v>
      </c>
      <c r="H844" s="15" t="s">
        <v>58</v>
      </c>
      <c r="I844" s="15" t="s">
        <v>1534</v>
      </c>
      <c r="J844" s="15" t="s">
        <v>1535</v>
      </c>
      <c r="K844" s="15" t="s">
        <v>724</v>
      </c>
      <c r="L844" s="15" t="s">
        <v>1536</v>
      </c>
      <c r="M844" s="15" t="s">
        <v>1537</v>
      </c>
      <c r="N844" s="15" t="s">
        <v>244</v>
      </c>
      <c r="O844" s="15"/>
      <c r="P844" s="15" t="s">
        <v>1538</v>
      </c>
      <c r="Q844" s="15" t="s">
        <v>1539</v>
      </c>
      <c r="R844" s="15" t="s">
        <v>1540</v>
      </c>
      <c r="S844" s="15" t="s">
        <v>102</v>
      </c>
      <c r="T844" s="15"/>
      <c r="U844" s="15"/>
      <c r="V844" s="15"/>
      <c r="W844" s="15"/>
      <c r="X844" s="15"/>
      <c r="Y844" s="17">
        <v>117234</v>
      </c>
      <c r="Z844" s="17">
        <v>12920</v>
      </c>
      <c r="AA844" s="17">
        <v>1172</v>
      </c>
      <c r="AB844" s="17">
        <v>14092</v>
      </c>
      <c r="AC844" s="17">
        <v>131326</v>
      </c>
      <c r="AD844" s="17">
        <v>364</v>
      </c>
      <c r="AE844" s="51">
        <f t="shared" si="106"/>
        <v>28.968833188654727</v>
      </c>
      <c r="AF844" s="51">
        <f t="shared" si="107"/>
        <v>3.4821706782547932</v>
      </c>
      <c r="AG844" s="51">
        <f t="shared" si="108"/>
        <v>32.451003866909524</v>
      </c>
      <c r="AH844" s="51">
        <f t="shared" si="109"/>
        <v>8.9945368073002033E-2</v>
      </c>
      <c r="BG844" s="15"/>
      <c r="BM844" s="17"/>
      <c r="BN844" s="17"/>
      <c r="BO844" s="17"/>
      <c r="BP844" s="17"/>
      <c r="BQ844" s="17"/>
      <c r="BW844" s="17"/>
    </row>
    <row r="845" spans="1:75" hidden="1" x14ac:dyDescent="0.25">
      <c r="A845" s="15" t="s">
        <v>1532</v>
      </c>
      <c r="B845" s="15" t="s">
        <v>30</v>
      </c>
      <c r="C845" s="15">
        <v>2007</v>
      </c>
      <c r="D845" s="15" t="s">
        <v>1533</v>
      </c>
      <c r="E845" s="15">
        <v>1600</v>
      </c>
      <c r="F845" s="15">
        <v>3494496</v>
      </c>
      <c r="G845" s="15" t="s">
        <v>88</v>
      </c>
      <c r="H845" s="15" t="s">
        <v>58</v>
      </c>
      <c r="I845" s="15" t="s">
        <v>1534</v>
      </c>
      <c r="J845" s="15" t="s">
        <v>1535</v>
      </c>
      <c r="K845" s="15" t="s">
        <v>724</v>
      </c>
      <c r="L845" s="15" t="s">
        <v>1536</v>
      </c>
      <c r="M845" s="15" t="s">
        <v>1537</v>
      </c>
      <c r="N845" s="15" t="s">
        <v>244</v>
      </c>
      <c r="O845" s="15"/>
      <c r="P845" s="15" t="s">
        <v>1538</v>
      </c>
      <c r="Q845" s="15" t="s">
        <v>1539</v>
      </c>
      <c r="R845" s="15" t="s">
        <v>1540</v>
      </c>
      <c r="S845" s="15" t="s">
        <v>102</v>
      </c>
      <c r="T845" s="15"/>
      <c r="U845" s="15"/>
      <c r="V845" s="15"/>
      <c r="W845" s="15"/>
      <c r="X845" s="15"/>
      <c r="Y845" s="17">
        <v>98966</v>
      </c>
      <c r="Z845" s="17">
        <v>9726</v>
      </c>
      <c r="AA845" s="17">
        <v>788</v>
      </c>
      <c r="AB845" s="17">
        <v>10514</v>
      </c>
      <c r="AC845" s="17">
        <v>109480</v>
      </c>
      <c r="AD845" s="17">
        <v>256</v>
      </c>
      <c r="AE845" s="51">
        <f t="shared" si="106"/>
        <v>28.320536065858995</v>
      </c>
      <c r="AF845" s="51">
        <f t="shared" si="107"/>
        <v>3.0087314451068194</v>
      </c>
      <c r="AG845" s="51">
        <f t="shared" si="108"/>
        <v>31.329267510965821</v>
      </c>
      <c r="AH845" s="51">
        <f t="shared" si="109"/>
        <v>7.3258060675988751E-2</v>
      </c>
      <c r="BG845" s="15"/>
      <c r="BM845" s="17"/>
      <c r="BN845" s="17"/>
      <c r="BO845" s="17"/>
      <c r="BP845" s="17"/>
      <c r="BQ845" s="17"/>
      <c r="BW845" s="17"/>
    </row>
    <row r="846" spans="1:75" hidden="1" x14ac:dyDescent="0.25">
      <c r="A846" s="15" t="s">
        <v>1532</v>
      </c>
      <c r="B846" s="15" t="s">
        <v>30</v>
      </c>
      <c r="C846" s="15">
        <v>2004</v>
      </c>
      <c r="D846" s="15" t="s">
        <v>1533</v>
      </c>
      <c r="E846" s="15">
        <v>1480</v>
      </c>
      <c r="F846" s="15">
        <v>3236626</v>
      </c>
      <c r="G846" s="15" t="s">
        <v>88</v>
      </c>
      <c r="H846" s="15" t="s">
        <v>58</v>
      </c>
      <c r="I846" s="15" t="s">
        <v>1534</v>
      </c>
      <c r="J846" s="15" t="s">
        <v>1535</v>
      </c>
      <c r="K846" s="15" t="s">
        <v>724</v>
      </c>
      <c r="L846" s="15" t="s">
        <v>1536</v>
      </c>
      <c r="M846" s="15" t="s">
        <v>1537</v>
      </c>
      <c r="N846" s="15" t="s">
        <v>244</v>
      </c>
      <c r="O846" s="15"/>
      <c r="P846" s="15" t="s">
        <v>1538</v>
      </c>
      <c r="Q846" s="15" t="s">
        <v>1539</v>
      </c>
      <c r="R846" s="15" t="s">
        <v>1540</v>
      </c>
      <c r="S846" s="15" t="s">
        <v>102</v>
      </c>
      <c r="T846" s="15"/>
      <c r="U846" s="15"/>
      <c r="V846" s="15"/>
      <c r="W846" s="15"/>
      <c r="X846" s="15"/>
      <c r="AC846" s="17">
        <v>97194</v>
      </c>
      <c r="AE846" s="51" t="str">
        <f t="shared" si="106"/>
        <v/>
      </c>
      <c r="AF846" s="51" t="str">
        <f t="shared" si="107"/>
        <v/>
      </c>
      <c r="AG846" s="51">
        <f t="shared" si="108"/>
        <v>30.029419525147482</v>
      </c>
      <c r="AH846" s="51" t="str">
        <f t="shared" si="109"/>
        <v/>
      </c>
      <c r="BG846" s="15"/>
      <c r="BM846" s="17"/>
      <c r="BN846" s="17"/>
      <c r="BO846" s="17"/>
      <c r="BP846" s="17"/>
      <c r="BQ846" s="17"/>
      <c r="BW846" s="17"/>
    </row>
    <row r="847" spans="1:75" hidden="1" x14ac:dyDescent="0.25">
      <c r="A847" s="15" t="s">
        <v>1541</v>
      </c>
      <c r="B847" s="15" t="s">
        <v>30</v>
      </c>
      <c r="C847" s="15">
        <v>2004</v>
      </c>
      <c r="D847" s="15" t="s">
        <v>1542</v>
      </c>
      <c r="E847" s="15">
        <v>610</v>
      </c>
      <c r="F847" s="15">
        <v>19612696</v>
      </c>
      <c r="G847" s="15" t="s">
        <v>32</v>
      </c>
      <c r="H847" s="15" t="s">
        <v>58</v>
      </c>
      <c r="I847" s="15" t="s">
        <v>1543</v>
      </c>
      <c r="J847" s="15" t="s">
        <v>1544</v>
      </c>
      <c r="K847" s="15" t="s">
        <v>92</v>
      </c>
      <c r="L847" s="15" t="s">
        <v>893</v>
      </c>
      <c r="M847" s="15" t="s">
        <v>422</v>
      </c>
      <c r="N847" s="15" t="s">
        <v>1084</v>
      </c>
      <c r="O847" s="15"/>
      <c r="P847" s="15"/>
      <c r="Q847" s="15"/>
      <c r="R847" s="15"/>
      <c r="S847" s="15"/>
      <c r="T847" s="15"/>
      <c r="U847" s="15"/>
      <c r="V847" s="15"/>
      <c r="W847" s="15"/>
      <c r="X847" s="15"/>
      <c r="Y847" s="17">
        <v>385826.54</v>
      </c>
      <c r="AB847" s="17">
        <v>14408.46</v>
      </c>
      <c r="AC847" s="17">
        <v>400235</v>
      </c>
      <c r="AE847" s="51">
        <f t="shared" si="106"/>
        <v>19.672284728218905</v>
      </c>
      <c r="AF847" s="51">
        <f t="shared" si="107"/>
        <v>0.73464963715340303</v>
      </c>
      <c r="AG847" s="51">
        <f t="shared" si="108"/>
        <v>20.406934365372308</v>
      </c>
      <c r="AH847" s="51" t="str">
        <f t="shared" si="109"/>
        <v/>
      </c>
      <c r="BG847" s="15"/>
      <c r="BM847" s="17"/>
      <c r="BN847" s="17"/>
      <c r="BO847" s="17"/>
      <c r="BP847" s="17"/>
      <c r="BQ847" s="17"/>
      <c r="BW847" s="17"/>
    </row>
    <row r="848" spans="1:75" hidden="1" x14ac:dyDescent="0.25">
      <c r="A848" s="15" t="s">
        <v>1545</v>
      </c>
      <c r="B848" s="15" t="s">
        <v>30</v>
      </c>
      <c r="C848" s="15">
        <v>2014</v>
      </c>
      <c r="D848" s="15" t="s">
        <v>1546</v>
      </c>
      <c r="E848" s="15">
        <v>1770</v>
      </c>
      <c r="F848" s="15">
        <v>15620974</v>
      </c>
      <c r="G848" s="15" t="s">
        <v>88</v>
      </c>
      <c r="H848" s="15" t="s">
        <v>89</v>
      </c>
      <c r="I848" s="15" t="s">
        <v>1547</v>
      </c>
      <c r="J848" s="15" t="s">
        <v>1548</v>
      </c>
      <c r="K848" s="15" t="s">
        <v>98</v>
      </c>
      <c r="L848" s="15" t="s">
        <v>402</v>
      </c>
      <c r="M848" s="15" t="s">
        <v>372</v>
      </c>
      <c r="N848" s="15" t="s">
        <v>37</v>
      </c>
      <c r="O848" s="15" t="s">
        <v>1549</v>
      </c>
      <c r="P848" s="15" t="s">
        <v>1550</v>
      </c>
      <c r="Q848" s="15" t="s">
        <v>1551</v>
      </c>
      <c r="R848" s="15" t="s">
        <v>1552</v>
      </c>
      <c r="S848" s="15" t="s">
        <v>1553</v>
      </c>
      <c r="T848" s="15" t="s">
        <v>487</v>
      </c>
      <c r="U848" s="15" t="s">
        <v>1554</v>
      </c>
      <c r="V848" s="15" t="s">
        <v>1555</v>
      </c>
      <c r="W848" s="15" t="s">
        <v>1276</v>
      </c>
      <c r="X848" s="15" t="s">
        <v>1553</v>
      </c>
      <c r="AE848" s="51" t="str">
        <f t="shared" si="106"/>
        <v/>
      </c>
      <c r="AF848" s="51" t="str">
        <f t="shared" si="107"/>
        <v/>
      </c>
      <c r="AG848" s="51" t="str">
        <f t="shared" si="108"/>
        <v/>
      </c>
      <c r="AH848" s="51" t="str">
        <f t="shared" si="109"/>
        <v/>
      </c>
      <c r="BG848" s="15"/>
      <c r="BM848" s="17"/>
      <c r="BN848" s="17"/>
      <c r="BO848" s="17"/>
      <c r="BP848" s="17"/>
      <c r="BQ848" s="17"/>
      <c r="BW848" s="17"/>
    </row>
    <row r="849" spans="1:75" hidden="1" x14ac:dyDescent="0.25">
      <c r="A849" s="15" t="s">
        <v>1556</v>
      </c>
      <c r="B849" s="15" t="s">
        <v>52</v>
      </c>
      <c r="C849" s="15">
        <v>2018</v>
      </c>
      <c r="D849" s="15" t="s">
        <v>1557</v>
      </c>
      <c r="E849" s="15">
        <v>910</v>
      </c>
      <c r="F849" s="15">
        <v>16529904</v>
      </c>
      <c r="G849" s="15" t="s">
        <v>32</v>
      </c>
      <c r="H849" s="15" t="s">
        <v>89</v>
      </c>
      <c r="I849" s="15" t="s">
        <v>1558</v>
      </c>
      <c r="J849" s="15" t="s">
        <v>1559</v>
      </c>
      <c r="K849" s="15" t="s">
        <v>92</v>
      </c>
      <c r="L849" s="15" t="s">
        <v>1560</v>
      </c>
      <c r="M849" s="15" t="s">
        <v>1561</v>
      </c>
      <c r="N849" s="15" t="s">
        <v>1562</v>
      </c>
      <c r="O849" s="15" t="s">
        <v>1563</v>
      </c>
      <c r="P849" s="15" t="s">
        <v>1564</v>
      </c>
      <c r="Q849" s="15" t="s">
        <v>1565</v>
      </c>
      <c r="R849" s="15" t="s">
        <v>1891</v>
      </c>
      <c r="S849" s="15" t="s">
        <v>102</v>
      </c>
      <c r="T849" s="17" t="s">
        <v>1566</v>
      </c>
      <c r="U849" s="17" t="s">
        <v>1567</v>
      </c>
      <c r="V849" s="17" t="s">
        <v>1568</v>
      </c>
      <c r="W849" s="17" t="s">
        <v>1896</v>
      </c>
      <c r="X849" s="17" t="s">
        <v>102</v>
      </c>
      <c r="Y849" s="15"/>
      <c r="Z849" s="15"/>
      <c r="AA849" s="15"/>
      <c r="AB849" s="15"/>
      <c r="AC849" s="15"/>
      <c r="AE849" s="51" t="str">
        <f>IF(ISERROR((T849/$F849)*1000),"",IF((T849/$F849)*1000=0,"",(T849/$F849)*1000))</f>
        <v/>
      </c>
      <c r="AF849" s="51" t="str">
        <f>IF(ISERROR((W849/$F849)*1000),"",IF((W849/$F849)*1000=0,"",(W849/$F849)*1000))</f>
        <v/>
      </c>
      <c r="AG849" s="51" t="str">
        <f>IF(ISERROR((X849/$F849)*1000),"",IF((X849/$F849)*1000=0,"",(X849/$F849)*1000))</f>
        <v/>
      </c>
      <c r="AH849" s="51" t="str">
        <f>IF(ISERROR((AD849/$F849)*1000),"",IF((AD849/$F849)*1000=0,"",(AD849/$F849)*1000))</f>
        <v/>
      </c>
      <c r="BG849" s="15"/>
      <c r="BM849" s="17"/>
      <c r="BN849" s="17"/>
      <c r="BO849" s="17"/>
      <c r="BP849" s="17"/>
      <c r="BQ849" s="17"/>
      <c r="BW849" s="17"/>
    </row>
    <row r="850" spans="1:75" x14ac:dyDescent="0.25">
      <c r="A850" s="15" t="s">
        <v>1556</v>
      </c>
      <c r="B850" s="15" t="s">
        <v>30</v>
      </c>
      <c r="C850" s="15">
        <v>2012</v>
      </c>
      <c r="D850" s="15" t="s">
        <v>1557</v>
      </c>
      <c r="E850" s="15">
        <v>810</v>
      </c>
      <c r="F850" s="15">
        <v>14710826</v>
      </c>
      <c r="G850" s="15" t="s">
        <v>32</v>
      </c>
      <c r="H850" s="15" t="s">
        <v>89</v>
      </c>
      <c r="I850" s="15" t="s">
        <v>1569</v>
      </c>
      <c r="J850" s="15" t="s">
        <v>1570</v>
      </c>
      <c r="K850" s="15" t="s">
        <v>34</v>
      </c>
      <c r="L850" s="15" t="s">
        <v>1571</v>
      </c>
      <c r="M850" s="15" t="s">
        <v>1572</v>
      </c>
      <c r="N850" s="15" t="s">
        <v>1573</v>
      </c>
      <c r="O850" s="15"/>
      <c r="P850" s="15"/>
      <c r="Q850" s="15"/>
      <c r="R850" s="15"/>
      <c r="S850" s="15"/>
      <c r="T850" s="15"/>
      <c r="U850" s="15"/>
      <c r="V850" s="15"/>
      <c r="W850" s="15"/>
      <c r="X850" s="15"/>
      <c r="Y850" s="17">
        <v>654224</v>
      </c>
      <c r="Z850" s="17">
        <v>108286</v>
      </c>
      <c r="AA850" s="17">
        <v>19278</v>
      </c>
      <c r="AB850" s="17">
        <v>127564</v>
      </c>
      <c r="AC850" s="17">
        <v>781788</v>
      </c>
      <c r="AE850" s="51">
        <f>IF(ISERROR((Y850/$F850)*1000),"",IF((Y850/$F850)*1000=0,"",(Y850/$F850)*1000))</f>
        <v>44.472281841957759</v>
      </c>
      <c r="AF850" s="51">
        <f>IF(ISERROR((AB850/$F850)*1000),"",IF((AB850/$F850)*1000=0,"",(AB850/$F850)*1000))</f>
        <v>8.6714369403866236</v>
      </c>
      <c r="AG850" s="51">
        <f>IF(ISERROR((AC850/$F850)*1000),"",IF((AC850/$F850)*1000=0,"",(AC850/$F850)*1000))</f>
        <v>53.143718782344379</v>
      </c>
      <c r="AH850" s="51" t="str">
        <f>IF(ISERROR((AD850/$F850)*1000),"",IF((AD850/$F850)*1000=0,"",(AD850/$F850)*1000))</f>
        <v/>
      </c>
      <c r="AM850" s="17">
        <v>5700000</v>
      </c>
      <c r="BG850" s="15"/>
      <c r="BM850" s="17"/>
      <c r="BN850" s="17"/>
      <c r="BO850" s="17"/>
      <c r="BP850" s="17"/>
      <c r="BQ850" s="17"/>
      <c r="BR850" s="43">
        <v>0.85</v>
      </c>
      <c r="BW850" s="17"/>
    </row>
    <row r="851" spans="1:75" x14ac:dyDescent="0.25">
      <c r="P851" s="40"/>
      <c r="Q851" s="40"/>
      <c r="AA851" s="15"/>
      <c r="AB851" s="15"/>
      <c r="BM851" s="17"/>
      <c r="BN851" s="17"/>
      <c r="BO851" s="17"/>
      <c r="BP851" s="17"/>
      <c r="BQ851" s="17"/>
    </row>
    <row r="852" spans="1:75" x14ac:dyDescent="0.25">
      <c r="W852" s="15"/>
      <c r="X852" s="15"/>
      <c r="Y852" s="15"/>
      <c r="Z852" s="15"/>
      <c r="AA852" s="15"/>
      <c r="AB852" s="15"/>
      <c r="AC852" s="15"/>
      <c r="BM852" s="17"/>
      <c r="BN852" s="17"/>
      <c r="BO852" s="17"/>
    </row>
    <row r="853" spans="1:75" x14ac:dyDescent="0.25">
      <c r="W853" s="15"/>
      <c r="X853" s="15"/>
      <c r="Y853" s="15"/>
      <c r="Z853" s="15"/>
      <c r="AB853" s="15"/>
      <c r="AC853" s="15"/>
      <c r="BM853" s="17"/>
      <c r="BN853" s="17"/>
      <c r="BO853" s="17"/>
    </row>
    <row r="854" spans="1:75" x14ac:dyDescent="0.25">
      <c r="AA854" s="15"/>
      <c r="AB854" s="15"/>
      <c r="AC854" s="15"/>
      <c r="BM854" s="17"/>
      <c r="BN854" s="17"/>
      <c r="BO854" s="17"/>
    </row>
    <row r="855" spans="1:75" x14ac:dyDescent="0.25">
      <c r="W855" s="15"/>
      <c r="X855" s="15"/>
      <c r="Y855" s="15"/>
      <c r="Z855" s="15"/>
      <c r="AA855" s="15"/>
      <c r="AB855" s="15"/>
      <c r="AC855" s="15"/>
      <c r="BM855" s="17"/>
      <c r="BN855" s="17"/>
      <c r="BO855" s="17"/>
    </row>
    <row r="856" spans="1:75" x14ac:dyDescent="0.25">
      <c r="W856" s="15"/>
      <c r="X856" s="15"/>
      <c r="Y856" s="15"/>
      <c r="Z856" s="15"/>
      <c r="AA856" s="15"/>
      <c r="AB856" s="15"/>
      <c r="AC856" s="15"/>
    </row>
    <row r="857" spans="1:75" x14ac:dyDescent="0.25">
      <c r="W857" s="16"/>
      <c r="X857" s="15"/>
      <c r="Y857" s="15"/>
      <c r="Z857" s="15"/>
      <c r="AA857" s="15"/>
      <c r="AB857" s="15"/>
      <c r="AC857" s="15"/>
    </row>
  </sheetData>
  <autoFilter ref="A2:KX850" xr:uid="{957F05C2-96CF-4AC4-BEB1-62102CE19474}">
    <filterColumn colId="69">
      <customFilters>
        <customFilter operator="notEqual" val=" "/>
      </customFilters>
    </filterColumn>
    <sortState ref="A487:BW491">
      <sortCondition ref="A2:A850"/>
    </sortState>
  </autoFilter>
  <mergeCells count="23">
    <mergeCell ref="A1:A2"/>
    <mergeCell ref="B1:B2"/>
    <mergeCell ref="D1:D2"/>
    <mergeCell ref="E1:E2"/>
    <mergeCell ref="F1:F2"/>
    <mergeCell ref="C1:C2"/>
    <mergeCell ref="AW1:BH1"/>
    <mergeCell ref="Y1:AD1"/>
    <mergeCell ref="AI1:AN1"/>
    <mergeCell ref="AO1:AT1"/>
    <mergeCell ref="G1:G2"/>
    <mergeCell ref="AU1:AV1"/>
    <mergeCell ref="H1:H2"/>
    <mergeCell ref="I1:I2"/>
    <mergeCell ref="J1:J2"/>
    <mergeCell ref="K1:N1"/>
    <mergeCell ref="O1:R1"/>
    <mergeCell ref="T1:W1"/>
    <mergeCell ref="BI1:BK1"/>
    <mergeCell ref="BP1:BR1"/>
    <mergeCell ref="BS1:BT1"/>
    <mergeCell ref="BU1:BV1"/>
    <mergeCell ref="BL1:BO1"/>
  </mergeCells>
  <conditionalFormatting sqref="AB590:AB596">
    <cfRule type="duplicateValues" dxfId="3" priority="1"/>
  </conditionalFormatting>
  <hyperlinks>
    <hyperlink ref="J835" r:id="rId1" xr:uid="{386889A3-A220-41BB-89AA-D3DF2871655D}"/>
    <hyperlink ref="J773" r:id="rId2" xr:uid="{D092ABAF-3C21-4908-BA9B-6EC8F8728AED}"/>
    <hyperlink ref="J666" r:id="rId3" display="https://www.aph.gov.au/DocumentStore.ashx?id=d95e5db0-fd3b-4632-8cd1-af3d5d73cfa6&amp;subId=253350" xr:uid="{F88DAB75-1F5C-4758-8435-996EB6050279}"/>
    <hyperlink ref="AU4" r:id="rId4" xr:uid="{5AB65CB9-6771-4E91-ADB1-0CF1816F72EE}"/>
    <hyperlink ref="J409" r:id="rId5" location="%40%3F_afrLoop%3D4819552576902610%26_adf.ctrl-state%3D19g51u6wqr_4" display="http://stat.gov.kz/faces/wcnav_externalId/homeNumbersSMEnterprises;jsessionid=hN3H2E_k5j48jbtC0nALJM0mttcaHLDnb13LZAoB6FdWo7hqDmaZ!-290063826!95908683?_adf.ctrl-state=d0757vavl_38&amp;_afrLoop=4819552576902610#%40%3F_afrLoop%3D4819552576902610%26_adf.ctrl-state%3D19g51u6wqr_4" xr:uid="{E287CF4E-C9DA-4832-B185-C817BBA77B77}"/>
    <hyperlink ref="J436" r:id="rId6" location="/115387?scrollto=true" xr:uid="{20D91921-093D-481A-8318-7264DDAC4C83}"/>
    <hyperlink ref="J422" r:id="rId7" xr:uid="{5622D8EE-67D9-4EE3-85D0-56005DFE612F}"/>
    <hyperlink ref="J486" r:id="rId8" xr:uid="{C8370203-DFD3-400C-B146-2CDD2F4FEF8E}"/>
    <hyperlink ref="J298" r:id="rId9" xr:uid="{702EB9BC-A9A9-4B22-ABF2-4CD6290829BE}"/>
    <hyperlink ref="J398" r:id="rId10" location="page2" xr:uid="{6DDE0850-E2B5-48CF-BB0D-F8AC3A3E9A6E}"/>
    <hyperlink ref="J458" r:id="rId11" xr:uid="{4B23CDE6-1DCA-4C0D-9962-7E267200F5E3}"/>
    <hyperlink ref="J668" r:id="rId12" display="https://worldbankgroup-my.sharepoint.com/:f:/r/personal/kkushnir_worldbank_org/Documents/MSME-CI 2018/5. Submitted for review by regional coordinator/Sub-Saharan Africa - Sanjay Kalpage/August 6, 2018?csf=1&amp;e=Mzpcth" xr:uid="{0462FFAF-E35D-4C5E-95D3-F7562F2B4BC5}"/>
    <hyperlink ref="J669:J672" r:id="rId13" display="https://worldbankgroup-my.sharepoint.com/:f:/r/personal/kkushnir_worldbank_org/Documents/MSME-CI 2018/5. Submitted for review by regional coordinator/Sub-Saharan Africa - Sanjay Kalpage/August 6, 2018?csf=1&amp;e=Mzpcth" xr:uid="{B46CDC13-EA5E-4100-A8C4-3A765A4231F3}"/>
    <hyperlink ref="J205" r:id="rId14" xr:uid="{F62A9ECA-8278-47BC-81E6-2CBB187510E4}"/>
    <hyperlink ref="J206" r:id="rId15" xr:uid="{131AFB3D-67C4-4423-B4E1-55BEDE10B8BF}"/>
    <hyperlink ref="J14" r:id="rId16" xr:uid="{E7F5C56A-CB01-4E0B-B27A-5E26CD8DF718}"/>
  </hyperlinks>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DC9F6-D1B5-41F4-A900-2BEEEA05280B}">
  <dimension ref="A1:A8"/>
  <sheetViews>
    <sheetView workbookViewId="0">
      <selection activeCell="A4" sqref="A4"/>
    </sheetView>
  </sheetViews>
  <sheetFormatPr defaultColWidth="8.85546875" defaultRowHeight="15" x14ac:dyDescent="0.25"/>
  <cols>
    <col min="1" max="1" width="26.7109375" bestFit="1" customWidth="1"/>
  </cols>
  <sheetData>
    <row r="1" spans="1:1" x14ac:dyDescent="0.25">
      <c r="A1" s="9" t="s">
        <v>1574</v>
      </c>
    </row>
    <row r="2" spans="1:1" x14ac:dyDescent="0.25">
      <c r="A2" s="7" t="s">
        <v>1575</v>
      </c>
    </row>
    <row r="3" spans="1:1" x14ac:dyDescent="0.25">
      <c r="A3" s="6" t="s">
        <v>1576</v>
      </c>
    </row>
    <row r="6" spans="1:1" x14ac:dyDescent="0.25">
      <c r="A6" s="10" t="s">
        <v>1577</v>
      </c>
    </row>
    <row r="7" spans="1:1" x14ac:dyDescent="0.25">
      <c r="A7" t="s">
        <v>1578</v>
      </c>
    </row>
    <row r="8" spans="1:1" x14ac:dyDescent="0.25">
      <c r="A8" t="s">
        <v>1579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1F9F4-0FB6-4209-9F9B-C584495F5B1C}">
  <dimension ref="A3:I497"/>
  <sheetViews>
    <sheetView workbookViewId="0">
      <selection activeCell="H12" sqref="H12"/>
    </sheetView>
  </sheetViews>
  <sheetFormatPr defaultColWidth="8.85546875" defaultRowHeight="15" x14ac:dyDescent="0.25"/>
  <cols>
    <col min="1" max="1" width="27.42578125" bestFit="1" customWidth="1"/>
    <col min="2" max="2" width="6.85546875" bestFit="1" customWidth="1"/>
    <col min="3" max="3" width="11" bestFit="1" customWidth="1"/>
    <col min="5" max="5" width="26.7109375" bestFit="1" customWidth="1"/>
    <col min="6" max="6" width="20.85546875" bestFit="1" customWidth="1"/>
    <col min="8" max="8" width="8.7109375" bestFit="1" customWidth="1"/>
    <col min="9" max="9" width="3.7109375" bestFit="1" customWidth="1"/>
  </cols>
  <sheetData>
    <row r="3" spans="1:9" x14ac:dyDescent="0.25">
      <c r="A3" s="11" t="s">
        <v>1580</v>
      </c>
      <c r="E3" s="13" t="s">
        <v>28</v>
      </c>
      <c r="F3" s="13" t="s">
        <v>1581</v>
      </c>
    </row>
    <row r="4" spans="1:9" x14ac:dyDescent="0.25">
      <c r="A4" s="12" t="s">
        <v>40</v>
      </c>
      <c r="E4" s="6" t="s">
        <v>40</v>
      </c>
      <c r="F4" s="9" t="s">
        <v>210</v>
      </c>
    </row>
    <row r="5" spans="1:9" x14ac:dyDescent="0.25">
      <c r="A5" s="12" t="s">
        <v>56</v>
      </c>
      <c r="E5" s="6" t="s">
        <v>40</v>
      </c>
      <c r="F5" s="9" t="s">
        <v>425</v>
      </c>
    </row>
    <row r="6" spans="1:9" x14ac:dyDescent="0.25">
      <c r="A6" s="12" t="s">
        <v>75</v>
      </c>
      <c r="E6" s="6" t="s">
        <v>40</v>
      </c>
      <c r="F6" s="9" t="s">
        <v>426</v>
      </c>
      <c r="H6" s="10" t="s">
        <v>1582</v>
      </c>
      <c r="I6">
        <v>83</v>
      </c>
    </row>
    <row r="7" spans="1:9" x14ac:dyDescent="0.25">
      <c r="A7" s="12" t="s">
        <v>85</v>
      </c>
      <c r="E7" s="6" t="s">
        <v>40</v>
      </c>
      <c r="F7" s="9" t="s">
        <v>471</v>
      </c>
      <c r="H7" s="10" t="s">
        <v>211</v>
      </c>
      <c r="I7">
        <v>23</v>
      </c>
    </row>
    <row r="8" spans="1:9" x14ac:dyDescent="0.25">
      <c r="A8" s="12" t="s">
        <v>107</v>
      </c>
      <c r="E8" s="6" t="s">
        <v>40</v>
      </c>
      <c r="F8" s="9" t="s">
        <v>472</v>
      </c>
      <c r="H8" s="10" t="s">
        <v>1583</v>
      </c>
      <c r="I8">
        <f>I9-I7-I6</f>
        <v>93</v>
      </c>
    </row>
    <row r="9" spans="1:9" x14ac:dyDescent="0.25">
      <c r="A9" s="12" t="s">
        <v>116</v>
      </c>
      <c r="E9" s="6" t="s">
        <v>40</v>
      </c>
      <c r="F9" s="9" t="s">
        <v>473</v>
      </c>
      <c r="H9" s="10" t="s">
        <v>1584</v>
      </c>
      <c r="I9">
        <v>199</v>
      </c>
    </row>
    <row r="10" spans="1:9" x14ac:dyDescent="0.25">
      <c r="A10" s="12" t="s">
        <v>161</v>
      </c>
      <c r="E10" s="6" t="s">
        <v>56</v>
      </c>
      <c r="F10" s="9" t="s">
        <v>513</v>
      </c>
    </row>
    <row r="11" spans="1:9" x14ac:dyDescent="0.25">
      <c r="A11" s="12" t="s">
        <v>177</v>
      </c>
      <c r="E11" s="6" t="s">
        <v>56</v>
      </c>
      <c r="F11" s="9" t="s">
        <v>554</v>
      </c>
    </row>
    <row r="12" spans="1:9" x14ac:dyDescent="0.25">
      <c r="A12" s="12" t="s">
        <v>186</v>
      </c>
      <c r="E12" s="6" t="s">
        <v>56</v>
      </c>
      <c r="F12" s="9" t="s">
        <v>555</v>
      </c>
    </row>
    <row r="13" spans="1:9" x14ac:dyDescent="0.25">
      <c r="A13" s="12" t="s">
        <v>197</v>
      </c>
      <c r="E13" s="6" t="s">
        <v>56</v>
      </c>
      <c r="F13" s="9" t="s">
        <v>648</v>
      </c>
    </row>
    <row r="14" spans="1:9" x14ac:dyDescent="0.25">
      <c r="A14" s="12" t="s">
        <v>212</v>
      </c>
      <c r="E14" s="6" t="s">
        <v>56</v>
      </c>
      <c r="F14" s="9" t="s">
        <v>755</v>
      </c>
    </row>
    <row r="15" spans="1:9" x14ac:dyDescent="0.25">
      <c r="A15" s="14" t="s">
        <v>225</v>
      </c>
      <c r="E15" s="6" t="s">
        <v>75</v>
      </c>
      <c r="F15" s="9" t="s">
        <v>840</v>
      </c>
    </row>
    <row r="16" spans="1:9" x14ac:dyDescent="0.25">
      <c r="A16" s="12" t="s">
        <v>237</v>
      </c>
      <c r="E16" s="6" t="s">
        <v>75</v>
      </c>
      <c r="F16" s="9" t="s">
        <v>841</v>
      </c>
    </row>
    <row r="17" spans="1:6" x14ac:dyDescent="0.25">
      <c r="A17" s="12" t="s">
        <v>257</v>
      </c>
      <c r="E17" s="6" t="s">
        <v>75</v>
      </c>
      <c r="F17" s="9" t="s">
        <v>865</v>
      </c>
    </row>
    <row r="18" spans="1:6" x14ac:dyDescent="0.25">
      <c r="A18" s="12" t="s">
        <v>268</v>
      </c>
      <c r="E18" s="6" t="s">
        <v>75</v>
      </c>
      <c r="F18" s="9" t="s">
        <v>911</v>
      </c>
    </row>
    <row r="19" spans="1:6" x14ac:dyDescent="0.25">
      <c r="A19" s="12" t="s">
        <v>272</v>
      </c>
      <c r="E19" s="6" t="s">
        <v>75</v>
      </c>
      <c r="F19" s="9" t="s">
        <v>970</v>
      </c>
    </row>
    <row r="20" spans="1:6" x14ac:dyDescent="0.25">
      <c r="A20" s="12" t="s">
        <v>288</v>
      </c>
      <c r="E20" s="6" t="s">
        <v>85</v>
      </c>
      <c r="F20" s="9" t="s">
        <v>1107</v>
      </c>
    </row>
    <row r="21" spans="1:6" x14ac:dyDescent="0.25">
      <c r="A21" s="12" t="s">
        <v>298</v>
      </c>
      <c r="E21" s="6" t="s">
        <v>85</v>
      </c>
      <c r="F21" s="9" t="s">
        <v>1114</v>
      </c>
    </row>
    <row r="22" spans="1:6" x14ac:dyDescent="0.25">
      <c r="A22" s="12" t="s">
        <v>305</v>
      </c>
      <c r="E22" s="6" t="s">
        <v>85</v>
      </c>
      <c r="F22" s="9" t="s">
        <v>1130</v>
      </c>
    </row>
    <row r="23" spans="1:6" x14ac:dyDescent="0.25">
      <c r="A23" s="12" t="s">
        <v>312</v>
      </c>
      <c r="E23" s="6" t="s">
        <v>85</v>
      </c>
      <c r="F23" s="9" t="s">
        <v>1131</v>
      </c>
    </row>
    <row r="24" spans="1:6" x14ac:dyDescent="0.25">
      <c r="A24" s="12" t="s">
        <v>322</v>
      </c>
      <c r="E24" s="6" t="s">
        <v>85</v>
      </c>
      <c r="F24" s="9" t="s">
        <v>1160</v>
      </c>
    </row>
    <row r="25" spans="1:6" x14ac:dyDescent="0.25">
      <c r="A25" s="14" t="s">
        <v>332</v>
      </c>
      <c r="E25" s="6" t="s">
        <v>107</v>
      </c>
      <c r="F25" s="9" t="s">
        <v>1355</v>
      </c>
    </row>
    <row r="26" spans="1:6" x14ac:dyDescent="0.25">
      <c r="A26" s="12" t="s">
        <v>342</v>
      </c>
      <c r="E26" s="6" t="s">
        <v>116</v>
      </c>
      <c r="F26" s="9" t="s">
        <v>1356</v>
      </c>
    </row>
    <row r="27" spans="1:6" x14ac:dyDescent="0.25">
      <c r="A27" s="12" t="s">
        <v>427</v>
      </c>
      <c r="E27" s="6" t="s">
        <v>116</v>
      </c>
    </row>
    <row r="28" spans="1:6" x14ac:dyDescent="0.25">
      <c r="A28" s="12" t="s">
        <v>448</v>
      </c>
      <c r="E28" s="6" t="s">
        <v>116</v>
      </c>
    </row>
    <row r="29" spans="1:6" x14ac:dyDescent="0.25">
      <c r="A29" s="12" t="s">
        <v>474</v>
      </c>
      <c r="E29" s="6" t="s">
        <v>116</v>
      </c>
    </row>
    <row r="30" spans="1:6" x14ac:dyDescent="0.25">
      <c r="A30" s="12" t="s">
        <v>515</v>
      </c>
      <c r="E30" s="6" t="s">
        <v>116</v>
      </c>
    </row>
    <row r="31" spans="1:6" x14ac:dyDescent="0.25">
      <c r="A31" s="12" t="s">
        <v>537</v>
      </c>
      <c r="E31" s="6" t="s">
        <v>116</v>
      </c>
    </row>
    <row r="32" spans="1:6" x14ac:dyDescent="0.25">
      <c r="A32" s="12" t="s">
        <v>548</v>
      </c>
      <c r="E32" s="6" t="s">
        <v>116</v>
      </c>
    </row>
    <row r="33" spans="1:5" x14ac:dyDescent="0.25">
      <c r="A33" s="12" t="s">
        <v>592</v>
      </c>
      <c r="E33" s="6" t="s">
        <v>116</v>
      </c>
    </row>
    <row r="34" spans="1:5" x14ac:dyDescent="0.25">
      <c r="A34" s="12" t="s">
        <v>612</v>
      </c>
      <c r="E34" s="6" t="s">
        <v>116</v>
      </c>
    </row>
    <row r="35" spans="1:5" x14ac:dyDescent="0.25">
      <c r="A35" s="12" t="s">
        <v>624</v>
      </c>
      <c r="E35" s="6" t="s">
        <v>116</v>
      </c>
    </row>
    <row r="36" spans="1:5" x14ac:dyDescent="0.25">
      <c r="A36" s="12" t="s">
        <v>649</v>
      </c>
      <c r="E36" s="6" t="s">
        <v>116</v>
      </c>
    </row>
    <row r="37" spans="1:5" x14ac:dyDescent="0.25">
      <c r="A37" s="12" t="s">
        <v>656</v>
      </c>
      <c r="E37" s="6" t="s">
        <v>116</v>
      </c>
    </row>
    <row r="38" spans="1:5" x14ac:dyDescent="0.25">
      <c r="A38" s="12" t="s">
        <v>664</v>
      </c>
      <c r="E38" s="6" t="s">
        <v>116</v>
      </c>
    </row>
    <row r="39" spans="1:5" x14ac:dyDescent="0.25">
      <c r="A39" s="12" t="s">
        <v>720</v>
      </c>
      <c r="E39" s="6" t="s">
        <v>116</v>
      </c>
    </row>
    <row r="40" spans="1:5" x14ac:dyDescent="0.25">
      <c r="A40" s="12" t="s">
        <v>847</v>
      </c>
      <c r="E40" s="6" t="s">
        <v>116</v>
      </c>
    </row>
    <row r="41" spans="1:5" x14ac:dyDescent="0.25">
      <c r="A41" s="12" t="s">
        <v>926</v>
      </c>
      <c r="E41" s="6" t="s">
        <v>116</v>
      </c>
    </row>
    <row r="42" spans="1:5" x14ac:dyDescent="0.25">
      <c r="A42" s="12" t="s">
        <v>971</v>
      </c>
      <c r="E42" s="6" t="s">
        <v>116</v>
      </c>
    </row>
    <row r="43" spans="1:5" x14ac:dyDescent="0.25">
      <c r="A43" s="12" t="s">
        <v>993</v>
      </c>
      <c r="E43" s="6" t="s">
        <v>116</v>
      </c>
    </row>
    <row r="44" spans="1:5" x14ac:dyDescent="0.25">
      <c r="A44" s="12" t="s">
        <v>1000</v>
      </c>
      <c r="E44" s="6" t="s">
        <v>116</v>
      </c>
    </row>
    <row r="45" spans="1:5" x14ac:dyDescent="0.25">
      <c r="A45" s="12" t="s">
        <v>1080</v>
      </c>
      <c r="E45" s="6" t="s">
        <v>116</v>
      </c>
    </row>
    <row r="46" spans="1:5" x14ac:dyDescent="0.25">
      <c r="A46" s="12" t="s">
        <v>1118</v>
      </c>
      <c r="E46" s="6" t="s">
        <v>116</v>
      </c>
    </row>
    <row r="47" spans="1:5" x14ac:dyDescent="0.25">
      <c r="A47" s="12" t="s">
        <v>1126</v>
      </c>
      <c r="E47" s="6" t="s">
        <v>116</v>
      </c>
    </row>
    <row r="48" spans="1:5" x14ac:dyDescent="0.25">
      <c r="A48" s="12" t="s">
        <v>1132</v>
      </c>
      <c r="E48" s="6" t="s">
        <v>116</v>
      </c>
    </row>
    <row r="49" spans="1:5" x14ac:dyDescent="0.25">
      <c r="A49" s="12" t="s">
        <v>1138</v>
      </c>
      <c r="E49" s="6" t="s">
        <v>116</v>
      </c>
    </row>
    <row r="50" spans="1:5" x14ac:dyDescent="0.25">
      <c r="A50" s="12" t="s">
        <v>1141</v>
      </c>
      <c r="E50" s="6" t="s">
        <v>116</v>
      </c>
    </row>
    <row r="51" spans="1:5" x14ac:dyDescent="0.25">
      <c r="A51" s="12" t="s">
        <v>1148</v>
      </c>
      <c r="E51" s="6" t="s">
        <v>116</v>
      </c>
    </row>
    <row r="52" spans="1:5" x14ac:dyDescent="0.25">
      <c r="A52" s="12" t="s">
        <v>1166</v>
      </c>
      <c r="E52" s="6" t="s">
        <v>116</v>
      </c>
    </row>
    <row r="53" spans="1:5" x14ac:dyDescent="0.25">
      <c r="A53" s="12" t="s">
        <v>1171</v>
      </c>
      <c r="E53" s="6" t="s">
        <v>116</v>
      </c>
    </row>
    <row r="54" spans="1:5" x14ac:dyDescent="0.25">
      <c r="A54" s="12" t="s">
        <v>1183</v>
      </c>
      <c r="E54" s="6" t="s">
        <v>116</v>
      </c>
    </row>
    <row r="55" spans="1:5" x14ac:dyDescent="0.25">
      <c r="A55" s="12" t="s">
        <v>1191</v>
      </c>
      <c r="E55" s="6" t="s">
        <v>161</v>
      </c>
    </row>
    <row r="56" spans="1:5" x14ac:dyDescent="0.25">
      <c r="A56" s="14" t="s">
        <v>1197</v>
      </c>
      <c r="E56" s="6" t="s">
        <v>161</v>
      </c>
    </row>
    <row r="57" spans="1:5" x14ac:dyDescent="0.25">
      <c r="A57" s="12" t="s">
        <v>1204</v>
      </c>
      <c r="E57" s="6" t="s">
        <v>161</v>
      </c>
    </row>
    <row r="58" spans="1:5" x14ac:dyDescent="0.25">
      <c r="A58" s="12" t="s">
        <v>1214</v>
      </c>
      <c r="E58" s="6" t="s">
        <v>177</v>
      </c>
    </row>
    <row r="59" spans="1:5" x14ac:dyDescent="0.25">
      <c r="A59" s="12" t="s">
        <v>1218</v>
      </c>
      <c r="E59" s="6" t="s">
        <v>177</v>
      </c>
    </row>
    <row r="60" spans="1:5" x14ac:dyDescent="0.25">
      <c r="A60" s="12" t="s">
        <v>1224</v>
      </c>
      <c r="E60" s="6" t="s">
        <v>177</v>
      </c>
    </row>
    <row r="61" spans="1:5" x14ac:dyDescent="0.25">
      <c r="A61" s="12" t="s">
        <v>1231</v>
      </c>
      <c r="E61" s="6" t="s">
        <v>177</v>
      </c>
    </row>
    <row r="62" spans="1:5" x14ac:dyDescent="0.25">
      <c r="A62" s="12" t="s">
        <v>1233</v>
      </c>
      <c r="E62" s="6" t="s">
        <v>186</v>
      </c>
    </row>
    <row r="63" spans="1:5" x14ac:dyDescent="0.25">
      <c r="A63" s="12" t="s">
        <v>1250</v>
      </c>
      <c r="E63" s="6" t="s">
        <v>186</v>
      </c>
    </row>
    <row r="64" spans="1:5" x14ac:dyDescent="0.25">
      <c r="A64" s="12" t="s">
        <v>1263</v>
      </c>
      <c r="E64" s="6" t="s">
        <v>186</v>
      </c>
    </row>
    <row r="65" spans="1:5" x14ac:dyDescent="0.25">
      <c r="A65" s="12" t="s">
        <v>1270</v>
      </c>
      <c r="E65" s="6" t="s">
        <v>186</v>
      </c>
    </row>
    <row r="66" spans="1:5" x14ac:dyDescent="0.25">
      <c r="A66" s="12" t="s">
        <v>1280</v>
      </c>
      <c r="E66" s="6" t="s">
        <v>186</v>
      </c>
    </row>
    <row r="67" spans="1:5" x14ac:dyDescent="0.25">
      <c r="A67" s="12" t="s">
        <v>1297</v>
      </c>
      <c r="E67" s="6" t="s">
        <v>186</v>
      </c>
    </row>
    <row r="68" spans="1:5" x14ac:dyDescent="0.25">
      <c r="A68" s="12" t="s">
        <v>1301</v>
      </c>
      <c r="E68" s="6" t="s">
        <v>186</v>
      </c>
    </row>
    <row r="69" spans="1:5" x14ac:dyDescent="0.25">
      <c r="A69" s="12" t="s">
        <v>1319</v>
      </c>
      <c r="E69" s="6" t="s">
        <v>186</v>
      </c>
    </row>
    <row r="70" spans="1:5" x14ac:dyDescent="0.25">
      <c r="A70" s="12" t="s">
        <v>1330</v>
      </c>
      <c r="E70" s="6" t="s">
        <v>186</v>
      </c>
    </row>
    <row r="71" spans="1:5" x14ac:dyDescent="0.25">
      <c r="A71" s="12" t="s">
        <v>1337</v>
      </c>
      <c r="E71" s="6" t="s">
        <v>186</v>
      </c>
    </row>
    <row r="72" spans="1:5" x14ac:dyDescent="0.25">
      <c r="A72" s="12" t="s">
        <v>1342</v>
      </c>
      <c r="E72" s="6" t="s">
        <v>186</v>
      </c>
    </row>
    <row r="73" spans="1:5" x14ac:dyDescent="0.25">
      <c r="A73" s="12" t="s">
        <v>1357</v>
      </c>
      <c r="E73" s="6" t="s">
        <v>197</v>
      </c>
    </row>
    <row r="74" spans="1:5" x14ac:dyDescent="0.25">
      <c r="A74" s="12" t="s">
        <v>1370</v>
      </c>
      <c r="E74" s="6" t="s">
        <v>197</v>
      </c>
    </row>
    <row r="75" spans="1:5" x14ac:dyDescent="0.25">
      <c r="A75" s="12" t="s">
        <v>1376</v>
      </c>
      <c r="E75" s="6" t="s">
        <v>197</v>
      </c>
    </row>
    <row r="76" spans="1:5" x14ac:dyDescent="0.25">
      <c r="A76" s="12" t="s">
        <v>1383</v>
      </c>
      <c r="E76" s="6" t="s">
        <v>197</v>
      </c>
    </row>
    <row r="77" spans="1:5" x14ac:dyDescent="0.25">
      <c r="A77" s="12" t="s">
        <v>1395</v>
      </c>
      <c r="E77" s="6" t="s">
        <v>212</v>
      </c>
    </row>
    <row r="78" spans="1:5" x14ac:dyDescent="0.25">
      <c r="A78" s="12" t="s">
        <v>1410</v>
      </c>
      <c r="E78" s="6" t="s">
        <v>225</v>
      </c>
    </row>
    <row r="79" spans="1:5" x14ac:dyDescent="0.25">
      <c r="A79" s="12" t="s">
        <v>1487</v>
      </c>
      <c r="E79" s="6" t="s">
        <v>237</v>
      </c>
    </row>
    <row r="80" spans="1:5" x14ac:dyDescent="0.25">
      <c r="A80" s="12" t="s">
        <v>1494</v>
      </c>
      <c r="E80" s="6" t="s">
        <v>237</v>
      </c>
    </row>
    <row r="81" spans="1:5" x14ac:dyDescent="0.25">
      <c r="A81" s="12" t="s">
        <v>1500</v>
      </c>
      <c r="E81" s="6" t="s">
        <v>257</v>
      </c>
    </row>
    <row r="82" spans="1:5" x14ac:dyDescent="0.25">
      <c r="A82" s="12" t="s">
        <v>1511</v>
      </c>
      <c r="E82" s="6" t="s">
        <v>257</v>
      </c>
    </row>
    <row r="83" spans="1:5" x14ac:dyDescent="0.25">
      <c r="A83" s="12" t="s">
        <v>1527</v>
      </c>
      <c r="E83" s="6" t="s">
        <v>257</v>
      </c>
    </row>
    <row r="84" spans="1:5" x14ac:dyDescent="0.25">
      <c r="A84" s="12" t="s">
        <v>1532</v>
      </c>
      <c r="E84" s="6" t="s">
        <v>257</v>
      </c>
    </row>
    <row r="85" spans="1:5" x14ac:dyDescent="0.25">
      <c r="A85" s="12" t="s">
        <v>1541</v>
      </c>
      <c r="E85" s="6" t="s">
        <v>257</v>
      </c>
    </row>
    <row r="86" spans="1:5" x14ac:dyDescent="0.25">
      <c r="A86" s="12" t="s">
        <v>1545</v>
      </c>
      <c r="E86" s="6" t="s">
        <v>257</v>
      </c>
    </row>
    <row r="87" spans="1:5" x14ac:dyDescent="0.25">
      <c r="A87" s="12" t="s">
        <v>1556</v>
      </c>
      <c r="E87" s="6" t="s">
        <v>268</v>
      </c>
    </row>
    <row r="88" spans="1:5" x14ac:dyDescent="0.25">
      <c r="A88" s="12" t="s">
        <v>1585</v>
      </c>
      <c r="E88" s="6" t="s">
        <v>268</v>
      </c>
    </row>
    <row r="89" spans="1:5" x14ac:dyDescent="0.25">
      <c r="A89" s="12" t="s">
        <v>1586</v>
      </c>
      <c r="E89" s="6" t="s">
        <v>268</v>
      </c>
    </row>
    <row r="90" spans="1:5" x14ac:dyDescent="0.25">
      <c r="E90" s="6" t="s">
        <v>268</v>
      </c>
    </row>
    <row r="91" spans="1:5" x14ac:dyDescent="0.25">
      <c r="E91" s="6" t="s">
        <v>268</v>
      </c>
    </row>
    <row r="92" spans="1:5" x14ac:dyDescent="0.25">
      <c r="E92" s="6" t="s">
        <v>268</v>
      </c>
    </row>
    <row r="93" spans="1:5" x14ac:dyDescent="0.25">
      <c r="E93" s="6" t="s">
        <v>268</v>
      </c>
    </row>
    <row r="94" spans="1:5" x14ac:dyDescent="0.25">
      <c r="E94" s="6" t="s">
        <v>268</v>
      </c>
    </row>
    <row r="95" spans="1:5" x14ac:dyDescent="0.25">
      <c r="E95" s="6" t="s">
        <v>268</v>
      </c>
    </row>
    <row r="96" spans="1:5" x14ac:dyDescent="0.25">
      <c r="E96" s="6" t="s">
        <v>268</v>
      </c>
    </row>
    <row r="97" spans="5:5" x14ac:dyDescent="0.25">
      <c r="E97" s="6" t="s">
        <v>268</v>
      </c>
    </row>
    <row r="98" spans="5:5" x14ac:dyDescent="0.25">
      <c r="E98" s="6" t="s">
        <v>272</v>
      </c>
    </row>
    <row r="99" spans="5:5" x14ac:dyDescent="0.25">
      <c r="E99" s="6" t="s">
        <v>272</v>
      </c>
    </row>
    <row r="100" spans="5:5" x14ac:dyDescent="0.25">
      <c r="E100" s="6" t="s">
        <v>288</v>
      </c>
    </row>
    <row r="101" spans="5:5" x14ac:dyDescent="0.25">
      <c r="E101" s="6" t="s">
        <v>298</v>
      </c>
    </row>
    <row r="102" spans="5:5" x14ac:dyDescent="0.25">
      <c r="E102" s="6" t="s">
        <v>298</v>
      </c>
    </row>
    <row r="103" spans="5:5" x14ac:dyDescent="0.25">
      <c r="E103" s="6" t="s">
        <v>298</v>
      </c>
    </row>
    <row r="104" spans="5:5" x14ac:dyDescent="0.25">
      <c r="E104" s="6" t="s">
        <v>298</v>
      </c>
    </row>
    <row r="105" spans="5:5" x14ac:dyDescent="0.25">
      <c r="E105" s="6" t="s">
        <v>305</v>
      </c>
    </row>
    <row r="106" spans="5:5" x14ac:dyDescent="0.25">
      <c r="E106" s="6" t="s">
        <v>305</v>
      </c>
    </row>
    <row r="107" spans="5:5" x14ac:dyDescent="0.25">
      <c r="E107" s="6" t="s">
        <v>305</v>
      </c>
    </row>
    <row r="108" spans="5:5" x14ac:dyDescent="0.25">
      <c r="E108" s="6" t="s">
        <v>305</v>
      </c>
    </row>
    <row r="109" spans="5:5" x14ac:dyDescent="0.25">
      <c r="E109" s="6" t="s">
        <v>305</v>
      </c>
    </row>
    <row r="110" spans="5:5" x14ac:dyDescent="0.25">
      <c r="E110" s="6" t="s">
        <v>305</v>
      </c>
    </row>
    <row r="111" spans="5:5" x14ac:dyDescent="0.25">
      <c r="E111" s="6" t="s">
        <v>312</v>
      </c>
    </row>
    <row r="112" spans="5:5" x14ac:dyDescent="0.25">
      <c r="E112" s="6" t="s">
        <v>312</v>
      </c>
    </row>
    <row r="113" spans="5:5" x14ac:dyDescent="0.25">
      <c r="E113" s="6" t="s">
        <v>322</v>
      </c>
    </row>
    <row r="114" spans="5:5" x14ac:dyDescent="0.25">
      <c r="E114" s="6" t="s">
        <v>322</v>
      </c>
    </row>
    <row r="115" spans="5:5" x14ac:dyDescent="0.25">
      <c r="E115" s="6" t="s">
        <v>322</v>
      </c>
    </row>
    <row r="116" spans="5:5" x14ac:dyDescent="0.25">
      <c r="E116" s="6" t="s">
        <v>322</v>
      </c>
    </row>
    <row r="117" spans="5:5" x14ac:dyDescent="0.25">
      <c r="E117" s="6" t="s">
        <v>322</v>
      </c>
    </row>
    <row r="118" spans="5:5" x14ac:dyDescent="0.25">
      <c r="E118" s="6" t="s">
        <v>322</v>
      </c>
    </row>
    <row r="119" spans="5:5" x14ac:dyDescent="0.25">
      <c r="E119" s="6" t="s">
        <v>322</v>
      </c>
    </row>
    <row r="120" spans="5:5" x14ac:dyDescent="0.25">
      <c r="E120" s="6" t="s">
        <v>322</v>
      </c>
    </row>
    <row r="121" spans="5:5" x14ac:dyDescent="0.25">
      <c r="E121" s="6" t="s">
        <v>322</v>
      </c>
    </row>
    <row r="122" spans="5:5" x14ac:dyDescent="0.25">
      <c r="E122" s="6" t="s">
        <v>332</v>
      </c>
    </row>
    <row r="123" spans="5:5" x14ac:dyDescent="0.25">
      <c r="E123" s="6" t="s">
        <v>332</v>
      </c>
    </row>
    <row r="124" spans="5:5" x14ac:dyDescent="0.25">
      <c r="E124" s="6" t="s">
        <v>342</v>
      </c>
    </row>
    <row r="125" spans="5:5" x14ac:dyDescent="0.25">
      <c r="E125" s="6" t="s">
        <v>342</v>
      </c>
    </row>
    <row r="126" spans="5:5" x14ac:dyDescent="0.25">
      <c r="E126" s="6" t="s">
        <v>342</v>
      </c>
    </row>
    <row r="127" spans="5:5" x14ac:dyDescent="0.25">
      <c r="E127" s="6" t="s">
        <v>342</v>
      </c>
    </row>
    <row r="128" spans="5:5" x14ac:dyDescent="0.25">
      <c r="E128" s="6" t="s">
        <v>342</v>
      </c>
    </row>
    <row r="129" spans="5:5" x14ac:dyDescent="0.25">
      <c r="E129" s="6" t="s">
        <v>342</v>
      </c>
    </row>
    <row r="130" spans="5:5" x14ac:dyDescent="0.25">
      <c r="E130" s="6" t="s">
        <v>342</v>
      </c>
    </row>
    <row r="131" spans="5:5" x14ac:dyDescent="0.25">
      <c r="E131" s="6" t="s">
        <v>342</v>
      </c>
    </row>
    <row r="132" spans="5:5" x14ac:dyDescent="0.25">
      <c r="E132" s="6" t="s">
        <v>342</v>
      </c>
    </row>
    <row r="133" spans="5:5" x14ac:dyDescent="0.25">
      <c r="E133" s="6" t="s">
        <v>342</v>
      </c>
    </row>
    <row r="134" spans="5:5" x14ac:dyDescent="0.25">
      <c r="E134" s="6" t="s">
        <v>342</v>
      </c>
    </row>
    <row r="135" spans="5:5" x14ac:dyDescent="0.25">
      <c r="E135" s="6" t="s">
        <v>342</v>
      </c>
    </row>
    <row r="136" spans="5:5" x14ac:dyDescent="0.25">
      <c r="E136" s="6" t="s">
        <v>342</v>
      </c>
    </row>
    <row r="137" spans="5:5" x14ac:dyDescent="0.25">
      <c r="E137" s="6" t="s">
        <v>342</v>
      </c>
    </row>
    <row r="138" spans="5:5" x14ac:dyDescent="0.25">
      <c r="E138" s="6" t="s">
        <v>342</v>
      </c>
    </row>
    <row r="139" spans="5:5" x14ac:dyDescent="0.25">
      <c r="E139" s="6" t="s">
        <v>342</v>
      </c>
    </row>
    <row r="140" spans="5:5" x14ac:dyDescent="0.25">
      <c r="E140" s="6" t="s">
        <v>342</v>
      </c>
    </row>
    <row r="141" spans="5:5" x14ac:dyDescent="0.25">
      <c r="E141" s="6" t="s">
        <v>342</v>
      </c>
    </row>
    <row r="142" spans="5:5" x14ac:dyDescent="0.25">
      <c r="E142" s="6" t="s">
        <v>342</v>
      </c>
    </row>
    <row r="143" spans="5:5" x14ac:dyDescent="0.25">
      <c r="E143" s="6" t="s">
        <v>342</v>
      </c>
    </row>
    <row r="144" spans="5:5" x14ac:dyDescent="0.25">
      <c r="E144" s="6" t="s">
        <v>342</v>
      </c>
    </row>
    <row r="145" spans="5:5" x14ac:dyDescent="0.25">
      <c r="E145" s="6" t="s">
        <v>342</v>
      </c>
    </row>
    <row r="146" spans="5:5" x14ac:dyDescent="0.25">
      <c r="E146" s="6" t="s">
        <v>342</v>
      </c>
    </row>
    <row r="147" spans="5:5" x14ac:dyDescent="0.25">
      <c r="E147" s="6" t="s">
        <v>342</v>
      </c>
    </row>
    <row r="148" spans="5:5" x14ac:dyDescent="0.25">
      <c r="E148" s="6" t="s">
        <v>342</v>
      </c>
    </row>
    <row r="149" spans="5:5" x14ac:dyDescent="0.25">
      <c r="E149" s="6" t="s">
        <v>342</v>
      </c>
    </row>
    <row r="150" spans="5:5" x14ac:dyDescent="0.25">
      <c r="E150" s="6" t="s">
        <v>342</v>
      </c>
    </row>
    <row r="151" spans="5:5" x14ac:dyDescent="0.25">
      <c r="E151" s="6" t="s">
        <v>342</v>
      </c>
    </row>
    <row r="152" spans="5:5" x14ac:dyDescent="0.25">
      <c r="E152" s="6" t="s">
        <v>342</v>
      </c>
    </row>
    <row r="153" spans="5:5" x14ac:dyDescent="0.25">
      <c r="E153" s="6" t="s">
        <v>342</v>
      </c>
    </row>
    <row r="154" spans="5:5" x14ac:dyDescent="0.25">
      <c r="E154" s="6" t="s">
        <v>342</v>
      </c>
    </row>
    <row r="155" spans="5:5" x14ac:dyDescent="0.25">
      <c r="E155" s="6" t="s">
        <v>342</v>
      </c>
    </row>
    <row r="156" spans="5:5" x14ac:dyDescent="0.25">
      <c r="E156" s="6" t="s">
        <v>342</v>
      </c>
    </row>
    <row r="157" spans="5:5" x14ac:dyDescent="0.25">
      <c r="E157" s="6" t="s">
        <v>342</v>
      </c>
    </row>
    <row r="158" spans="5:5" x14ac:dyDescent="0.25">
      <c r="E158" s="6" t="s">
        <v>342</v>
      </c>
    </row>
    <row r="159" spans="5:5" x14ac:dyDescent="0.25">
      <c r="E159" s="6" t="s">
        <v>342</v>
      </c>
    </row>
    <row r="160" spans="5:5" x14ac:dyDescent="0.25">
      <c r="E160" s="6" t="s">
        <v>342</v>
      </c>
    </row>
    <row r="161" spans="5:5" x14ac:dyDescent="0.25">
      <c r="E161" s="6" t="s">
        <v>342</v>
      </c>
    </row>
    <row r="162" spans="5:5" x14ac:dyDescent="0.25">
      <c r="E162" s="6" t="s">
        <v>342</v>
      </c>
    </row>
    <row r="163" spans="5:5" x14ac:dyDescent="0.25">
      <c r="E163" s="6" t="s">
        <v>342</v>
      </c>
    </row>
    <row r="164" spans="5:5" x14ac:dyDescent="0.25">
      <c r="E164" s="6" t="s">
        <v>342</v>
      </c>
    </row>
    <row r="165" spans="5:5" x14ac:dyDescent="0.25">
      <c r="E165" s="6" t="s">
        <v>342</v>
      </c>
    </row>
    <row r="166" spans="5:5" x14ac:dyDescent="0.25">
      <c r="E166" s="6" t="s">
        <v>342</v>
      </c>
    </row>
    <row r="167" spans="5:5" x14ac:dyDescent="0.25">
      <c r="E167" s="6" t="s">
        <v>342</v>
      </c>
    </row>
    <row r="168" spans="5:5" x14ac:dyDescent="0.25">
      <c r="E168" s="6" t="s">
        <v>342</v>
      </c>
    </row>
    <row r="169" spans="5:5" x14ac:dyDescent="0.25">
      <c r="E169" s="6" t="s">
        <v>342</v>
      </c>
    </row>
    <row r="170" spans="5:5" x14ac:dyDescent="0.25">
      <c r="E170" s="6" t="s">
        <v>427</v>
      </c>
    </row>
    <row r="171" spans="5:5" x14ac:dyDescent="0.25">
      <c r="E171" s="6" t="s">
        <v>427</v>
      </c>
    </row>
    <row r="172" spans="5:5" x14ac:dyDescent="0.25">
      <c r="E172" s="6" t="s">
        <v>427</v>
      </c>
    </row>
    <row r="173" spans="5:5" x14ac:dyDescent="0.25">
      <c r="E173" s="6" t="s">
        <v>427</v>
      </c>
    </row>
    <row r="174" spans="5:5" x14ac:dyDescent="0.25">
      <c r="E174" s="6" t="s">
        <v>427</v>
      </c>
    </row>
    <row r="175" spans="5:5" x14ac:dyDescent="0.25">
      <c r="E175" s="6" t="s">
        <v>427</v>
      </c>
    </row>
    <row r="176" spans="5:5" x14ac:dyDescent="0.25">
      <c r="E176" s="6" t="s">
        <v>427</v>
      </c>
    </row>
    <row r="177" spans="5:5" x14ac:dyDescent="0.25">
      <c r="E177" s="6" t="s">
        <v>427</v>
      </c>
    </row>
    <row r="178" spans="5:5" x14ac:dyDescent="0.25">
      <c r="E178" s="6" t="s">
        <v>427</v>
      </c>
    </row>
    <row r="179" spans="5:5" x14ac:dyDescent="0.25">
      <c r="E179" s="6" t="s">
        <v>427</v>
      </c>
    </row>
    <row r="180" spans="5:5" x14ac:dyDescent="0.25">
      <c r="E180" s="6" t="s">
        <v>427</v>
      </c>
    </row>
    <row r="181" spans="5:5" x14ac:dyDescent="0.25">
      <c r="E181" s="6" t="s">
        <v>427</v>
      </c>
    </row>
    <row r="182" spans="5:5" x14ac:dyDescent="0.25">
      <c r="E182" s="6" t="s">
        <v>427</v>
      </c>
    </row>
    <row r="183" spans="5:5" x14ac:dyDescent="0.25">
      <c r="E183" s="6" t="s">
        <v>427</v>
      </c>
    </row>
    <row r="184" spans="5:5" x14ac:dyDescent="0.25">
      <c r="E184" s="6" t="s">
        <v>427</v>
      </c>
    </row>
    <row r="185" spans="5:5" x14ac:dyDescent="0.25">
      <c r="E185" s="6" t="s">
        <v>427</v>
      </c>
    </row>
    <row r="186" spans="5:5" x14ac:dyDescent="0.25">
      <c r="E186" s="6" t="s">
        <v>427</v>
      </c>
    </row>
    <row r="187" spans="5:5" x14ac:dyDescent="0.25">
      <c r="E187" s="6" t="s">
        <v>427</v>
      </c>
    </row>
    <row r="188" spans="5:5" x14ac:dyDescent="0.25">
      <c r="E188" s="6" t="s">
        <v>427</v>
      </c>
    </row>
    <row r="189" spans="5:5" x14ac:dyDescent="0.25">
      <c r="E189" s="6" t="s">
        <v>427</v>
      </c>
    </row>
    <row r="190" spans="5:5" x14ac:dyDescent="0.25">
      <c r="E190" s="6" t="s">
        <v>427</v>
      </c>
    </row>
    <row r="191" spans="5:5" x14ac:dyDescent="0.25">
      <c r="E191" s="6" t="s">
        <v>448</v>
      </c>
    </row>
    <row r="192" spans="5:5" x14ac:dyDescent="0.25">
      <c r="E192" s="6" t="s">
        <v>448</v>
      </c>
    </row>
    <row r="193" spans="5:5" x14ac:dyDescent="0.25">
      <c r="E193" s="6" t="s">
        <v>448</v>
      </c>
    </row>
    <row r="194" spans="5:5" x14ac:dyDescent="0.25">
      <c r="E194" s="6" t="s">
        <v>448</v>
      </c>
    </row>
    <row r="195" spans="5:5" x14ac:dyDescent="0.25">
      <c r="E195" s="6" t="s">
        <v>448</v>
      </c>
    </row>
    <row r="196" spans="5:5" x14ac:dyDescent="0.25">
      <c r="E196" s="6" t="s">
        <v>448</v>
      </c>
    </row>
    <row r="197" spans="5:5" x14ac:dyDescent="0.25">
      <c r="E197" s="6" t="s">
        <v>448</v>
      </c>
    </row>
    <row r="198" spans="5:5" x14ac:dyDescent="0.25">
      <c r="E198" s="6" t="s">
        <v>448</v>
      </c>
    </row>
    <row r="199" spans="5:5" x14ac:dyDescent="0.25">
      <c r="E199" s="6" t="s">
        <v>448</v>
      </c>
    </row>
    <row r="200" spans="5:5" x14ac:dyDescent="0.25">
      <c r="E200" s="6" t="s">
        <v>448</v>
      </c>
    </row>
    <row r="201" spans="5:5" x14ac:dyDescent="0.25">
      <c r="E201" s="6" t="s">
        <v>448</v>
      </c>
    </row>
    <row r="202" spans="5:5" x14ac:dyDescent="0.25">
      <c r="E202" s="6" t="s">
        <v>448</v>
      </c>
    </row>
    <row r="203" spans="5:5" x14ac:dyDescent="0.25">
      <c r="E203" s="6" t="s">
        <v>448</v>
      </c>
    </row>
    <row r="204" spans="5:5" x14ac:dyDescent="0.25">
      <c r="E204" s="6" t="s">
        <v>448</v>
      </c>
    </row>
    <row r="205" spans="5:5" x14ac:dyDescent="0.25">
      <c r="E205" s="6" t="s">
        <v>448</v>
      </c>
    </row>
    <row r="206" spans="5:5" x14ac:dyDescent="0.25">
      <c r="E206" s="6" t="s">
        <v>448</v>
      </c>
    </row>
    <row r="207" spans="5:5" x14ac:dyDescent="0.25">
      <c r="E207" s="6" t="s">
        <v>448</v>
      </c>
    </row>
    <row r="208" spans="5:5" x14ac:dyDescent="0.25">
      <c r="E208" s="6" t="s">
        <v>448</v>
      </c>
    </row>
    <row r="209" spans="5:5" x14ac:dyDescent="0.25">
      <c r="E209" s="6" t="s">
        <v>448</v>
      </c>
    </row>
    <row r="210" spans="5:5" x14ac:dyDescent="0.25">
      <c r="E210" s="6" t="s">
        <v>474</v>
      </c>
    </row>
    <row r="211" spans="5:5" x14ac:dyDescent="0.25">
      <c r="E211" s="6" t="s">
        <v>474</v>
      </c>
    </row>
    <row r="212" spans="5:5" x14ac:dyDescent="0.25">
      <c r="E212" s="6" t="s">
        <v>474</v>
      </c>
    </row>
    <row r="213" spans="5:5" x14ac:dyDescent="0.25">
      <c r="E213" s="6" t="s">
        <v>474</v>
      </c>
    </row>
    <row r="214" spans="5:5" x14ac:dyDescent="0.25">
      <c r="E214" s="6" t="s">
        <v>474</v>
      </c>
    </row>
    <row r="215" spans="5:5" x14ac:dyDescent="0.25">
      <c r="E215" s="6" t="s">
        <v>474</v>
      </c>
    </row>
    <row r="216" spans="5:5" x14ac:dyDescent="0.25">
      <c r="E216" s="6" t="s">
        <v>474</v>
      </c>
    </row>
    <row r="217" spans="5:5" x14ac:dyDescent="0.25">
      <c r="E217" s="6" t="s">
        <v>474</v>
      </c>
    </row>
    <row r="218" spans="5:5" x14ac:dyDescent="0.25">
      <c r="E218" s="6" t="s">
        <v>515</v>
      </c>
    </row>
    <row r="219" spans="5:5" x14ac:dyDescent="0.25">
      <c r="E219" s="6" t="s">
        <v>515</v>
      </c>
    </row>
    <row r="220" spans="5:5" x14ac:dyDescent="0.25">
      <c r="E220" s="6" t="s">
        <v>515</v>
      </c>
    </row>
    <row r="221" spans="5:5" x14ac:dyDescent="0.25">
      <c r="E221" s="6" t="s">
        <v>515</v>
      </c>
    </row>
    <row r="222" spans="5:5" x14ac:dyDescent="0.25">
      <c r="E222" s="6" t="s">
        <v>515</v>
      </c>
    </row>
    <row r="223" spans="5:5" x14ac:dyDescent="0.25">
      <c r="E223" s="6" t="s">
        <v>515</v>
      </c>
    </row>
    <row r="224" spans="5:5" x14ac:dyDescent="0.25">
      <c r="E224" s="6" t="s">
        <v>515</v>
      </c>
    </row>
    <row r="225" spans="5:5" x14ac:dyDescent="0.25">
      <c r="E225" s="6" t="s">
        <v>537</v>
      </c>
    </row>
    <row r="226" spans="5:5" x14ac:dyDescent="0.25">
      <c r="E226" s="6" t="s">
        <v>537</v>
      </c>
    </row>
    <row r="227" spans="5:5" x14ac:dyDescent="0.25">
      <c r="E227" s="6" t="s">
        <v>537</v>
      </c>
    </row>
    <row r="228" spans="5:5" x14ac:dyDescent="0.25">
      <c r="E228" s="6" t="s">
        <v>537</v>
      </c>
    </row>
    <row r="229" spans="5:5" x14ac:dyDescent="0.25">
      <c r="E229" s="6" t="s">
        <v>537</v>
      </c>
    </row>
    <row r="230" spans="5:5" x14ac:dyDescent="0.25">
      <c r="E230" s="6" t="s">
        <v>548</v>
      </c>
    </row>
    <row r="231" spans="5:5" x14ac:dyDescent="0.25">
      <c r="E231" s="6" t="s">
        <v>592</v>
      </c>
    </row>
    <row r="232" spans="5:5" x14ac:dyDescent="0.25">
      <c r="E232" s="6" t="s">
        <v>592</v>
      </c>
    </row>
    <row r="233" spans="5:5" x14ac:dyDescent="0.25">
      <c r="E233" s="6" t="s">
        <v>592</v>
      </c>
    </row>
    <row r="234" spans="5:5" x14ac:dyDescent="0.25">
      <c r="E234" s="6" t="s">
        <v>592</v>
      </c>
    </row>
    <row r="235" spans="5:5" x14ac:dyDescent="0.25">
      <c r="E235" s="6" t="s">
        <v>592</v>
      </c>
    </row>
    <row r="236" spans="5:5" x14ac:dyDescent="0.25">
      <c r="E236" s="6" t="s">
        <v>592</v>
      </c>
    </row>
    <row r="237" spans="5:5" x14ac:dyDescent="0.25">
      <c r="E237" s="6" t="s">
        <v>612</v>
      </c>
    </row>
    <row r="238" spans="5:5" x14ac:dyDescent="0.25">
      <c r="E238" s="6" t="s">
        <v>624</v>
      </c>
    </row>
    <row r="239" spans="5:5" x14ac:dyDescent="0.25">
      <c r="E239" s="6" t="s">
        <v>624</v>
      </c>
    </row>
    <row r="240" spans="5:5" x14ac:dyDescent="0.25">
      <c r="E240" s="6" t="s">
        <v>624</v>
      </c>
    </row>
    <row r="241" spans="5:5" x14ac:dyDescent="0.25">
      <c r="E241" s="6" t="s">
        <v>624</v>
      </c>
    </row>
    <row r="242" spans="5:5" x14ac:dyDescent="0.25">
      <c r="E242" s="6" t="s">
        <v>649</v>
      </c>
    </row>
    <row r="243" spans="5:5" x14ac:dyDescent="0.25">
      <c r="E243" s="6" t="s">
        <v>656</v>
      </c>
    </row>
    <row r="244" spans="5:5" x14ac:dyDescent="0.25">
      <c r="E244" s="6" t="s">
        <v>664</v>
      </c>
    </row>
    <row r="245" spans="5:5" x14ac:dyDescent="0.25">
      <c r="E245" s="6" t="s">
        <v>720</v>
      </c>
    </row>
    <row r="246" spans="5:5" x14ac:dyDescent="0.25">
      <c r="E246" s="6" t="s">
        <v>720</v>
      </c>
    </row>
    <row r="247" spans="5:5" x14ac:dyDescent="0.25">
      <c r="E247" s="6" t="s">
        <v>720</v>
      </c>
    </row>
    <row r="248" spans="5:5" x14ac:dyDescent="0.25">
      <c r="E248" s="6" t="s">
        <v>720</v>
      </c>
    </row>
    <row r="249" spans="5:5" x14ac:dyDescent="0.25">
      <c r="E249" s="6" t="s">
        <v>847</v>
      </c>
    </row>
    <row r="250" spans="5:5" x14ac:dyDescent="0.25">
      <c r="E250" s="6" t="s">
        <v>847</v>
      </c>
    </row>
    <row r="251" spans="5:5" x14ac:dyDescent="0.25">
      <c r="E251" s="6" t="s">
        <v>847</v>
      </c>
    </row>
    <row r="252" spans="5:5" x14ac:dyDescent="0.25">
      <c r="E252" s="6" t="s">
        <v>847</v>
      </c>
    </row>
    <row r="253" spans="5:5" x14ac:dyDescent="0.25">
      <c r="E253" s="6" t="s">
        <v>847</v>
      </c>
    </row>
    <row r="254" spans="5:5" x14ac:dyDescent="0.25">
      <c r="E254" s="6" t="s">
        <v>847</v>
      </c>
    </row>
    <row r="255" spans="5:5" x14ac:dyDescent="0.25">
      <c r="E255" s="6" t="s">
        <v>847</v>
      </c>
    </row>
    <row r="256" spans="5:5" x14ac:dyDescent="0.25">
      <c r="E256" s="6" t="s">
        <v>847</v>
      </c>
    </row>
    <row r="257" spans="5:5" x14ac:dyDescent="0.25">
      <c r="E257" s="6" t="s">
        <v>847</v>
      </c>
    </row>
    <row r="258" spans="5:5" x14ac:dyDescent="0.25">
      <c r="E258" s="6" t="s">
        <v>847</v>
      </c>
    </row>
    <row r="259" spans="5:5" x14ac:dyDescent="0.25">
      <c r="E259" s="6" t="s">
        <v>847</v>
      </c>
    </row>
    <row r="260" spans="5:5" x14ac:dyDescent="0.25">
      <c r="E260" s="6" t="s">
        <v>847</v>
      </c>
    </row>
    <row r="261" spans="5:5" x14ac:dyDescent="0.25">
      <c r="E261" s="6" t="s">
        <v>847</v>
      </c>
    </row>
    <row r="262" spans="5:5" x14ac:dyDescent="0.25">
      <c r="E262" s="6" t="s">
        <v>847</v>
      </c>
    </row>
    <row r="263" spans="5:5" x14ac:dyDescent="0.25">
      <c r="E263" s="6" t="s">
        <v>847</v>
      </c>
    </row>
    <row r="264" spans="5:5" x14ac:dyDescent="0.25">
      <c r="E264" s="6" t="s">
        <v>847</v>
      </c>
    </row>
    <row r="265" spans="5:5" x14ac:dyDescent="0.25">
      <c r="E265" s="6" t="s">
        <v>926</v>
      </c>
    </row>
    <row r="266" spans="5:5" x14ac:dyDescent="0.25">
      <c r="E266" s="6" t="s">
        <v>926</v>
      </c>
    </row>
    <row r="267" spans="5:5" x14ac:dyDescent="0.25">
      <c r="E267" s="6" t="s">
        <v>971</v>
      </c>
    </row>
    <row r="268" spans="5:5" x14ac:dyDescent="0.25">
      <c r="E268" s="6" t="s">
        <v>971</v>
      </c>
    </row>
    <row r="269" spans="5:5" x14ac:dyDescent="0.25">
      <c r="E269" s="6" t="s">
        <v>971</v>
      </c>
    </row>
    <row r="270" spans="5:5" x14ac:dyDescent="0.25">
      <c r="E270" s="6" t="s">
        <v>971</v>
      </c>
    </row>
    <row r="271" spans="5:5" x14ac:dyDescent="0.25">
      <c r="E271" s="6" t="s">
        <v>971</v>
      </c>
    </row>
    <row r="272" spans="5:5" x14ac:dyDescent="0.25">
      <c r="E272" s="6" t="s">
        <v>971</v>
      </c>
    </row>
    <row r="273" spans="5:5" x14ac:dyDescent="0.25">
      <c r="E273" s="6" t="s">
        <v>971</v>
      </c>
    </row>
    <row r="274" spans="5:5" x14ac:dyDescent="0.25">
      <c r="E274" s="6" t="s">
        <v>993</v>
      </c>
    </row>
    <row r="275" spans="5:5" x14ac:dyDescent="0.25">
      <c r="E275" s="6" t="s">
        <v>1000</v>
      </c>
    </row>
    <row r="276" spans="5:5" x14ac:dyDescent="0.25">
      <c r="E276" s="6" t="s">
        <v>1000</v>
      </c>
    </row>
    <row r="277" spans="5:5" x14ac:dyDescent="0.25">
      <c r="E277" s="6" t="s">
        <v>1000</v>
      </c>
    </row>
    <row r="278" spans="5:5" x14ac:dyDescent="0.25">
      <c r="E278" s="6" t="s">
        <v>1000</v>
      </c>
    </row>
    <row r="279" spans="5:5" x14ac:dyDescent="0.25">
      <c r="E279" s="6" t="s">
        <v>1000</v>
      </c>
    </row>
    <row r="280" spans="5:5" x14ac:dyDescent="0.25">
      <c r="E280" s="6" t="s">
        <v>1000</v>
      </c>
    </row>
    <row r="281" spans="5:5" x14ac:dyDescent="0.25">
      <c r="E281" s="6" t="s">
        <v>1000</v>
      </c>
    </row>
    <row r="282" spans="5:5" x14ac:dyDescent="0.25">
      <c r="E282" s="6" t="s">
        <v>1000</v>
      </c>
    </row>
    <row r="283" spans="5:5" x14ac:dyDescent="0.25">
      <c r="E283" s="6" t="s">
        <v>1000</v>
      </c>
    </row>
    <row r="284" spans="5:5" x14ac:dyDescent="0.25">
      <c r="E284" s="6" t="s">
        <v>1000</v>
      </c>
    </row>
    <row r="285" spans="5:5" x14ac:dyDescent="0.25">
      <c r="E285" s="6" t="s">
        <v>1000</v>
      </c>
    </row>
    <row r="286" spans="5:5" x14ac:dyDescent="0.25">
      <c r="E286" s="6" t="s">
        <v>1000</v>
      </c>
    </row>
    <row r="287" spans="5:5" x14ac:dyDescent="0.25">
      <c r="E287" s="6" t="s">
        <v>1080</v>
      </c>
    </row>
    <row r="288" spans="5:5" x14ac:dyDescent="0.25">
      <c r="E288" s="6" t="s">
        <v>1080</v>
      </c>
    </row>
    <row r="289" spans="5:5" x14ac:dyDescent="0.25">
      <c r="E289" s="6" t="s">
        <v>1118</v>
      </c>
    </row>
    <row r="290" spans="5:5" x14ac:dyDescent="0.25">
      <c r="E290" s="6" t="s">
        <v>1126</v>
      </c>
    </row>
    <row r="291" spans="5:5" x14ac:dyDescent="0.25">
      <c r="E291" s="6" t="s">
        <v>1132</v>
      </c>
    </row>
    <row r="292" spans="5:5" x14ac:dyDescent="0.25">
      <c r="E292" s="6" t="s">
        <v>1132</v>
      </c>
    </row>
    <row r="293" spans="5:5" x14ac:dyDescent="0.25">
      <c r="E293" s="6" t="s">
        <v>1132</v>
      </c>
    </row>
    <row r="294" spans="5:5" x14ac:dyDescent="0.25">
      <c r="E294" s="6" t="s">
        <v>1132</v>
      </c>
    </row>
    <row r="295" spans="5:5" x14ac:dyDescent="0.25">
      <c r="E295" s="6" t="s">
        <v>1132</v>
      </c>
    </row>
    <row r="296" spans="5:5" x14ac:dyDescent="0.25">
      <c r="E296" s="6" t="s">
        <v>1138</v>
      </c>
    </row>
    <row r="297" spans="5:5" x14ac:dyDescent="0.25">
      <c r="E297" s="6" t="s">
        <v>1138</v>
      </c>
    </row>
    <row r="298" spans="5:5" x14ac:dyDescent="0.25">
      <c r="E298" s="6" t="s">
        <v>1138</v>
      </c>
    </row>
    <row r="299" spans="5:5" x14ac:dyDescent="0.25">
      <c r="E299" s="6" t="s">
        <v>1138</v>
      </c>
    </row>
    <row r="300" spans="5:5" x14ac:dyDescent="0.25">
      <c r="E300" s="6" t="s">
        <v>1138</v>
      </c>
    </row>
    <row r="301" spans="5:5" x14ac:dyDescent="0.25">
      <c r="E301" s="6" t="s">
        <v>1141</v>
      </c>
    </row>
    <row r="302" spans="5:5" x14ac:dyDescent="0.25">
      <c r="E302" s="6" t="s">
        <v>1141</v>
      </c>
    </row>
    <row r="303" spans="5:5" x14ac:dyDescent="0.25">
      <c r="E303" s="6" t="s">
        <v>1141</v>
      </c>
    </row>
    <row r="304" spans="5:5" x14ac:dyDescent="0.25">
      <c r="E304" s="6" t="s">
        <v>1141</v>
      </c>
    </row>
    <row r="305" spans="5:5" x14ac:dyDescent="0.25">
      <c r="E305" s="6" t="s">
        <v>1141</v>
      </c>
    </row>
    <row r="306" spans="5:5" x14ac:dyDescent="0.25">
      <c r="E306" s="6" t="s">
        <v>1141</v>
      </c>
    </row>
    <row r="307" spans="5:5" x14ac:dyDescent="0.25">
      <c r="E307" s="6" t="s">
        <v>1141</v>
      </c>
    </row>
    <row r="308" spans="5:5" x14ac:dyDescent="0.25">
      <c r="E308" s="6" t="s">
        <v>1141</v>
      </c>
    </row>
    <row r="309" spans="5:5" x14ac:dyDescent="0.25">
      <c r="E309" s="6" t="s">
        <v>1141</v>
      </c>
    </row>
    <row r="310" spans="5:5" x14ac:dyDescent="0.25">
      <c r="E310" s="6" t="s">
        <v>1141</v>
      </c>
    </row>
    <row r="311" spans="5:5" x14ac:dyDescent="0.25">
      <c r="E311" s="6" t="s">
        <v>1141</v>
      </c>
    </row>
    <row r="312" spans="5:5" x14ac:dyDescent="0.25">
      <c r="E312" s="6" t="s">
        <v>1141</v>
      </c>
    </row>
    <row r="313" spans="5:5" x14ac:dyDescent="0.25">
      <c r="E313" s="6" t="s">
        <v>1141</v>
      </c>
    </row>
    <row r="314" spans="5:5" x14ac:dyDescent="0.25">
      <c r="E314" s="6" t="s">
        <v>1141</v>
      </c>
    </row>
    <row r="315" spans="5:5" x14ac:dyDescent="0.25">
      <c r="E315" s="6" t="s">
        <v>1141</v>
      </c>
    </row>
    <row r="316" spans="5:5" x14ac:dyDescent="0.25">
      <c r="E316" s="6" t="s">
        <v>1141</v>
      </c>
    </row>
    <row r="317" spans="5:5" x14ac:dyDescent="0.25">
      <c r="E317" s="6" t="s">
        <v>1141</v>
      </c>
    </row>
    <row r="318" spans="5:5" x14ac:dyDescent="0.25">
      <c r="E318" s="6" t="s">
        <v>1141</v>
      </c>
    </row>
    <row r="319" spans="5:5" x14ac:dyDescent="0.25">
      <c r="E319" s="6" t="s">
        <v>1148</v>
      </c>
    </row>
    <row r="320" spans="5:5" x14ac:dyDescent="0.25">
      <c r="E320" s="6" t="s">
        <v>1148</v>
      </c>
    </row>
    <row r="321" spans="5:5" x14ac:dyDescent="0.25">
      <c r="E321" s="6" t="s">
        <v>1166</v>
      </c>
    </row>
    <row r="322" spans="5:5" x14ac:dyDescent="0.25">
      <c r="E322" s="6" t="s">
        <v>1171</v>
      </c>
    </row>
    <row r="323" spans="5:5" x14ac:dyDescent="0.25">
      <c r="E323" s="6" t="s">
        <v>1171</v>
      </c>
    </row>
    <row r="324" spans="5:5" x14ac:dyDescent="0.25">
      <c r="E324" s="6" t="s">
        <v>1171</v>
      </c>
    </row>
    <row r="325" spans="5:5" x14ac:dyDescent="0.25">
      <c r="E325" s="6" t="s">
        <v>1171</v>
      </c>
    </row>
    <row r="326" spans="5:5" x14ac:dyDescent="0.25">
      <c r="E326" s="6" t="s">
        <v>1171</v>
      </c>
    </row>
    <row r="327" spans="5:5" x14ac:dyDescent="0.25">
      <c r="E327" s="6" t="s">
        <v>1171</v>
      </c>
    </row>
    <row r="328" spans="5:5" x14ac:dyDescent="0.25">
      <c r="E328" s="6" t="s">
        <v>1171</v>
      </c>
    </row>
    <row r="329" spans="5:5" x14ac:dyDescent="0.25">
      <c r="E329" s="6" t="s">
        <v>1171</v>
      </c>
    </row>
    <row r="330" spans="5:5" x14ac:dyDescent="0.25">
      <c r="E330" s="6" t="s">
        <v>1171</v>
      </c>
    </row>
    <row r="331" spans="5:5" x14ac:dyDescent="0.25">
      <c r="E331" s="6" t="s">
        <v>1171</v>
      </c>
    </row>
    <row r="332" spans="5:5" x14ac:dyDescent="0.25">
      <c r="E332" s="6" t="s">
        <v>1171</v>
      </c>
    </row>
    <row r="333" spans="5:5" x14ac:dyDescent="0.25">
      <c r="E333" s="6" t="s">
        <v>1171</v>
      </c>
    </row>
    <row r="334" spans="5:5" x14ac:dyDescent="0.25">
      <c r="E334" s="6" t="s">
        <v>1171</v>
      </c>
    </row>
    <row r="335" spans="5:5" x14ac:dyDescent="0.25">
      <c r="E335" s="6" t="s">
        <v>1171</v>
      </c>
    </row>
    <row r="336" spans="5:5" x14ac:dyDescent="0.25">
      <c r="E336" s="6" t="s">
        <v>1171</v>
      </c>
    </row>
    <row r="337" spans="5:5" x14ac:dyDescent="0.25">
      <c r="E337" s="6" t="s">
        <v>1171</v>
      </c>
    </row>
    <row r="338" spans="5:5" x14ac:dyDescent="0.25">
      <c r="E338" s="6" t="s">
        <v>1171</v>
      </c>
    </row>
    <row r="339" spans="5:5" x14ac:dyDescent="0.25">
      <c r="E339" s="6" t="s">
        <v>1171</v>
      </c>
    </row>
    <row r="340" spans="5:5" x14ac:dyDescent="0.25">
      <c r="E340" s="6" t="s">
        <v>1171</v>
      </c>
    </row>
    <row r="341" spans="5:5" x14ac:dyDescent="0.25">
      <c r="E341" s="6" t="s">
        <v>1171</v>
      </c>
    </row>
    <row r="342" spans="5:5" x14ac:dyDescent="0.25">
      <c r="E342" s="6" t="s">
        <v>1183</v>
      </c>
    </row>
    <row r="343" spans="5:5" x14ac:dyDescent="0.25">
      <c r="E343" s="6" t="s">
        <v>1191</v>
      </c>
    </row>
    <row r="344" spans="5:5" x14ac:dyDescent="0.25">
      <c r="E344" s="6" t="s">
        <v>1197</v>
      </c>
    </row>
    <row r="345" spans="5:5" x14ac:dyDescent="0.25">
      <c r="E345" s="6" t="s">
        <v>1197</v>
      </c>
    </row>
    <row r="346" spans="5:5" x14ac:dyDescent="0.25">
      <c r="E346" s="6" t="s">
        <v>1204</v>
      </c>
    </row>
    <row r="347" spans="5:5" x14ac:dyDescent="0.25">
      <c r="E347" s="6" t="s">
        <v>1204</v>
      </c>
    </row>
    <row r="348" spans="5:5" x14ac:dyDescent="0.25">
      <c r="E348" s="6" t="s">
        <v>1214</v>
      </c>
    </row>
    <row r="349" spans="5:5" x14ac:dyDescent="0.25">
      <c r="E349" s="6" t="s">
        <v>1218</v>
      </c>
    </row>
    <row r="350" spans="5:5" x14ac:dyDescent="0.25">
      <c r="E350" s="6" t="s">
        <v>1224</v>
      </c>
    </row>
    <row r="351" spans="5:5" x14ac:dyDescent="0.25">
      <c r="E351" s="6" t="s">
        <v>1224</v>
      </c>
    </row>
    <row r="352" spans="5:5" x14ac:dyDescent="0.25">
      <c r="E352" s="6" t="s">
        <v>1224</v>
      </c>
    </row>
    <row r="353" spans="5:5" x14ac:dyDescent="0.25">
      <c r="E353" s="6" t="s">
        <v>1224</v>
      </c>
    </row>
    <row r="354" spans="5:5" x14ac:dyDescent="0.25">
      <c r="E354" s="6" t="s">
        <v>1224</v>
      </c>
    </row>
    <row r="355" spans="5:5" x14ac:dyDescent="0.25">
      <c r="E355" s="6" t="s">
        <v>1224</v>
      </c>
    </row>
    <row r="356" spans="5:5" x14ac:dyDescent="0.25">
      <c r="E356" s="6" t="s">
        <v>1224</v>
      </c>
    </row>
    <row r="357" spans="5:5" x14ac:dyDescent="0.25">
      <c r="E357" s="6" t="s">
        <v>1224</v>
      </c>
    </row>
    <row r="358" spans="5:5" x14ac:dyDescent="0.25">
      <c r="E358" s="6" t="s">
        <v>1224</v>
      </c>
    </row>
    <row r="359" spans="5:5" x14ac:dyDescent="0.25">
      <c r="E359" s="6" t="s">
        <v>1224</v>
      </c>
    </row>
    <row r="360" spans="5:5" x14ac:dyDescent="0.25">
      <c r="E360" s="6" t="s">
        <v>1224</v>
      </c>
    </row>
    <row r="361" spans="5:5" x14ac:dyDescent="0.25">
      <c r="E361" s="6" t="s">
        <v>1224</v>
      </c>
    </row>
    <row r="362" spans="5:5" x14ac:dyDescent="0.25">
      <c r="E362" s="6" t="s">
        <v>1224</v>
      </c>
    </row>
    <row r="363" spans="5:5" x14ac:dyDescent="0.25">
      <c r="E363" s="6" t="s">
        <v>1224</v>
      </c>
    </row>
    <row r="364" spans="5:5" x14ac:dyDescent="0.25">
      <c r="E364" s="6" t="s">
        <v>1224</v>
      </c>
    </row>
    <row r="365" spans="5:5" x14ac:dyDescent="0.25">
      <c r="E365" s="6" t="s">
        <v>1224</v>
      </c>
    </row>
    <row r="366" spans="5:5" x14ac:dyDescent="0.25">
      <c r="E366" s="6" t="s">
        <v>1224</v>
      </c>
    </row>
    <row r="367" spans="5:5" x14ac:dyDescent="0.25">
      <c r="E367" s="6" t="s">
        <v>1231</v>
      </c>
    </row>
    <row r="368" spans="5:5" x14ac:dyDescent="0.25">
      <c r="E368" s="6" t="s">
        <v>1231</v>
      </c>
    </row>
    <row r="369" spans="5:5" x14ac:dyDescent="0.25">
      <c r="E369" s="6" t="s">
        <v>1231</v>
      </c>
    </row>
    <row r="370" spans="5:5" x14ac:dyDescent="0.25">
      <c r="E370" s="6" t="s">
        <v>1233</v>
      </c>
    </row>
    <row r="371" spans="5:5" x14ac:dyDescent="0.25">
      <c r="E371" s="6" t="s">
        <v>1233</v>
      </c>
    </row>
    <row r="372" spans="5:5" x14ac:dyDescent="0.25">
      <c r="E372" s="6" t="s">
        <v>1250</v>
      </c>
    </row>
    <row r="373" spans="5:5" x14ac:dyDescent="0.25">
      <c r="E373" s="6" t="s">
        <v>1250</v>
      </c>
    </row>
    <row r="374" spans="5:5" x14ac:dyDescent="0.25">
      <c r="E374" s="6" t="s">
        <v>1250</v>
      </c>
    </row>
    <row r="375" spans="5:5" x14ac:dyDescent="0.25">
      <c r="E375" s="6" t="s">
        <v>1250</v>
      </c>
    </row>
    <row r="376" spans="5:5" x14ac:dyDescent="0.25">
      <c r="E376" s="6" t="s">
        <v>1250</v>
      </c>
    </row>
    <row r="377" spans="5:5" x14ac:dyDescent="0.25">
      <c r="E377" s="6" t="s">
        <v>1250</v>
      </c>
    </row>
    <row r="378" spans="5:5" x14ac:dyDescent="0.25">
      <c r="E378" s="6" t="s">
        <v>1263</v>
      </c>
    </row>
    <row r="379" spans="5:5" x14ac:dyDescent="0.25">
      <c r="E379" s="6" t="s">
        <v>1270</v>
      </c>
    </row>
    <row r="380" spans="5:5" x14ac:dyDescent="0.25">
      <c r="E380" s="6" t="s">
        <v>1280</v>
      </c>
    </row>
    <row r="381" spans="5:5" x14ac:dyDescent="0.25">
      <c r="E381" s="6" t="s">
        <v>1280</v>
      </c>
    </row>
    <row r="382" spans="5:5" x14ac:dyDescent="0.25">
      <c r="E382" s="6" t="s">
        <v>1280</v>
      </c>
    </row>
    <row r="383" spans="5:5" x14ac:dyDescent="0.25">
      <c r="E383" s="6" t="s">
        <v>1280</v>
      </c>
    </row>
    <row r="384" spans="5:5" x14ac:dyDescent="0.25">
      <c r="E384" s="6" t="s">
        <v>1280</v>
      </c>
    </row>
    <row r="385" spans="5:5" x14ac:dyDescent="0.25">
      <c r="E385" s="6" t="s">
        <v>1280</v>
      </c>
    </row>
    <row r="386" spans="5:5" x14ac:dyDescent="0.25">
      <c r="E386" s="6" t="s">
        <v>1280</v>
      </c>
    </row>
    <row r="387" spans="5:5" x14ac:dyDescent="0.25">
      <c r="E387" s="6" t="s">
        <v>1280</v>
      </c>
    </row>
    <row r="388" spans="5:5" x14ac:dyDescent="0.25">
      <c r="E388" s="6" t="s">
        <v>1297</v>
      </c>
    </row>
    <row r="389" spans="5:5" x14ac:dyDescent="0.25">
      <c r="E389" s="6" t="s">
        <v>1301</v>
      </c>
    </row>
    <row r="390" spans="5:5" x14ac:dyDescent="0.25">
      <c r="E390" s="6" t="s">
        <v>1319</v>
      </c>
    </row>
    <row r="391" spans="5:5" x14ac:dyDescent="0.25">
      <c r="E391" s="6" t="s">
        <v>1330</v>
      </c>
    </row>
    <row r="392" spans="5:5" x14ac:dyDescent="0.25">
      <c r="E392" s="6" t="s">
        <v>1337</v>
      </c>
    </row>
    <row r="393" spans="5:5" x14ac:dyDescent="0.25">
      <c r="E393" s="6" t="s">
        <v>1337</v>
      </c>
    </row>
    <row r="394" spans="5:5" x14ac:dyDescent="0.25">
      <c r="E394" s="6" t="s">
        <v>1337</v>
      </c>
    </row>
    <row r="395" spans="5:5" x14ac:dyDescent="0.25">
      <c r="E395" s="6" t="s">
        <v>1337</v>
      </c>
    </row>
    <row r="396" spans="5:5" x14ac:dyDescent="0.25">
      <c r="E396" s="6" t="s">
        <v>1337</v>
      </c>
    </row>
    <row r="397" spans="5:5" x14ac:dyDescent="0.25">
      <c r="E397" s="6" t="s">
        <v>1337</v>
      </c>
    </row>
    <row r="398" spans="5:5" x14ac:dyDescent="0.25">
      <c r="E398" s="6" t="s">
        <v>1337</v>
      </c>
    </row>
    <row r="399" spans="5:5" x14ac:dyDescent="0.25">
      <c r="E399" s="6" t="s">
        <v>1337</v>
      </c>
    </row>
    <row r="400" spans="5:5" x14ac:dyDescent="0.25">
      <c r="E400" s="6" t="s">
        <v>1337</v>
      </c>
    </row>
    <row r="401" spans="5:5" x14ac:dyDescent="0.25">
      <c r="E401" s="6" t="s">
        <v>1337</v>
      </c>
    </row>
    <row r="402" spans="5:5" x14ac:dyDescent="0.25">
      <c r="E402" s="6" t="s">
        <v>1337</v>
      </c>
    </row>
    <row r="403" spans="5:5" x14ac:dyDescent="0.25">
      <c r="E403" s="6" t="s">
        <v>1337</v>
      </c>
    </row>
    <row r="404" spans="5:5" x14ac:dyDescent="0.25">
      <c r="E404" s="6" t="s">
        <v>1337</v>
      </c>
    </row>
    <row r="405" spans="5:5" x14ac:dyDescent="0.25">
      <c r="E405" s="6" t="s">
        <v>1337</v>
      </c>
    </row>
    <row r="406" spans="5:5" x14ac:dyDescent="0.25">
      <c r="E406" s="6" t="s">
        <v>1337</v>
      </c>
    </row>
    <row r="407" spans="5:5" x14ac:dyDescent="0.25">
      <c r="E407" s="6" t="s">
        <v>1337</v>
      </c>
    </row>
    <row r="408" spans="5:5" x14ac:dyDescent="0.25">
      <c r="E408" s="6" t="s">
        <v>1337</v>
      </c>
    </row>
    <row r="409" spans="5:5" x14ac:dyDescent="0.25">
      <c r="E409" s="6" t="s">
        <v>1342</v>
      </c>
    </row>
    <row r="410" spans="5:5" x14ac:dyDescent="0.25">
      <c r="E410" s="6" t="s">
        <v>1342</v>
      </c>
    </row>
    <row r="411" spans="5:5" x14ac:dyDescent="0.25">
      <c r="E411" s="6" t="s">
        <v>1342</v>
      </c>
    </row>
    <row r="412" spans="5:5" x14ac:dyDescent="0.25">
      <c r="E412" s="6" t="s">
        <v>1342</v>
      </c>
    </row>
    <row r="413" spans="5:5" x14ac:dyDescent="0.25">
      <c r="E413" s="6" t="s">
        <v>1342</v>
      </c>
    </row>
    <row r="414" spans="5:5" x14ac:dyDescent="0.25">
      <c r="E414" s="6" t="s">
        <v>1342</v>
      </c>
    </row>
    <row r="415" spans="5:5" x14ac:dyDescent="0.25">
      <c r="E415" s="6" t="s">
        <v>1342</v>
      </c>
    </row>
    <row r="416" spans="5:5" x14ac:dyDescent="0.25">
      <c r="E416" s="6" t="s">
        <v>1342</v>
      </c>
    </row>
    <row r="417" spans="5:5" x14ac:dyDescent="0.25">
      <c r="E417" s="6" t="s">
        <v>1342</v>
      </c>
    </row>
    <row r="418" spans="5:5" x14ac:dyDescent="0.25">
      <c r="E418" s="6" t="s">
        <v>1342</v>
      </c>
    </row>
    <row r="419" spans="5:5" x14ac:dyDescent="0.25">
      <c r="E419" s="6" t="s">
        <v>1357</v>
      </c>
    </row>
    <row r="420" spans="5:5" x14ac:dyDescent="0.25">
      <c r="E420" s="6" t="s">
        <v>1357</v>
      </c>
    </row>
    <row r="421" spans="5:5" x14ac:dyDescent="0.25">
      <c r="E421" s="6" t="s">
        <v>1370</v>
      </c>
    </row>
    <row r="422" spans="5:5" x14ac:dyDescent="0.25">
      <c r="E422" s="6" t="s">
        <v>1370</v>
      </c>
    </row>
    <row r="423" spans="5:5" x14ac:dyDescent="0.25">
      <c r="E423" s="6" t="s">
        <v>1370</v>
      </c>
    </row>
    <row r="424" spans="5:5" x14ac:dyDescent="0.25">
      <c r="E424" s="6" t="s">
        <v>1370</v>
      </c>
    </row>
    <row r="425" spans="5:5" x14ac:dyDescent="0.25">
      <c r="E425" s="6" t="s">
        <v>1370</v>
      </c>
    </row>
    <row r="426" spans="5:5" x14ac:dyDescent="0.25">
      <c r="E426" s="6" t="s">
        <v>1370</v>
      </c>
    </row>
    <row r="427" spans="5:5" x14ac:dyDescent="0.25">
      <c r="E427" s="6" t="s">
        <v>1370</v>
      </c>
    </row>
    <row r="428" spans="5:5" x14ac:dyDescent="0.25">
      <c r="E428" s="6" t="s">
        <v>1376</v>
      </c>
    </row>
    <row r="429" spans="5:5" x14ac:dyDescent="0.25">
      <c r="E429" s="6" t="s">
        <v>1383</v>
      </c>
    </row>
    <row r="430" spans="5:5" x14ac:dyDescent="0.25">
      <c r="E430" s="6" t="s">
        <v>1383</v>
      </c>
    </row>
    <row r="431" spans="5:5" x14ac:dyDescent="0.25">
      <c r="E431" s="6" t="s">
        <v>1383</v>
      </c>
    </row>
    <row r="432" spans="5:5" x14ac:dyDescent="0.25">
      <c r="E432" s="6" t="s">
        <v>1383</v>
      </c>
    </row>
    <row r="433" spans="5:5" x14ac:dyDescent="0.25">
      <c r="E433" s="6" t="s">
        <v>1383</v>
      </c>
    </row>
    <row r="434" spans="5:5" x14ac:dyDescent="0.25">
      <c r="E434" s="6" t="s">
        <v>1383</v>
      </c>
    </row>
    <row r="435" spans="5:5" x14ac:dyDescent="0.25">
      <c r="E435" s="6" t="s">
        <v>1383</v>
      </c>
    </row>
    <row r="436" spans="5:5" x14ac:dyDescent="0.25">
      <c r="E436" s="6" t="s">
        <v>1383</v>
      </c>
    </row>
    <row r="437" spans="5:5" x14ac:dyDescent="0.25">
      <c r="E437" s="6" t="s">
        <v>1383</v>
      </c>
    </row>
    <row r="438" spans="5:5" x14ac:dyDescent="0.25">
      <c r="E438" s="6" t="s">
        <v>1383</v>
      </c>
    </row>
    <row r="439" spans="5:5" x14ac:dyDescent="0.25">
      <c r="E439" s="6" t="s">
        <v>1395</v>
      </c>
    </row>
    <row r="440" spans="5:5" x14ac:dyDescent="0.25">
      <c r="E440" s="6" t="s">
        <v>1395</v>
      </c>
    </row>
    <row r="441" spans="5:5" x14ac:dyDescent="0.25">
      <c r="E441" s="6" t="s">
        <v>1395</v>
      </c>
    </row>
    <row r="442" spans="5:5" x14ac:dyDescent="0.25">
      <c r="E442" s="6" t="s">
        <v>1395</v>
      </c>
    </row>
    <row r="443" spans="5:5" x14ac:dyDescent="0.25">
      <c r="E443" s="6" t="s">
        <v>1395</v>
      </c>
    </row>
    <row r="444" spans="5:5" x14ac:dyDescent="0.25">
      <c r="E444" s="6" t="s">
        <v>1395</v>
      </c>
    </row>
    <row r="445" spans="5:5" x14ac:dyDescent="0.25">
      <c r="E445" s="6" t="s">
        <v>1395</v>
      </c>
    </row>
    <row r="446" spans="5:5" x14ac:dyDescent="0.25">
      <c r="E446" s="6" t="s">
        <v>1395</v>
      </c>
    </row>
    <row r="447" spans="5:5" x14ac:dyDescent="0.25">
      <c r="E447" s="6" t="s">
        <v>1395</v>
      </c>
    </row>
    <row r="448" spans="5:5" x14ac:dyDescent="0.25">
      <c r="E448" s="6" t="s">
        <v>1395</v>
      </c>
    </row>
    <row r="449" spans="5:5" x14ac:dyDescent="0.25">
      <c r="E449" s="6" t="s">
        <v>1395</v>
      </c>
    </row>
    <row r="450" spans="5:5" x14ac:dyDescent="0.25">
      <c r="E450" s="6" t="s">
        <v>1395</v>
      </c>
    </row>
    <row r="451" spans="5:5" x14ac:dyDescent="0.25">
      <c r="E451" s="6" t="s">
        <v>1395</v>
      </c>
    </row>
    <row r="452" spans="5:5" x14ac:dyDescent="0.25">
      <c r="E452" s="6" t="s">
        <v>1395</v>
      </c>
    </row>
    <row r="453" spans="5:5" x14ac:dyDescent="0.25">
      <c r="E453" s="6" t="s">
        <v>1395</v>
      </c>
    </row>
    <row r="454" spans="5:5" x14ac:dyDescent="0.25">
      <c r="E454" s="6" t="s">
        <v>1395</v>
      </c>
    </row>
    <row r="455" spans="5:5" x14ac:dyDescent="0.25">
      <c r="E455" s="6" t="s">
        <v>1395</v>
      </c>
    </row>
    <row r="456" spans="5:5" x14ac:dyDescent="0.25">
      <c r="E456" s="6" t="s">
        <v>1395</v>
      </c>
    </row>
    <row r="457" spans="5:5" x14ac:dyDescent="0.25">
      <c r="E457" s="6" t="s">
        <v>1395</v>
      </c>
    </row>
    <row r="458" spans="5:5" x14ac:dyDescent="0.25">
      <c r="E458" s="6" t="s">
        <v>1395</v>
      </c>
    </row>
    <row r="459" spans="5:5" x14ac:dyDescent="0.25">
      <c r="E459" s="6" t="s">
        <v>1395</v>
      </c>
    </row>
    <row r="460" spans="5:5" x14ac:dyDescent="0.25">
      <c r="E460" s="6" t="s">
        <v>1410</v>
      </c>
    </row>
    <row r="461" spans="5:5" x14ac:dyDescent="0.25">
      <c r="E461" s="6" t="s">
        <v>1410</v>
      </c>
    </row>
    <row r="462" spans="5:5" x14ac:dyDescent="0.25">
      <c r="E462" s="6" t="s">
        <v>1410</v>
      </c>
    </row>
    <row r="463" spans="5:5" x14ac:dyDescent="0.25">
      <c r="E463" s="6" t="s">
        <v>1410</v>
      </c>
    </row>
    <row r="464" spans="5:5" x14ac:dyDescent="0.25">
      <c r="E464" s="6" t="s">
        <v>1410</v>
      </c>
    </row>
    <row r="465" spans="5:5" x14ac:dyDescent="0.25">
      <c r="E465" s="6" t="s">
        <v>1410</v>
      </c>
    </row>
    <row r="466" spans="5:5" x14ac:dyDescent="0.25">
      <c r="E466" s="6" t="s">
        <v>1410</v>
      </c>
    </row>
    <row r="467" spans="5:5" x14ac:dyDescent="0.25">
      <c r="E467" s="6" t="s">
        <v>1410</v>
      </c>
    </row>
    <row r="468" spans="5:5" x14ac:dyDescent="0.25">
      <c r="E468" s="6" t="s">
        <v>1410</v>
      </c>
    </row>
    <row r="469" spans="5:5" x14ac:dyDescent="0.25">
      <c r="E469" s="6" t="s">
        <v>1410</v>
      </c>
    </row>
    <row r="470" spans="5:5" x14ac:dyDescent="0.25">
      <c r="E470" s="6" t="s">
        <v>1410</v>
      </c>
    </row>
    <row r="471" spans="5:5" x14ac:dyDescent="0.25">
      <c r="E471" s="6" t="s">
        <v>1410</v>
      </c>
    </row>
    <row r="472" spans="5:5" x14ac:dyDescent="0.25">
      <c r="E472" s="6" t="s">
        <v>1410</v>
      </c>
    </row>
    <row r="473" spans="5:5" x14ac:dyDescent="0.25">
      <c r="E473" s="6" t="s">
        <v>1410</v>
      </c>
    </row>
    <row r="474" spans="5:5" x14ac:dyDescent="0.25">
      <c r="E474" s="6" t="s">
        <v>1410</v>
      </c>
    </row>
    <row r="475" spans="5:5" x14ac:dyDescent="0.25">
      <c r="E475" s="6" t="s">
        <v>1487</v>
      </c>
    </row>
    <row r="476" spans="5:5" x14ac:dyDescent="0.25">
      <c r="E476" s="6" t="s">
        <v>1487</v>
      </c>
    </row>
    <row r="477" spans="5:5" x14ac:dyDescent="0.25">
      <c r="E477" s="6" t="s">
        <v>1487</v>
      </c>
    </row>
    <row r="478" spans="5:5" x14ac:dyDescent="0.25">
      <c r="E478" s="6" t="s">
        <v>1487</v>
      </c>
    </row>
    <row r="479" spans="5:5" x14ac:dyDescent="0.25">
      <c r="E479" s="6" t="s">
        <v>1487</v>
      </c>
    </row>
    <row r="480" spans="5:5" x14ac:dyDescent="0.25">
      <c r="E480" s="6" t="s">
        <v>1494</v>
      </c>
    </row>
    <row r="481" spans="5:5" x14ac:dyDescent="0.25">
      <c r="E481" s="6" t="s">
        <v>1500</v>
      </c>
    </row>
    <row r="482" spans="5:5" x14ac:dyDescent="0.25">
      <c r="E482" s="6" t="s">
        <v>1500</v>
      </c>
    </row>
    <row r="483" spans="5:5" x14ac:dyDescent="0.25">
      <c r="E483" s="6" t="s">
        <v>1511</v>
      </c>
    </row>
    <row r="484" spans="5:5" x14ac:dyDescent="0.25">
      <c r="E484" s="6" t="s">
        <v>1511</v>
      </c>
    </row>
    <row r="485" spans="5:5" x14ac:dyDescent="0.25">
      <c r="E485" s="6" t="s">
        <v>1511</v>
      </c>
    </row>
    <row r="486" spans="5:5" x14ac:dyDescent="0.25">
      <c r="E486" s="6" t="s">
        <v>1511</v>
      </c>
    </row>
    <row r="487" spans="5:5" x14ac:dyDescent="0.25">
      <c r="E487" s="6" t="s">
        <v>1511</v>
      </c>
    </row>
    <row r="488" spans="5:5" x14ac:dyDescent="0.25">
      <c r="E488" s="6" t="s">
        <v>1511</v>
      </c>
    </row>
    <row r="489" spans="5:5" x14ac:dyDescent="0.25">
      <c r="E489" s="6" t="s">
        <v>1527</v>
      </c>
    </row>
    <row r="490" spans="5:5" x14ac:dyDescent="0.25">
      <c r="E490" s="6" t="s">
        <v>1527</v>
      </c>
    </row>
    <row r="491" spans="5:5" x14ac:dyDescent="0.25">
      <c r="E491" s="6" t="s">
        <v>1532</v>
      </c>
    </row>
    <row r="492" spans="5:5" x14ac:dyDescent="0.25">
      <c r="E492" s="6" t="s">
        <v>1532</v>
      </c>
    </row>
    <row r="493" spans="5:5" x14ac:dyDescent="0.25">
      <c r="E493" s="6" t="s">
        <v>1532</v>
      </c>
    </row>
    <row r="494" spans="5:5" x14ac:dyDescent="0.25">
      <c r="E494" s="6" t="s">
        <v>1541</v>
      </c>
    </row>
    <row r="495" spans="5:5" x14ac:dyDescent="0.25">
      <c r="E495" s="6" t="s">
        <v>1545</v>
      </c>
    </row>
    <row r="496" spans="5:5" x14ac:dyDescent="0.25">
      <c r="E496" s="6" t="s">
        <v>1556</v>
      </c>
    </row>
    <row r="497" spans="5:5" x14ac:dyDescent="0.25">
      <c r="E497" s="6" t="s">
        <v>1556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Latest Year Available</vt:lpstr>
      <vt:lpstr>Time Series</vt:lpstr>
      <vt:lpstr>Notes</vt:lpstr>
      <vt:lpstr>Reviewed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Gabriela Chamartin Escobar</dc:creator>
  <cp:keywords/>
  <dc:description/>
  <cp:lastModifiedBy>Gabriela Chamartin Escobar</cp:lastModifiedBy>
  <cp:revision/>
  <dcterms:created xsi:type="dcterms:W3CDTF">2019-02-07T17:29:42Z</dcterms:created>
  <dcterms:modified xsi:type="dcterms:W3CDTF">2019-05-16T21:00:14Z</dcterms:modified>
  <cp:category/>
  <cp:contentStatus/>
</cp:coreProperties>
</file>