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tock price\Option\Greeks Calculation\"/>
    </mc:Choice>
  </mc:AlternateContent>
  <xr:revisionPtr revIDLastSave="0" documentId="13_ncr:1_{048D7E00-A2A9-4BB0-A906-B0FDA746D3A6}" xr6:coauthVersionLast="41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reeks" sheetId="9" r:id="rId1"/>
    <sheet name="Data Nifty" sheetId="2" r:id="rId2"/>
  </sheets>
  <definedNames>
    <definedName name="_xlnm._FilterDatabase" localSheetId="0" hidden="1">Greeks!#REF!</definedName>
    <definedName name="optionKeys.jsp?symbolCode__10006_symbol_NIFTY_symbol_NIFTY_instrument___date___segmentLink_17_symbolCount_2_segmentLink_17" localSheetId="1">'Data Nifty'!$C$1:$Y$93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8" i="2" l="1"/>
  <c r="A139" i="2"/>
  <c r="A140" i="2"/>
  <c r="A141" i="2"/>
  <c r="A142" i="2"/>
  <c r="A143" i="2"/>
  <c r="B138" i="2"/>
  <c r="B139" i="2"/>
  <c r="B140" i="2"/>
  <c r="B141" i="2"/>
  <c r="B142" i="2"/>
  <c r="B143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53" i="2" l="1"/>
  <c r="B53" i="2"/>
  <c r="A54" i="2"/>
  <c r="B54" i="2"/>
  <c r="A55" i="2"/>
  <c r="B55" i="2"/>
  <c r="A56" i="2"/>
  <c r="B56" i="2"/>
  <c r="A57" i="2"/>
  <c r="B57" i="2"/>
  <c r="A58" i="2"/>
  <c r="B58" i="2"/>
  <c r="A59" i="2"/>
  <c r="B59" i="2"/>
  <c r="A60" i="2"/>
  <c r="B60" i="2"/>
  <c r="A61" i="2"/>
  <c r="B61" i="2"/>
  <c r="A62" i="2"/>
  <c r="B62" i="2"/>
  <c r="A63" i="2"/>
  <c r="B63" i="2"/>
  <c r="A64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A71" i="2"/>
  <c r="B71" i="2"/>
  <c r="A72" i="2"/>
  <c r="B72" i="2"/>
  <c r="A73" i="2"/>
  <c r="B73" i="2"/>
  <c r="A74" i="2"/>
  <c r="B74" i="2"/>
  <c r="A75" i="2"/>
  <c r="B75" i="2"/>
  <c r="A76" i="2"/>
  <c r="B76" i="2"/>
  <c r="A77" i="2"/>
  <c r="B77" i="2"/>
  <c r="A78" i="2"/>
  <c r="B78" i="2"/>
  <c r="A79" i="2"/>
  <c r="B79" i="2"/>
  <c r="A80" i="2"/>
  <c r="B80" i="2"/>
  <c r="A81" i="2"/>
  <c r="B81" i="2"/>
  <c r="A82" i="2"/>
  <c r="B82" i="2"/>
  <c r="A83" i="2"/>
  <c r="B83" i="2"/>
  <c r="A84" i="2"/>
  <c r="B84" i="2"/>
  <c r="A85" i="2"/>
  <c r="B85" i="2"/>
  <c r="A86" i="2"/>
  <c r="B86" i="2"/>
  <c r="A87" i="2"/>
  <c r="B87" i="2"/>
  <c r="A88" i="2"/>
  <c r="B88" i="2"/>
  <c r="A89" i="2"/>
  <c r="B89" i="2"/>
  <c r="A90" i="2"/>
  <c r="B90" i="2"/>
  <c r="A91" i="2"/>
  <c r="B91" i="2"/>
  <c r="A42" i="2" l="1"/>
  <c r="B42" i="2"/>
  <c r="A43" i="2"/>
  <c r="B43" i="2"/>
  <c r="A44" i="2"/>
  <c r="B44" i="2"/>
  <c r="A45" i="2"/>
  <c r="B45" i="2"/>
  <c r="A46" i="2"/>
  <c r="B46" i="2"/>
  <c r="A47" i="2"/>
  <c r="B47" i="2"/>
  <c r="A48" i="2"/>
  <c r="B48" i="2"/>
  <c r="A49" i="2"/>
  <c r="B49" i="2"/>
  <c r="A50" i="2"/>
  <c r="B50" i="2"/>
  <c r="A51" i="2"/>
  <c r="B51" i="2"/>
  <c r="A52" i="2"/>
  <c r="B52" i="2"/>
  <c r="A7" i="2" l="1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32" i="2"/>
  <c r="B32" i="2"/>
  <c r="A33" i="2"/>
  <c r="B33" i="2"/>
  <c r="A34" i="2"/>
  <c r="B34" i="2"/>
  <c r="A35" i="2"/>
  <c r="B35" i="2"/>
  <c r="A36" i="2"/>
  <c r="B36" i="2"/>
  <c r="A37" i="2"/>
  <c r="B37" i="2"/>
  <c r="A38" i="2"/>
  <c r="B38" i="2"/>
  <c r="A39" i="2"/>
  <c r="B39" i="2"/>
  <c r="A40" i="2"/>
  <c r="B40" i="2"/>
  <c r="A41" i="2"/>
  <c r="B41" i="2"/>
  <c r="AA57" i="2" l="1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7" i="2" l="1"/>
  <c r="AA6" i="2"/>
  <c r="AF31" i="9" l="1"/>
  <c r="AC31" i="9"/>
  <c r="AF13" i="9"/>
  <c r="AC13" i="9"/>
  <c r="AF30" i="9"/>
  <c r="AC30" i="9"/>
  <c r="AF29" i="9"/>
  <c r="AC29" i="9"/>
  <c r="B11" i="9"/>
  <c r="AC14" i="9"/>
  <c r="AF14" i="9"/>
  <c r="AC15" i="9"/>
  <c r="AF15" i="9"/>
  <c r="AC16" i="9"/>
  <c r="AF16" i="9"/>
  <c r="AC17" i="9"/>
  <c r="AF17" i="9"/>
  <c r="AC18" i="9"/>
  <c r="AF18" i="9"/>
  <c r="AC19" i="9"/>
  <c r="AF19" i="9"/>
  <c r="AC20" i="9"/>
  <c r="AF20" i="9"/>
  <c r="AC21" i="9"/>
  <c r="AF21" i="9"/>
  <c r="AC22" i="9"/>
  <c r="AF22" i="9"/>
  <c r="AC23" i="9"/>
  <c r="AF23" i="9"/>
  <c r="AC24" i="9"/>
  <c r="AF24" i="9"/>
  <c r="AC25" i="9"/>
  <c r="AF25" i="9"/>
  <c r="AC26" i="9"/>
  <c r="AF26" i="9"/>
  <c r="AC27" i="9"/>
  <c r="AF27" i="9"/>
  <c r="AC28" i="9"/>
  <c r="AF28" i="9"/>
  <c r="R12" i="9"/>
  <c r="Q12" i="9"/>
  <c r="K11" i="9"/>
  <c r="R4" i="9"/>
  <c r="A3" i="2"/>
  <c r="A4" i="2"/>
  <c r="A5" i="2" s="1"/>
  <c r="A1" i="2"/>
  <c r="A2" i="2"/>
  <c r="J22" i="9" l="1"/>
  <c r="E4" i="9"/>
  <c r="E7" i="9" s="1"/>
  <c r="J3" i="9"/>
  <c r="K3" i="9"/>
  <c r="H3" i="9"/>
  <c r="E5" i="9" s="1"/>
  <c r="AB22" i="9" l="1"/>
  <c r="L22" i="9" s="1"/>
  <c r="J13" i="9"/>
  <c r="AB13" i="9" s="1"/>
  <c r="J23" i="9"/>
  <c r="AA23" i="9" s="1"/>
  <c r="J15" i="9"/>
  <c r="AA15" i="9" s="1"/>
  <c r="J19" i="9"/>
  <c r="AB19" i="9" s="1"/>
  <c r="K19" i="9" s="1"/>
  <c r="AI19" i="9" s="1"/>
  <c r="J17" i="9"/>
  <c r="AA17" i="9" s="1"/>
  <c r="J14" i="9"/>
  <c r="AA14" i="9" s="1"/>
  <c r="J21" i="9"/>
  <c r="AA21" i="9" s="1"/>
  <c r="J18" i="9"/>
  <c r="AB18" i="9" s="1"/>
  <c r="AA22" i="9"/>
  <c r="J20" i="9"/>
  <c r="AB20" i="9" s="1"/>
  <c r="K20" i="9" s="1"/>
  <c r="AI20" i="9" s="1"/>
  <c r="J16" i="9"/>
  <c r="AB16" i="9" s="1"/>
  <c r="K16" i="9" s="1"/>
  <c r="AI16" i="9" s="1"/>
  <c r="AE13" i="9"/>
  <c r="AE31" i="9"/>
  <c r="AE29" i="9"/>
  <c r="AE30" i="9"/>
  <c r="J24" i="9" l="1"/>
  <c r="AA24" i="9" s="1"/>
  <c r="H23" i="9"/>
  <c r="L16" i="9"/>
  <c r="AA20" i="9"/>
  <c r="AB23" i="9"/>
  <c r="K23" i="9" s="1"/>
  <c r="AI23" i="9" s="1"/>
  <c r="I23" i="9"/>
  <c r="AD23" i="9" s="1"/>
  <c r="AB17" i="9"/>
  <c r="K17" i="9" s="1"/>
  <c r="AI17" i="9" s="1"/>
  <c r="L20" i="9"/>
  <c r="AB14" i="9"/>
  <c r="K14" i="9" s="1"/>
  <c r="AI14" i="9" s="1"/>
  <c r="AB15" i="9"/>
  <c r="L15" i="9" s="1"/>
  <c r="I15" i="9"/>
  <c r="AD15" i="9" s="1"/>
  <c r="AA16" i="9"/>
  <c r="AB21" i="9"/>
  <c r="L21" i="9" s="1"/>
  <c r="AA18" i="9"/>
  <c r="H15" i="9"/>
  <c r="I22" i="9"/>
  <c r="AD22" i="9" s="1"/>
  <c r="K22" i="9"/>
  <c r="AI22" i="9" s="1"/>
  <c r="AA13" i="9"/>
  <c r="H13" i="9" s="1"/>
  <c r="AA19" i="9"/>
  <c r="H22" i="9"/>
  <c r="L19" i="9"/>
  <c r="K13" i="9"/>
  <c r="AI13" i="9" s="1"/>
  <c r="L13" i="9"/>
  <c r="AE21" i="9"/>
  <c r="AE24" i="9"/>
  <c r="AE15" i="9"/>
  <c r="AE19" i="9"/>
  <c r="AJ19" i="9" s="1"/>
  <c r="AE27" i="9"/>
  <c r="AE25" i="9"/>
  <c r="AE16" i="9"/>
  <c r="AK16" i="9" s="1"/>
  <c r="AE18" i="9"/>
  <c r="AE20" i="9"/>
  <c r="AK20" i="9" s="1"/>
  <c r="R20" i="9" s="1"/>
  <c r="AE23" i="9"/>
  <c r="AE26" i="9"/>
  <c r="AE17" i="9"/>
  <c r="AE28" i="9"/>
  <c r="AE22" i="9"/>
  <c r="AE14" i="9"/>
  <c r="K18" i="9"/>
  <c r="AI18" i="9" s="1"/>
  <c r="I14" i="9"/>
  <c r="AD14" i="9" s="1"/>
  <c r="I21" i="9"/>
  <c r="AD21" i="9" s="1"/>
  <c r="I17" i="9"/>
  <c r="AD17" i="9" s="1"/>
  <c r="L18" i="9"/>
  <c r="H14" i="9"/>
  <c r="H17" i="9"/>
  <c r="H21" i="9"/>
  <c r="B6" i="2"/>
  <c r="A6" i="2"/>
  <c r="K21" i="9" l="1"/>
  <c r="AI21" i="9" s="1"/>
  <c r="AJ21" i="9" s="1"/>
  <c r="I13" i="9"/>
  <c r="AD13" i="9" s="1"/>
  <c r="AG13" i="9" s="1"/>
  <c r="H24" i="9"/>
  <c r="J25" i="9"/>
  <c r="AA25" i="9" s="1"/>
  <c r="I24" i="9"/>
  <c r="AD24" i="9" s="1"/>
  <c r="AG24" i="9" s="1"/>
  <c r="C24" i="9" s="1"/>
  <c r="AB24" i="9"/>
  <c r="K24" i="9" s="1"/>
  <c r="AI24" i="9" s="1"/>
  <c r="H20" i="9"/>
  <c r="I20" i="9"/>
  <c r="AD20" i="9" s="1"/>
  <c r="AH20" i="9" s="1"/>
  <c r="B20" i="9" s="1"/>
  <c r="L14" i="9"/>
  <c r="L23" i="9"/>
  <c r="H18" i="9"/>
  <c r="L17" i="9"/>
  <c r="K15" i="9"/>
  <c r="AI15" i="9" s="1"/>
  <c r="AK15" i="9" s="1"/>
  <c r="R15" i="9" s="1"/>
  <c r="I18" i="9"/>
  <c r="AD18" i="9" s="1"/>
  <c r="AG18" i="9" s="1"/>
  <c r="H16" i="9"/>
  <c r="H19" i="9"/>
  <c r="I19" i="9"/>
  <c r="AD19" i="9" s="1"/>
  <c r="I16" i="9"/>
  <c r="AD16" i="9" s="1"/>
  <c r="AG16" i="9" s="1"/>
  <c r="AJ22" i="9"/>
  <c r="Q22" i="9" s="1"/>
  <c r="AJ13" i="9"/>
  <c r="AK13" i="9"/>
  <c r="R13" i="9" s="1"/>
  <c r="AJ16" i="9"/>
  <c r="N16" i="9" s="1"/>
  <c r="AK19" i="9"/>
  <c r="R19" i="9" s="1"/>
  <c r="AJ20" i="9"/>
  <c r="N20" i="9" s="1"/>
  <c r="AK22" i="9"/>
  <c r="R22" i="9" s="1"/>
  <c r="N19" i="9"/>
  <c r="P19" i="9"/>
  <c r="Q19" i="9"/>
  <c r="R16" i="9"/>
  <c r="AK23" i="9"/>
  <c r="R23" i="9" s="1"/>
  <c r="AJ23" i="9"/>
  <c r="AK14" i="9"/>
  <c r="R14" i="9" s="1"/>
  <c r="AJ14" i="9"/>
  <c r="AK17" i="9"/>
  <c r="R17" i="9" s="1"/>
  <c r="AJ17" i="9"/>
  <c r="AJ18" i="9"/>
  <c r="AK18" i="9"/>
  <c r="R18" i="9" s="1"/>
  <c r="AH15" i="9"/>
  <c r="B15" i="9" s="1"/>
  <c r="AG15" i="9"/>
  <c r="AG21" i="9"/>
  <c r="AH21" i="9"/>
  <c r="B21" i="9" s="1"/>
  <c r="AH22" i="9"/>
  <c r="B22" i="9" s="1"/>
  <c r="AG22" i="9"/>
  <c r="AH23" i="9"/>
  <c r="B23" i="9" s="1"/>
  <c r="AG23" i="9"/>
  <c r="AG17" i="9"/>
  <c r="AH17" i="9"/>
  <c r="B17" i="9" s="1"/>
  <c r="AG14" i="9"/>
  <c r="AH14" i="9"/>
  <c r="B14" i="9" s="1"/>
  <c r="AH13" i="9" l="1"/>
  <c r="B13" i="9" s="1"/>
  <c r="L24" i="9"/>
  <c r="AK21" i="9"/>
  <c r="R21" i="9" s="1"/>
  <c r="AH24" i="9"/>
  <c r="B24" i="9" s="1"/>
  <c r="J26" i="9"/>
  <c r="J27" i="9" s="1"/>
  <c r="AB25" i="9"/>
  <c r="L25" i="9" s="1"/>
  <c r="AG20" i="9"/>
  <c r="F20" i="9" s="1"/>
  <c r="E20" i="9" s="1"/>
  <c r="AJ15" i="9"/>
  <c r="N15" i="9" s="1"/>
  <c r="AH18" i="9"/>
  <c r="B18" i="9" s="1"/>
  <c r="AH16" i="9"/>
  <c r="B16" i="9" s="1"/>
  <c r="P22" i="9"/>
  <c r="N22" i="9"/>
  <c r="O19" i="9"/>
  <c r="D13" i="9"/>
  <c r="C13" i="9"/>
  <c r="F13" i="9"/>
  <c r="M13" i="9"/>
  <c r="P13" i="9"/>
  <c r="Q13" i="9"/>
  <c r="O13" i="9"/>
  <c r="N13" i="9"/>
  <c r="O22" i="9"/>
  <c r="M22" i="9"/>
  <c r="M16" i="9"/>
  <c r="O16" i="9"/>
  <c r="P16" i="9"/>
  <c r="Q16" i="9"/>
  <c r="P20" i="9"/>
  <c r="Q20" i="9"/>
  <c r="O20" i="9"/>
  <c r="M19" i="9"/>
  <c r="M20" i="9"/>
  <c r="D24" i="9"/>
  <c r="F24" i="9"/>
  <c r="Q17" i="9"/>
  <c r="P17" i="9"/>
  <c r="O17" i="9"/>
  <c r="N17" i="9"/>
  <c r="Q21" i="9"/>
  <c r="P21" i="9"/>
  <c r="N21" i="9"/>
  <c r="Q14" i="9"/>
  <c r="P14" i="9"/>
  <c r="O14" i="9"/>
  <c r="N14" i="9"/>
  <c r="P23" i="9"/>
  <c r="O23" i="9"/>
  <c r="Q23" i="9"/>
  <c r="N23" i="9"/>
  <c r="Q18" i="9"/>
  <c r="P18" i="9"/>
  <c r="O18" i="9"/>
  <c r="N18" i="9"/>
  <c r="M17" i="9"/>
  <c r="M23" i="9"/>
  <c r="M18" i="9"/>
  <c r="M14" i="9"/>
  <c r="AK24" i="9"/>
  <c r="R24" i="9" s="1"/>
  <c r="AJ24" i="9"/>
  <c r="D18" i="9"/>
  <c r="F18" i="9"/>
  <c r="D17" i="9"/>
  <c r="F17" i="9"/>
  <c r="E17" i="9" s="1"/>
  <c r="D22" i="9"/>
  <c r="F22" i="9"/>
  <c r="E22" i="9" s="1"/>
  <c r="D16" i="9"/>
  <c r="F16" i="9"/>
  <c r="D21" i="9"/>
  <c r="F21" i="9"/>
  <c r="E21" i="9" s="1"/>
  <c r="D15" i="9"/>
  <c r="F15" i="9"/>
  <c r="E15" i="9" s="1"/>
  <c r="D14" i="9"/>
  <c r="F14" i="9"/>
  <c r="E14" i="9" s="1"/>
  <c r="D23" i="9"/>
  <c r="F23" i="9"/>
  <c r="E23" i="9" s="1"/>
  <c r="C21" i="9"/>
  <c r="C14" i="9"/>
  <c r="C23" i="9"/>
  <c r="C17" i="9"/>
  <c r="C22" i="9"/>
  <c r="C16" i="9"/>
  <c r="C18" i="9"/>
  <c r="C15" i="9"/>
  <c r="G21" i="9"/>
  <c r="G22" i="9"/>
  <c r="G17" i="9"/>
  <c r="G14" i="9"/>
  <c r="G23" i="9"/>
  <c r="G15" i="9"/>
  <c r="AG19" i="9"/>
  <c r="AH19" i="9"/>
  <c r="B19" i="9" s="1"/>
  <c r="H25" i="9"/>
  <c r="I25" i="9"/>
  <c r="P15" i="9" l="1"/>
  <c r="G13" i="9"/>
  <c r="O21" i="9"/>
  <c r="E13" i="9"/>
  <c r="M21" i="9"/>
  <c r="D20" i="9"/>
  <c r="AA26" i="9"/>
  <c r="K25" i="9"/>
  <c r="AI25" i="9" s="1"/>
  <c r="AK25" i="9" s="1"/>
  <c r="R25" i="9" s="1"/>
  <c r="AB26" i="9"/>
  <c r="L26" i="9" s="1"/>
  <c r="G24" i="9"/>
  <c r="E24" i="9"/>
  <c r="G18" i="9"/>
  <c r="G20" i="9"/>
  <c r="C20" i="9"/>
  <c r="O15" i="9"/>
  <c r="Q15" i="9"/>
  <c r="M15" i="9"/>
  <c r="E18" i="9"/>
  <c r="G16" i="9"/>
  <c r="E16" i="9"/>
  <c r="O24" i="9"/>
  <c r="Q24" i="9"/>
  <c r="P24" i="9"/>
  <c r="N24" i="9"/>
  <c r="M24" i="9"/>
  <c r="AB27" i="9"/>
  <c r="L27" i="9" s="1"/>
  <c r="D19" i="9"/>
  <c r="F19" i="9"/>
  <c r="E19" i="9" s="1"/>
  <c r="C19" i="9"/>
  <c r="AA27" i="9"/>
  <c r="J28" i="9"/>
  <c r="J29" i="9" s="1"/>
  <c r="G19" i="9"/>
  <c r="AD25" i="9"/>
  <c r="H26" i="9" l="1"/>
  <c r="I26" i="9"/>
  <c r="AD26" i="9" s="1"/>
  <c r="AH26" i="9" s="1"/>
  <c r="B26" i="9" s="1"/>
  <c r="AJ25" i="9"/>
  <c r="Q25" i="9" s="1"/>
  <c r="K26" i="9"/>
  <c r="AI26" i="9" s="1"/>
  <c r="AJ26" i="9" s="1"/>
  <c r="K27" i="9"/>
  <c r="AI27" i="9" s="1"/>
  <c r="AJ27" i="9" s="1"/>
  <c r="Q27" i="9" s="1"/>
  <c r="AB29" i="9"/>
  <c r="J30" i="9"/>
  <c r="J31" i="9" s="1"/>
  <c r="AA31" i="9" s="1"/>
  <c r="AA29" i="9"/>
  <c r="AA28" i="9"/>
  <c r="AB28" i="9"/>
  <c r="H27" i="9"/>
  <c r="I27" i="9"/>
  <c r="AD27" i="9" s="1"/>
  <c r="AH27" i="9" s="1"/>
  <c r="B27" i="9" s="1"/>
  <c r="AH25" i="9"/>
  <c r="B25" i="9" s="1"/>
  <c r="AG25" i="9"/>
  <c r="AG26" i="9" l="1"/>
  <c r="C26" i="9" s="1"/>
  <c r="AK26" i="9"/>
  <c r="R26" i="9" s="1"/>
  <c r="N25" i="9"/>
  <c r="P25" i="9"/>
  <c r="O25" i="9"/>
  <c r="M25" i="9"/>
  <c r="H28" i="9"/>
  <c r="N27" i="9"/>
  <c r="AK27" i="9"/>
  <c r="O27" i="9" s="1"/>
  <c r="P27" i="9"/>
  <c r="AB31" i="9"/>
  <c r="K31" i="9" s="1"/>
  <c r="AI31" i="9" s="1"/>
  <c r="H31" i="9"/>
  <c r="I31" i="9"/>
  <c r="AD31" i="9" s="1"/>
  <c r="K29" i="9"/>
  <c r="AI29" i="9" s="1"/>
  <c r="L29" i="9"/>
  <c r="AB30" i="9"/>
  <c r="AA30" i="9"/>
  <c r="H29" i="9"/>
  <c r="I29" i="9"/>
  <c r="AD29" i="9" s="1"/>
  <c r="Q26" i="9"/>
  <c r="P26" i="9"/>
  <c r="N26" i="9"/>
  <c r="I28" i="9"/>
  <c r="AD28" i="9" s="1"/>
  <c r="AH28" i="9" s="1"/>
  <c r="B28" i="9" s="1"/>
  <c r="K28" i="9"/>
  <c r="AI28" i="9" s="1"/>
  <c r="D25" i="9"/>
  <c r="F25" i="9"/>
  <c r="E25" i="9" s="1"/>
  <c r="C25" i="9"/>
  <c r="L28" i="9"/>
  <c r="AG27" i="9"/>
  <c r="G25" i="9"/>
  <c r="G26" i="9" l="1"/>
  <c r="O26" i="9"/>
  <c r="D26" i="9"/>
  <c r="F26" i="9"/>
  <c r="E26" i="9" s="1"/>
  <c r="M26" i="9"/>
  <c r="R27" i="9"/>
  <c r="L31" i="9"/>
  <c r="M27" i="9"/>
  <c r="AG31" i="9"/>
  <c r="AH31" i="9"/>
  <c r="B31" i="9" s="1"/>
  <c r="AK31" i="9"/>
  <c r="AJ31" i="9"/>
  <c r="K30" i="9"/>
  <c r="AI30" i="9" s="1"/>
  <c r="L30" i="9"/>
  <c r="AG29" i="9"/>
  <c r="AH29" i="9"/>
  <c r="B29" i="9" s="1"/>
  <c r="H30" i="9"/>
  <c r="I30" i="9"/>
  <c r="AD30" i="9" s="1"/>
  <c r="AK29" i="9"/>
  <c r="AJ29" i="9"/>
  <c r="AG28" i="9"/>
  <c r="G28" i="9" s="1"/>
  <c r="AK28" i="9"/>
  <c r="R28" i="9" s="1"/>
  <c r="AJ28" i="9"/>
  <c r="D27" i="9"/>
  <c r="F27" i="9"/>
  <c r="E27" i="9" s="1"/>
  <c r="C27" i="9"/>
  <c r="G27" i="9"/>
  <c r="P31" i="9" l="1"/>
  <c r="Q31" i="9"/>
  <c r="O31" i="9"/>
  <c r="N31" i="9"/>
  <c r="C31" i="9"/>
  <c r="D31" i="9"/>
  <c r="F31" i="9"/>
  <c r="E31" i="9" s="1"/>
  <c r="G31" i="9"/>
  <c r="R31" i="9"/>
  <c r="M31" i="9"/>
  <c r="Q29" i="9"/>
  <c r="N29" i="9"/>
  <c r="P29" i="9"/>
  <c r="O29" i="9"/>
  <c r="AK30" i="9"/>
  <c r="AJ30" i="9"/>
  <c r="AH30" i="9"/>
  <c r="B30" i="9" s="1"/>
  <c r="AG30" i="9"/>
  <c r="R29" i="9"/>
  <c r="M29" i="9"/>
  <c r="D29" i="9"/>
  <c r="G29" i="9"/>
  <c r="F29" i="9"/>
  <c r="E29" i="9" s="1"/>
  <c r="C29" i="9"/>
  <c r="D28" i="9"/>
  <c r="O28" i="9"/>
  <c r="Q28" i="9"/>
  <c r="P28" i="9"/>
  <c r="N28" i="9"/>
  <c r="C28" i="9"/>
  <c r="F28" i="9"/>
  <c r="E28" i="9" s="1"/>
  <c r="M28" i="9"/>
  <c r="F30" i="9" l="1"/>
  <c r="E30" i="9" s="1"/>
  <c r="G30" i="9"/>
  <c r="D30" i="9"/>
  <c r="C30" i="9"/>
  <c r="M30" i="9"/>
  <c r="R30" i="9"/>
  <c r="O30" i="9"/>
  <c r="N30" i="9"/>
  <c r="P30" i="9"/>
  <c r="Q30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6" background="1" saveData="1">
    <webPr sourceData="1" parsePre="1" consecutive="1" xl2000="1" url="http://www.nseindia.com/live_market/dynaContent/live_watch/option_chain/optionKeys.jsp?symbolCode=-10006&amp;symbol=NIFTY&amp;symbol=NIFTY&amp;instrument=-&amp;date=-&amp;segmentLink=17&amp;symbolCount=2&amp;segmentLink=17" htmlTables="1">
      <tables count="2">
        <x v="1"/>
        <x v="3"/>
      </tables>
    </webPr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<sst xmlns="http://schemas.openxmlformats.org/spreadsheetml/2006/main" count="835" uniqueCount="51">
  <si>
    <t>CALLS</t>
  </si>
  <si>
    <t>PUTS</t>
  </si>
  <si>
    <t>Chart</t>
  </si>
  <si>
    <t>OI</t>
  </si>
  <si>
    <t>Chng in OI</t>
  </si>
  <si>
    <t>Volume</t>
  </si>
  <si>
    <t>IV</t>
  </si>
  <si>
    <t>LTP</t>
  </si>
  <si>
    <t>Net Chng</t>
  </si>
  <si>
    <t>Bid</t>
  </si>
  <si>
    <t>Qty</t>
  </si>
  <si>
    <t>Price</t>
  </si>
  <si>
    <t>Ask</t>
  </si>
  <si>
    <t>Strike Price</t>
  </si>
  <si>
    <t>-</t>
  </si>
  <si>
    <t>Option Chain (Equity Derivatives)</t>
  </si>
  <si>
    <t>NIFTY SPOT</t>
  </si>
  <si>
    <t>Strike</t>
  </si>
  <si>
    <t>Total</t>
  </si>
  <si>
    <t>Todays Date</t>
  </si>
  <si>
    <t>Risk free Intrest Rate (%)</t>
  </si>
  <si>
    <t>Time to Expiration (days left)</t>
  </si>
  <si>
    <t xml:space="preserve">Price of Underlying </t>
  </si>
  <si>
    <t>Expiry Date</t>
  </si>
  <si>
    <t>Delta</t>
  </si>
  <si>
    <t>Theta</t>
  </si>
  <si>
    <t>Gamma</t>
  </si>
  <si>
    <t>Vega</t>
  </si>
  <si>
    <t>RHO</t>
  </si>
  <si>
    <t>Call Price</t>
  </si>
  <si>
    <t>NSE Call LTP</t>
  </si>
  <si>
    <t>NSE Put LTP</t>
  </si>
  <si>
    <t>Put Price</t>
  </si>
  <si>
    <t>D1</t>
  </si>
  <si>
    <t>D2</t>
  </si>
  <si>
    <t>R : risk free rate of interest</t>
  </si>
  <si>
    <t>T-t : time to expiration</t>
  </si>
  <si>
    <t xml:space="preserve"> dividend yield</t>
  </si>
  <si>
    <t>d1 :</t>
  </si>
  <si>
    <t>d2 :</t>
  </si>
  <si>
    <t>o : Put volatility</t>
  </si>
  <si>
    <t>o : Call volatility</t>
  </si>
  <si>
    <t>UPDATE HERE</t>
  </si>
  <si>
    <t xml:space="preserve"> CALL IV</t>
  </si>
  <si>
    <t>PUT IV</t>
  </si>
  <si>
    <t xml:space="preserve">Strike PCR </t>
  </si>
  <si>
    <t>Number of days to expire</t>
  </si>
  <si>
    <t>NIFTY OPTIONS GREEK CALCULATOR</t>
  </si>
  <si>
    <t>Dividend Yield (%)</t>
  </si>
  <si>
    <t>Graph</t>
  </si>
  <si>
    <t xml:space="preserve">Underlying Index: NIFTY 11895.45  As on Nov 15, 2019 15:30:30 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</si>
</sst>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B0F0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indexed="16"/>
      <name val="Arial"/>
      <family val="2"/>
    </font>
    <font>
      <sz val="1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28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gradientFill>
        <stop position="0">
          <color theme="3" tint="0.59999389629810485"/>
        </stop>
        <stop position="0.5">
          <color theme="0"/>
        </stop>
        <stop position="1">
          <color theme="3" tint="0.59999389629810485"/>
        </stop>
      </gradientFill>
    </fill>
    <fill>
      <patternFill patternType="solid">
        <fgColor theme="3" tint="0.39997558519241921"/>
        <bgColor indexed="64"/>
      </patternFill>
    </fill>
    <fill>
      <gradientFill degree="90">
        <stop position="0">
          <color theme="3" tint="0.40000610370189521"/>
        </stop>
        <stop position="0.5">
          <color theme="3" tint="0.59999389629810485"/>
        </stop>
        <stop position="1">
          <color theme="3" tint="0.40000610370189521"/>
        </stop>
      </gradient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gradientFill>
        <stop position="0">
          <color theme="5" tint="0.40000610370189521"/>
        </stop>
        <stop position="0.5">
          <color theme="0"/>
        </stop>
        <stop position="1">
          <color theme="5" tint="0.40000610370189521"/>
        </stop>
      </gradientFill>
    </fill>
    <fill>
      <gradientFill degree="90">
        <stop position="0">
          <color theme="5" tint="0.59999389629810485"/>
        </stop>
        <stop position="0.5">
          <color theme="5" tint="0.80001220740379042"/>
        </stop>
        <stop position="1">
          <color theme="5" tint="0.59999389629810485"/>
        </stop>
      </gradientFill>
    </fill>
    <fill>
      <gradientFill degree="90">
        <stop position="0">
          <color theme="6" tint="0.40000610370189521"/>
        </stop>
        <stop position="0.5">
          <color theme="6" tint="0.59999389629810485"/>
        </stop>
        <stop position="1">
          <color theme="6" tint="0.40000610370189521"/>
        </stop>
      </gradientFill>
    </fill>
    <fill>
      <gradientFill>
        <stop position="0">
          <color theme="6" tint="0.40000610370189521"/>
        </stop>
        <stop position="0.5">
          <color theme="0"/>
        </stop>
        <stop position="1">
          <color theme="6" tint="0.40000610370189521"/>
        </stop>
      </gradient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ck">
        <color rgb="FFFF0000"/>
      </left>
      <right/>
      <top style="thick">
        <color rgb="FFFF0000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3" fontId="0" fillId="0" borderId="0" xfId="0" applyNumberFormat="1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0" fillId="7" borderId="0" xfId="0" applyFill="1"/>
    <xf numFmtId="2" fontId="0" fillId="0" borderId="0" xfId="0" applyNumberFormat="1"/>
    <xf numFmtId="0" fontId="8" fillId="2" borderId="0" xfId="3" applyFont="1" applyFill="1" applyAlignment="1" applyProtection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11" fillId="0" borderId="0" xfId="0" applyNumberFormat="1" applyFont="1" applyFill="1" applyAlignment="1"/>
    <xf numFmtId="0" fontId="3" fillId="2" borderId="0" xfId="0" applyFont="1" applyFill="1" applyAlignment="1">
      <alignment horizontal="right"/>
    </xf>
    <xf numFmtId="0" fontId="10" fillId="7" borderId="0" xfId="0" applyFont="1" applyFill="1"/>
    <xf numFmtId="0" fontId="12" fillId="7" borderId="0" xfId="0" applyFont="1" applyFill="1"/>
    <xf numFmtId="0" fontId="15" fillId="2" borderId="0" xfId="0" applyFont="1" applyFill="1"/>
    <xf numFmtId="0" fontId="14" fillId="2" borderId="0" xfId="0" applyFont="1" applyFill="1"/>
    <xf numFmtId="22" fontId="14" fillId="2" borderId="0" xfId="0" applyNumberFormat="1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15" fillId="3" borderId="3" xfId="0" applyFont="1" applyFill="1" applyBorder="1" applyAlignment="1">
      <alignment horizontal="left" vertical="center"/>
    </xf>
    <xf numFmtId="164" fontId="14" fillId="2" borderId="0" xfId="0" applyNumberFormat="1" applyFont="1" applyFill="1" applyAlignment="1">
      <alignment horizontal="center" vertical="center"/>
    </xf>
    <xf numFmtId="0" fontId="14" fillId="2" borderId="0" xfId="0" applyNumberFormat="1" applyFont="1" applyFill="1" applyAlignment="1">
      <alignment horizontal="center" vertical="center"/>
    </xf>
    <xf numFmtId="2" fontId="16" fillId="2" borderId="0" xfId="0" applyNumberFormat="1" applyFont="1" applyFill="1" applyBorder="1" applyAlignment="1">
      <alignment horizontal="center" vertical="center"/>
    </xf>
    <xf numFmtId="0" fontId="17" fillId="5" borderId="0" xfId="0" applyFont="1" applyFill="1"/>
    <xf numFmtId="0" fontId="6" fillId="11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165" fontId="17" fillId="0" borderId="8" xfId="0" applyNumberFormat="1" applyFont="1" applyBorder="1" applyAlignment="1">
      <alignment horizontal="center" vertical="center"/>
    </xf>
    <xf numFmtId="165" fontId="17" fillId="0" borderId="7" xfId="0" applyNumberFormat="1" applyFont="1" applyBorder="1" applyAlignment="1">
      <alignment horizontal="center" vertical="center"/>
    </xf>
    <xf numFmtId="165" fontId="17" fillId="0" borderId="7" xfId="0" applyNumberFormat="1" applyFont="1" applyBorder="1"/>
    <xf numFmtId="165" fontId="17" fillId="0" borderId="7" xfId="0" applyNumberFormat="1" applyFont="1" applyFill="1" applyBorder="1"/>
    <xf numFmtId="165" fontId="17" fillId="0" borderId="7" xfId="0" applyNumberFormat="1" applyFont="1" applyFill="1" applyBorder="1" applyAlignment="1">
      <alignment horizontal="center" vertical="center"/>
    </xf>
    <xf numFmtId="2" fontId="17" fillId="0" borderId="7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165" fontId="6" fillId="0" borderId="7" xfId="0" applyNumberFormat="1" applyFont="1" applyFill="1" applyBorder="1"/>
    <xf numFmtId="165" fontId="17" fillId="0" borderId="9" xfId="0" applyNumberFormat="1" applyFont="1" applyBorder="1" applyAlignment="1">
      <alignment horizontal="center" vertical="center"/>
    </xf>
    <xf numFmtId="0" fontId="13" fillId="2" borderId="10" xfId="0" applyFont="1" applyFill="1" applyBorder="1"/>
    <xf numFmtId="14" fontId="14" fillId="2" borderId="10" xfId="0" applyNumberFormat="1" applyFont="1" applyFill="1" applyBorder="1" applyAlignment="1">
      <alignment horizontal="center" vertical="center"/>
    </xf>
    <xf numFmtId="1" fontId="14" fillId="2" borderId="10" xfId="0" applyNumberFormat="1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/>
    </xf>
    <xf numFmtId="1" fontId="13" fillId="2" borderId="10" xfId="0" applyNumberFormat="1" applyFont="1" applyFill="1" applyBorder="1" applyAlignment="1">
      <alignment horizontal="center"/>
    </xf>
    <xf numFmtId="0" fontId="18" fillId="7" borderId="13" xfId="0" applyFont="1" applyFill="1" applyBorder="1" applyAlignment="1">
      <alignment horizontal="center" vertical="center"/>
    </xf>
    <xf numFmtId="0" fontId="18" fillId="7" borderId="11" xfId="0" applyFont="1" applyFill="1" applyBorder="1" applyAlignment="1">
      <alignment horizontal="center" vertical="center"/>
    </xf>
    <xf numFmtId="0" fontId="19" fillId="13" borderId="0" xfId="0" applyFont="1" applyFill="1" applyAlignment="1">
      <alignment horizontal="center"/>
    </xf>
    <xf numFmtId="3" fontId="6" fillId="12" borderId="4" xfId="0" applyNumberFormat="1" applyFont="1" applyFill="1" applyBorder="1" applyAlignment="1">
      <alignment horizontal="center" vertical="center"/>
    </xf>
    <xf numFmtId="3" fontId="6" fillId="12" borderId="12" xfId="0" applyNumberFormat="1" applyFont="1" applyFill="1" applyBorder="1" applyAlignment="1">
      <alignment horizontal="center" vertical="center"/>
    </xf>
    <xf numFmtId="3" fontId="6" fillId="9" borderId="5" xfId="0" applyNumberFormat="1" applyFont="1" applyFill="1" applyBorder="1" applyAlignment="1">
      <alignment horizontal="center"/>
    </xf>
    <xf numFmtId="3" fontId="6" fillId="9" borderId="4" xfId="0" applyNumberFormat="1" applyFont="1" applyFill="1" applyBorder="1" applyAlignment="1">
      <alignment horizontal="center"/>
    </xf>
  </cellXfs>
  <cellStyles count="4">
    <cellStyle name="%" xfId="1" xr:uid="{00000000-0005-0000-0000-000000000000}"/>
    <cellStyle name="Hyperlink" xfId="3" builtinId="8"/>
    <cellStyle name="Normal" xfId="0" builtinId="0"/>
    <cellStyle name="Normal 2" xfId="2" xr:uid="{00000000-0005-0000-0000-000003000000}"/>
  </cellStyles>
  <dxfs count="1">
    <dxf>
      <font>
        <color theme="0"/>
      </font>
    </dxf>
  </dxfs>
  <tableStyles count="0" defaultTableStyle="TableStyleMedium9" defaultPivotStyle="PivotStyleLight16"/>
  <colors>
    <mruColors>
      <color rgb="FFFF66FF"/>
      <color rgb="FF9ED02E"/>
      <color rgb="FFB2F608"/>
      <color rgb="FF89E816"/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tionKeys.jsp?symbolCode=-10006&amp;symbol=NIFTY&amp;symbol=NIFTY&amp;instrument=-&amp;date=-&amp;segmentLink=17&amp;symbolCount=2&amp;segmentLink=17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AK111"/>
  <sheetViews>
    <sheetView topLeftCell="A4" zoomScale="80" zoomScaleNormal="80" workbookViewId="0">
      <selection activeCell="R3" sqref="R3"/>
    </sheetView>
  </sheetViews>
  <sheetFormatPr defaultColWidth="7.5703125" defaultRowHeight="15" x14ac:dyDescent="0.25"/>
  <cols>
    <col min="1" max="1" width="4.5703125" customWidth="1"/>
    <col min="2" max="3" width="8.28515625" bestFit="1" customWidth="1"/>
    <col min="4" max="4" width="36.28515625" bestFit="1" customWidth="1"/>
    <col min="5" max="5" width="16.42578125" bestFit="1" customWidth="1"/>
    <col min="6" max="6" width="8.28515625" bestFit="1" customWidth="1"/>
    <col min="7" max="7" width="14.5703125" bestFit="1" customWidth="1"/>
    <col min="8" max="8" width="11.42578125" bestFit="1" customWidth="1"/>
    <col min="9" max="9" width="7.85546875" bestFit="1" customWidth="1"/>
    <col min="10" max="10" width="29.7109375" bestFit="1" customWidth="1"/>
    <col min="11" max="11" width="15.7109375" bestFit="1" customWidth="1"/>
    <col min="12" max="12" width="11.28515625" bestFit="1" customWidth="1"/>
    <col min="13" max="13" width="8.7109375" bestFit="1" customWidth="1"/>
    <col min="14" max="14" width="8.28515625" bestFit="1" customWidth="1"/>
    <col min="15" max="15" width="8.42578125" bestFit="1" customWidth="1"/>
    <col min="16" max="17" width="8.28515625" bestFit="1" customWidth="1"/>
    <col min="18" max="18" width="15.140625" bestFit="1" customWidth="1"/>
    <col min="19" max="19" width="16" bestFit="1" customWidth="1"/>
    <col min="27" max="28" width="6.7109375" bestFit="1" customWidth="1"/>
    <col min="29" max="29" width="26.28515625" bestFit="1" customWidth="1"/>
    <col min="30" max="30" width="15.7109375" bestFit="1" customWidth="1"/>
    <col min="31" max="31" width="21.7109375" bestFit="1" customWidth="1"/>
    <col min="32" max="32" width="14.28515625" bestFit="1" customWidth="1"/>
    <col min="33" max="34" width="12.28515625" bestFit="1" customWidth="1"/>
    <col min="35" max="35" width="15" bestFit="1" customWidth="1"/>
    <col min="36" max="37" width="12.28515625" bestFit="1" customWidth="1"/>
  </cols>
  <sheetData>
    <row r="1" spans="1:37" ht="36.75" thickBot="1" x14ac:dyDescent="0.6">
      <c r="A1" s="47" t="s">
        <v>47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</row>
    <row r="2" spans="1:37" ht="21" customHeight="1" thickTop="1" x14ac:dyDescent="0.35">
      <c r="A2" s="2"/>
      <c r="B2" s="3"/>
      <c r="C2" s="2"/>
      <c r="D2" s="45" t="s">
        <v>42</v>
      </c>
      <c r="E2" s="46"/>
      <c r="F2" s="2"/>
      <c r="G2" s="16"/>
      <c r="H2" s="16"/>
      <c r="I2" s="16"/>
      <c r="J2" s="16"/>
      <c r="K2" s="16"/>
      <c r="L2" s="16"/>
      <c r="M2" s="16"/>
      <c r="N2" s="17"/>
      <c r="O2" s="17"/>
      <c r="P2" s="17"/>
      <c r="Q2" s="16"/>
      <c r="R2" s="18" t="s">
        <v>19</v>
      </c>
      <c r="S2" s="16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1" x14ac:dyDescent="0.35">
      <c r="A3" s="2"/>
      <c r="B3" s="8"/>
      <c r="C3" s="2"/>
      <c r="D3" s="40" t="s">
        <v>23</v>
      </c>
      <c r="E3" s="41">
        <v>43279</v>
      </c>
      <c r="F3" s="2"/>
      <c r="G3" s="19" t="s">
        <v>16</v>
      </c>
      <c r="H3" s="20">
        <f>'Data Nifty'!A4</f>
        <v>11895.4</v>
      </c>
      <c r="I3" s="17"/>
      <c r="J3" s="19" t="str">
        <f>'Data Nifty'!A2</f>
        <v>Last Update @   15:30:3</v>
      </c>
      <c r="K3" s="21" t="str">
        <f>'Data Nifty'!A1</f>
        <v xml:space="preserve"> Nov 15, 201</v>
      </c>
      <c r="L3" s="22"/>
      <c r="M3" s="16"/>
      <c r="N3" s="17"/>
      <c r="O3" s="17"/>
      <c r="P3" s="17"/>
      <c r="Q3" s="16"/>
      <c r="R3" s="23">
        <v>43784</v>
      </c>
      <c r="S3" s="16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21" x14ac:dyDescent="0.35">
      <c r="A4" s="2"/>
      <c r="B4" s="8"/>
      <c r="C4" s="2"/>
      <c r="D4" s="40" t="s">
        <v>46</v>
      </c>
      <c r="E4" s="42">
        <f>DAYS360(R3,E3)</f>
        <v>-497</v>
      </c>
      <c r="F4" s="3"/>
      <c r="G4" s="16"/>
      <c r="H4" s="16"/>
      <c r="I4" s="16"/>
      <c r="J4" s="16"/>
      <c r="K4" s="16"/>
      <c r="L4" s="16"/>
      <c r="M4" s="16"/>
      <c r="N4" s="17"/>
      <c r="O4" s="17"/>
      <c r="P4" s="17"/>
      <c r="Q4" s="16"/>
      <c r="R4" s="24">
        <f>WEEKDAY(R3)</f>
        <v>6</v>
      </c>
      <c r="S4" s="16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21" x14ac:dyDescent="0.35">
      <c r="A5" s="2"/>
      <c r="B5" s="8"/>
      <c r="C5" s="2"/>
      <c r="D5" s="40" t="s">
        <v>22</v>
      </c>
      <c r="E5" s="43">
        <f>H3</f>
        <v>11895.4</v>
      </c>
      <c r="F5" s="2"/>
      <c r="G5" s="16"/>
      <c r="H5" s="16"/>
      <c r="I5" s="16"/>
      <c r="J5" s="16"/>
      <c r="K5" s="16"/>
      <c r="L5" s="16"/>
      <c r="M5" s="16"/>
      <c r="N5" s="16"/>
      <c r="O5" s="25"/>
      <c r="P5" s="25"/>
      <c r="Q5" s="25"/>
      <c r="R5" s="25"/>
      <c r="S5" s="16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21" x14ac:dyDescent="0.35">
      <c r="A6" s="2"/>
      <c r="B6" s="8"/>
      <c r="C6" s="2"/>
      <c r="D6" s="40" t="s">
        <v>20</v>
      </c>
      <c r="E6" s="43">
        <v>6.5</v>
      </c>
      <c r="F6" s="3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21" x14ac:dyDescent="0.35">
      <c r="A7" s="2"/>
      <c r="B7" s="8"/>
      <c r="C7" s="2"/>
      <c r="D7" s="40" t="s">
        <v>21</v>
      </c>
      <c r="E7" s="44">
        <f>IF(AND(R4&gt;1,R4&lt;7),E4,IF(R4=1,E4+2,IF(R4=7,E4+1)))</f>
        <v>-497</v>
      </c>
      <c r="F7" s="3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ht="21" x14ac:dyDescent="0.35">
      <c r="A8" s="2"/>
      <c r="B8" s="8"/>
      <c r="C8" s="2"/>
      <c r="D8" s="40" t="s">
        <v>48</v>
      </c>
      <c r="E8" s="43">
        <v>0</v>
      </c>
      <c r="F8" s="3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25">
      <c r="A9" s="2"/>
      <c r="B9" s="8"/>
      <c r="C9" s="1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15.75" x14ac:dyDescent="0.25">
      <c r="A11" s="2"/>
      <c r="B11" s="48" t="str">
        <f>'Data Nifty'!C3</f>
        <v>CALLS</v>
      </c>
      <c r="C11" s="48"/>
      <c r="D11" s="48"/>
      <c r="E11" s="48"/>
      <c r="F11" s="48"/>
      <c r="G11" s="48"/>
      <c r="H11" s="48"/>
      <c r="I11" s="49"/>
      <c r="J11" s="26"/>
      <c r="K11" s="50" t="str">
        <f>'Data Nifty'!O3</f>
        <v>PUTS</v>
      </c>
      <c r="L11" s="51"/>
      <c r="M11" s="51"/>
      <c r="N11" s="51"/>
      <c r="O11" s="51"/>
      <c r="P11" s="51"/>
      <c r="Q11" s="51"/>
      <c r="R11" s="51"/>
      <c r="S11" s="2"/>
      <c r="AA11" s="2"/>
      <c r="AB11" s="2"/>
      <c r="AC11" s="6"/>
      <c r="AD11" s="15"/>
      <c r="AE11" s="6"/>
      <c r="AF11" s="6"/>
      <c r="AG11" s="6"/>
      <c r="AH11" s="6"/>
      <c r="AI11" s="14"/>
      <c r="AJ11" s="14"/>
      <c r="AK11" s="14"/>
    </row>
    <row r="12" spans="1:37" ht="31.5" x14ac:dyDescent="0.25">
      <c r="A12" s="4"/>
      <c r="B12" s="27" t="s">
        <v>28</v>
      </c>
      <c r="C12" s="27" t="s">
        <v>27</v>
      </c>
      <c r="D12" s="27" t="s">
        <v>26</v>
      </c>
      <c r="E12" s="27" t="s">
        <v>25</v>
      </c>
      <c r="F12" s="27" t="s">
        <v>24</v>
      </c>
      <c r="G12" s="27" t="s">
        <v>29</v>
      </c>
      <c r="H12" s="27" t="s">
        <v>30</v>
      </c>
      <c r="I12" s="27" t="s">
        <v>43</v>
      </c>
      <c r="J12" s="28" t="s">
        <v>17</v>
      </c>
      <c r="K12" s="29" t="s">
        <v>44</v>
      </c>
      <c r="L12" s="29" t="s">
        <v>31</v>
      </c>
      <c r="M12" s="29" t="s">
        <v>32</v>
      </c>
      <c r="N12" s="29" t="s">
        <v>24</v>
      </c>
      <c r="O12" s="29" t="s">
        <v>25</v>
      </c>
      <c r="P12" s="29" t="s">
        <v>26</v>
      </c>
      <c r="Q12" s="29" t="str">
        <f>C12</f>
        <v>Vega</v>
      </c>
      <c r="R12" s="29" t="str">
        <f>B12</f>
        <v>RHO</v>
      </c>
      <c r="S12" s="4"/>
      <c r="AA12" s="4"/>
      <c r="AB12" s="4"/>
      <c r="AC12" s="12" t="s">
        <v>35</v>
      </c>
      <c r="AD12" s="12" t="s">
        <v>41</v>
      </c>
      <c r="AE12" s="12" t="s">
        <v>36</v>
      </c>
      <c r="AF12" s="12" t="s">
        <v>37</v>
      </c>
      <c r="AG12" s="12" t="s">
        <v>38</v>
      </c>
      <c r="AH12" s="12" t="s">
        <v>39</v>
      </c>
      <c r="AI12" s="12" t="s">
        <v>40</v>
      </c>
      <c r="AJ12" s="12" t="s">
        <v>33</v>
      </c>
      <c r="AK12" s="12" t="s">
        <v>34</v>
      </c>
    </row>
    <row r="13" spans="1:37" ht="15.75" x14ac:dyDescent="0.25">
      <c r="A13" s="2"/>
      <c r="B13" s="30" t="e">
        <f t="shared" ref="B13:B31" si="0">((((J13*AE13)*EXP(((-1*AC13)*AE13)))*NORMSDIST(AH13))*EXP(((-1*AF13)*AE13)))/100</f>
        <v>#NUM!</v>
      </c>
      <c r="C13" s="31" t="e">
        <f t="shared" ref="C13:C31" si="1">(((((1/SQRT((2*PI())))*EXP(((-1*POWER(AG13,2))/2)))*EXP(((-1*AE13)*AF13)))*$E$5)*SQRT(AE13))/100</f>
        <v>#NUM!</v>
      </c>
      <c r="D13" s="32" t="e">
        <f t="shared" ref="D13:D31" si="2">((((1/SQRT((2*PI())))*EXP(((-1*POWER(AG13,2))/2)))*EXP(((-1*AE13)*AF13)))/(($E$5*AD13)*SQRT(AE13)))</f>
        <v>#NUM!</v>
      </c>
      <c r="E13" s="33" t="e">
        <f t="shared" ref="E13:E31" si="3">((((-1*(((($E$5*((1/SQRT((2*PI())))*EXP(((-1*POWER(AG13,2))/2))))*AD13)*EXP(((-1*AE13)*AF13)))/(2*SQRT(AE13))))+((AF13*$E$5)*F13))-(((AC13*J13)*EXP(((-1*AC13)*AE13)))*NORMSDIST(AH13))))/365</f>
        <v>#NUM!</v>
      </c>
      <c r="F13" s="34" t="e">
        <f t="shared" ref="F13:F31" si="4">EXP(((-1*AF13)*AE13))*NORMSDIST(AG13)</f>
        <v>#NUM!</v>
      </c>
      <c r="G13" s="35" t="e">
        <f t="shared" ref="G13:G31" si="5">(($E$5*EXP(((-1*AF13)*AE13)))*NORMSDIST(AG13))-((J13*EXP(((-1*AC13)*AE13)))*NORMSDIST(AH13))</f>
        <v>#NUM!</v>
      </c>
      <c r="H13" s="35">
        <f>VLOOKUP(AA13,'Data Nifty'!A$11:AZ$113,8,0)</f>
        <v>944.1</v>
      </c>
      <c r="I13" s="36">
        <f>VLOOKUP(AA13,'Data Nifty'!A$11:AZ$113,7,0)</f>
        <v>47.44</v>
      </c>
      <c r="J13" s="37">
        <f>J22-900</f>
        <v>11000</v>
      </c>
      <c r="K13" s="36">
        <f>VLOOKUP(AB13,'Data Nifty'!B$11:BN$113,20,0)</f>
        <v>26.96</v>
      </c>
      <c r="L13" s="36">
        <f>VLOOKUP(AB13,'Data Nifty'!B$11:BN$113,19,0)</f>
        <v>1.4</v>
      </c>
      <c r="M13" s="35" t="e">
        <f t="shared" ref="M13:M31" si="6">((J13*EXP(((-1*AC13)*AE13)))*NORMSDIST((-1*AK13)))-(($E$5*EXP(((-1*AF13)*AE13)))*NORMSDIST((-1*AJ13)))</f>
        <v>#NUM!</v>
      </c>
      <c r="N13" s="34" t="e">
        <f t="shared" ref="N13:N31" si="7">EXP(((-1*AF13)*AE13))*((NORMSDIST(AJ13))-1)</f>
        <v>#NUM!</v>
      </c>
      <c r="O13" s="38" t="e">
        <f t="shared" ref="O13:O31" si="8">(((((-1*(((($E$5*((1/SQRT((2*PI())))*EXP(((-1*POWER(AJ13,2))/2))))*AI13)*EXP(((-1*AE13)*AF13)))))/(2*SQRT(AE13)))-(((AF13*$E$5)*NORMSDIST((-1*AJ13)))*EXP(((-1*AE13)*AF13))))+(((AC13*J13)*EXP(((-1*AC13)*AE13)))*NORMSDIST((-1*AK13)))))/365</f>
        <v>#NUM!</v>
      </c>
      <c r="P13" s="32" t="e">
        <f t="shared" ref="P13:P31" si="9">((((1/SQRT((2*PI())))*EXP(((-1*POWER(AJ13,2))/2)))*EXP(((-1*AE13)*AF13)))/(($E$5*AI13)*SQRT(AE13)))</f>
        <v>#NUM!</v>
      </c>
      <c r="Q13" s="31" t="e">
        <f t="shared" ref="Q13:Q31" si="10">(((((1/SQRT((2*PI())))*EXP(((-1*POWER(AJ13,2))/2)))*EXP(((-1*AE13)*AF13)))*$E$5)*SQRT(AE13))/100</f>
        <v>#NUM!</v>
      </c>
      <c r="R13" s="39" t="e">
        <f t="shared" ref="R13:R31" si="11">(((((-1*J13)*AE13)*EXP(((-1*AC13)*AE13)))*NORMSDIST((-1*AK13)))*EXP(((-1*AF13)*AE13)))/100</f>
        <v>#NUM!</v>
      </c>
      <c r="S13" s="2"/>
      <c r="AA13" s="6" t="str">
        <f t="shared" ref="AA13:AA31" si="12">"CE"&amp;J13</f>
        <v>CE11000</v>
      </c>
      <c r="AB13" s="6" t="str">
        <f t="shared" ref="AB13:AB31" si="13">"PE"&amp;J13</f>
        <v>PE11000</v>
      </c>
      <c r="AC13" s="6">
        <f t="shared" ref="AC13:AC31" si="14">$E$6/100</f>
        <v>6.5000000000000002E-2</v>
      </c>
      <c r="AD13" s="6">
        <f t="shared" ref="AD13:AD31" si="15">I13/100</f>
        <v>0.47439999999999999</v>
      </c>
      <c r="AE13" s="6">
        <f t="shared" ref="AE13:AE31" si="16">$E$7/365</f>
        <v>-1.3616438356164384</v>
      </c>
      <c r="AF13" s="6">
        <f t="shared" ref="AF13:AF31" si="17">$E$8/100</f>
        <v>0</v>
      </c>
      <c r="AG13" s="6" t="e">
        <f t="shared" ref="AG13:AG31" si="18">(LN(($E$5/J13))+(((AC13-AF13)+(POWER(AD13,2)/2))*AE13))/(AD13*SQRT(AE13))</f>
        <v>#NUM!</v>
      </c>
      <c r="AH13" s="6" t="e">
        <f t="shared" ref="AH13:AH31" si="19">(LN(($E$5/J13))+(((AC13-AF13)-(POWER(AD13,2)/2))*AE13))/(AD13*SQRT(AE13))</f>
        <v>#NUM!</v>
      </c>
      <c r="AI13" s="6">
        <f t="shared" ref="AI13:AI31" si="20">K13/100</f>
        <v>0.26960000000000001</v>
      </c>
      <c r="AJ13" s="6" t="e">
        <f t="shared" ref="AJ13:AJ31" si="21">(LN(($E$5/J13))+(((AC13-AF13)+(POWER(AI13,2)/2))*AE13))/(AI13*SQRT(AE13))</f>
        <v>#NUM!</v>
      </c>
      <c r="AK13" s="6" t="e">
        <f t="shared" ref="AK13:AK31" si="22">(LN(($E$5/J13))+(((AC13-AF13)-(POWER(AI13,2)/2))*AE13))/(AI13*SQRT(AE13))</f>
        <v>#NUM!</v>
      </c>
    </row>
    <row r="14" spans="1:37" ht="15.75" x14ac:dyDescent="0.25">
      <c r="A14" s="2"/>
      <c r="B14" s="30" t="e">
        <f t="shared" si="0"/>
        <v>#NUM!</v>
      </c>
      <c r="C14" s="31" t="e">
        <f t="shared" si="1"/>
        <v>#NUM!</v>
      </c>
      <c r="D14" s="32" t="e">
        <f t="shared" si="2"/>
        <v>#NUM!</v>
      </c>
      <c r="E14" s="33" t="e">
        <f t="shared" si="3"/>
        <v>#NUM!</v>
      </c>
      <c r="F14" s="32" t="e">
        <f t="shared" si="4"/>
        <v>#NUM!</v>
      </c>
      <c r="G14" s="35" t="e">
        <f t="shared" si="5"/>
        <v>#NUM!</v>
      </c>
      <c r="H14" s="35">
        <f>VLOOKUP(AA14,'Data Nifty'!A$11:AZ$113,8,0)</f>
        <v>844.2</v>
      </c>
      <c r="I14" s="36">
        <f>VLOOKUP(AA14,'Data Nifty'!A$11:AZ$113,7,0)</f>
        <v>43.36</v>
      </c>
      <c r="J14" s="37">
        <f>J22-800</f>
        <v>11100</v>
      </c>
      <c r="K14" s="36">
        <f>VLOOKUP(AB14,'Data Nifty'!B$11:BN$113,20,0)</f>
        <v>25.01</v>
      </c>
      <c r="L14" s="36">
        <f>VLOOKUP(AB14,'Data Nifty'!B$11:BN$113,19,0)</f>
        <v>1.75</v>
      </c>
      <c r="M14" s="35" t="e">
        <f t="shared" si="6"/>
        <v>#NUM!</v>
      </c>
      <c r="N14" s="34" t="e">
        <f t="shared" si="7"/>
        <v>#NUM!</v>
      </c>
      <c r="O14" s="38" t="e">
        <f t="shared" si="8"/>
        <v>#NUM!</v>
      </c>
      <c r="P14" s="32" t="e">
        <f t="shared" si="9"/>
        <v>#NUM!</v>
      </c>
      <c r="Q14" s="31" t="e">
        <f t="shared" si="10"/>
        <v>#NUM!</v>
      </c>
      <c r="R14" s="39" t="e">
        <f t="shared" si="11"/>
        <v>#NUM!</v>
      </c>
      <c r="S14" s="2"/>
      <c r="AA14" s="6" t="str">
        <f t="shared" si="12"/>
        <v>CE11100</v>
      </c>
      <c r="AB14" s="6" t="str">
        <f t="shared" si="13"/>
        <v>PE11100</v>
      </c>
      <c r="AC14" s="6">
        <f t="shared" si="14"/>
        <v>6.5000000000000002E-2</v>
      </c>
      <c r="AD14" s="6">
        <f t="shared" si="15"/>
        <v>0.43359999999999999</v>
      </c>
      <c r="AE14" s="6">
        <f t="shared" si="16"/>
        <v>-1.3616438356164384</v>
      </c>
      <c r="AF14" s="6">
        <f t="shared" si="17"/>
        <v>0</v>
      </c>
      <c r="AG14" s="6" t="e">
        <f t="shared" si="18"/>
        <v>#NUM!</v>
      </c>
      <c r="AH14" s="6" t="e">
        <f t="shared" si="19"/>
        <v>#NUM!</v>
      </c>
      <c r="AI14" s="6">
        <f t="shared" si="20"/>
        <v>0.25009999999999999</v>
      </c>
      <c r="AJ14" s="6" t="e">
        <f t="shared" si="21"/>
        <v>#NUM!</v>
      </c>
      <c r="AK14" s="6" t="e">
        <f t="shared" si="22"/>
        <v>#NUM!</v>
      </c>
    </row>
    <row r="15" spans="1:37" ht="15.75" x14ac:dyDescent="0.25">
      <c r="A15" s="2"/>
      <c r="B15" s="30" t="e">
        <f t="shared" si="0"/>
        <v>#NUM!</v>
      </c>
      <c r="C15" s="31" t="e">
        <f t="shared" si="1"/>
        <v>#NUM!</v>
      </c>
      <c r="D15" s="32" t="e">
        <f t="shared" si="2"/>
        <v>#NUM!</v>
      </c>
      <c r="E15" s="33" t="e">
        <f t="shared" si="3"/>
        <v>#NUM!</v>
      </c>
      <c r="F15" s="34" t="e">
        <f t="shared" si="4"/>
        <v>#NUM!</v>
      </c>
      <c r="G15" s="35" t="e">
        <f t="shared" si="5"/>
        <v>#NUM!</v>
      </c>
      <c r="H15" s="35">
        <f>VLOOKUP(AA15,'Data Nifty'!A$11:AZ$113,8,0)</f>
        <v>744.25</v>
      </c>
      <c r="I15" s="36">
        <f>VLOOKUP(AA15,'Data Nifty'!A$11:AZ$113,7,0)</f>
        <v>39.22</v>
      </c>
      <c r="J15" s="37">
        <f>J22-700</f>
        <v>11200</v>
      </c>
      <c r="K15" s="36">
        <f>VLOOKUP(AB15,'Data Nifty'!B$11:BN$113,20,0)</f>
        <v>22.24</v>
      </c>
      <c r="L15" s="36">
        <f>VLOOKUP(AB15,'Data Nifty'!B$11:BN$113,19,0)</f>
        <v>1.75</v>
      </c>
      <c r="M15" s="35" t="e">
        <f t="shared" si="6"/>
        <v>#NUM!</v>
      </c>
      <c r="N15" s="34" t="e">
        <f t="shared" si="7"/>
        <v>#NUM!</v>
      </c>
      <c r="O15" s="38" t="e">
        <f t="shared" si="8"/>
        <v>#NUM!</v>
      </c>
      <c r="P15" s="32" t="e">
        <f t="shared" si="9"/>
        <v>#NUM!</v>
      </c>
      <c r="Q15" s="31" t="e">
        <f t="shared" si="10"/>
        <v>#NUM!</v>
      </c>
      <c r="R15" s="39" t="e">
        <f t="shared" si="11"/>
        <v>#NUM!</v>
      </c>
      <c r="S15" s="2"/>
      <c r="AA15" s="6" t="str">
        <f t="shared" si="12"/>
        <v>CE11200</v>
      </c>
      <c r="AB15" s="6" t="str">
        <f t="shared" si="13"/>
        <v>PE11200</v>
      </c>
      <c r="AC15" s="6">
        <f t="shared" si="14"/>
        <v>6.5000000000000002E-2</v>
      </c>
      <c r="AD15" s="6">
        <f t="shared" si="15"/>
        <v>0.39219999999999999</v>
      </c>
      <c r="AE15" s="6">
        <f t="shared" si="16"/>
        <v>-1.3616438356164384</v>
      </c>
      <c r="AF15" s="6">
        <f t="shared" si="17"/>
        <v>0</v>
      </c>
      <c r="AG15" s="6" t="e">
        <f t="shared" si="18"/>
        <v>#NUM!</v>
      </c>
      <c r="AH15" s="6" t="e">
        <f t="shared" si="19"/>
        <v>#NUM!</v>
      </c>
      <c r="AI15" s="6">
        <f t="shared" si="20"/>
        <v>0.22239999999999999</v>
      </c>
      <c r="AJ15" s="6" t="e">
        <f t="shared" si="21"/>
        <v>#NUM!</v>
      </c>
      <c r="AK15" s="6" t="e">
        <f t="shared" si="22"/>
        <v>#NUM!</v>
      </c>
    </row>
    <row r="16" spans="1:37" ht="15.75" x14ac:dyDescent="0.25">
      <c r="A16" s="2"/>
      <c r="B16" s="30" t="e">
        <f t="shared" si="0"/>
        <v>#NUM!</v>
      </c>
      <c r="C16" s="31" t="e">
        <f t="shared" si="1"/>
        <v>#NUM!</v>
      </c>
      <c r="D16" s="32" t="e">
        <f t="shared" si="2"/>
        <v>#NUM!</v>
      </c>
      <c r="E16" s="33" t="e">
        <f t="shared" si="3"/>
        <v>#NUM!</v>
      </c>
      <c r="F16" s="34" t="e">
        <f t="shared" si="4"/>
        <v>#NUM!</v>
      </c>
      <c r="G16" s="35" t="e">
        <f t="shared" si="5"/>
        <v>#NUM!</v>
      </c>
      <c r="H16" s="35">
        <f>VLOOKUP(AA16,'Data Nifty'!A$11:AZ$113,8,0)</f>
        <v>644.6</v>
      </c>
      <c r="I16" s="36">
        <f>VLOOKUP(AA16,'Data Nifty'!A$11:AZ$113,7,0)</f>
        <v>35.14</v>
      </c>
      <c r="J16" s="37">
        <f>J22-600</f>
        <v>11300</v>
      </c>
      <c r="K16" s="36">
        <f>VLOOKUP(AB16,'Data Nifty'!B$11:BN$113,20,0)</f>
        <v>19.690000000000001</v>
      </c>
      <c r="L16" s="36">
        <f>VLOOKUP(AB16,'Data Nifty'!B$11:BN$113,19,0)</f>
        <v>1.9</v>
      </c>
      <c r="M16" s="35" t="e">
        <f t="shared" si="6"/>
        <v>#NUM!</v>
      </c>
      <c r="N16" s="34" t="e">
        <f t="shared" si="7"/>
        <v>#NUM!</v>
      </c>
      <c r="O16" s="38" t="e">
        <f t="shared" si="8"/>
        <v>#NUM!</v>
      </c>
      <c r="P16" s="32" t="e">
        <f t="shared" si="9"/>
        <v>#NUM!</v>
      </c>
      <c r="Q16" s="31" t="e">
        <f t="shared" si="10"/>
        <v>#NUM!</v>
      </c>
      <c r="R16" s="39" t="e">
        <f t="shared" si="11"/>
        <v>#NUM!</v>
      </c>
      <c r="S16" s="2"/>
      <c r="AA16" s="6" t="str">
        <f t="shared" si="12"/>
        <v>CE11300</v>
      </c>
      <c r="AB16" s="6" t="str">
        <f t="shared" si="13"/>
        <v>PE11300</v>
      </c>
      <c r="AC16" s="6">
        <f t="shared" si="14"/>
        <v>6.5000000000000002E-2</v>
      </c>
      <c r="AD16" s="6">
        <f t="shared" si="15"/>
        <v>0.35139999999999999</v>
      </c>
      <c r="AE16" s="6">
        <f t="shared" si="16"/>
        <v>-1.3616438356164384</v>
      </c>
      <c r="AF16" s="6">
        <f t="shared" si="17"/>
        <v>0</v>
      </c>
      <c r="AG16" s="6" t="e">
        <f t="shared" si="18"/>
        <v>#NUM!</v>
      </c>
      <c r="AH16" s="6" t="e">
        <f t="shared" si="19"/>
        <v>#NUM!</v>
      </c>
      <c r="AI16" s="6">
        <f t="shared" si="20"/>
        <v>0.19690000000000002</v>
      </c>
      <c r="AJ16" s="6" t="e">
        <f t="shared" si="21"/>
        <v>#NUM!</v>
      </c>
      <c r="AK16" s="6" t="e">
        <f t="shared" si="22"/>
        <v>#NUM!</v>
      </c>
    </row>
    <row r="17" spans="1:37" ht="15.75" x14ac:dyDescent="0.25">
      <c r="A17" s="2"/>
      <c r="B17" s="30" t="e">
        <f t="shared" si="0"/>
        <v>#NUM!</v>
      </c>
      <c r="C17" s="31" t="e">
        <f t="shared" si="1"/>
        <v>#NUM!</v>
      </c>
      <c r="D17" s="32" t="e">
        <f t="shared" si="2"/>
        <v>#NUM!</v>
      </c>
      <c r="E17" s="33" t="e">
        <f t="shared" si="3"/>
        <v>#NUM!</v>
      </c>
      <c r="F17" s="34" t="e">
        <f t="shared" si="4"/>
        <v>#NUM!</v>
      </c>
      <c r="G17" s="35" t="e">
        <f t="shared" si="5"/>
        <v>#NUM!</v>
      </c>
      <c r="H17" s="35">
        <f>VLOOKUP(AA17,'Data Nifty'!A$11:AZ$113,8,0)</f>
        <v>531.54999999999995</v>
      </c>
      <c r="I17" s="36">
        <f>VLOOKUP(AA17,'Data Nifty'!A$11:AZ$113,7,0)</f>
        <v>26.32</v>
      </c>
      <c r="J17" s="37">
        <f>J22-500</f>
        <v>11400</v>
      </c>
      <c r="K17" s="36">
        <f>VLOOKUP(AB17,'Data Nifty'!B$11:BN$113,20,0)</f>
        <v>17.72</v>
      </c>
      <c r="L17" s="36">
        <f>VLOOKUP(AB17,'Data Nifty'!B$11:BN$113,19,0)</f>
        <v>2.6</v>
      </c>
      <c r="M17" s="35" t="e">
        <f t="shared" si="6"/>
        <v>#NUM!</v>
      </c>
      <c r="N17" s="34" t="e">
        <f t="shared" si="7"/>
        <v>#NUM!</v>
      </c>
      <c r="O17" s="38" t="e">
        <f t="shared" si="8"/>
        <v>#NUM!</v>
      </c>
      <c r="P17" s="32" t="e">
        <f t="shared" si="9"/>
        <v>#NUM!</v>
      </c>
      <c r="Q17" s="31" t="e">
        <f t="shared" si="10"/>
        <v>#NUM!</v>
      </c>
      <c r="R17" s="39" t="e">
        <f t="shared" si="11"/>
        <v>#NUM!</v>
      </c>
      <c r="S17" s="2"/>
      <c r="AA17" s="6" t="str">
        <f t="shared" si="12"/>
        <v>CE11400</v>
      </c>
      <c r="AB17" s="6" t="str">
        <f t="shared" si="13"/>
        <v>PE11400</v>
      </c>
      <c r="AC17" s="6">
        <f t="shared" si="14"/>
        <v>6.5000000000000002E-2</v>
      </c>
      <c r="AD17" s="6">
        <f t="shared" si="15"/>
        <v>0.26319999999999999</v>
      </c>
      <c r="AE17" s="6">
        <f t="shared" si="16"/>
        <v>-1.3616438356164384</v>
      </c>
      <c r="AF17" s="6">
        <f t="shared" si="17"/>
        <v>0</v>
      </c>
      <c r="AG17" s="6" t="e">
        <f t="shared" si="18"/>
        <v>#NUM!</v>
      </c>
      <c r="AH17" s="6" t="e">
        <f t="shared" si="19"/>
        <v>#NUM!</v>
      </c>
      <c r="AI17" s="6">
        <f t="shared" si="20"/>
        <v>0.1772</v>
      </c>
      <c r="AJ17" s="6" t="e">
        <f t="shared" si="21"/>
        <v>#NUM!</v>
      </c>
      <c r="AK17" s="6" t="e">
        <f t="shared" si="22"/>
        <v>#NUM!</v>
      </c>
    </row>
    <row r="18" spans="1:37" ht="15.75" x14ac:dyDescent="0.25">
      <c r="A18" s="2"/>
      <c r="B18" s="30" t="e">
        <f t="shared" si="0"/>
        <v>#NUM!</v>
      </c>
      <c r="C18" s="31" t="e">
        <f t="shared" si="1"/>
        <v>#NUM!</v>
      </c>
      <c r="D18" s="32" t="e">
        <f t="shared" si="2"/>
        <v>#NUM!</v>
      </c>
      <c r="E18" s="33" t="e">
        <f t="shared" si="3"/>
        <v>#NUM!</v>
      </c>
      <c r="F18" s="34" t="e">
        <f t="shared" si="4"/>
        <v>#NUM!</v>
      </c>
      <c r="G18" s="35" t="e">
        <f t="shared" si="5"/>
        <v>#NUM!</v>
      </c>
      <c r="H18" s="35">
        <f>VLOOKUP(AA18,'Data Nifty'!A$11:AZ$113,8,0)</f>
        <v>423.55</v>
      </c>
      <c r="I18" s="36">
        <f>VLOOKUP(AA18,'Data Nifty'!A$11:AZ$113,7,0)</f>
        <v>19.059999999999999</v>
      </c>
      <c r="J18" s="37">
        <f>J22-400</f>
        <v>11500</v>
      </c>
      <c r="K18" s="36">
        <f>VLOOKUP(AB18,'Data Nifty'!B$11:BN$113,20,0)</f>
        <v>15.28</v>
      </c>
      <c r="L18" s="36">
        <f>VLOOKUP(AB18,'Data Nifty'!B$11:BN$113,19,0)</f>
        <v>3.2</v>
      </c>
      <c r="M18" s="35" t="e">
        <f t="shared" si="6"/>
        <v>#NUM!</v>
      </c>
      <c r="N18" s="34" t="e">
        <f t="shared" si="7"/>
        <v>#NUM!</v>
      </c>
      <c r="O18" s="38" t="e">
        <f t="shared" si="8"/>
        <v>#NUM!</v>
      </c>
      <c r="P18" s="32" t="e">
        <f t="shared" si="9"/>
        <v>#NUM!</v>
      </c>
      <c r="Q18" s="31" t="e">
        <f t="shared" si="10"/>
        <v>#NUM!</v>
      </c>
      <c r="R18" s="39" t="e">
        <f t="shared" si="11"/>
        <v>#NUM!</v>
      </c>
      <c r="S18" s="2"/>
      <c r="AA18" s="6" t="str">
        <f t="shared" si="12"/>
        <v>CE11500</v>
      </c>
      <c r="AB18" s="6" t="str">
        <f t="shared" si="13"/>
        <v>PE11500</v>
      </c>
      <c r="AC18" s="6">
        <f t="shared" si="14"/>
        <v>6.5000000000000002E-2</v>
      </c>
      <c r="AD18" s="6">
        <f t="shared" si="15"/>
        <v>0.19059999999999999</v>
      </c>
      <c r="AE18" s="6">
        <f t="shared" si="16"/>
        <v>-1.3616438356164384</v>
      </c>
      <c r="AF18" s="6">
        <f t="shared" si="17"/>
        <v>0</v>
      </c>
      <c r="AG18" s="6" t="e">
        <f t="shared" si="18"/>
        <v>#NUM!</v>
      </c>
      <c r="AH18" s="6" t="e">
        <f t="shared" si="19"/>
        <v>#NUM!</v>
      </c>
      <c r="AI18" s="6">
        <f t="shared" si="20"/>
        <v>0.15279999999999999</v>
      </c>
      <c r="AJ18" s="6" t="e">
        <f t="shared" si="21"/>
        <v>#NUM!</v>
      </c>
      <c r="AK18" s="6" t="e">
        <f t="shared" si="22"/>
        <v>#NUM!</v>
      </c>
    </row>
    <row r="19" spans="1:37" ht="15.75" x14ac:dyDescent="0.25">
      <c r="A19" s="2"/>
      <c r="B19" s="30" t="e">
        <f t="shared" si="0"/>
        <v>#NUM!</v>
      </c>
      <c r="C19" s="31" t="e">
        <f t="shared" si="1"/>
        <v>#NUM!</v>
      </c>
      <c r="D19" s="32" t="e">
        <f t="shared" si="2"/>
        <v>#NUM!</v>
      </c>
      <c r="E19" s="33" t="e">
        <f t="shared" si="3"/>
        <v>#NUM!</v>
      </c>
      <c r="F19" s="34" t="e">
        <f t="shared" si="4"/>
        <v>#NUM!</v>
      </c>
      <c r="G19" s="35" t="e">
        <f t="shared" si="5"/>
        <v>#NUM!</v>
      </c>
      <c r="H19" s="35">
        <f>VLOOKUP(AA19,'Data Nifty'!A$11:AZ$113,8,0)</f>
        <v>325.5</v>
      </c>
      <c r="I19" s="36">
        <f>VLOOKUP(AA19,'Data Nifty'!A$11:AZ$113,7,0)</f>
        <v>16.12</v>
      </c>
      <c r="J19" s="37">
        <f>J22-300</f>
        <v>11600</v>
      </c>
      <c r="K19" s="36">
        <f>VLOOKUP(AB19,'Data Nifty'!B$11:BN$113,20,0)</f>
        <v>13.16</v>
      </c>
      <c r="L19" s="36">
        <f>VLOOKUP(AB19,'Data Nifty'!B$11:BN$113,19,0)</f>
        <v>4.75</v>
      </c>
      <c r="M19" s="35" t="e">
        <f t="shared" si="6"/>
        <v>#NUM!</v>
      </c>
      <c r="N19" s="34" t="e">
        <f t="shared" si="7"/>
        <v>#NUM!</v>
      </c>
      <c r="O19" s="38" t="e">
        <f t="shared" si="8"/>
        <v>#NUM!</v>
      </c>
      <c r="P19" s="32" t="e">
        <f t="shared" si="9"/>
        <v>#NUM!</v>
      </c>
      <c r="Q19" s="31" t="e">
        <f t="shared" si="10"/>
        <v>#NUM!</v>
      </c>
      <c r="R19" s="39" t="e">
        <f t="shared" si="11"/>
        <v>#NUM!</v>
      </c>
      <c r="S19" s="2"/>
      <c r="AA19" s="6" t="str">
        <f t="shared" si="12"/>
        <v>CE11600</v>
      </c>
      <c r="AB19" s="6" t="str">
        <f t="shared" si="13"/>
        <v>PE11600</v>
      </c>
      <c r="AC19" s="6">
        <f t="shared" si="14"/>
        <v>6.5000000000000002E-2</v>
      </c>
      <c r="AD19" s="6">
        <f t="shared" si="15"/>
        <v>0.16120000000000001</v>
      </c>
      <c r="AE19" s="6">
        <f t="shared" si="16"/>
        <v>-1.3616438356164384</v>
      </c>
      <c r="AF19" s="6">
        <f t="shared" si="17"/>
        <v>0</v>
      </c>
      <c r="AG19" s="6" t="e">
        <f t="shared" si="18"/>
        <v>#NUM!</v>
      </c>
      <c r="AH19" s="6" t="e">
        <f t="shared" si="19"/>
        <v>#NUM!</v>
      </c>
      <c r="AI19" s="6">
        <f t="shared" si="20"/>
        <v>0.13159999999999999</v>
      </c>
      <c r="AJ19" s="6" t="e">
        <f t="shared" si="21"/>
        <v>#NUM!</v>
      </c>
      <c r="AK19" s="6" t="e">
        <f t="shared" si="22"/>
        <v>#NUM!</v>
      </c>
    </row>
    <row r="20" spans="1:37" ht="15.75" x14ac:dyDescent="0.25">
      <c r="A20" s="2"/>
      <c r="B20" s="30" t="e">
        <f t="shared" si="0"/>
        <v>#NUM!</v>
      </c>
      <c r="C20" s="31" t="e">
        <f t="shared" si="1"/>
        <v>#NUM!</v>
      </c>
      <c r="D20" s="32" t="e">
        <f t="shared" si="2"/>
        <v>#NUM!</v>
      </c>
      <c r="E20" s="33" t="e">
        <f t="shared" si="3"/>
        <v>#NUM!</v>
      </c>
      <c r="F20" s="34" t="e">
        <f t="shared" si="4"/>
        <v>#NUM!</v>
      </c>
      <c r="G20" s="35" t="e">
        <f t="shared" si="5"/>
        <v>#NUM!</v>
      </c>
      <c r="H20" s="35">
        <f>VLOOKUP(AA20,'Data Nifty'!A$11:AZ$113,8,0)</f>
        <v>233</v>
      </c>
      <c r="I20" s="36">
        <f>VLOOKUP(AA20,'Data Nifty'!A$11:AZ$113,7,0)</f>
        <v>14.36</v>
      </c>
      <c r="J20" s="37">
        <f>J22-200</f>
        <v>11700</v>
      </c>
      <c r="K20" s="36">
        <f>VLOOKUP(AB20,'Data Nifty'!B$11:BN$113,20,0)</f>
        <v>12.25</v>
      </c>
      <c r="L20" s="36">
        <f>VLOOKUP(AB20,'Data Nifty'!B$11:BN$113,19,0)</f>
        <v>11.3</v>
      </c>
      <c r="M20" s="35" t="e">
        <f t="shared" si="6"/>
        <v>#NUM!</v>
      </c>
      <c r="N20" s="34" t="e">
        <f t="shared" si="7"/>
        <v>#NUM!</v>
      </c>
      <c r="O20" s="38" t="e">
        <f t="shared" si="8"/>
        <v>#NUM!</v>
      </c>
      <c r="P20" s="32" t="e">
        <f t="shared" si="9"/>
        <v>#NUM!</v>
      </c>
      <c r="Q20" s="31" t="e">
        <f t="shared" si="10"/>
        <v>#NUM!</v>
      </c>
      <c r="R20" s="39" t="e">
        <f t="shared" si="11"/>
        <v>#NUM!</v>
      </c>
      <c r="S20" s="2"/>
      <c r="AA20" s="6" t="str">
        <f t="shared" si="12"/>
        <v>CE11700</v>
      </c>
      <c r="AB20" s="6" t="str">
        <f t="shared" si="13"/>
        <v>PE11700</v>
      </c>
      <c r="AC20" s="6">
        <f t="shared" si="14"/>
        <v>6.5000000000000002E-2</v>
      </c>
      <c r="AD20" s="6">
        <f t="shared" si="15"/>
        <v>0.14360000000000001</v>
      </c>
      <c r="AE20" s="6">
        <f t="shared" si="16"/>
        <v>-1.3616438356164384</v>
      </c>
      <c r="AF20" s="6">
        <f t="shared" si="17"/>
        <v>0</v>
      </c>
      <c r="AG20" s="6" t="e">
        <f t="shared" si="18"/>
        <v>#NUM!</v>
      </c>
      <c r="AH20" s="6" t="e">
        <f t="shared" si="19"/>
        <v>#NUM!</v>
      </c>
      <c r="AI20" s="6">
        <f t="shared" si="20"/>
        <v>0.1225</v>
      </c>
      <c r="AJ20" s="6" t="e">
        <f t="shared" si="21"/>
        <v>#NUM!</v>
      </c>
      <c r="AK20" s="6" t="e">
        <f t="shared" si="22"/>
        <v>#NUM!</v>
      </c>
    </row>
    <row r="21" spans="1:37" ht="15.75" x14ac:dyDescent="0.25">
      <c r="A21" s="2"/>
      <c r="B21" s="30" t="e">
        <f t="shared" si="0"/>
        <v>#NUM!</v>
      </c>
      <c r="C21" s="31" t="e">
        <f t="shared" si="1"/>
        <v>#NUM!</v>
      </c>
      <c r="D21" s="32" t="e">
        <f t="shared" si="2"/>
        <v>#NUM!</v>
      </c>
      <c r="E21" s="33" t="e">
        <f t="shared" si="3"/>
        <v>#NUM!</v>
      </c>
      <c r="F21" s="34" t="e">
        <f t="shared" si="4"/>
        <v>#NUM!</v>
      </c>
      <c r="G21" s="35" t="e">
        <f t="shared" si="5"/>
        <v>#NUM!</v>
      </c>
      <c r="H21" s="35">
        <f>VLOOKUP(AA21,'Data Nifty'!A$11:AZ$113,8,0)</f>
        <v>149.6</v>
      </c>
      <c r="I21" s="36">
        <f>VLOOKUP(AA21,'Data Nifty'!A$11:AZ$113,7,0)</f>
        <v>13.12</v>
      </c>
      <c r="J21" s="37">
        <f>J22-100</f>
        <v>11800</v>
      </c>
      <c r="K21" s="36">
        <f>VLOOKUP(AB21,'Data Nifty'!B$11:BN$113,20,0)</f>
        <v>11.36</v>
      </c>
      <c r="L21" s="36">
        <f>VLOOKUP(AB21,'Data Nifty'!B$11:BN$113,19,0)</f>
        <v>26.1</v>
      </c>
      <c r="M21" s="35" t="e">
        <f t="shared" si="6"/>
        <v>#NUM!</v>
      </c>
      <c r="N21" s="34" t="e">
        <f t="shared" si="7"/>
        <v>#NUM!</v>
      </c>
      <c r="O21" s="38" t="e">
        <f t="shared" si="8"/>
        <v>#NUM!</v>
      </c>
      <c r="P21" s="32" t="e">
        <f t="shared" si="9"/>
        <v>#NUM!</v>
      </c>
      <c r="Q21" s="31" t="e">
        <f t="shared" si="10"/>
        <v>#NUM!</v>
      </c>
      <c r="R21" s="39" t="e">
        <f t="shared" si="11"/>
        <v>#NUM!</v>
      </c>
      <c r="S21" s="2"/>
      <c r="AA21" s="6" t="str">
        <f t="shared" si="12"/>
        <v>CE11800</v>
      </c>
      <c r="AB21" s="6" t="str">
        <f t="shared" si="13"/>
        <v>PE11800</v>
      </c>
      <c r="AC21" s="6">
        <f t="shared" si="14"/>
        <v>6.5000000000000002E-2</v>
      </c>
      <c r="AD21" s="6">
        <f t="shared" si="15"/>
        <v>0.13119999999999998</v>
      </c>
      <c r="AE21" s="6">
        <f t="shared" si="16"/>
        <v>-1.3616438356164384</v>
      </c>
      <c r="AF21" s="6">
        <f t="shared" si="17"/>
        <v>0</v>
      </c>
      <c r="AG21" s="6" t="e">
        <f t="shared" si="18"/>
        <v>#NUM!</v>
      </c>
      <c r="AH21" s="6" t="e">
        <f t="shared" si="19"/>
        <v>#NUM!</v>
      </c>
      <c r="AI21" s="6">
        <f t="shared" si="20"/>
        <v>0.11359999999999999</v>
      </c>
      <c r="AJ21" s="6" t="e">
        <f t="shared" si="21"/>
        <v>#NUM!</v>
      </c>
      <c r="AK21" s="6" t="e">
        <f t="shared" si="22"/>
        <v>#NUM!</v>
      </c>
    </row>
    <row r="22" spans="1:37" ht="15.75" x14ac:dyDescent="0.25">
      <c r="A22" s="2"/>
      <c r="B22" s="30" t="e">
        <f t="shared" si="0"/>
        <v>#NUM!</v>
      </c>
      <c r="C22" s="31" t="e">
        <f t="shared" si="1"/>
        <v>#NUM!</v>
      </c>
      <c r="D22" s="32" t="e">
        <f t="shared" si="2"/>
        <v>#NUM!</v>
      </c>
      <c r="E22" s="33" t="e">
        <f t="shared" si="3"/>
        <v>#NUM!</v>
      </c>
      <c r="F22" s="34" t="e">
        <f t="shared" si="4"/>
        <v>#NUM!</v>
      </c>
      <c r="G22" s="35" t="e">
        <f t="shared" si="5"/>
        <v>#NUM!</v>
      </c>
      <c r="H22" s="35">
        <f>VLOOKUP(AA22,'Data Nifty'!A$11:AZ$113,8,0)</f>
        <v>81.45</v>
      </c>
      <c r="I22" s="36">
        <f>VLOOKUP(AA22,'Data Nifty'!A$11:AZ$113,7,0)</f>
        <v>12.14</v>
      </c>
      <c r="J22" s="5">
        <f>'Data Nifty'!A5</f>
        <v>11900</v>
      </c>
      <c r="K22" s="36">
        <f>VLOOKUP(AB22,'Data Nifty'!B$11:BN$113,20,0)</f>
        <v>10.58</v>
      </c>
      <c r="L22" s="36">
        <f>VLOOKUP(AB22,'Data Nifty'!B$11:BN$113,19,0)</f>
        <v>57.2</v>
      </c>
      <c r="M22" s="35" t="e">
        <f t="shared" si="6"/>
        <v>#NUM!</v>
      </c>
      <c r="N22" s="34" t="e">
        <f t="shared" si="7"/>
        <v>#NUM!</v>
      </c>
      <c r="O22" s="38" t="e">
        <f t="shared" si="8"/>
        <v>#NUM!</v>
      </c>
      <c r="P22" s="32" t="e">
        <f t="shared" si="9"/>
        <v>#NUM!</v>
      </c>
      <c r="Q22" s="31" t="e">
        <f t="shared" si="10"/>
        <v>#NUM!</v>
      </c>
      <c r="R22" s="39" t="e">
        <f t="shared" si="11"/>
        <v>#NUM!</v>
      </c>
      <c r="S22" s="2"/>
      <c r="AA22" s="6" t="str">
        <f t="shared" si="12"/>
        <v>CE11900</v>
      </c>
      <c r="AB22" s="6" t="str">
        <f t="shared" si="13"/>
        <v>PE11900</v>
      </c>
      <c r="AC22" s="6">
        <f t="shared" si="14"/>
        <v>6.5000000000000002E-2</v>
      </c>
      <c r="AD22" s="6">
        <f t="shared" si="15"/>
        <v>0.12140000000000001</v>
      </c>
      <c r="AE22" s="6">
        <f t="shared" si="16"/>
        <v>-1.3616438356164384</v>
      </c>
      <c r="AF22" s="6">
        <f t="shared" si="17"/>
        <v>0</v>
      </c>
      <c r="AG22" s="6" t="e">
        <f t="shared" si="18"/>
        <v>#NUM!</v>
      </c>
      <c r="AH22" s="6" t="e">
        <f t="shared" si="19"/>
        <v>#NUM!</v>
      </c>
      <c r="AI22" s="6">
        <f t="shared" si="20"/>
        <v>0.10580000000000001</v>
      </c>
      <c r="AJ22" s="6" t="e">
        <f t="shared" si="21"/>
        <v>#NUM!</v>
      </c>
      <c r="AK22" s="6" t="e">
        <f t="shared" si="22"/>
        <v>#NUM!</v>
      </c>
    </row>
    <row r="23" spans="1:37" ht="15.75" x14ac:dyDescent="0.25">
      <c r="A23" s="2"/>
      <c r="B23" s="30" t="e">
        <f t="shared" si="0"/>
        <v>#NUM!</v>
      </c>
      <c r="C23" s="31" t="e">
        <f t="shared" si="1"/>
        <v>#NUM!</v>
      </c>
      <c r="D23" s="32" t="e">
        <f t="shared" si="2"/>
        <v>#NUM!</v>
      </c>
      <c r="E23" s="33" t="e">
        <f t="shared" si="3"/>
        <v>#NUM!</v>
      </c>
      <c r="F23" s="34" t="e">
        <f t="shared" si="4"/>
        <v>#NUM!</v>
      </c>
      <c r="G23" s="35" t="e">
        <f t="shared" si="5"/>
        <v>#NUM!</v>
      </c>
      <c r="H23" s="35">
        <f>VLOOKUP(AA23,'Data Nifty'!A$11:AZ$113,8,0)</f>
        <v>36.950000000000003</v>
      </c>
      <c r="I23" s="36">
        <f>VLOOKUP(AA23,'Data Nifty'!A$11:AZ$113,7,0)</f>
        <v>11.72</v>
      </c>
      <c r="J23" s="37">
        <f t="shared" ref="J23:J28" si="23">J22+100</f>
        <v>12000</v>
      </c>
      <c r="K23" s="36">
        <f>VLOOKUP(AB23,'Data Nifty'!B$11:BN$113,20,0)</f>
        <v>10.24</v>
      </c>
      <c r="L23" s="36">
        <f>VLOOKUP(AB23,'Data Nifty'!B$11:BN$113,19,0)</f>
        <v>114</v>
      </c>
      <c r="M23" s="35" t="e">
        <f t="shared" si="6"/>
        <v>#NUM!</v>
      </c>
      <c r="N23" s="34" t="e">
        <f t="shared" si="7"/>
        <v>#NUM!</v>
      </c>
      <c r="O23" s="38" t="e">
        <f t="shared" si="8"/>
        <v>#NUM!</v>
      </c>
      <c r="P23" s="32" t="e">
        <f t="shared" si="9"/>
        <v>#NUM!</v>
      </c>
      <c r="Q23" s="31" t="e">
        <f t="shared" si="10"/>
        <v>#NUM!</v>
      </c>
      <c r="R23" s="39" t="e">
        <f t="shared" si="11"/>
        <v>#NUM!</v>
      </c>
      <c r="S23" s="2"/>
      <c r="AA23" s="6" t="str">
        <f t="shared" si="12"/>
        <v>CE12000</v>
      </c>
      <c r="AB23" s="6" t="str">
        <f t="shared" si="13"/>
        <v>PE12000</v>
      </c>
      <c r="AC23" s="6">
        <f t="shared" si="14"/>
        <v>6.5000000000000002E-2</v>
      </c>
      <c r="AD23" s="6">
        <f t="shared" si="15"/>
        <v>0.11720000000000001</v>
      </c>
      <c r="AE23" s="6">
        <f t="shared" si="16"/>
        <v>-1.3616438356164384</v>
      </c>
      <c r="AF23" s="6">
        <f t="shared" si="17"/>
        <v>0</v>
      </c>
      <c r="AG23" s="6" t="e">
        <f t="shared" si="18"/>
        <v>#NUM!</v>
      </c>
      <c r="AH23" s="6" t="e">
        <f t="shared" si="19"/>
        <v>#NUM!</v>
      </c>
      <c r="AI23" s="6">
        <f t="shared" si="20"/>
        <v>0.1024</v>
      </c>
      <c r="AJ23" s="6" t="e">
        <f t="shared" si="21"/>
        <v>#NUM!</v>
      </c>
      <c r="AK23" s="6" t="e">
        <f t="shared" si="22"/>
        <v>#NUM!</v>
      </c>
    </row>
    <row r="24" spans="1:37" ht="15.75" x14ac:dyDescent="0.25">
      <c r="A24" s="2"/>
      <c r="B24" s="30" t="e">
        <f t="shared" si="0"/>
        <v>#NUM!</v>
      </c>
      <c r="C24" s="31" t="e">
        <f t="shared" si="1"/>
        <v>#NUM!</v>
      </c>
      <c r="D24" s="32" t="e">
        <f t="shared" si="2"/>
        <v>#NUM!</v>
      </c>
      <c r="E24" s="33" t="e">
        <f t="shared" si="3"/>
        <v>#NUM!</v>
      </c>
      <c r="F24" s="34" t="e">
        <f t="shared" si="4"/>
        <v>#NUM!</v>
      </c>
      <c r="G24" s="35" t="e">
        <f t="shared" si="5"/>
        <v>#NUM!</v>
      </c>
      <c r="H24" s="35">
        <f>VLOOKUP(AA24,'Data Nifty'!A$11:AZ$113,8,0)</f>
        <v>12.75</v>
      </c>
      <c r="I24" s="36">
        <f>VLOOKUP(AA24,'Data Nifty'!A$11:AZ$113,7,0)</f>
        <v>11.29</v>
      </c>
      <c r="J24" s="37">
        <f t="shared" si="23"/>
        <v>12100</v>
      </c>
      <c r="K24" s="36">
        <f>VLOOKUP(AB24,'Data Nifty'!B$11:BN$113,20,0)</f>
        <v>7.84</v>
      </c>
      <c r="L24" s="36">
        <f>VLOOKUP(AB24,'Data Nifty'!B$11:BN$113,19,0)</f>
        <v>188.1</v>
      </c>
      <c r="M24" s="35" t="e">
        <f t="shared" si="6"/>
        <v>#NUM!</v>
      </c>
      <c r="N24" s="34" t="e">
        <f t="shared" si="7"/>
        <v>#NUM!</v>
      </c>
      <c r="O24" s="38" t="e">
        <f t="shared" si="8"/>
        <v>#NUM!</v>
      </c>
      <c r="P24" s="32" t="e">
        <f t="shared" si="9"/>
        <v>#NUM!</v>
      </c>
      <c r="Q24" s="31" t="e">
        <f t="shared" si="10"/>
        <v>#NUM!</v>
      </c>
      <c r="R24" s="39" t="e">
        <f t="shared" si="11"/>
        <v>#NUM!</v>
      </c>
      <c r="S24" s="2"/>
      <c r="AA24" s="6" t="str">
        <f t="shared" si="12"/>
        <v>CE12100</v>
      </c>
      <c r="AB24" s="6" t="str">
        <f t="shared" si="13"/>
        <v>PE12100</v>
      </c>
      <c r="AC24" s="6">
        <f t="shared" si="14"/>
        <v>6.5000000000000002E-2</v>
      </c>
      <c r="AD24" s="6">
        <f t="shared" si="15"/>
        <v>0.11289999999999999</v>
      </c>
      <c r="AE24" s="6">
        <f t="shared" si="16"/>
        <v>-1.3616438356164384</v>
      </c>
      <c r="AF24" s="6">
        <f t="shared" si="17"/>
        <v>0</v>
      </c>
      <c r="AG24" s="6" t="e">
        <f t="shared" si="18"/>
        <v>#NUM!</v>
      </c>
      <c r="AH24" s="6" t="e">
        <f t="shared" si="19"/>
        <v>#NUM!</v>
      </c>
      <c r="AI24" s="6">
        <f t="shared" si="20"/>
        <v>7.8399999999999997E-2</v>
      </c>
      <c r="AJ24" s="6" t="e">
        <f t="shared" si="21"/>
        <v>#NUM!</v>
      </c>
      <c r="AK24" s="6" t="e">
        <f t="shared" si="22"/>
        <v>#NUM!</v>
      </c>
    </row>
    <row r="25" spans="1:37" ht="15.75" x14ac:dyDescent="0.25">
      <c r="A25" s="2"/>
      <c r="B25" s="30" t="e">
        <f t="shared" si="0"/>
        <v>#NUM!</v>
      </c>
      <c r="C25" s="31" t="e">
        <f t="shared" si="1"/>
        <v>#NUM!</v>
      </c>
      <c r="D25" s="32" t="e">
        <f t="shared" si="2"/>
        <v>#NUM!</v>
      </c>
      <c r="E25" s="33" t="e">
        <f t="shared" si="3"/>
        <v>#NUM!</v>
      </c>
      <c r="F25" s="34" t="e">
        <f t="shared" si="4"/>
        <v>#NUM!</v>
      </c>
      <c r="G25" s="35" t="e">
        <f t="shared" si="5"/>
        <v>#NUM!</v>
      </c>
      <c r="H25" s="35">
        <f>VLOOKUP(AA25,'Data Nifty'!A$11:AZ$113,8,0)</f>
        <v>3.4</v>
      </c>
      <c r="I25" s="36">
        <f>VLOOKUP(AA25,'Data Nifty'!A$11:AZ$113,7,0)</f>
        <v>11.08</v>
      </c>
      <c r="J25" s="37">
        <f t="shared" si="23"/>
        <v>12200</v>
      </c>
      <c r="K25" s="36" t="str">
        <f>VLOOKUP(AB25,'Data Nifty'!B$11:BN$113,20,0)</f>
        <v>-</v>
      </c>
      <c r="L25" s="36">
        <f>VLOOKUP(AB25,'Data Nifty'!B$11:BN$113,19,0)</f>
        <v>282</v>
      </c>
      <c r="M25" s="35" t="e">
        <f t="shared" si="6"/>
        <v>#VALUE!</v>
      </c>
      <c r="N25" s="34" t="e">
        <f t="shared" si="7"/>
        <v>#VALUE!</v>
      </c>
      <c r="O25" s="38" t="e">
        <f t="shared" si="8"/>
        <v>#VALUE!</v>
      </c>
      <c r="P25" s="32" t="e">
        <f t="shared" si="9"/>
        <v>#VALUE!</v>
      </c>
      <c r="Q25" s="31" t="e">
        <f t="shared" si="10"/>
        <v>#VALUE!</v>
      </c>
      <c r="R25" s="39" t="e">
        <f t="shared" si="11"/>
        <v>#VALUE!</v>
      </c>
      <c r="S25" s="2"/>
      <c r="AA25" s="6" t="str">
        <f t="shared" si="12"/>
        <v>CE12200</v>
      </c>
      <c r="AB25" s="6" t="str">
        <f t="shared" si="13"/>
        <v>PE12200</v>
      </c>
      <c r="AC25" s="6">
        <f t="shared" si="14"/>
        <v>6.5000000000000002E-2</v>
      </c>
      <c r="AD25" s="6">
        <f t="shared" si="15"/>
        <v>0.1108</v>
      </c>
      <c r="AE25" s="6">
        <f t="shared" si="16"/>
        <v>-1.3616438356164384</v>
      </c>
      <c r="AF25" s="6">
        <f t="shared" si="17"/>
        <v>0</v>
      </c>
      <c r="AG25" s="6" t="e">
        <f t="shared" si="18"/>
        <v>#NUM!</v>
      </c>
      <c r="AH25" s="6" t="e">
        <f t="shared" si="19"/>
        <v>#NUM!</v>
      </c>
      <c r="AI25" s="6" t="e">
        <f t="shared" si="20"/>
        <v>#VALUE!</v>
      </c>
      <c r="AJ25" s="6" t="e">
        <f t="shared" si="21"/>
        <v>#VALUE!</v>
      </c>
      <c r="AK25" s="6" t="e">
        <f t="shared" si="22"/>
        <v>#VALUE!</v>
      </c>
    </row>
    <row r="26" spans="1:37" ht="15.75" x14ac:dyDescent="0.25">
      <c r="A26" s="2"/>
      <c r="B26" s="30" t="e">
        <f t="shared" si="0"/>
        <v>#NUM!</v>
      </c>
      <c r="C26" s="31" t="e">
        <f t="shared" si="1"/>
        <v>#NUM!</v>
      </c>
      <c r="D26" s="32" t="e">
        <f t="shared" si="2"/>
        <v>#NUM!</v>
      </c>
      <c r="E26" s="33" t="e">
        <f t="shared" si="3"/>
        <v>#NUM!</v>
      </c>
      <c r="F26" s="34" t="e">
        <f t="shared" si="4"/>
        <v>#NUM!</v>
      </c>
      <c r="G26" s="35" t="e">
        <f t="shared" si="5"/>
        <v>#NUM!</v>
      </c>
      <c r="H26" s="35">
        <f>VLOOKUP(AA26,'Data Nifty'!A$11:AZ$113,8,0)</f>
        <v>1.6</v>
      </c>
      <c r="I26" s="36">
        <f>VLOOKUP(AA26,'Data Nifty'!A$11:AZ$113,7,0)</f>
        <v>12.37</v>
      </c>
      <c r="J26" s="37">
        <f t="shared" si="23"/>
        <v>12300</v>
      </c>
      <c r="K26" s="36" t="str">
        <f>VLOOKUP(AB26,'Data Nifty'!B$11:BN$113,20,0)</f>
        <v>-</v>
      </c>
      <c r="L26" s="36">
        <f>VLOOKUP(AB26,'Data Nifty'!B$11:BN$113,19,0)</f>
        <v>381.05</v>
      </c>
      <c r="M26" s="35" t="e">
        <f t="shared" si="6"/>
        <v>#VALUE!</v>
      </c>
      <c r="N26" s="34" t="e">
        <f t="shared" si="7"/>
        <v>#VALUE!</v>
      </c>
      <c r="O26" s="38" t="e">
        <f t="shared" si="8"/>
        <v>#VALUE!</v>
      </c>
      <c r="P26" s="32" t="e">
        <f t="shared" si="9"/>
        <v>#VALUE!</v>
      </c>
      <c r="Q26" s="31" t="e">
        <f t="shared" si="10"/>
        <v>#VALUE!</v>
      </c>
      <c r="R26" s="39" t="e">
        <f t="shared" si="11"/>
        <v>#VALUE!</v>
      </c>
      <c r="S26" s="2"/>
      <c r="AA26" s="6" t="str">
        <f t="shared" si="12"/>
        <v>CE12300</v>
      </c>
      <c r="AB26" s="6" t="str">
        <f t="shared" si="13"/>
        <v>PE12300</v>
      </c>
      <c r="AC26" s="6">
        <f t="shared" si="14"/>
        <v>6.5000000000000002E-2</v>
      </c>
      <c r="AD26" s="6">
        <f t="shared" si="15"/>
        <v>0.12369999999999999</v>
      </c>
      <c r="AE26" s="6">
        <f t="shared" si="16"/>
        <v>-1.3616438356164384</v>
      </c>
      <c r="AF26" s="6">
        <f t="shared" si="17"/>
        <v>0</v>
      </c>
      <c r="AG26" s="6" t="e">
        <f t="shared" si="18"/>
        <v>#NUM!</v>
      </c>
      <c r="AH26" s="6" t="e">
        <f t="shared" si="19"/>
        <v>#NUM!</v>
      </c>
      <c r="AI26" s="6" t="e">
        <f t="shared" si="20"/>
        <v>#VALUE!</v>
      </c>
      <c r="AJ26" s="6" t="e">
        <f t="shared" si="21"/>
        <v>#VALUE!</v>
      </c>
      <c r="AK26" s="6" t="e">
        <f t="shared" si="22"/>
        <v>#VALUE!</v>
      </c>
    </row>
    <row r="27" spans="1:37" ht="15.75" x14ac:dyDescent="0.25">
      <c r="A27" s="2"/>
      <c r="B27" s="30" t="e">
        <f t="shared" si="0"/>
        <v>#NUM!</v>
      </c>
      <c r="C27" s="31" t="e">
        <f t="shared" si="1"/>
        <v>#NUM!</v>
      </c>
      <c r="D27" s="32" t="e">
        <f t="shared" si="2"/>
        <v>#NUM!</v>
      </c>
      <c r="E27" s="33" t="e">
        <f t="shared" si="3"/>
        <v>#NUM!</v>
      </c>
      <c r="F27" s="34" t="e">
        <f t="shared" si="4"/>
        <v>#NUM!</v>
      </c>
      <c r="G27" s="35" t="e">
        <f t="shared" si="5"/>
        <v>#NUM!</v>
      </c>
      <c r="H27" s="35">
        <f>VLOOKUP(AA27,'Data Nifty'!A$11:AZ$113,8,0)</f>
        <v>1.05</v>
      </c>
      <c r="I27" s="36">
        <f>VLOOKUP(AA27,'Data Nifty'!A$11:AZ$113,7,0)</f>
        <v>14.1</v>
      </c>
      <c r="J27" s="37">
        <f t="shared" si="23"/>
        <v>12400</v>
      </c>
      <c r="K27" s="36" t="str">
        <f>VLOOKUP(AB27,'Data Nifty'!B$11:BN$113,20,0)</f>
        <v>-</v>
      </c>
      <c r="L27" s="36">
        <f>VLOOKUP(AB27,'Data Nifty'!B$11:BN$113,19,0)</f>
        <v>471.7</v>
      </c>
      <c r="M27" s="35" t="e">
        <f t="shared" si="6"/>
        <v>#VALUE!</v>
      </c>
      <c r="N27" s="34" t="e">
        <f t="shared" si="7"/>
        <v>#VALUE!</v>
      </c>
      <c r="O27" s="38" t="e">
        <f t="shared" si="8"/>
        <v>#VALUE!</v>
      </c>
      <c r="P27" s="32" t="e">
        <f t="shared" si="9"/>
        <v>#VALUE!</v>
      </c>
      <c r="Q27" s="31" t="e">
        <f t="shared" si="10"/>
        <v>#VALUE!</v>
      </c>
      <c r="R27" s="39" t="e">
        <f t="shared" si="11"/>
        <v>#VALUE!</v>
      </c>
      <c r="S27" s="2"/>
      <c r="AA27" s="6" t="str">
        <f t="shared" si="12"/>
        <v>CE12400</v>
      </c>
      <c r="AB27" s="6" t="str">
        <f t="shared" si="13"/>
        <v>PE12400</v>
      </c>
      <c r="AC27" s="6">
        <f t="shared" si="14"/>
        <v>6.5000000000000002E-2</v>
      </c>
      <c r="AD27" s="6">
        <f t="shared" si="15"/>
        <v>0.14099999999999999</v>
      </c>
      <c r="AE27" s="6">
        <f t="shared" si="16"/>
        <v>-1.3616438356164384</v>
      </c>
      <c r="AF27" s="6">
        <f t="shared" si="17"/>
        <v>0</v>
      </c>
      <c r="AG27" s="6" t="e">
        <f t="shared" si="18"/>
        <v>#NUM!</v>
      </c>
      <c r="AH27" s="6" t="e">
        <f t="shared" si="19"/>
        <v>#NUM!</v>
      </c>
      <c r="AI27" s="6" t="e">
        <f t="shared" si="20"/>
        <v>#VALUE!</v>
      </c>
      <c r="AJ27" s="6" t="e">
        <f t="shared" si="21"/>
        <v>#VALUE!</v>
      </c>
      <c r="AK27" s="6" t="e">
        <f t="shared" si="22"/>
        <v>#VALUE!</v>
      </c>
    </row>
    <row r="28" spans="1:37" ht="15.75" x14ac:dyDescent="0.25">
      <c r="A28" s="2"/>
      <c r="B28" s="30" t="e">
        <f t="shared" si="0"/>
        <v>#NUM!</v>
      </c>
      <c r="C28" s="31" t="e">
        <f t="shared" si="1"/>
        <v>#NUM!</v>
      </c>
      <c r="D28" s="32" t="e">
        <f t="shared" si="2"/>
        <v>#NUM!</v>
      </c>
      <c r="E28" s="33" t="e">
        <f t="shared" si="3"/>
        <v>#NUM!</v>
      </c>
      <c r="F28" s="34" t="e">
        <f t="shared" si="4"/>
        <v>#NUM!</v>
      </c>
      <c r="G28" s="35" t="e">
        <f t="shared" si="5"/>
        <v>#NUM!</v>
      </c>
      <c r="H28" s="35">
        <f>VLOOKUP(AA28,'Data Nifty'!A$11:AZ$113,8,0)</f>
        <v>0.65</v>
      </c>
      <c r="I28" s="36">
        <f>VLOOKUP(AA28,'Data Nifty'!A$11:AZ$113,7,0)</f>
        <v>15.55</v>
      </c>
      <c r="J28" s="37">
        <f t="shared" si="23"/>
        <v>12500</v>
      </c>
      <c r="K28" s="36" t="str">
        <f>VLOOKUP(AB28,'Data Nifty'!B$11:BN$113,20,0)</f>
        <v>-</v>
      </c>
      <c r="L28" s="36">
        <f>VLOOKUP(AB28,'Data Nifty'!B$11:BN$113,19,0)</f>
        <v>557.29999999999995</v>
      </c>
      <c r="M28" s="35" t="e">
        <f t="shared" si="6"/>
        <v>#VALUE!</v>
      </c>
      <c r="N28" s="34" t="e">
        <f t="shared" si="7"/>
        <v>#VALUE!</v>
      </c>
      <c r="O28" s="38" t="e">
        <f t="shared" si="8"/>
        <v>#VALUE!</v>
      </c>
      <c r="P28" s="32" t="e">
        <f t="shared" si="9"/>
        <v>#VALUE!</v>
      </c>
      <c r="Q28" s="31" t="e">
        <f t="shared" si="10"/>
        <v>#VALUE!</v>
      </c>
      <c r="R28" s="39" t="e">
        <f t="shared" si="11"/>
        <v>#VALUE!</v>
      </c>
      <c r="S28" s="2"/>
      <c r="AA28" s="6" t="str">
        <f t="shared" si="12"/>
        <v>CE12500</v>
      </c>
      <c r="AB28" s="6" t="str">
        <f t="shared" si="13"/>
        <v>PE12500</v>
      </c>
      <c r="AC28" s="6">
        <f t="shared" si="14"/>
        <v>6.5000000000000002E-2</v>
      </c>
      <c r="AD28" s="6">
        <f t="shared" si="15"/>
        <v>0.1555</v>
      </c>
      <c r="AE28" s="6">
        <f t="shared" si="16"/>
        <v>-1.3616438356164384</v>
      </c>
      <c r="AF28" s="6">
        <f t="shared" si="17"/>
        <v>0</v>
      </c>
      <c r="AG28" s="6" t="e">
        <f t="shared" si="18"/>
        <v>#NUM!</v>
      </c>
      <c r="AH28" s="6" t="e">
        <f t="shared" si="19"/>
        <v>#NUM!</v>
      </c>
      <c r="AI28" s="6" t="e">
        <f t="shared" si="20"/>
        <v>#VALUE!</v>
      </c>
      <c r="AJ28" s="6" t="e">
        <f t="shared" si="21"/>
        <v>#VALUE!</v>
      </c>
      <c r="AK28" s="6" t="e">
        <f t="shared" si="22"/>
        <v>#VALUE!</v>
      </c>
    </row>
    <row r="29" spans="1:37" ht="15.75" x14ac:dyDescent="0.25">
      <c r="A29" s="2"/>
      <c r="B29" s="30" t="e">
        <f t="shared" si="0"/>
        <v>#NUM!</v>
      </c>
      <c r="C29" s="31" t="e">
        <f t="shared" si="1"/>
        <v>#NUM!</v>
      </c>
      <c r="D29" s="32" t="e">
        <f t="shared" si="2"/>
        <v>#NUM!</v>
      </c>
      <c r="E29" s="33" t="e">
        <f t="shared" si="3"/>
        <v>#NUM!</v>
      </c>
      <c r="F29" s="34" t="e">
        <f t="shared" si="4"/>
        <v>#NUM!</v>
      </c>
      <c r="G29" s="35" t="e">
        <f t="shared" si="5"/>
        <v>#NUM!</v>
      </c>
      <c r="H29" s="35">
        <f>VLOOKUP(AA29,'Data Nifty'!A$11:AZ$113,8,0)</f>
        <v>0.35</v>
      </c>
      <c r="I29" s="36">
        <f>VLOOKUP(AA29,'Data Nifty'!A$11:AZ$113,7,0)</f>
        <v>16.600000000000001</v>
      </c>
      <c r="J29" s="37">
        <f>J28+100</f>
        <v>12600</v>
      </c>
      <c r="K29" s="36" t="str">
        <f>VLOOKUP(AB29,'Data Nifty'!B$11:BN$113,20,0)</f>
        <v>-</v>
      </c>
      <c r="L29" s="36">
        <f>VLOOKUP(AB29,'Data Nifty'!B$11:BN$113,19,0)</f>
        <v>644.20000000000005</v>
      </c>
      <c r="M29" s="35" t="e">
        <f t="shared" si="6"/>
        <v>#VALUE!</v>
      </c>
      <c r="N29" s="34" t="e">
        <f t="shared" si="7"/>
        <v>#VALUE!</v>
      </c>
      <c r="O29" s="38" t="e">
        <f t="shared" si="8"/>
        <v>#VALUE!</v>
      </c>
      <c r="P29" s="32" t="e">
        <f t="shared" si="9"/>
        <v>#VALUE!</v>
      </c>
      <c r="Q29" s="31" t="e">
        <f t="shared" si="10"/>
        <v>#VALUE!</v>
      </c>
      <c r="R29" s="39" t="e">
        <f t="shared" si="11"/>
        <v>#VALUE!</v>
      </c>
      <c r="S29" s="2"/>
      <c r="AA29" s="6" t="str">
        <f t="shared" si="12"/>
        <v>CE12600</v>
      </c>
      <c r="AB29" s="6" t="str">
        <f t="shared" si="13"/>
        <v>PE12600</v>
      </c>
      <c r="AC29" s="6">
        <f t="shared" si="14"/>
        <v>6.5000000000000002E-2</v>
      </c>
      <c r="AD29" s="6">
        <f t="shared" si="15"/>
        <v>0.16600000000000001</v>
      </c>
      <c r="AE29" s="6">
        <f t="shared" si="16"/>
        <v>-1.3616438356164384</v>
      </c>
      <c r="AF29" s="6">
        <f t="shared" si="17"/>
        <v>0</v>
      </c>
      <c r="AG29" s="6" t="e">
        <f t="shared" si="18"/>
        <v>#NUM!</v>
      </c>
      <c r="AH29" s="6" t="e">
        <f t="shared" si="19"/>
        <v>#NUM!</v>
      </c>
      <c r="AI29" s="6" t="e">
        <f t="shared" si="20"/>
        <v>#VALUE!</v>
      </c>
      <c r="AJ29" s="6" t="e">
        <f t="shared" si="21"/>
        <v>#VALUE!</v>
      </c>
      <c r="AK29" s="6" t="e">
        <f t="shared" si="22"/>
        <v>#VALUE!</v>
      </c>
    </row>
    <row r="30" spans="1:37" ht="15.75" x14ac:dyDescent="0.25">
      <c r="A30" s="2"/>
      <c r="B30" s="30" t="e">
        <f t="shared" si="0"/>
        <v>#NUM!</v>
      </c>
      <c r="C30" s="31" t="e">
        <f t="shared" si="1"/>
        <v>#NUM!</v>
      </c>
      <c r="D30" s="32" t="e">
        <f t="shared" si="2"/>
        <v>#NUM!</v>
      </c>
      <c r="E30" s="33" t="e">
        <f t="shared" si="3"/>
        <v>#NUM!</v>
      </c>
      <c r="F30" s="34" t="e">
        <f t="shared" si="4"/>
        <v>#NUM!</v>
      </c>
      <c r="G30" s="35" t="e">
        <f t="shared" si="5"/>
        <v>#NUM!</v>
      </c>
      <c r="H30" s="35">
        <f>VLOOKUP(AA30,'Data Nifty'!A$11:AZ$113,8,0)</f>
        <v>0.4</v>
      </c>
      <c r="I30" s="36">
        <f>VLOOKUP(AA30,'Data Nifty'!A$11:AZ$113,7,0)</f>
        <v>18.940000000000001</v>
      </c>
      <c r="J30" s="37">
        <f>J29+100</f>
        <v>12700</v>
      </c>
      <c r="K30" s="36" t="str">
        <f>VLOOKUP(AB30,'Data Nifty'!B$11:BN$113,20,0)</f>
        <v>-</v>
      </c>
      <c r="L30" s="36">
        <f>VLOOKUP(AB30,'Data Nifty'!B$11:BN$113,19,0)</f>
        <v>742.4</v>
      </c>
      <c r="M30" s="35" t="e">
        <f t="shared" si="6"/>
        <v>#VALUE!</v>
      </c>
      <c r="N30" s="34" t="e">
        <f t="shared" si="7"/>
        <v>#VALUE!</v>
      </c>
      <c r="O30" s="38" t="e">
        <f t="shared" si="8"/>
        <v>#VALUE!</v>
      </c>
      <c r="P30" s="32" t="e">
        <f t="shared" si="9"/>
        <v>#VALUE!</v>
      </c>
      <c r="Q30" s="31" t="e">
        <f t="shared" si="10"/>
        <v>#VALUE!</v>
      </c>
      <c r="R30" s="39" t="e">
        <f t="shared" si="11"/>
        <v>#VALUE!</v>
      </c>
      <c r="S30" s="2"/>
      <c r="AA30" s="6" t="str">
        <f t="shared" si="12"/>
        <v>CE12700</v>
      </c>
      <c r="AB30" s="6" t="str">
        <f t="shared" si="13"/>
        <v>PE12700</v>
      </c>
      <c r="AC30" s="6">
        <f t="shared" si="14"/>
        <v>6.5000000000000002E-2</v>
      </c>
      <c r="AD30" s="6">
        <f t="shared" si="15"/>
        <v>0.18940000000000001</v>
      </c>
      <c r="AE30" s="6">
        <f t="shared" si="16"/>
        <v>-1.3616438356164384</v>
      </c>
      <c r="AF30" s="6">
        <f t="shared" si="17"/>
        <v>0</v>
      </c>
      <c r="AG30" s="6" t="e">
        <f t="shared" si="18"/>
        <v>#NUM!</v>
      </c>
      <c r="AH30" s="6" t="e">
        <f t="shared" si="19"/>
        <v>#NUM!</v>
      </c>
      <c r="AI30" s="6" t="e">
        <f t="shared" si="20"/>
        <v>#VALUE!</v>
      </c>
      <c r="AJ30" s="6" t="e">
        <f t="shared" si="21"/>
        <v>#VALUE!</v>
      </c>
      <c r="AK30" s="6" t="e">
        <f t="shared" si="22"/>
        <v>#VALUE!</v>
      </c>
    </row>
    <row r="31" spans="1:37" ht="15.75" x14ac:dyDescent="0.25">
      <c r="A31" s="2"/>
      <c r="B31" s="30" t="e">
        <f t="shared" si="0"/>
        <v>#VALUE!</v>
      </c>
      <c r="C31" s="31" t="e">
        <f t="shared" si="1"/>
        <v>#VALUE!</v>
      </c>
      <c r="D31" s="32" t="e">
        <f t="shared" si="2"/>
        <v>#VALUE!</v>
      </c>
      <c r="E31" s="33" t="e">
        <f t="shared" si="3"/>
        <v>#VALUE!</v>
      </c>
      <c r="F31" s="34" t="e">
        <f t="shared" si="4"/>
        <v>#VALUE!</v>
      </c>
      <c r="G31" s="35" t="e">
        <f t="shared" si="5"/>
        <v>#VALUE!</v>
      </c>
      <c r="H31" s="35" t="str">
        <f>VLOOKUP(AA31,'Data Nifty'!A$11:AZ$113,8,0)</f>
        <v>-</v>
      </c>
      <c r="I31" s="36" t="str">
        <f>VLOOKUP(AA31,'Data Nifty'!A$11:AZ$113,7,0)</f>
        <v>-</v>
      </c>
      <c r="J31" s="37">
        <f>J30+100</f>
        <v>12800</v>
      </c>
      <c r="K31" s="36" t="str">
        <f>VLOOKUP(AB31,'Data Nifty'!B$11:BN$113,20,0)</f>
        <v>-</v>
      </c>
      <c r="L31" s="36" t="str">
        <f>VLOOKUP(AB31,'Data Nifty'!B$11:BN$113,19,0)</f>
        <v>-</v>
      </c>
      <c r="M31" s="35" t="e">
        <f t="shared" si="6"/>
        <v>#VALUE!</v>
      </c>
      <c r="N31" s="34" t="e">
        <f t="shared" si="7"/>
        <v>#VALUE!</v>
      </c>
      <c r="O31" s="38" t="e">
        <f t="shared" si="8"/>
        <v>#VALUE!</v>
      </c>
      <c r="P31" s="32" t="e">
        <f t="shared" si="9"/>
        <v>#VALUE!</v>
      </c>
      <c r="Q31" s="31" t="e">
        <f t="shared" si="10"/>
        <v>#VALUE!</v>
      </c>
      <c r="R31" s="39" t="e">
        <f t="shared" si="11"/>
        <v>#VALUE!</v>
      </c>
      <c r="S31" s="2"/>
      <c r="AA31" s="6" t="str">
        <f t="shared" si="12"/>
        <v>CE12800</v>
      </c>
      <c r="AB31" s="6" t="str">
        <f t="shared" si="13"/>
        <v>PE12800</v>
      </c>
      <c r="AC31" s="6">
        <f t="shared" si="14"/>
        <v>6.5000000000000002E-2</v>
      </c>
      <c r="AD31" s="6" t="e">
        <f t="shared" si="15"/>
        <v>#VALUE!</v>
      </c>
      <c r="AE31" s="6">
        <f t="shared" si="16"/>
        <v>-1.3616438356164384</v>
      </c>
      <c r="AF31" s="6">
        <f t="shared" si="17"/>
        <v>0</v>
      </c>
      <c r="AG31" s="6" t="e">
        <f t="shared" si="18"/>
        <v>#VALUE!</v>
      </c>
      <c r="AH31" s="6" t="e">
        <f t="shared" si="19"/>
        <v>#VALUE!</v>
      </c>
      <c r="AI31" s="6" t="e">
        <f t="shared" si="20"/>
        <v>#VALUE!</v>
      </c>
      <c r="AJ31" s="6" t="e">
        <f t="shared" si="21"/>
        <v>#VALUE!</v>
      </c>
      <c r="AK31" s="6" t="e">
        <f t="shared" si="22"/>
        <v>#VALUE!</v>
      </c>
    </row>
    <row r="32" spans="1:3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25"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25"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x14ac:dyDescent="0.25"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25"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25"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x14ac:dyDescent="0.25"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25"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25"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25"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25"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x14ac:dyDescent="0.25"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25"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25"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25"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25"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27:37" x14ac:dyDescent="0.25"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27:37" x14ac:dyDescent="0.25"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27:37" x14ac:dyDescent="0.25"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27:37" x14ac:dyDescent="0.25"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27:37" x14ac:dyDescent="0.25"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27:37" x14ac:dyDescent="0.25"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27:37" x14ac:dyDescent="0.25"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27:37" x14ac:dyDescent="0.25"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27:37" x14ac:dyDescent="0.25"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27:37" x14ac:dyDescent="0.25"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27:37" x14ac:dyDescent="0.25"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27:37" x14ac:dyDescent="0.25"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27:37" x14ac:dyDescent="0.25"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27:37" x14ac:dyDescent="0.25"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27:37" x14ac:dyDescent="0.25"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27:37" x14ac:dyDescent="0.25"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27:37" x14ac:dyDescent="0.25"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27:37" x14ac:dyDescent="0.25"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27:37" x14ac:dyDescent="0.25"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27:37" x14ac:dyDescent="0.25"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27:37" x14ac:dyDescent="0.25"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27:37" x14ac:dyDescent="0.25"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27:37" x14ac:dyDescent="0.25"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27:37" x14ac:dyDescent="0.25"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27:37" x14ac:dyDescent="0.25"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27:37" x14ac:dyDescent="0.25"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27:37" x14ac:dyDescent="0.25"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27:37" x14ac:dyDescent="0.25"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27:37" x14ac:dyDescent="0.25"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27:37" x14ac:dyDescent="0.25"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27:37" x14ac:dyDescent="0.25"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27:37" x14ac:dyDescent="0.25"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27:37" x14ac:dyDescent="0.25"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27:37" x14ac:dyDescent="0.25"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27:37" x14ac:dyDescent="0.25"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27:37" x14ac:dyDescent="0.25"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27:37" x14ac:dyDescent="0.25"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27:37" x14ac:dyDescent="0.25"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27:37" x14ac:dyDescent="0.25"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27:37" x14ac:dyDescent="0.25"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27:37" x14ac:dyDescent="0.25"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27:37" x14ac:dyDescent="0.25"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27:37" x14ac:dyDescent="0.25"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27:37" ht="18" customHeight="1" x14ac:dyDescent="0.25"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27:37" ht="18" customHeight="1" x14ac:dyDescent="0.25"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27:37" ht="18" customHeight="1" x14ac:dyDescent="0.25"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27:37" ht="18" customHeight="1" x14ac:dyDescent="0.25"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27:37" x14ac:dyDescent="0.25"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27:37" x14ac:dyDescent="0.25"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27:37" x14ac:dyDescent="0.25"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27:37" x14ac:dyDescent="0.25"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27:37" x14ac:dyDescent="0.25"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27:37" x14ac:dyDescent="0.25"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27:37" x14ac:dyDescent="0.25"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27:37" x14ac:dyDescent="0.25"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27:37" x14ac:dyDescent="0.25"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27:37" x14ac:dyDescent="0.25"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27:37" x14ac:dyDescent="0.25"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27:37" x14ac:dyDescent="0.25"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27:37" x14ac:dyDescent="0.25"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27:37" x14ac:dyDescent="0.25"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27:37" x14ac:dyDescent="0.25"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27:37" x14ac:dyDescent="0.25"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</sheetData>
  <dataConsolidate function="max">
    <dataRefs count="1">
      <dataRef ref="H6:H20" sheet="MAIN OI"/>
    </dataRefs>
  </dataConsolidate>
  <mergeCells count="4">
    <mergeCell ref="D2:E2"/>
    <mergeCell ref="A1:S1"/>
    <mergeCell ref="B11:I11"/>
    <mergeCell ref="K11:R11"/>
  </mergeCells>
  <conditionalFormatting sqref="B13:G31 M13:R31">
    <cfRule type="containsErrors" dxfId="0" priority="4">
      <formula>ISERROR(B13)</formula>
    </cfRule>
  </conditionalFormatting>
  <conditionalFormatting sqref="I13:I31">
    <cfRule type="colorScale" priority="27">
      <colorScale>
        <cfvo type="min"/>
        <cfvo type="max"/>
        <color theme="6" tint="-0.249977111117893"/>
        <color theme="6" tint="0.59999389629810485"/>
      </colorScale>
    </cfRule>
  </conditionalFormatting>
  <conditionalFormatting sqref="K13:K31">
    <cfRule type="colorScale" priority="28">
      <colorScale>
        <cfvo type="min"/>
        <cfvo type="max"/>
        <color theme="5" tint="-0.249977111117893"/>
        <color theme="5" tint="0.59999389629810485"/>
      </colorScale>
    </cfRule>
  </conditionalFormatting>
  <pageMargins left="0.7" right="0.7" top="0.75" bottom="0.75" header="0.3" footer="0.3"/>
  <ignoredErrors>
    <ignoredError sqref="C14:G15 C17:G17 B17 B14:B15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N143"/>
  <sheetViews>
    <sheetView tabSelected="1" workbookViewId="0"/>
  </sheetViews>
  <sheetFormatPr defaultRowHeight="15" x14ac:dyDescent="0.25"/>
  <cols>
    <col min="1" max="1" width="12.5703125" customWidth="1"/>
    <col min="2" max="2" width="19" customWidth="1"/>
    <col min="3" max="3" width="31.140625" bestFit="1" customWidth="1"/>
    <col min="4" max="4" width="60" bestFit="1" customWidth="1"/>
    <col min="5" max="5" width="10" bestFit="1" customWidth="1"/>
    <col min="6" max="6" width="9.140625" bestFit="1" customWidth="1"/>
    <col min="7" max="7" width="4" bestFit="1" customWidth="1"/>
    <col min="8" max="8" width="5.5703125" bestFit="1" customWidth="1"/>
    <col min="9" max="9" width="9.140625" bestFit="1" customWidth="1"/>
    <col min="10" max="10" width="6.5703125" bestFit="1" customWidth="1"/>
    <col min="11" max="13" width="5.5703125" bestFit="1" customWidth="1"/>
    <col min="14" max="14" width="11" bestFit="1" customWidth="1"/>
    <col min="15" max="17" width="5.5703125" bestFit="1" customWidth="1"/>
    <col min="18" max="18" width="6.5703125" bestFit="1" customWidth="1"/>
    <col min="19" max="19" width="9.140625" bestFit="1" customWidth="1"/>
    <col min="20" max="20" width="4" bestFit="1" customWidth="1"/>
    <col min="21" max="21" width="3" bestFit="1" customWidth="1"/>
    <col min="22" max="22" width="9.140625" bestFit="1" customWidth="1"/>
    <col min="23" max="23" width="10" bestFit="1" customWidth="1"/>
    <col min="24" max="24" width="10.140625" customWidth="1"/>
    <col min="25" max="25" width="6.28515625" bestFit="1" customWidth="1"/>
    <col min="26" max="26" width="10" customWidth="1"/>
    <col min="27" max="27" width="10.42578125" style="7" bestFit="1" customWidth="1"/>
    <col min="28" max="28" width="10.140625" customWidth="1"/>
    <col min="29" max="29" width="5.5703125" customWidth="1"/>
    <col min="30" max="30" width="9.140625" customWidth="1"/>
    <col min="31" max="31" width="6.5703125" customWidth="1"/>
    <col min="32" max="33" width="5.5703125" customWidth="1"/>
    <col min="34" max="34" width="6.5703125" customWidth="1"/>
    <col min="35" max="35" width="11" customWidth="1"/>
    <col min="36" max="36" width="6.5703125" customWidth="1"/>
    <col min="37" max="39" width="5.5703125" customWidth="1"/>
    <col min="40" max="40" width="9.140625" customWidth="1"/>
    <col min="41" max="41" width="5.5703125" customWidth="1"/>
    <col min="42" max="42" width="3" customWidth="1"/>
    <col min="43" max="43" width="8" customWidth="1"/>
    <col min="44" max="44" width="10" customWidth="1"/>
    <col min="45" max="45" width="10.140625" customWidth="1"/>
    <col min="46" max="46" width="5.7109375" customWidth="1"/>
    <col min="47" max="47" width="10" customWidth="1"/>
    <col min="48" max="48" width="8" customWidth="1"/>
    <col min="49" max="49" width="6" customWidth="1"/>
    <col min="50" max="50" width="8.140625" customWidth="1"/>
    <col min="52" max="52" width="6.5703125" customWidth="1"/>
    <col min="53" max="54" width="8.140625" customWidth="1"/>
    <col min="55" max="55" width="6.5703125" customWidth="1"/>
    <col min="56" max="56" width="11" customWidth="1"/>
    <col min="57" max="57" width="7.5703125" customWidth="1"/>
    <col min="58" max="59" width="8.140625" customWidth="1"/>
    <col min="60" max="60" width="7.5703125" customWidth="1"/>
    <col min="62" max="62" width="8.140625" customWidth="1"/>
    <col min="63" max="63" width="6" customWidth="1"/>
    <col min="64" max="64" width="8" customWidth="1"/>
    <col min="65" max="65" width="10" customWidth="1"/>
    <col min="66" max="66" width="10.140625" customWidth="1"/>
    <col min="67" max="67" width="5.7109375" customWidth="1"/>
  </cols>
  <sheetData>
    <row r="1" spans="1:27" x14ac:dyDescent="0.25">
      <c r="A1" s="9" t="str">
        <f>MID(D1,40,12)</f>
        <v xml:space="preserve"> Nov 15, 201</v>
      </c>
      <c r="B1" s="11"/>
      <c r="C1" t="s">
        <v>15</v>
      </c>
      <c r="D1" s="1" t="s">
        <v>50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x14ac:dyDescent="0.25">
      <c r="A2" s="9" t="str">
        <f>"Last Update @  "&amp;MID(D1,53,8)</f>
        <v>Last Update @   15:30:3</v>
      </c>
      <c r="B2" s="1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7" x14ac:dyDescent="0.25">
      <c r="A3" s="10" t="str">
        <f>MID(D1,19,5)</f>
        <v>NIFTY</v>
      </c>
      <c r="B3" s="11"/>
      <c r="C3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</v>
      </c>
      <c r="P3" s="1"/>
      <c r="Q3" s="1"/>
      <c r="R3" s="1"/>
      <c r="S3" s="1"/>
      <c r="T3" s="1"/>
      <c r="U3" s="1"/>
      <c r="V3" s="1"/>
      <c r="W3" s="1"/>
      <c r="X3" s="1"/>
      <c r="Y3" s="1"/>
    </row>
    <row r="4" spans="1:27" x14ac:dyDescent="0.25">
      <c r="A4" s="10">
        <f>VALUE(MID(D1,25,7))</f>
        <v>11895.4</v>
      </c>
      <c r="B4" s="11"/>
      <c r="C4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9</v>
      </c>
      <c r="L4" s="1" t="s">
        <v>12</v>
      </c>
      <c r="M4" s="1" t="s">
        <v>12</v>
      </c>
      <c r="N4" s="1" t="s">
        <v>13</v>
      </c>
      <c r="O4" s="1" t="s">
        <v>9</v>
      </c>
      <c r="P4" s="1" t="s">
        <v>9</v>
      </c>
      <c r="Q4" s="1" t="s">
        <v>12</v>
      </c>
      <c r="R4" s="1" t="s">
        <v>12</v>
      </c>
      <c r="S4" s="1" t="s">
        <v>8</v>
      </c>
      <c r="T4" s="1" t="s">
        <v>7</v>
      </c>
      <c r="U4" s="1" t="s">
        <v>6</v>
      </c>
      <c r="V4" s="1" t="s">
        <v>5</v>
      </c>
      <c r="W4" s="1" t="s">
        <v>4</v>
      </c>
      <c r="X4" s="1" t="s">
        <v>3</v>
      </c>
      <c r="Y4" s="1" t="s">
        <v>2</v>
      </c>
      <c r="AA4" s="7" t="s">
        <v>45</v>
      </c>
    </row>
    <row r="5" spans="1:27" x14ac:dyDescent="0.25">
      <c r="A5" s="10">
        <f>ROUND(A4,-2)</f>
        <v>11900</v>
      </c>
      <c r="B5" s="11"/>
      <c r="D5" s="1"/>
      <c r="E5" s="1"/>
      <c r="F5" s="1"/>
      <c r="G5" s="1"/>
      <c r="H5" s="1"/>
      <c r="I5" s="1"/>
      <c r="J5" s="1" t="s">
        <v>10</v>
      </c>
      <c r="K5" s="1" t="s">
        <v>11</v>
      </c>
      <c r="L5" s="1" t="s">
        <v>11</v>
      </c>
      <c r="M5" s="1" t="s">
        <v>10</v>
      </c>
      <c r="N5" s="1"/>
      <c r="O5" s="1" t="s">
        <v>10</v>
      </c>
      <c r="P5" s="1" t="s">
        <v>11</v>
      </c>
      <c r="Q5" s="1" t="s">
        <v>11</v>
      </c>
      <c r="R5" s="1" t="s">
        <v>10</v>
      </c>
      <c r="S5" s="1"/>
      <c r="T5" s="1"/>
      <c r="U5" s="1"/>
      <c r="V5" s="1"/>
      <c r="W5" s="1"/>
      <c r="X5" s="1"/>
      <c r="Y5" s="1"/>
    </row>
    <row r="6" spans="1:27" x14ac:dyDescent="0.25">
      <c r="A6" t="str">
        <f>"CE"&amp;N6</f>
        <v>CE9200</v>
      </c>
      <c r="B6" t="str">
        <f>"PE"&amp;N6</f>
        <v>PE9200</v>
      </c>
      <c r="C6" t="s">
        <v>49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>
        <v>4875</v>
      </c>
      <c r="K6" s="1">
        <v>2443.75</v>
      </c>
      <c r="L6" s="1">
        <v>2873.7</v>
      </c>
      <c r="M6" s="1">
        <v>1350</v>
      </c>
      <c r="N6" s="1">
        <v>9200</v>
      </c>
      <c r="O6" s="1">
        <v>225</v>
      </c>
      <c r="P6" s="1">
        <v>0.25</v>
      </c>
      <c r="Q6" s="1">
        <v>0.5</v>
      </c>
      <c r="R6" s="1">
        <v>600</v>
      </c>
      <c r="S6" s="1">
        <v>-0.1</v>
      </c>
      <c r="T6" s="1">
        <v>0.3</v>
      </c>
      <c r="U6" s="1">
        <v>66.45</v>
      </c>
      <c r="V6" s="1">
        <v>3246</v>
      </c>
      <c r="W6" s="1">
        <v>2700</v>
      </c>
      <c r="X6" s="1">
        <v>2775</v>
      </c>
      <c r="Y6" s="1" t="s">
        <v>49</v>
      </c>
      <c r="AA6" s="7" t="e">
        <f>X6/D6</f>
        <v>#VALUE!</v>
      </c>
    </row>
    <row r="7" spans="1:27" x14ac:dyDescent="0.25">
      <c r="A7" t="str">
        <f t="shared" ref="A7:A41" si="0">"CE"&amp;N7</f>
        <v>CE9250</v>
      </c>
      <c r="B7" t="str">
        <f t="shared" ref="B7:B41" si="1">"PE"&amp;N7</f>
        <v>PE9250</v>
      </c>
      <c r="C7" t="s">
        <v>49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>
        <v>4875</v>
      </c>
      <c r="K7" s="1">
        <v>2437.9499999999998</v>
      </c>
      <c r="L7" s="1">
        <v>2820.75</v>
      </c>
      <c r="M7" s="1">
        <v>1350</v>
      </c>
      <c r="N7" s="1">
        <v>9250</v>
      </c>
      <c r="O7" s="1">
        <v>4950</v>
      </c>
      <c r="P7" s="1">
        <v>0.05</v>
      </c>
      <c r="Q7" s="1">
        <v>0.45</v>
      </c>
      <c r="R7" s="1">
        <v>675</v>
      </c>
      <c r="S7" s="1">
        <v>-0.1</v>
      </c>
      <c r="T7" s="1">
        <v>0.45</v>
      </c>
      <c r="U7" s="1">
        <v>67.5</v>
      </c>
      <c r="V7" s="1">
        <v>670</v>
      </c>
      <c r="W7" s="1">
        <v>-1650</v>
      </c>
      <c r="X7" s="1">
        <v>3225</v>
      </c>
      <c r="Y7" s="1" t="s">
        <v>49</v>
      </c>
      <c r="AA7" s="7" t="e">
        <f t="shared" ref="AA7:AA63" si="2">X7/D7</f>
        <v>#VALUE!</v>
      </c>
    </row>
    <row r="8" spans="1:27" x14ac:dyDescent="0.25">
      <c r="A8" t="str">
        <f t="shared" si="0"/>
        <v>CE9300</v>
      </c>
      <c r="B8" t="str">
        <f t="shared" si="1"/>
        <v>PE9300</v>
      </c>
      <c r="C8" t="s">
        <v>49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>
        <v>4875</v>
      </c>
      <c r="K8" s="1">
        <v>2392.85</v>
      </c>
      <c r="L8" s="1">
        <v>2773.8</v>
      </c>
      <c r="M8" s="1">
        <v>1350</v>
      </c>
      <c r="N8" s="1">
        <v>9300</v>
      </c>
      <c r="O8" s="1">
        <v>75</v>
      </c>
      <c r="P8" s="1">
        <v>0.15</v>
      </c>
      <c r="Q8" s="1">
        <v>0.4</v>
      </c>
      <c r="R8" s="1">
        <v>150</v>
      </c>
      <c r="S8" s="1">
        <v>-0.35</v>
      </c>
      <c r="T8" s="1">
        <v>0.35</v>
      </c>
      <c r="U8" s="1">
        <v>64.72</v>
      </c>
      <c r="V8" s="1">
        <v>408</v>
      </c>
      <c r="W8" s="1" t="s">
        <v>14</v>
      </c>
      <c r="X8" s="1">
        <v>300</v>
      </c>
      <c r="Y8" s="1" t="s">
        <v>49</v>
      </c>
      <c r="AA8" s="7" t="e">
        <f t="shared" si="2"/>
        <v>#VALUE!</v>
      </c>
    </row>
    <row r="9" spans="1:27" x14ac:dyDescent="0.25">
      <c r="A9" t="str">
        <f t="shared" si="0"/>
        <v>CE9350</v>
      </c>
      <c r="B9" t="str">
        <f t="shared" si="1"/>
        <v>PE9350</v>
      </c>
      <c r="C9" t="s">
        <v>49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>
        <v>4875</v>
      </c>
      <c r="K9" s="1">
        <v>2346.4</v>
      </c>
      <c r="L9" s="1">
        <v>2717.6</v>
      </c>
      <c r="M9" s="1">
        <v>1350</v>
      </c>
      <c r="N9" s="1">
        <v>9350</v>
      </c>
      <c r="O9" s="1">
        <v>75</v>
      </c>
      <c r="P9" s="1">
        <v>0.1</v>
      </c>
      <c r="Q9" s="1">
        <v>0.45</v>
      </c>
      <c r="R9" s="1">
        <v>75</v>
      </c>
      <c r="S9" s="1">
        <v>0.05</v>
      </c>
      <c r="T9" s="1">
        <v>0.7</v>
      </c>
      <c r="U9" s="1">
        <v>67.59</v>
      </c>
      <c r="V9" s="1">
        <v>201</v>
      </c>
      <c r="W9" s="1" t="s">
        <v>14</v>
      </c>
      <c r="X9" s="1">
        <v>75</v>
      </c>
      <c r="Y9" s="1" t="s">
        <v>49</v>
      </c>
      <c r="AA9" s="7" t="e">
        <f t="shared" si="2"/>
        <v>#VALUE!</v>
      </c>
    </row>
    <row r="10" spans="1:27" x14ac:dyDescent="0.25">
      <c r="A10" t="str">
        <f t="shared" si="0"/>
        <v>CE9400</v>
      </c>
      <c r="B10" t="str">
        <f t="shared" si="1"/>
        <v>PE9400</v>
      </c>
      <c r="C10" t="s">
        <v>49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>
        <v>4875</v>
      </c>
      <c r="K10" s="1">
        <v>2299</v>
      </c>
      <c r="L10" s="1">
        <v>2665.2</v>
      </c>
      <c r="M10" s="1">
        <v>1350</v>
      </c>
      <c r="N10" s="1">
        <v>9400</v>
      </c>
      <c r="O10" s="1">
        <v>300</v>
      </c>
      <c r="P10" s="1">
        <v>0.1</v>
      </c>
      <c r="Q10" s="1">
        <v>0.45</v>
      </c>
      <c r="R10" s="1">
        <v>225</v>
      </c>
      <c r="S10" s="1">
        <v>-8.3000000000000007</v>
      </c>
      <c r="T10" s="1">
        <v>0.55000000000000004</v>
      </c>
      <c r="U10" s="1">
        <v>64.73</v>
      </c>
      <c r="V10" s="1">
        <v>2406</v>
      </c>
      <c r="W10" s="1">
        <v>225</v>
      </c>
      <c r="X10" s="1">
        <v>225</v>
      </c>
      <c r="Y10" s="1" t="s">
        <v>49</v>
      </c>
      <c r="AA10" s="7" t="e">
        <f t="shared" si="2"/>
        <v>#VALUE!</v>
      </c>
    </row>
    <row r="11" spans="1:27" x14ac:dyDescent="0.25">
      <c r="A11" t="str">
        <f t="shared" si="0"/>
        <v>CE9450</v>
      </c>
      <c r="B11" t="str">
        <f t="shared" si="1"/>
        <v>PE9450</v>
      </c>
      <c r="C11" t="s">
        <v>49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>
        <v>6225</v>
      </c>
      <c r="K11" s="1">
        <v>2231.5500000000002</v>
      </c>
      <c r="L11" s="1">
        <v>2613.4</v>
      </c>
      <c r="M11" s="1">
        <v>1350</v>
      </c>
      <c r="N11" s="1">
        <v>9450</v>
      </c>
      <c r="O11" s="1">
        <v>300</v>
      </c>
      <c r="P11" s="1">
        <v>0.15</v>
      </c>
      <c r="Q11" s="1">
        <v>0.45</v>
      </c>
      <c r="R11" s="1">
        <v>150</v>
      </c>
      <c r="S11" s="1">
        <v>-10.15</v>
      </c>
      <c r="T11" s="1">
        <v>0.5</v>
      </c>
      <c r="U11" s="1">
        <v>62.84</v>
      </c>
      <c r="V11" s="1">
        <v>406</v>
      </c>
      <c r="W11" s="1">
        <v>150</v>
      </c>
      <c r="X11" s="1">
        <v>150</v>
      </c>
      <c r="Y11" s="1" t="s">
        <v>49</v>
      </c>
      <c r="AA11" s="7" t="e">
        <f t="shared" si="2"/>
        <v>#VALUE!</v>
      </c>
    </row>
    <row r="12" spans="1:27" x14ac:dyDescent="0.25">
      <c r="A12" t="str">
        <f t="shared" si="0"/>
        <v>CE9500</v>
      </c>
      <c r="B12" t="str">
        <f t="shared" si="1"/>
        <v>PE9500</v>
      </c>
      <c r="C12" t="s">
        <v>49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>
        <v>6225</v>
      </c>
      <c r="K12" s="1">
        <v>2189.0500000000002</v>
      </c>
      <c r="L12" s="1">
        <v>2561.9499999999998</v>
      </c>
      <c r="M12" s="1">
        <v>1350</v>
      </c>
      <c r="N12" s="1">
        <v>9500</v>
      </c>
      <c r="O12" s="1">
        <v>75</v>
      </c>
      <c r="P12" s="1">
        <v>0.45</v>
      </c>
      <c r="Q12" s="1">
        <v>0.6</v>
      </c>
      <c r="R12" s="1">
        <v>225</v>
      </c>
      <c r="S12" s="1">
        <v>-12.3</v>
      </c>
      <c r="T12" s="1">
        <v>0.4</v>
      </c>
      <c r="U12" s="1">
        <v>60.29</v>
      </c>
      <c r="V12" s="1">
        <v>4606</v>
      </c>
      <c r="W12" s="1">
        <v>225</v>
      </c>
      <c r="X12" s="1">
        <v>225</v>
      </c>
      <c r="Y12" s="1" t="s">
        <v>49</v>
      </c>
      <c r="AA12" s="7" t="e">
        <f t="shared" si="2"/>
        <v>#VALUE!</v>
      </c>
    </row>
    <row r="13" spans="1:27" x14ac:dyDescent="0.25">
      <c r="A13" t="str">
        <f t="shared" si="0"/>
        <v>CE9550</v>
      </c>
      <c r="B13" t="str">
        <f t="shared" si="1"/>
        <v>PE9550</v>
      </c>
      <c r="C13" t="s">
        <v>49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>
        <v>6225</v>
      </c>
      <c r="K13" s="1">
        <v>2141.9</v>
      </c>
      <c r="L13" s="1">
        <v>2509.4499999999998</v>
      </c>
      <c r="M13" s="1">
        <v>1350</v>
      </c>
      <c r="N13" s="1">
        <v>9550</v>
      </c>
      <c r="O13" s="1">
        <v>900</v>
      </c>
      <c r="P13" s="1">
        <v>0.1</v>
      </c>
      <c r="Q13" s="1">
        <v>1</v>
      </c>
      <c r="R13" s="1">
        <v>1500</v>
      </c>
      <c r="S13" s="1">
        <v>-14.35</v>
      </c>
      <c r="T13" s="1">
        <v>0.75</v>
      </c>
      <c r="U13" s="1">
        <v>62.59</v>
      </c>
      <c r="V13" s="1">
        <v>10007</v>
      </c>
      <c r="W13" s="1" t="s">
        <v>14</v>
      </c>
      <c r="X13" s="1" t="s">
        <v>14</v>
      </c>
      <c r="Y13" s="1" t="s">
        <v>49</v>
      </c>
      <c r="AA13" s="7" t="e">
        <f t="shared" si="2"/>
        <v>#VALUE!</v>
      </c>
    </row>
    <row r="14" spans="1:27" x14ac:dyDescent="0.25">
      <c r="A14" t="str">
        <f t="shared" si="0"/>
        <v>CE9600</v>
      </c>
      <c r="B14" t="str">
        <f t="shared" si="1"/>
        <v>PE9600</v>
      </c>
      <c r="C14" t="s">
        <v>49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>
        <v>6225</v>
      </c>
      <c r="K14" s="1">
        <v>2097.85</v>
      </c>
      <c r="L14" s="1">
        <v>2457.35</v>
      </c>
      <c r="M14" s="1">
        <v>1350</v>
      </c>
      <c r="N14" s="1">
        <v>9600</v>
      </c>
      <c r="O14" s="1">
        <v>900</v>
      </c>
      <c r="P14" s="1">
        <v>0.1</v>
      </c>
      <c r="Q14" s="1">
        <v>1.9</v>
      </c>
      <c r="R14" s="1">
        <v>3000</v>
      </c>
      <c r="S14" s="1" t="s">
        <v>14</v>
      </c>
      <c r="T14" s="1" t="s">
        <v>14</v>
      </c>
      <c r="U14" s="1" t="s">
        <v>14</v>
      </c>
      <c r="V14" s="1" t="s">
        <v>14</v>
      </c>
      <c r="W14" s="1" t="s">
        <v>14</v>
      </c>
      <c r="X14" s="1" t="s">
        <v>14</v>
      </c>
      <c r="Y14" s="1" t="s">
        <v>49</v>
      </c>
      <c r="AA14" s="7" t="e">
        <f t="shared" si="2"/>
        <v>#VALUE!</v>
      </c>
    </row>
    <row r="15" spans="1:27" x14ac:dyDescent="0.25">
      <c r="A15" t="str">
        <f t="shared" si="0"/>
        <v>CE9650</v>
      </c>
      <c r="B15" t="str">
        <f t="shared" si="1"/>
        <v>PE9650</v>
      </c>
      <c r="C15" t="s">
        <v>49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>
        <v>6150</v>
      </c>
      <c r="K15" s="1">
        <v>2053.0500000000002</v>
      </c>
      <c r="L15" s="1">
        <v>2404.75</v>
      </c>
      <c r="M15" s="1">
        <v>1275</v>
      </c>
      <c r="N15" s="1">
        <v>9650</v>
      </c>
      <c r="O15" s="1">
        <v>4500</v>
      </c>
      <c r="P15" s="1">
        <v>0.05</v>
      </c>
      <c r="Q15" s="1">
        <v>0.85</v>
      </c>
      <c r="R15" s="1">
        <v>1500</v>
      </c>
      <c r="S15" s="1" t="s">
        <v>14</v>
      </c>
      <c r="T15" s="1" t="s">
        <v>14</v>
      </c>
      <c r="U15" s="1" t="s">
        <v>14</v>
      </c>
      <c r="V15" s="1" t="s">
        <v>14</v>
      </c>
      <c r="W15" s="1" t="s">
        <v>14</v>
      </c>
      <c r="X15" s="1" t="s">
        <v>14</v>
      </c>
      <c r="Y15" s="1" t="s">
        <v>49</v>
      </c>
      <c r="AA15" s="7" t="e">
        <f t="shared" si="2"/>
        <v>#VALUE!</v>
      </c>
    </row>
    <row r="16" spans="1:27" x14ac:dyDescent="0.25">
      <c r="A16" t="str">
        <f t="shared" si="0"/>
        <v>CE9700</v>
      </c>
      <c r="B16" t="str">
        <f t="shared" si="1"/>
        <v>PE9700</v>
      </c>
      <c r="C16" t="s">
        <v>49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>
        <v>6150</v>
      </c>
      <c r="K16" s="1">
        <v>2006.1</v>
      </c>
      <c r="L16" s="1">
        <v>2355.35</v>
      </c>
      <c r="M16" s="1">
        <v>1275</v>
      </c>
      <c r="N16" s="1">
        <v>9700</v>
      </c>
      <c r="O16" s="1">
        <v>150</v>
      </c>
      <c r="P16" s="1">
        <v>0.35</v>
      </c>
      <c r="Q16" s="1">
        <v>1.25</v>
      </c>
      <c r="R16" s="1">
        <v>150</v>
      </c>
      <c r="S16" s="1">
        <v>-24.1</v>
      </c>
      <c r="T16" s="1">
        <v>0.6</v>
      </c>
      <c r="U16" s="1">
        <v>57.29</v>
      </c>
      <c r="V16" s="1">
        <v>10</v>
      </c>
      <c r="W16" s="1">
        <v>375</v>
      </c>
      <c r="X16" s="1">
        <v>375</v>
      </c>
      <c r="Y16" s="1" t="s">
        <v>49</v>
      </c>
      <c r="AA16" s="7" t="e">
        <f t="shared" si="2"/>
        <v>#VALUE!</v>
      </c>
    </row>
    <row r="17" spans="1:27" x14ac:dyDescent="0.25">
      <c r="A17" t="str">
        <f t="shared" si="0"/>
        <v>CE9750</v>
      </c>
      <c r="B17" t="str">
        <f t="shared" si="1"/>
        <v>PE9750</v>
      </c>
      <c r="C17" t="s">
        <v>49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>
        <v>6150</v>
      </c>
      <c r="K17" s="1">
        <v>1962.4</v>
      </c>
      <c r="L17" s="1">
        <v>2299.8000000000002</v>
      </c>
      <c r="M17" s="1">
        <v>1275</v>
      </c>
      <c r="N17" s="1">
        <v>9750</v>
      </c>
      <c r="O17" s="1">
        <v>4950</v>
      </c>
      <c r="P17" s="1">
        <v>0.1</v>
      </c>
      <c r="Q17" s="1">
        <v>1.5</v>
      </c>
      <c r="R17" s="1">
        <v>300</v>
      </c>
      <c r="S17" s="1">
        <v>-28.25</v>
      </c>
      <c r="T17" s="1">
        <v>0.6</v>
      </c>
      <c r="U17" s="1">
        <v>55.98</v>
      </c>
      <c r="V17" s="1">
        <v>3200</v>
      </c>
      <c r="W17" s="1" t="s">
        <v>14</v>
      </c>
      <c r="X17" s="1" t="s">
        <v>14</v>
      </c>
      <c r="Y17" s="1" t="s">
        <v>49</v>
      </c>
      <c r="AA17" s="7" t="e">
        <f t="shared" si="2"/>
        <v>#VALUE!</v>
      </c>
    </row>
    <row r="18" spans="1:27" x14ac:dyDescent="0.25">
      <c r="A18" t="str">
        <f t="shared" si="0"/>
        <v>CE9800</v>
      </c>
      <c r="B18" t="str">
        <f t="shared" si="1"/>
        <v>PE9800</v>
      </c>
      <c r="C18" t="s">
        <v>49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>
        <v>6150</v>
      </c>
      <c r="K18" s="1">
        <v>2021.25</v>
      </c>
      <c r="L18" s="1">
        <v>2247.35</v>
      </c>
      <c r="M18" s="1">
        <v>1275</v>
      </c>
      <c r="N18" s="1">
        <v>9800</v>
      </c>
      <c r="O18" s="1">
        <v>900</v>
      </c>
      <c r="P18" s="1">
        <v>0.05</v>
      </c>
      <c r="Q18" s="1">
        <v>1.7</v>
      </c>
      <c r="R18" s="1">
        <v>3000</v>
      </c>
      <c r="S18" s="1">
        <v>-32.950000000000003</v>
      </c>
      <c r="T18" s="1">
        <v>0.55000000000000004</v>
      </c>
      <c r="U18" s="1">
        <v>54.22</v>
      </c>
      <c r="V18" s="1">
        <v>202</v>
      </c>
      <c r="W18" s="1" t="s">
        <v>14</v>
      </c>
      <c r="X18" s="1" t="s">
        <v>14</v>
      </c>
      <c r="Y18" s="1" t="s">
        <v>49</v>
      </c>
      <c r="AA18" s="7" t="e">
        <f t="shared" si="2"/>
        <v>#VALUE!</v>
      </c>
    </row>
    <row r="19" spans="1:27" x14ac:dyDescent="0.25">
      <c r="A19" t="str">
        <f t="shared" si="0"/>
        <v>CE9850</v>
      </c>
      <c r="B19" t="str">
        <f t="shared" si="1"/>
        <v>PE9850</v>
      </c>
      <c r="C19" t="s">
        <v>49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>
        <v>1275</v>
      </c>
      <c r="K19" s="1">
        <v>1991.55</v>
      </c>
      <c r="L19" s="1">
        <v>2194.4</v>
      </c>
      <c r="M19" s="1">
        <v>1275</v>
      </c>
      <c r="N19" s="1">
        <v>9850</v>
      </c>
      <c r="O19" s="1" t="s">
        <v>14</v>
      </c>
      <c r="P19" s="1" t="s">
        <v>14</v>
      </c>
      <c r="Q19" s="1">
        <v>0.95</v>
      </c>
      <c r="R19" s="1">
        <v>1500</v>
      </c>
      <c r="S19" s="1">
        <v>-38.049999999999997</v>
      </c>
      <c r="T19" s="1">
        <v>0.7</v>
      </c>
      <c r="U19" s="1">
        <v>54.19</v>
      </c>
      <c r="V19" s="1">
        <v>2207</v>
      </c>
      <c r="W19" s="1" t="s">
        <v>14</v>
      </c>
      <c r="X19" s="1" t="s">
        <v>14</v>
      </c>
      <c r="Y19" s="1" t="s">
        <v>49</v>
      </c>
      <c r="AA19" s="7" t="e">
        <f t="shared" si="2"/>
        <v>#VALUE!</v>
      </c>
    </row>
    <row r="20" spans="1:27" x14ac:dyDescent="0.25">
      <c r="A20" t="str">
        <f t="shared" si="0"/>
        <v>CE9900</v>
      </c>
      <c r="B20" t="str">
        <f t="shared" si="1"/>
        <v>PE9900</v>
      </c>
      <c r="C20" t="s">
        <v>49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>
        <v>6150</v>
      </c>
      <c r="K20" s="1">
        <v>1849.05</v>
      </c>
      <c r="L20" s="1">
        <v>2142.1</v>
      </c>
      <c r="M20" s="1">
        <v>1275</v>
      </c>
      <c r="N20" s="1">
        <v>9900</v>
      </c>
      <c r="O20" s="1">
        <v>900</v>
      </c>
      <c r="P20" s="1">
        <v>0.05</v>
      </c>
      <c r="Q20" s="1">
        <v>1.7</v>
      </c>
      <c r="R20" s="1">
        <v>3000</v>
      </c>
      <c r="S20" s="1" t="s">
        <v>14</v>
      </c>
      <c r="T20" s="1" t="s">
        <v>14</v>
      </c>
      <c r="U20" s="1" t="s">
        <v>14</v>
      </c>
      <c r="V20" s="1" t="s">
        <v>14</v>
      </c>
      <c r="W20" s="1" t="s">
        <v>14</v>
      </c>
      <c r="X20" s="1" t="s">
        <v>14</v>
      </c>
      <c r="Y20" s="1" t="s">
        <v>49</v>
      </c>
      <c r="AA20" s="7" t="e">
        <f t="shared" si="2"/>
        <v>#VALUE!</v>
      </c>
    </row>
    <row r="21" spans="1:27" x14ac:dyDescent="0.25">
      <c r="A21" t="str">
        <f t="shared" si="0"/>
        <v>CE9950</v>
      </c>
      <c r="B21" t="str">
        <f t="shared" si="1"/>
        <v>PE9950</v>
      </c>
      <c r="C21" t="s">
        <v>49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>
        <v>1275</v>
      </c>
      <c r="K21" s="1">
        <v>1901</v>
      </c>
      <c r="L21" s="1">
        <v>2089.8000000000002</v>
      </c>
      <c r="M21" s="1">
        <v>1275</v>
      </c>
      <c r="N21" s="1">
        <v>9950</v>
      </c>
      <c r="O21" s="1">
        <v>900</v>
      </c>
      <c r="P21" s="1">
        <v>0.05</v>
      </c>
      <c r="Q21" s="1">
        <v>1.85</v>
      </c>
      <c r="R21" s="1">
        <v>150</v>
      </c>
      <c r="S21" s="1">
        <v>-50.75</v>
      </c>
      <c r="T21" s="1">
        <v>0.5</v>
      </c>
      <c r="U21" s="1">
        <v>49.9</v>
      </c>
      <c r="V21" s="1">
        <v>202</v>
      </c>
      <c r="W21" s="1">
        <v>150</v>
      </c>
      <c r="X21" s="1">
        <v>150</v>
      </c>
      <c r="Y21" s="1" t="s">
        <v>49</v>
      </c>
      <c r="AA21" s="7" t="e">
        <f t="shared" si="2"/>
        <v>#VALUE!</v>
      </c>
    </row>
    <row r="22" spans="1:27" x14ac:dyDescent="0.25">
      <c r="A22" t="str">
        <f t="shared" si="0"/>
        <v>CE10000</v>
      </c>
      <c r="B22" t="str">
        <f t="shared" si="1"/>
        <v>PE10000</v>
      </c>
      <c r="C22" t="s">
        <v>49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>
        <v>6150</v>
      </c>
      <c r="K22" s="1">
        <v>1761.5</v>
      </c>
      <c r="L22" s="1">
        <v>2036.75</v>
      </c>
      <c r="M22" s="1">
        <v>1275</v>
      </c>
      <c r="N22" s="1">
        <v>10000</v>
      </c>
      <c r="O22" s="1">
        <v>2025</v>
      </c>
      <c r="P22" s="1">
        <v>0.5</v>
      </c>
      <c r="Q22" s="1">
        <v>0.65</v>
      </c>
      <c r="R22" s="1">
        <v>75</v>
      </c>
      <c r="S22" s="1">
        <v>-0.45</v>
      </c>
      <c r="T22" s="1">
        <v>0.55000000000000004</v>
      </c>
      <c r="U22" s="1">
        <v>49.08</v>
      </c>
      <c r="V22" s="1">
        <v>26</v>
      </c>
      <c r="W22" s="1">
        <v>-150</v>
      </c>
      <c r="X22" s="1">
        <v>1425</v>
      </c>
      <c r="Y22" s="1" t="s">
        <v>49</v>
      </c>
      <c r="AA22" s="7" t="e">
        <f t="shared" si="2"/>
        <v>#VALUE!</v>
      </c>
    </row>
    <row r="23" spans="1:27" x14ac:dyDescent="0.25">
      <c r="A23" t="str">
        <f t="shared" si="0"/>
        <v>CE10050</v>
      </c>
      <c r="B23" t="str">
        <f t="shared" si="1"/>
        <v>PE10050</v>
      </c>
      <c r="C23" t="s">
        <v>49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>
        <v>6150</v>
      </c>
      <c r="K23" s="1">
        <v>1716.45</v>
      </c>
      <c r="L23" s="1">
        <v>1984.65</v>
      </c>
      <c r="M23" s="1">
        <v>1275</v>
      </c>
      <c r="N23" s="1">
        <v>10050</v>
      </c>
      <c r="O23" s="1">
        <v>6000</v>
      </c>
      <c r="P23" s="1">
        <v>0.05</v>
      </c>
      <c r="Q23" s="1">
        <v>1.6</v>
      </c>
      <c r="R23" s="1">
        <v>3000</v>
      </c>
      <c r="S23" s="1">
        <v>-65.900000000000006</v>
      </c>
      <c r="T23" s="1">
        <v>0.8</v>
      </c>
      <c r="U23" s="1">
        <v>49.64</v>
      </c>
      <c r="V23" s="1">
        <v>2606</v>
      </c>
      <c r="W23" s="1">
        <v>75</v>
      </c>
      <c r="X23" s="1">
        <v>75</v>
      </c>
      <c r="Y23" s="1" t="s">
        <v>49</v>
      </c>
      <c r="AA23" s="7" t="e">
        <f t="shared" si="2"/>
        <v>#VALUE!</v>
      </c>
    </row>
    <row r="24" spans="1:27" x14ac:dyDescent="0.25">
      <c r="A24" t="str">
        <f t="shared" si="0"/>
        <v>CE10100</v>
      </c>
      <c r="B24" t="str">
        <f t="shared" si="1"/>
        <v>PE10100</v>
      </c>
      <c r="C24" t="s">
        <v>49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>
        <v>6150</v>
      </c>
      <c r="K24" s="1">
        <v>1670.3</v>
      </c>
      <c r="L24" s="1">
        <v>1932.05</v>
      </c>
      <c r="M24" s="1">
        <v>1275</v>
      </c>
      <c r="N24" s="1">
        <v>10100</v>
      </c>
      <c r="O24" s="1">
        <v>900</v>
      </c>
      <c r="P24" s="1">
        <v>0.05</v>
      </c>
      <c r="Q24" s="1">
        <v>1.7</v>
      </c>
      <c r="R24" s="1">
        <v>3000</v>
      </c>
      <c r="S24" s="1" t="s">
        <v>14</v>
      </c>
      <c r="T24" s="1" t="s">
        <v>14</v>
      </c>
      <c r="U24" s="1" t="s">
        <v>14</v>
      </c>
      <c r="V24" s="1" t="s">
        <v>14</v>
      </c>
      <c r="W24" s="1" t="s">
        <v>14</v>
      </c>
      <c r="X24" s="1" t="s">
        <v>14</v>
      </c>
      <c r="Y24" s="1" t="s">
        <v>49</v>
      </c>
      <c r="AA24" s="7" t="e">
        <f t="shared" si="2"/>
        <v>#VALUE!</v>
      </c>
    </row>
    <row r="25" spans="1:27" x14ac:dyDescent="0.25">
      <c r="A25" t="str">
        <f t="shared" si="0"/>
        <v>CE10150</v>
      </c>
      <c r="B25" t="str">
        <f t="shared" si="1"/>
        <v>PE10150</v>
      </c>
      <c r="C25" t="s">
        <v>49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>
        <v>6150</v>
      </c>
      <c r="K25" s="1">
        <v>1625.55</v>
      </c>
      <c r="L25" s="1">
        <v>1879.45</v>
      </c>
      <c r="M25" s="1">
        <v>1275</v>
      </c>
      <c r="N25" s="1">
        <v>10150</v>
      </c>
      <c r="O25" s="1" t="s">
        <v>14</v>
      </c>
      <c r="P25" s="1" t="s">
        <v>14</v>
      </c>
      <c r="Q25" s="1">
        <v>1.9</v>
      </c>
      <c r="R25" s="1">
        <v>3000</v>
      </c>
      <c r="S25" s="1" t="s">
        <v>14</v>
      </c>
      <c r="T25" s="1" t="s">
        <v>14</v>
      </c>
      <c r="U25" s="1" t="s">
        <v>14</v>
      </c>
      <c r="V25" s="1" t="s">
        <v>14</v>
      </c>
      <c r="W25" s="1" t="s">
        <v>14</v>
      </c>
      <c r="X25" s="1" t="s">
        <v>14</v>
      </c>
      <c r="Y25" s="1" t="s">
        <v>49</v>
      </c>
      <c r="AA25" s="7" t="e">
        <f t="shared" si="2"/>
        <v>#VALUE!</v>
      </c>
    </row>
    <row r="26" spans="1:27" x14ac:dyDescent="0.25">
      <c r="A26" t="str">
        <f t="shared" si="0"/>
        <v>CE10200</v>
      </c>
      <c r="B26" t="str">
        <f t="shared" si="1"/>
        <v>PE10200</v>
      </c>
      <c r="C26" t="s">
        <v>49</v>
      </c>
      <c r="D26" s="1" t="s">
        <v>14</v>
      </c>
      <c r="E26" s="1" t="s">
        <v>14</v>
      </c>
      <c r="F26" s="1">
        <v>2</v>
      </c>
      <c r="G26" s="1">
        <v>131.66</v>
      </c>
      <c r="H26" s="1">
        <v>1891.3</v>
      </c>
      <c r="I26" s="1">
        <v>1183.0999999999999</v>
      </c>
      <c r="J26" s="1">
        <v>75</v>
      </c>
      <c r="K26" s="1">
        <v>1709.95</v>
      </c>
      <c r="L26" s="1">
        <v>1734</v>
      </c>
      <c r="M26" s="1">
        <v>75</v>
      </c>
      <c r="N26" s="1">
        <v>10200</v>
      </c>
      <c r="O26" s="1">
        <v>900</v>
      </c>
      <c r="P26" s="1">
        <v>0.05</v>
      </c>
      <c r="Q26" s="1">
        <v>1.7</v>
      </c>
      <c r="R26" s="1">
        <v>3000</v>
      </c>
      <c r="S26" s="1" t="s">
        <v>14</v>
      </c>
      <c r="T26" s="1" t="s">
        <v>14</v>
      </c>
      <c r="U26" s="1" t="s">
        <v>14</v>
      </c>
      <c r="V26" s="1" t="s">
        <v>14</v>
      </c>
      <c r="W26" s="1" t="s">
        <v>14</v>
      </c>
      <c r="X26" s="1" t="s">
        <v>14</v>
      </c>
      <c r="Y26" s="1" t="s">
        <v>49</v>
      </c>
      <c r="AA26" s="7" t="e">
        <f t="shared" si="2"/>
        <v>#VALUE!</v>
      </c>
    </row>
    <row r="27" spans="1:27" x14ac:dyDescent="0.25">
      <c r="A27" t="str">
        <f t="shared" si="0"/>
        <v>CE10250</v>
      </c>
      <c r="B27" t="str">
        <f t="shared" si="1"/>
        <v>PE10250</v>
      </c>
      <c r="C27" t="s">
        <v>49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>
        <v>6075</v>
      </c>
      <c r="K27" s="1">
        <v>1535.5</v>
      </c>
      <c r="L27" s="1">
        <v>1774.65</v>
      </c>
      <c r="M27" s="1">
        <v>1200</v>
      </c>
      <c r="N27" s="1">
        <v>10250</v>
      </c>
      <c r="O27" s="1" t="s">
        <v>14</v>
      </c>
      <c r="P27" s="1" t="s">
        <v>14</v>
      </c>
      <c r="Q27" s="1">
        <v>1.9</v>
      </c>
      <c r="R27" s="1">
        <v>3000</v>
      </c>
      <c r="S27" s="1" t="s">
        <v>14</v>
      </c>
      <c r="T27" s="1" t="s">
        <v>14</v>
      </c>
      <c r="U27" s="1" t="s">
        <v>14</v>
      </c>
      <c r="V27" s="1" t="s">
        <v>14</v>
      </c>
      <c r="W27" s="1" t="s">
        <v>14</v>
      </c>
      <c r="X27" s="1" t="s">
        <v>14</v>
      </c>
      <c r="Y27" s="1" t="s">
        <v>49</v>
      </c>
      <c r="AA27" s="7" t="e">
        <f t="shared" si="2"/>
        <v>#VALUE!</v>
      </c>
    </row>
    <row r="28" spans="1:27" x14ac:dyDescent="0.25">
      <c r="A28" t="str">
        <f t="shared" si="0"/>
        <v>CE10300</v>
      </c>
      <c r="B28" t="str">
        <f t="shared" si="1"/>
        <v>PE10300</v>
      </c>
      <c r="C28" t="s">
        <v>49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>
        <v>6075</v>
      </c>
      <c r="K28" s="1">
        <v>1489.55</v>
      </c>
      <c r="L28" s="1">
        <v>1721.85</v>
      </c>
      <c r="M28" s="1">
        <v>1200</v>
      </c>
      <c r="N28" s="1">
        <v>10300</v>
      </c>
      <c r="O28" s="1">
        <v>900</v>
      </c>
      <c r="P28" s="1">
        <v>0.05</v>
      </c>
      <c r="Q28" s="1">
        <v>1.7</v>
      </c>
      <c r="R28" s="1">
        <v>3000</v>
      </c>
      <c r="S28" s="1" t="s">
        <v>14</v>
      </c>
      <c r="T28" s="1" t="s">
        <v>14</v>
      </c>
      <c r="U28" s="1" t="s">
        <v>14</v>
      </c>
      <c r="V28" s="1" t="s">
        <v>14</v>
      </c>
      <c r="W28" s="1" t="s">
        <v>14</v>
      </c>
      <c r="X28" s="1" t="s">
        <v>14</v>
      </c>
      <c r="Y28" s="1" t="s">
        <v>49</v>
      </c>
      <c r="AA28" s="7" t="e">
        <f t="shared" si="2"/>
        <v>#VALUE!</v>
      </c>
    </row>
    <row r="29" spans="1:27" x14ac:dyDescent="0.25">
      <c r="A29" t="str">
        <f t="shared" si="0"/>
        <v>CE10350</v>
      </c>
      <c r="B29" t="str">
        <f t="shared" si="1"/>
        <v>PE10350</v>
      </c>
      <c r="C29" t="s">
        <v>49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>
        <v>6075</v>
      </c>
      <c r="K29" s="1">
        <v>1444.2</v>
      </c>
      <c r="L29" s="1">
        <v>1669.4</v>
      </c>
      <c r="M29" s="1">
        <v>1200</v>
      </c>
      <c r="N29" s="1">
        <v>10350</v>
      </c>
      <c r="O29" s="1" t="s">
        <v>14</v>
      </c>
      <c r="P29" s="1" t="s">
        <v>14</v>
      </c>
      <c r="Q29" s="1">
        <v>1.9</v>
      </c>
      <c r="R29" s="1">
        <v>3000</v>
      </c>
      <c r="S29" s="1" t="s">
        <v>14</v>
      </c>
      <c r="T29" s="1" t="s">
        <v>14</v>
      </c>
      <c r="U29" s="1" t="s">
        <v>14</v>
      </c>
      <c r="V29" s="1" t="s">
        <v>14</v>
      </c>
      <c r="W29" s="1" t="s">
        <v>14</v>
      </c>
      <c r="X29" s="1" t="s">
        <v>14</v>
      </c>
      <c r="Y29" s="1" t="s">
        <v>49</v>
      </c>
      <c r="AA29" s="7" t="e">
        <f t="shared" si="2"/>
        <v>#VALUE!</v>
      </c>
    </row>
    <row r="30" spans="1:27" x14ac:dyDescent="0.25">
      <c r="A30" t="str">
        <f t="shared" si="0"/>
        <v>CE10400</v>
      </c>
      <c r="B30" t="str">
        <f t="shared" si="1"/>
        <v>PE10400</v>
      </c>
      <c r="C30" t="s">
        <v>49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>
        <v>6075</v>
      </c>
      <c r="K30" s="1">
        <v>1398.9</v>
      </c>
      <c r="L30" s="1">
        <v>1622.15</v>
      </c>
      <c r="M30" s="1">
        <v>1200</v>
      </c>
      <c r="N30" s="1">
        <v>10400</v>
      </c>
      <c r="O30" s="1">
        <v>900</v>
      </c>
      <c r="P30" s="1">
        <v>0.05</v>
      </c>
      <c r="Q30" s="1">
        <v>1.7</v>
      </c>
      <c r="R30" s="1">
        <v>3000</v>
      </c>
      <c r="S30" s="1" t="s">
        <v>14</v>
      </c>
      <c r="T30" s="1" t="s">
        <v>14</v>
      </c>
      <c r="U30" s="1" t="s">
        <v>14</v>
      </c>
      <c r="V30" s="1" t="s">
        <v>14</v>
      </c>
      <c r="W30" s="1" t="s">
        <v>14</v>
      </c>
      <c r="X30" s="1" t="s">
        <v>14</v>
      </c>
      <c r="Y30" s="1" t="s">
        <v>49</v>
      </c>
      <c r="AA30" s="7" t="e">
        <f t="shared" si="2"/>
        <v>#VALUE!</v>
      </c>
    </row>
    <row r="31" spans="1:27" x14ac:dyDescent="0.25">
      <c r="A31" t="str">
        <f t="shared" si="0"/>
        <v>CE10450</v>
      </c>
      <c r="B31" t="str">
        <f t="shared" si="1"/>
        <v>PE10450</v>
      </c>
      <c r="C31" t="s">
        <v>49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>
        <v>6075</v>
      </c>
      <c r="K31" s="1">
        <v>1354</v>
      </c>
      <c r="L31" s="1">
        <v>1574.85</v>
      </c>
      <c r="M31" s="1">
        <v>1200</v>
      </c>
      <c r="N31" s="1">
        <v>10450</v>
      </c>
      <c r="O31" s="1" t="s">
        <v>14</v>
      </c>
      <c r="P31" s="1" t="s">
        <v>14</v>
      </c>
      <c r="Q31" s="1">
        <v>1.9</v>
      </c>
      <c r="R31" s="1">
        <v>3000</v>
      </c>
      <c r="S31" s="1" t="s">
        <v>14</v>
      </c>
      <c r="T31" s="1" t="s">
        <v>14</v>
      </c>
      <c r="U31" s="1" t="s">
        <v>14</v>
      </c>
      <c r="V31" s="1" t="s">
        <v>14</v>
      </c>
      <c r="W31" s="1" t="s">
        <v>14</v>
      </c>
      <c r="X31" s="1" t="s">
        <v>14</v>
      </c>
      <c r="Y31" s="1" t="s">
        <v>49</v>
      </c>
      <c r="AA31" s="7" t="e">
        <f t="shared" si="2"/>
        <v>#VALUE!</v>
      </c>
    </row>
    <row r="32" spans="1:27" x14ac:dyDescent="0.25">
      <c r="A32" t="str">
        <f t="shared" si="0"/>
        <v>CE10500</v>
      </c>
      <c r="B32" t="str">
        <f t="shared" si="1"/>
        <v>PE10500</v>
      </c>
      <c r="C32" t="s">
        <v>49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>
        <v>300</v>
      </c>
      <c r="K32" s="1">
        <v>1398</v>
      </c>
      <c r="L32" s="1">
        <v>1447.75</v>
      </c>
      <c r="M32" s="1">
        <v>300</v>
      </c>
      <c r="N32" s="1">
        <v>10500</v>
      </c>
      <c r="O32" s="1">
        <v>150</v>
      </c>
      <c r="P32" s="1">
        <v>0.6</v>
      </c>
      <c r="Q32" s="1">
        <v>0.95</v>
      </c>
      <c r="R32" s="1">
        <v>3825</v>
      </c>
      <c r="S32" s="1">
        <v>-0.9</v>
      </c>
      <c r="T32" s="1">
        <v>0.5</v>
      </c>
      <c r="U32" s="1">
        <v>36.14</v>
      </c>
      <c r="V32" s="1">
        <v>2</v>
      </c>
      <c r="W32" s="1" t="s">
        <v>14</v>
      </c>
      <c r="X32" s="1">
        <v>225</v>
      </c>
      <c r="Y32" s="1" t="s">
        <v>49</v>
      </c>
      <c r="AA32" s="7" t="e">
        <f t="shared" si="2"/>
        <v>#VALUE!</v>
      </c>
    </row>
    <row r="33" spans="1:27" x14ac:dyDescent="0.25">
      <c r="A33" t="str">
        <f t="shared" si="0"/>
        <v>CE10550</v>
      </c>
      <c r="B33" t="str">
        <f t="shared" si="1"/>
        <v>PE10550</v>
      </c>
      <c r="C33" t="s">
        <v>49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>
        <v>6075</v>
      </c>
      <c r="K33" s="1">
        <v>1263.75</v>
      </c>
      <c r="L33" s="1">
        <v>1469.95</v>
      </c>
      <c r="M33" s="1">
        <v>1200</v>
      </c>
      <c r="N33" s="1">
        <v>10550</v>
      </c>
      <c r="O33" s="1">
        <v>5400</v>
      </c>
      <c r="P33" s="1">
        <v>0.1</v>
      </c>
      <c r="Q33" s="1">
        <v>1.8</v>
      </c>
      <c r="R33" s="1">
        <v>1050</v>
      </c>
      <c r="S33" s="1" t="s">
        <v>14</v>
      </c>
      <c r="T33" s="1" t="s">
        <v>14</v>
      </c>
      <c r="U33" s="1" t="s">
        <v>14</v>
      </c>
      <c r="V33" s="1" t="s">
        <v>14</v>
      </c>
      <c r="W33" s="1" t="s">
        <v>14</v>
      </c>
      <c r="X33" s="1" t="s">
        <v>14</v>
      </c>
      <c r="Y33" s="1" t="s">
        <v>49</v>
      </c>
      <c r="AA33" s="7" t="e">
        <f t="shared" si="2"/>
        <v>#VALUE!</v>
      </c>
    </row>
    <row r="34" spans="1:27" x14ac:dyDescent="0.25">
      <c r="A34" t="str">
        <f t="shared" si="0"/>
        <v>CE10600</v>
      </c>
      <c r="B34" t="str">
        <f t="shared" si="1"/>
        <v>PE10600</v>
      </c>
      <c r="C34" t="s">
        <v>49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>
        <v>300</v>
      </c>
      <c r="K34" s="1">
        <v>1297.5999999999999</v>
      </c>
      <c r="L34" s="1">
        <v>1348.25</v>
      </c>
      <c r="M34" s="1">
        <v>300</v>
      </c>
      <c r="N34" s="1">
        <v>10600</v>
      </c>
      <c r="O34" s="1">
        <v>2400</v>
      </c>
      <c r="P34" s="1">
        <v>0.2</v>
      </c>
      <c r="Q34" s="1">
        <v>1.45</v>
      </c>
      <c r="R34" s="1">
        <v>3000</v>
      </c>
      <c r="S34" s="1" t="s">
        <v>14</v>
      </c>
      <c r="T34" s="1" t="s">
        <v>14</v>
      </c>
      <c r="U34" s="1" t="s">
        <v>14</v>
      </c>
      <c r="V34" s="1" t="s">
        <v>14</v>
      </c>
      <c r="W34" s="1" t="s">
        <v>14</v>
      </c>
      <c r="X34" s="1" t="s">
        <v>14</v>
      </c>
      <c r="Y34" s="1" t="s">
        <v>49</v>
      </c>
      <c r="AA34" s="7" t="e">
        <f t="shared" si="2"/>
        <v>#VALUE!</v>
      </c>
    </row>
    <row r="35" spans="1:27" x14ac:dyDescent="0.25">
      <c r="A35" t="str">
        <f t="shared" si="0"/>
        <v>CE10650</v>
      </c>
      <c r="B35" t="str">
        <f t="shared" si="1"/>
        <v>PE10650</v>
      </c>
      <c r="C35" t="s">
        <v>49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>
        <v>1200</v>
      </c>
      <c r="K35" s="1">
        <v>1204.55</v>
      </c>
      <c r="L35" s="1">
        <v>1385.55</v>
      </c>
      <c r="M35" s="1">
        <v>1200</v>
      </c>
      <c r="N35" s="1">
        <v>10650</v>
      </c>
      <c r="O35" s="1">
        <v>3000</v>
      </c>
      <c r="P35" s="1">
        <v>0.15</v>
      </c>
      <c r="Q35" s="1">
        <v>2.2000000000000002</v>
      </c>
      <c r="R35" s="1">
        <v>1050</v>
      </c>
      <c r="S35" s="1" t="s">
        <v>14</v>
      </c>
      <c r="T35" s="1" t="s">
        <v>14</v>
      </c>
      <c r="U35" s="1" t="s">
        <v>14</v>
      </c>
      <c r="V35" s="1" t="s">
        <v>14</v>
      </c>
      <c r="W35" s="1" t="s">
        <v>14</v>
      </c>
      <c r="X35" s="1" t="s">
        <v>14</v>
      </c>
      <c r="Y35" s="1" t="s">
        <v>49</v>
      </c>
      <c r="AA35" s="7" t="e">
        <f t="shared" si="2"/>
        <v>#VALUE!</v>
      </c>
    </row>
    <row r="36" spans="1:27" x14ac:dyDescent="0.25">
      <c r="A36" t="str">
        <f t="shared" si="0"/>
        <v>CE10700</v>
      </c>
      <c r="B36" t="str">
        <f t="shared" si="1"/>
        <v>PE10700</v>
      </c>
      <c r="C36" t="s">
        <v>49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>
        <v>300</v>
      </c>
      <c r="K36" s="1">
        <v>1198.55</v>
      </c>
      <c r="L36" s="1">
        <v>1248.25</v>
      </c>
      <c r="M36" s="1">
        <v>300</v>
      </c>
      <c r="N36" s="1">
        <v>10700</v>
      </c>
      <c r="O36" s="1">
        <v>3000</v>
      </c>
      <c r="P36" s="1">
        <v>0.3</v>
      </c>
      <c r="Q36" s="1">
        <v>1.45</v>
      </c>
      <c r="R36" s="1">
        <v>1500</v>
      </c>
      <c r="S36" s="1" t="s">
        <v>14</v>
      </c>
      <c r="T36" s="1" t="s">
        <v>14</v>
      </c>
      <c r="U36" s="1" t="s">
        <v>14</v>
      </c>
      <c r="V36" s="1" t="s">
        <v>14</v>
      </c>
      <c r="W36" s="1" t="s">
        <v>14</v>
      </c>
      <c r="X36" s="1" t="s">
        <v>14</v>
      </c>
      <c r="Y36" s="1" t="s">
        <v>49</v>
      </c>
      <c r="AA36" s="7" t="e">
        <f t="shared" si="2"/>
        <v>#VALUE!</v>
      </c>
    </row>
    <row r="37" spans="1:27" x14ac:dyDescent="0.25">
      <c r="A37" t="str">
        <f t="shared" si="0"/>
        <v>CE10750</v>
      </c>
      <c r="B37" t="str">
        <f t="shared" si="1"/>
        <v>PE10750</v>
      </c>
      <c r="C37" t="s">
        <v>49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>
        <v>6075</v>
      </c>
      <c r="K37" s="1">
        <v>1011.75</v>
      </c>
      <c r="L37" s="1">
        <v>1275.7</v>
      </c>
      <c r="M37" s="1">
        <v>1200</v>
      </c>
      <c r="N37" s="1">
        <v>10750</v>
      </c>
      <c r="O37" s="1">
        <v>2100</v>
      </c>
      <c r="P37" s="1">
        <v>0.4</v>
      </c>
      <c r="Q37" s="1">
        <v>1.35</v>
      </c>
      <c r="R37" s="1">
        <v>525</v>
      </c>
      <c r="S37" s="1">
        <v>0.15</v>
      </c>
      <c r="T37" s="1">
        <v>1</v>
      </c>
      <c r="U37" s="1">
        <v>32.36</v>
      </c>
      <c r="V37" s="1">
        <v>2</v>
      </c>
      <c r="W37" s="1" t="s">
        <v>14</v>
      </c>
      <c r="X37" s="1" t="s">
        <v>14</v>
      </c>
      <c r="Y37" s="1" t="s">
        <v>49</v>
      </c>
      <c r="AA37" s="7" t="e">
        <f t="shared" si="2"/>
        <v>#VALUE!</v>
      </c>
    </row>
    <row r="38" spans="1:27" x14ac:dyDescent="0.25">
      <c r="A38" t="str">
        <f t="shared" si="0"/>
        <v>CE10800</v>
      </c>
      <c r="B38" t="str">
        <f t="shared" si="1"/>
        <v>PE10800</v>
      </c>
      <c r="C38" t="s">
        <v>49</v>
      </c>
      <c r="D38" s="1">
        <v>150</v>
      </c>
      <c r="E38" s="1" t="s">
        <v>14</v>
      </c>
      <c r="F38" s="1" t="s">
        <v>14</v>
      </c>
      <c r="G38" s="1" t="s">
        <v>14</v>
      </c>
      <c r="H38" s="1">
        <v>1087.5</v>
      </c>
      <c r="I38" s="1" t="s">
        <v>14</v>
      </c>
      <c r="J38" s="1">
        <v>300</v>
      </c>
      <c r="K38" s="1">
        <v>1097.95</v>
      </c>
      <c r="L38" s="1">
        <v>1146.8</v>
      </c>
      <c r="M38" s="1">
        <v>75</v>
      </c>
      <c r="N38" s="1">
        <v>10800</v>
      </c>
      <c r="O38" s="1">
        <v>300</v>
      </c>
      <c r="P38" s="1">
        <v>0.6</v>
      </c>
      <c r="Q38" s="1">
        <v>1</v>
      </c>
      <c r="R38" s="1">
        <v>150</v>
      </c>
      <c r="S38" s="1">
        <v>-0.5</v>
      </c>
      <c r="T38" s="1">
        <v>0.8</v>
      </c>
      <c r="U38" s="1">
        <v>30.28</v>
      </c>
      <c r="V38" s="1">
        <v>59</v>
      </c>
      <c r="W38" s="1">
        <v>2100</v>
      </c>
      <c r="X38" s="1">
        <v>6075</v>
      </c>
      <c r="Y38" s="1" t="s">
        <v>49</v>
      </c>
      <c r="AA38" s="7">
        <f t="shared" si="2"/>
        <v>40.5</v>
      </c>
    </row>
    <row r="39" spans="1:27" x14ac:dyDescent="0.25">
      <c r="A39" t="str">
        <f t="shared" si="0"/>
        <v>CE10850</v>
      </c>
      <c r="B39" t="str">
        <f t="shared" si="1"/>
        <v>PE10850</v>
      </c>
      <c r="C39" t="s">
        <v>49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>
        <v>6000</v>
      </c>
      <c r="K39" s="1">
        <v>934.6</v>
      </c>
      <c r="L39" s="1">
        <v>1182.6500000000001</v>
      </c>
      <c r="M39" s="1">
        <v>1125</v>
      </c>
      <c r="N39" s="1">
        <v>10850</v>
      </c>
      <c r="O39" s="1">
        <v>75</v>
      </c>
      <c r="P39" s="1">
        <v>1</v>
      </c>
      <c r="Q39" s="1">
        <v>1.35</v>
      </c>
      <c r="R39" s="1">
        <v>600</v>
      </c>
      <c r="S39" s="1">
        <v>-0.3</v>
      </c>
      <c r="T39" s="1">
        <v>1.4</v>
      </c>
      <c r="U39" s="1">
        <v>30.99</v>
      </c>
      <c r="V39" s="1">
        <v>18</v>
      </c>
      <c r="W39" s="1">
        <v>375</v>
      </c>
      <c r="X39" s="1">
        <v>450</v>
      </c>
      <c r="Y39" s="1" t="s">
        <v>49</v>
      </c>
      <c r="AA39" s="7" t="e">
        <f t="shared" si="2"/>
        <v>#VALUE!</v>
      </c>
    </row>
    <row r="40" spans="1:27" x14ac:dyDescent="0.25">
      <c r="A40" t="str">
        <f t="shared" si="0"/>
        <v>CE10900</v>
      </c>
      <c r="B40" t="str">
        <f t="shared" si="1"/>
        <v>PE10900</v>
      </c>
      <c r="C40" t="s">
        <v>49</v>
      </c>
      <c r="D40" s="1">
        <v>375</v>
      </c>
      <c r="E40" s="1" t="s">
        <v>14</v>
      </c>
      <c r="F40" s="1">
        <v>3</v>
      </c>
      <c r="G40" s="1">
        <v>48.58</v>
      </c>
      <c r="H40" s="1">
        <v>1037.55</v>
      </c>
      <c r="I40" s="1">
        <v>57.55</v>
      </c>
      <c r="J40" s="1">
        <v>75</v>
      </c>
      <c r="K40" s="1">
        <v>1018.1</v>
      </c>
      <c r="L40" s="1">
        <v>1029.95</v>
      </c>
      <c r="M40" s="1">
        <v>75</v>
      </c>
      <c r="N40" s="1">
        <v>10900</v>
      </c>
      <c r="O40" s="1">
        <v>600</v>
      </c>
      <c r="P40" s="1">
        <v>1.1499999999999999</v>
      </c>
      <c r="Q40" s="1">
        <v>1.3</v>
      </c>
      <c r="R40" s="1">
        <v>450</v>
      </c>
      <c r="S40" s="1">
        <v>-0.05</v>
      </c>
      <c r="T40" s="1">
        <v>1.3</v>
      </c>
      <c r="U40" s="1">
        <v>29.38</v>
      </c>
      <c r="V40" s="1">
        <v>1819</v>
      </c>
      <c r="W40" s="1">
        <v>75075</v>
      </c>
      <c r="X40" s="1">
        <v>147375</v>
      </c>
      <c r="Y40" s="1" t="s">
        <v>49</v>
      </c>
      <c r="AA40" s="7">
        <f t="shared" si="2"/>
        <v>393</v>
      </c>
    </row>
    <row r="41" spans="1:27" x14ac:dyDescent="0.25">
      <c r="A41" t="str">
        <f t="shared" si="0"/>
        <v>CE10950</v>
      </c>
      <c r="B41" t="str">
        <f t="shared" si="1"/>
        <v>PE10950</v>
      </c>
      <c r="C41" t="s">
        <v>49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>
        <v>6000</v>
      </c>
      <c r="K41" s="1">
        <v>676.6</v>
      </c>
      <c r="L41" s="1">
        <v>1077.05</v>
      </c>
      <c r="M41" s="1">
        <v>1125</v>
      </c>
      <c r="N41" s="1">
        <v>10950</v>
      </c>
      <c r="O41" s="1">
        <v>5400</v>
      </c>
      <c r="P41" s="1">
        <v>0.2</v>
      </c>
      <c r="Q41" s="1">
        <v>1.75</v>
      </c>
      <c r="R41" s="1">
        <v>2250</v>
      </c>
      <c r="S41" s="1" t="s">
        <v>14</v>
      </c>
      <c r="T41" s="1" t="s">
        <v>14</v>
      </c>
      <c r="U41" s="1" t="s">
        <v>14</v>
      </c>
      <c r="V41" s="1" t="s">
        <v>14</v>
      </c>
      <c r="W41" s="1" t="s">
        <v>14</v>
      </c>
      <c r="X41" s="1" t="s">
        <v>14</v>
      </c>
      <c r="Y41" s="1" t="s">
        <v>49</v>
      </c>
      <c r="AA41" s="7" t="e">
        <f t="shared" si="2"/>
        <v>#VALUE!</v>
      </c>
    </row>
    <row r="42" spans="1:27" x14ac:dyDescent="0.25">
      <c r="A42" t="str">
        <f t="shared" ref="A42:A52" si="3">"CE"&amp;N42</f>
        <v>CE11000</v>
      </c>
      <c r="B42" t="str">
        <f t="shared" ref="B42:B52" si="4">"PE"&amp;N42</f>
        <v>PE11000</v>
      </c>
      <c r="C42" t="s">
        <v>49</v>
      </c>
      <c r="D42" s="1">
        <v>3150</v>
      </c>
      <c r="E42" s="1" t="s">
        <v>14</v>
      </c>
      <c r="F42" s="1">
        <v>8</v>
      </c>
      <c r="G42" s="1">
        <v>47.44</v>
      </c>
      <c r="H42" s="1">
        <v>944.1</v>
      </c>
      <c r="I42" s="1">
        <v>87.1</v>
      </c>
      <c r="J42" s="1">
        <v>75</v>
      </c>
      <c r="K42" s="1">
        <v>917.85</v>
      </c>
      <c r="L42" s="1">
        <v>929.85</v>
      </c>
      <c r="M42" s="1">
        <v>75</v>
      </c>
      <c r="N42" s="1">
        <v>11000</v>
      </c>
      <c r="O42" s="1">
        <v>1275</v>
      </c>
      <c r="P42" s="1">
        <v>1.45</v>
      </c>
      <c r="Q42" s="1">
        <v>1.6</v>
      </c>
      <c r="R42" s="1">
        <v>12075</v>
      </c>
      <c r="S42" s="1">
        <v>-0.35</v>
      </c>
      <c r="T42" s="1">
        <v>1.4</v>
      </c>
      <c r="U42" s="1">
        <v>26.96</v>
      </c>
      <c r="V42" s="1">
        <v>10399</v>
      </c>
      <c r="W42" s="1">
        <v>233025</v>
      </c>
      <c r="X42" s="1">
        <v>1016400</v>
      </c>
      <c r="Y42" s="1" t="s">
        <v>49</v>
      </c>
      <c r="AA42" s="7">
        <f t="shared" si="2"/>
        <v>322.66666666666669</v>
      </c>
    </row>
    <row r="43" spans="1:27" x14ac:dyDescent="0.25">
      <c r="A43" t="str">
        <f t="shared" si="3"/>
        <v>CE11050</v>
      </c>
      <c r="B43" t="str">
        <f t="shared" si="4"/>
        <v>PE11050</v>
      </c>
      <c r="C43" t="s">
        <v>49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>
        <v>6000</v>
      </c>
      <c r="K43" s="1">
        <v>618</v>
      </c>
      <c r="L43" s="1">
        <v>973.75</v>
      </c>
      <c r="M43" s="1">
        <v>1125</v>
      </c>
      <c r="N43" s="1">
        <v>11050</v>
      </c>
      <c r="O43" s="1">
        <v>6375</v>
      </c>
      <c r="P43" s="1">
        <v>0.25</v>
      </c>
      <c r="Q43" s="1">
        <v>1.8</v>
      </c>
      <c r="R43" s="1">
        <v>525</v>
      </c>
      <c r="S43" s="1" t="s">
        <v>14</v>
      </c>
      <c r="T43" s="1" t="s">
        <v>14</v>
      </c>
      <c r="U43" s="1" t="s">
        <v>14</v>
      </c>
      <c r="V43" s="1" t="s">
        <v>14</v>
      </c>
      <c r="W43" s="1" t="s">
        <v>14</v>
      </c>
      <c r="X43" s="1" t="s">
        <v>14</v>
      </c>
      <c r="Y43" s="1" t="s">
        <v>49</v>
      </c>
      <c r="AA43" s="7" t="e">
        <f t="shared" si="2"/>
        <v>#VALUE!</v>
      </c>
    </row>
    <row r="44" spans="1:27" x14ac:dyDescent="0.25">
      <c r="A44" t="str">
        <f t="shared" si="3"/>
        <v>CE11100</v>
      </c>
      <c r="B44" t="str">
        <f t="shared" si="4"/>
        <v>PE11100</v>
      </c>
      <c r="C44" t="s">
        <v>49</v>
      </c>
      <c r="D44" s="1">
        <v>975</v>
      </c>
      <c r="E44" s="1" t="s">
        <v>14</v>
      </c>
      <c r="F44" s="1">
        <v>5</v>
      </c>
      <c r="G44" s="1">
        <v>43.36</v>
      </c>
      <c r="H44" s="1">
        <v>844.2</v>
      </c>
      <c r="I44" s="1">
        <v>64.75</v>
      </c>
      <c r="J44" s="1">
        <v>75</v>
      </c>
      <c r="K44" s="1">
        <v>818.45</v>
      </c>
      <c r="L44" s="1">
        <v>830.05</v>
      </c>
      <c r="M44" s="1">
        <v>75</v>
      </c>
      <c r="N44" s="1">
        <v>11100</v>
      </c>
      <c r="O44" s="1">
        <v>75</v>
      </c>
      <c r="P44" s="1">
        <v>1.5</v>
      </c>
      <c r="Q44" s="1">
        <v>1.65</v>
      </c>
      <c r="R44" s="1">
        <v>2175</v>
      </c>
      <c r="S44" s="1">
        <v>-0.1</v>
      </c>
      <c r="T44" s="1">
        <v>1.75</v>
      </c>
      <c r="U44" s="1">
        <v>25.01</v>
      </c>
      <c r="V44" s="1">
        <v>1810</v>
      </c>
      <c r="W44" s="1">
        <v>6225</v>
      </c>
      <c r="X44" s="1">
        <v>81375</v>
      </c>
      <c r="Y44" s="1" t="s">
        <v>49</v>
      </c>
      <c r="AA44" s="7">
        <f t="shared" si="2"/>
        <v>83.461538461538467</v>
      </c>
    </row>
    <row r="45" spans="1:27" x14ac:dyDescent="0.25">
      <c r="A45" t="str">
        <f t="shared" si="3"/>
        <v>CE11150</v>
      </c>
      <c r="B45" t="str">
        <f t="shared" si="4"/>
        <v>PE11150</v>
      </c>
      <c r="C45" t="s">
        <v>49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>
        <v>6000</v>
      </c>
      <c r="K45" s="1">
        <v>511.9</v>
      </c>
      <c r="L45" s="1">
        <v>864.2</v>
      </c>
      <c r="M45" s="1">
        <v>1125</v>
      </c>
      <c r="N45" s="1">
        <v>11150</v>
      </c>
      <c r="O45" s="1">
        <v>2400</v>
      </c>
      <c r="P45" s="1">
        <v>0.35</v>
      </c>
      <c r="Q45" s="1">
        <v>2.1</v>
      </c>
      <c r="R45" s="1">
        <v>2250</v>
      </c>
      <c r="S45" s="1" t="s">
        <v>14</v>
      </c>
      <c r="T45" s="1" t="s">
        <v>14</v>
      </c>
      <c r="U45" s="1" t="s">
        <v>14</v>
      </c>
      <c r="V45" s="1" t="s">
        <v>14</v>
      </c>
      <c r="W45" s="1" t="s">
        <v>14</v>
      </c>
      <c r="X45" s="1" t="s">
        <v>14</v>
      </c>
      <c r="Y45" s="1" t="s">
        <v>49</v>
      </c>
      <c r="AA45" s="7" t="e">
        <f t="shared" si="2"/>
        <v>#VALUE!</v>
      </c>
    </row>
    <row r="46" spans="1:27" x14ac:dyDescent="0.25">
      <c r="A46" t="str">
        <f t="shared" si="3"/>
        <v>CE11200</v>
      </c>
      <c r="B46" t="str">
        <f t="shared" si="4"/>
        <v>PE11200</v>
      </c>
      <c r="C46" t="s">
        <v>49</v>
      </c>
      <c r="D46" s="1">
        <v>1800</v>
      </c>
      <c r="E46" s="1">
        <v>75</v>
      </c>
      <c r="F46" s="1">
        <v>20</v>
      </c>
      <c r="G46" s="1">
        <v>39.22</v>
      </c>
      <c r="H46" s="1">
        <v>744.25</v>
      </c>
      <c r="I46" s="1">
        <v>59.8</v>
      </c>
      <c r="J46" s="1">
        <v>75</v>
      </c>
      <c r="K46" s="1">
        <v>718.7</v>
      </c>
      <c r="L46" s="1">
        <v>729.25</v>
      </c>
      <c r="M46" s="1">
        <v>75</v>
      </c>
      <c r="N46" s="1">
        <v>11200</v>
      </c>
      <c r="O46" s="1">
        <v>150</v>
      </c>
      <c r="P46" s="1">
        <v>1.75</v>
      </c>
      <c r="Q46" s="1">
        <v>1.8</v>
      </c>
      <c r="R46" s="1">
        <v>1125</v>
      </c>
      <c r="S46" s="1">
        <v>-0.05</v>
      </c>
      <c r="T46" s="1">
        <v>1.75</v>
      </c>
      <c r="U46" s="1">
        <v>22.24</v>
      </c>
      <c r="V46" s="1">
        <v>2885</v>
      </c>
      <c r="W46" s="1">
        <v>25200</v>
      </c>
      <c r="X46" s="1">
        <v>131925</v>
      </c>
      <c r="Y46" s="1" t="s">
        <v>49</v>
      </c>
      <c r="AA46" s="7">
        <f t="shared" si="2"/>
        <v>73.291666666666671</v>
      </c>
    </row>
    <row r="47" spans="1:27" x14ac:dyDescent="0.25">
      <c r="A47" t="str">
        <f t="shared" si="3"/>
        <v>CE11250</v>
      </c>
      <c r="B47" t="str">
        <f t="shared" si="4"/>
        <v>PE11250</v>
      </c>
      <c r="C47" t="s">
        <v>49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>
        <v>6000</v>
      </c>
      <c r="K47" s="1">
        <v>556.75</v>
      </c>
      <c r="L47" s="1">
        <v>747.85</v>
      </c>
      <c r="M47" s="1">
        <v>1125</v>
      </c>
      <c r="N47" s="1">
        <v>11250</v>
      </c>
      <c r="O47" s="1">
        <v>2400</v>
      </c>
      <c r="P47" s="1">
        <v>0.45</v>
      </c>
      <c r="Q47" s="1">
        <v>3.4</v>
      </c>
      <c r="R47" s="1">
        <v>4500</v>
      </c>
      <c r="S47" s="1" t="s">
        <v>14</v>
      </c>
      <c r="T47" s="1" t="s">
        <v>14</v>
      </c>
      <c r="U47" s="1" t="s">
        <v>14</v>
      </c>
      <c r="V47" s="1" t="s">
        <v>14</v>
      </c>
      <c r="W47" s="1" t="s">
        <v>14</v>
      </c>
      <c r="X47" s="1" t="s">
        <v>14</v>
      </c>
      <c r="Y47" s="1" t="s">
        <v>49</v>
      </c>
      <c r="AA47" s="7" t="e">
        <f t="shared" si="2"/>
        <v>#VALUE!</v>
      </c>
    </row>
    <row r="48" spans="1:27" x14ac:dyDescent="0.25">
      <c r="A48" t="str">
        <f t="shared" si="3"/>
        <v>CE11300</v>
      </c>
      <c r="B48" t="str">
        <f t="shared" si="4"/>
        <v>PE11300</v>
      </c>
      <c r="C48" t="s">
        <v>49</v>
      </c>
      <c r="D48" s="1">
        <v>2625</v>
      </c>
      <c r="E48" s="1">
        <v>75</v>
      </c>
      <c r="F48" s="1">
        <v>29</v>
      </c>
      <c r="G48" s="1">
        <v>35.14</v>
      </c>
      <c r="H48" s="1">
        <v>644.6</v>
      </c>
      <c r="I48" s="1">
        <v>60.6</v>
      </c>
      <c r="J48" s="1">
        <v>75</v>
      </c>
      <c r="K48" s="1">
        <v>618.35</v>
      </c>
      <c r="L48" s="1">
        <v>630.5</v>
      </c>
      <c r="M48" s="1">
        <v>75</v>
      </c>
      <c r="N48" s="1">
        <v>11300</v>
      </c>
      <c r="O48" s="1">
        <v>1125</v>
      </c>
      <c r="P48" s="1">
        <v>1.85</v>
      </c>
      <c r="Q48" s="1">
        <v>1.95</v>
      </c>
      <c r="R48" s="1">
        <v>75</v>
      </c>
      <c r="S48" s="1">
        <v>-0.35</v>
      </c>
      <c r="T48" s="1">
        <v>1.9</v>
      </c>
      <c r="U48" s="1">
        <v>19.690000000000001</v>
      </c>
      <c r="V48" s="1">
        <v>5935</v>
      </c>
      <c r="W48" s="1">
        <v>85275</v>
      </c>
      <c r="X48" s="1">
        <v>476100</v>
      </c>
      <c r="Y48" s="1" t="s">
        <v>49</v>
      </c>
      <c r="AA48" s="7">
        <f t="shared" si="2"/>
        <v>181.37142857142857</v>
      </c>
    </row>
    <row r="49" spans="1:27" x14ac:dyDescent="0.25">
      <c r="A49" t="str">
        <f t="shared" si="3"/>
        <v>CE11350</v>
      </c>
      <c r="B49" t="str">
        <f t="shared" si="4"/>
        <v>PE11350</v>
      </c>
      <c r="C49" t="s">
        <v>49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>
        <v>6000</v>
      </c>
      <c r="K49" s="1">
        <v>405.15</v>
      </c>
      <c r="L49" s="1">
        <v>729.55</v>
      </c>
      <c r="M49" s="1">
        <v>1125</v>
      </c>
      <c r="N49" s="1">
        <v>11350</v>
      </c>
      <c r="O49" s="1">
        <v>3000</v>
      </c>
      <c r="P49" s="1">
        <v>1.35</v>
      </c>
      <c r="Q49" s="1">
        <v>4</v>
      </c>
      <c r="R49" s="1">
        <v>2250</v>
      </c>
      <c r="S49" s="1" t="s">
        <v>14</v>
      </c>
      <c r="T49" s="1" t="s">
        <v>14</v>
      </c>
      <c r="U49" s="1" t="s">
        <v>14</v>
      </c>
      <c r="V49" s="1" t="s">
        <v>14</v>
      </c>
      <c r="W49" s="1" t="s">
        <v>14</v>
      </c>
      <c r="X49" s="1" t="s">
        <v>14</v>
      </c>
      <c r="Y49" s="1" t="s">
        <v>49</v>
      </c>
      <c r="AA49" s="7" t="e">
        <f t="shared" si="2"/>
        <v>#VALUE!</v>
      </c>
    </row>
    <row r="50" spans="1:27" x14ac:dyDescent="0.25">
      <c r="A50" t="str">
        <f t="shared" si="3"/>
        <v>CE11400</v>
      </c>
      <c r="B50" t="str">
        <f t="shared" si="4"/>
        <v>PE11400</v>
      </c>
      <c r="C50" t="s">
        <v>49</v>
      </c>
      <c r="D50" s="1">
        <v>21150</v>
      </c>
      <c r="E50" s="1">
        <v>-15825</v>
      </c>
      <c r="F50" s="1">
        <v>543</v>
      </c>
      <c r="G50" s="1">
        <v>26.32</v>
      </c>
      <c r="H50" s="1">
        <v>531.54999999999995</v>
      </c>
      <c r="I50" s="1">
        <v>46.15</v>
      </c>
      <c r="J50" s="1">
        <v>150</v>
      </c>
      <c r="K50" s="1">
        <v>522.9</v>
      </c>
      <c r="L50" s="1">
        <v>529.45000000000005</v>
      </c>
      <c r="M50" s="1">
        <v>150</v>
      </c>
      <c r="N50" s="1">
        <v>11400</v>
      </c>
      <c r="O50" s="1">
        <v>75</v>
      </c>
      <c r="P50" s="1">
        <v>2.4500000000000002</v>
      </c>
      <c r="Q50" s="1">
        <v>2.5499999999999998</v>
      </c>
      <c r="R50" s="1">
        <v>300</v>
      </c>
      <c r="S50" s="1">
        <v>-0.6</v>
      </c>
      <c r="T50" s="1">
        <v>2.6</v>
      </c>
      <c r="U50" s="1">
        <v>17.72</v>
      </c>
      <c r="V50" s="1">
        <v>16623</v>
      </c>
      <c r="W50" s="1">
        <v>50025</v>
      </c>
      <c r="X50" s="1">
        <v>457575</v>
      </c>
      <c r="Y50" s="1" t="s">
        <v>49</v>
      </c>
      <c r="AA50" s="7">
        <f t="shared" si="2"/>
        <v>21.634751773049647</v>
      </c>
    </row>
    <row r="51" spans="1:27" x14ac:dyDescent="0.25">
      <c r="A51" t="str">
        <f t="shared" si="3"/>
        <v>CE11450</v>
      </c>
      <c r="B51" t="str">
        <f t="shared" si="4"/>
        <v>PE11450</v>
      </c>
      <c r="C51" t="s">
        <v>49</v>
      </c>
      <c r="D51" s="1">
        <v>600</v>
      </c>
      <c r="E51" s="1">
        <v>525</v>
      </c>
      <c r="F51" s="1">
        <v>28</v>
      </c>
      <c r="G51" s="1">
        <v>25.95</v>
      </c>
      <c r="H51" s="1">
        <v>486.05</v>
      </c>
      <c r="I51" s="1">
        <v>56.05</v>
      </c>
      <c r="J51" s="1">
        <v>75</v>
      </c>
      <c r="K51" s="1">
        <v>471.05</v>
      </c>
      <c r="L51" s="1">
        <v>479.75</v>
      </c>
      <c r="M51" s="1">
        <v>75</v>
      </c>
      <c r="N51" s="1">
        <v>11450</v>
      </c>
      <c r="O51" s="1">
        <v>75</v>
      </c>
      <c r="P51" s="1">
        <v>2.5</v>
      </c>
      <c r="Q51" s="1">
        <v>3</v>
      </c>
      <c r="R51" s="1">
        <v>4800</v>
      </c>
      <c r="S51" s="1">
        <v>-0.6</v>
      </c>
      <c r="T51" s="1">
        <v>3</v>
      </c>
      <c r="U51" s="1">
        <v>16.63</v>
      </c>
      <c r="V51" s="1">
        <v>5256</v>
      </c>
      <c r="W51" s="1">
        <v>-21000</v>
      </c>
      <c r="X51" s="1">
        <v>59625</v>
      </c>
      <c r="Y51" s="1" t="s">
        <v>49</v>
      </c>
      <c r="AA51" s="7">
        <f t="shared" si="2"/>
        <v>99.375</v>
      </c>
    </row>
    <row r="52" spans="1:27" x14ac:dyDescent="0.25">
      <c r="A52" t="str">
        <f t="shared" si="3"/>
        <v>CE11500</v>
      </c>
      <c r="B52" t="str">
        <f t="shared" si="4"/>
        <v>PE11500</v>
      </c>
      <c r="C52" t="s">
        <v>49</v>
      </c>
      <c r="D52" s="1">
        <v>418350</v>
      </c>
      <c r="E52" s="1">
        <v>77325</v>
      </c>
      <c r="F52" s="1">
        <v>1878</v>
      </c>
      <c r="G52" s="1">
        <v>19.059999999999999</v>
      </c>
      <c r="H52" s="1">
        <v>423.55</v>
      </c>
      <c r="I52" s="1">
        <v>39.700000000000003</v>
      </c>
      <c r="J52" s="1">
        <v>75</v>
      </c>
      <c r="K52" s="1">
        <v>422.65</v>
      </c>
      <c r="L52" s="1">
        <v>426.05</v>
      </c>
      <c r="M52" s="1">
        <v>75</v>
      </c>
      <c r="N52" s="1">
        <v>11500</v>
      </c>
      <c r="O52" s="1">
        <v>375</v>
      </c>
      <c r="P52" s="1">
        <v>3.15</v>
      </c>
      <c r="Q52" s="1">
        <v>3.2</v>
      </c>
      <c r="R52" s="1">
        <v>225</v>
      </c>
      <c r="S52" s="1">
        <v>-1.85</v>
      </c>
      <c r="T52" s="1">
        <v>3.2</v>
      </c>
      <c r="U52" s="1">
        <v>15.28</v>
      </c>
      <c r="V52" s="1">
        <v>54475</v>
      </c>
      <c r="W52" s="1">
        <v>281100</v>
      </c>
      <c r="X52" s="1">
        <v>1041150</v>
      </c>
      <c r="Y52" s="1" t="s">
        <v>49</v>
      </c>
      <c r="AA52" s="7">
        <f t="shared" si="2"/>
        <v>2.4887056292577987</v>
      </c>
    </row>
    <row r="53" spans="1:27" x14ac:dyDescent="0.25">
      <c r="A53" t="str">
        <f t="shared" ref="A53:A92" si="5">"CE"&amp;N53</f>
        <v>CE11550</v>
      </c>
      <c r="B53" t="str">
        <f t="shared" ref="B53:B92" si="6">"PE"&amp;N53</f>
        <v>PE11550</v>
      </c>
      <c r="C53" t="s">
        <v>49</v>
      </c>
      <c r="D53" s="1">
        <v>1650</v>
      </c>
      <c r="E53" s="1">
        <v>750</v>
      </c>
      <c r="F53" s="1">
        <v>35</v>
      </c>
      <c r="G53" s="1">
        <v>24.77</v>
      </c>
      <c r="H53" s="1">
        <v>396.5</v>
      </c>
      <c r="I53" s="1">
        <v>56.5</v>
      </c>
      <c r="J53" s="1">
        <v>75</v>
      </c>
      <c r="K53" s="1">
        <v>370.7</v>
      </c>
      <c r="L53" s="1">
        <v>382.3</v>
      </c>
      <c r="M53" s="1">
        <v>75</v>
      </c>
      <c r="N53" s="1">
        <v>11550</v>
      </c>
      <c r="O53" s="1">
        <v>300</v>
      </c>
      <c r="P53" s="1">
        <v>3.8</v>
      </c>
      <c r="Q53" s="1">
        <v>4.75</v>
      </c>
      <c r="R53" s="1">
        <v>225</v>
      </c>
      <c r="S53" s="1">
        <v>-1.8</v>
      </c>
      <c r="T53" s="1">
        <v>4.75</v>
      </c>
      <c r="U53" s="1">
        <v>14.83</v>
      </c>
      <c r="V53" s="1">
        <v>16743</v>
      </c>
      <c r="W53" s="1">
        <v>-3000</v>
      </c>
      <c r="X53" s="1">
        <v>152775</v>
      </c>
      <c r="Y53" s="1" t="s">
        <v>49</v>
      </c>
      <c r="AA53" s="7">
        <f t="shared" si="2"/>
        <v>92.590909090909093</v>
      </c>
    </row>
    <row r="54" spans="1:27" x14ac:dyDescent="0.25">
      <c r="A54" t="str">
        <f t="shared" si="5"/>
        <v>CE11600</v>
      </c>
      <c r="B54" t="str">
        <f t="shared" si="6"/>
        <v>PE11600</v>
      </c>
      <c r="C54" t="s">
        <v>49</v>
      </c>
      <c r="D54" s="1">
        <v>195150</v>
      </c>
      <c r="E54" s="1">
        <v>525</v>
      </c>
      <c r="F54" s="1">
        <v>872</v>
      </c>
      <c r="G54" s="1">
        <v>16.12</v>
      </c>
      <c r="H54" s="1">
        <v>325.5</v>
      </c>
      <c r="I54" s="1">
        <v>30.55</v>
      </c>
      <c r="J54" s="1">
        <v>75</v>
      </c>
      <c r="K54" s="1">
        <v>324.95</v>
      </c>
      <c r="L54" s="1">
        <v>327.2</v>
      </c>
      <c r="M54" s="1">
        <v>75</v>
      </c>
      <c r="N54" s="1">
        <v>11600</v>
      </c>
      <c r="O54" s="1">
        <v>375</v>
      </c>
      <c r="P54" s="1">
        <v>4.75</v>
      </c>
      <c r="Q54" s="1">
        <v>4.95</v>
      </c>
      <c r="R54" s="1">
        <v>75</v>
      </c>
      <c r="S54" s="1">
        <v>-5.05</v>
      </c>
      <c r="T54" s="1">
        <v>4.75</v>
      </c>
      <c r="U54" s="1">
        <v>13.16</v>
      </c>
      <c r="V54" s="1">
        <v>70154</v>
      </c>
      <c r="W54" s="1">
        <v>242625</v>
      </c>
      <c r="X54" s="1">
        <v>916050</v>
      </c>
      <c r="Y54" s="1" t="s">
        <v>49</v>
      </c>
      <c r="AA54" s="7">
        <f t="shared" si="2"/>
        <v>4.6940814757878551</v>
      </c>
    </row>
    <row r="55" spans="1:27" x14ac:dyDescent="0.25">
      <c r="A55" t="str">
        <f t="shared" si="5"/>
        <v>CE11650</v>
      </c>
      <c r="B55" t="str">
        <f t="shared" si="6"/>
        <v>PE11650</v>
      </c>
      <c r="C55" t="s">
        <v>49</v>
      </c>
      <c r="D55" s="1">
        <v>7275</v>
      </c>
      <c r="E55" s="1">
        <v>-1050</v>
      </c>
      <c r="F55" s="1">
        <v>101</v>
      </c>
      <c r="G55" s="1">
        <v>20.23</v>
      </c>
      <c r="H55" s="1">
        <v>297</v>
      </c>
      <c r="I55" s="1">
        <v>48.1</v>
      </c>
      <c r="J55" s="1">
        <v>75</v>
      </c>
      <c r="K55" s="1">
        <v>275.8</v>
      </c>
      <c r="L55" s="1">
        <v>284.35000000000002</v>
      </c>
      <c r="M55" s="1">
        <v>75</v>
      </c>
      <c r="N55" s="1">
        <v>11650</v>
      </c>
      <c r="O55" s="1">
        <v>1725</v>
      </c>
      <c r="P55" s="1">
        <v>7</v>
      </c>
      <c r="Q55" s="1">
        <v>7.2</v>
      </c>
      <c r="R55" s="1">
        <v>75</v>
      </c>
      <c r="S55" s="1">
        <v>-7.55</v>
      </c>
      <c r="T55" s="1">
        <v>7</v>
      </c>
      <c r="U55" s="1">
        <v>12.56</v>
      </c>
      <c r="V55" s="1">
        <v>42050</v>
      </c>
      <c r="W55" s="1">
        <v>72900</v>
      </c>
      <c r="X55" s="1">
        <v>287325</v>
      </c>
      <c r="Y55" s="1" t="s">
        <v>49</v>
      </c>
      <c r="AA55" s="7">
        <f t="shared" si="2"/>
        <v>39.494845360824741</v>
      </c>
    </row>
    <row r="56" spans="1:27" x14ac:dyDescent="0.25">
      <c r="A56" t="str">
        <f t="shared" si="5"/>
        <v>CE11700</v>
      </c>
      <c r="B56" t="str">
        <f t="shared" si="6"/>
        <v>PE11700</v>
      </c>
      <c r="C56" t="s">
        <v>49</v>
      </c>
      <c r="D56" s="1">
        <v>238575</v>
      </c>
      <c r="E56" s="1">
        <v>3300</v>
      </c>
      <c r="F56" s="1">
        <v>3038</v>
      </c>
      <c r="G56" s="1">
        <v>14.36</v>
      </c>
      <c r="H56" s="1">
        <v>233</v>
      </c>
      <c r="I56" s="1">
        <v>28</v>
      </c>
      <c r="J56" s="1">
        <v>3750</v>
      </c>
      <c r="K56" s="1">
        <v>233</v>
      </c>
      <c r="L56" s="1">
        <v>235</v>
      </c>
      <c r="M56" s="1">
        <v>75</v>
      </c>
      <c r="N56" s="1">
        <v>11700</v>
      </c>
      <c r="O56" s="1">
        <v>1125</v>
      </c>
      <c r="P56" s="1">
        <v>11.25</v>
      </c>
      <c r="Q56" s="1">
        <v>11.5</v>
      </c>
      <c r="R56" s="1">
        <v>75</v>
      </c>
      <c r="S56" s="1">
        <v>-10.6</v>
      </c>
      <c r="T56" s="1">
        <v>11.3</v>
      </c>
      <c r="U56" s="1">
        <v>12.25</v>
      </c>
      <c r="V56" s="1">
        <v>126084</v>
      </c>
      <c r="W56" s="1">
        <v>380100</v>
      </c>
      <c r="X56" s="1">
        <v>1148700</v>
      </c>
      <c r="Y56" s="1" t="s">
        <v>49</v>
      </c>
      <c r="AA56" s="7">
        <f t="shared" si="2"/>
        <v>4.8148381012260293</v>
      </c>
    </row>
    <row r="57" spans="1:27" x14ac:dyDescent="0.25">
      <c r="A57" t="str">
        <f t="shared" si="5"/>
        <v>CE11750</v>
      </c>
      <c r="B57" t="str">
        <f t="shared" si="6"/>
        <v>PE11750</v>
      </c>
      <c r="C57" t="s">
        <v>49</v>
      </c>
      <c r="D57" s="1">
        <v>20700</v>
      </c>
      <c r="E57" s="1">
        <v>-150</v>
      </c>
      <c r="F57" s="1">
        <v>1348</v>
      </c>
      <c r="G57" s="1">
        <v>13.35</v>
      </c>
      <c r="H57" s="1">
        <v>188.3</v>
      </c>
      <c r="I57" s="1">
        <v>23.8</v>
      </c>
      <c r="J57" s="1">
        <v>75</v>
      </c>
      <c r="K57" s="1">
        <v>186.95</v>
      </c>
      <c r="L57" s="1">
        <v>192.2</v>
      </c>
      <c r="M57" s="1">
        <v>75</v>
      </c>
      <c r="N57" s="1">
        <v>11750</v>
      </c>
      <c r="O57" s="1">
        <v>375</v>
      </c>
      <c r="P57" s="1">
        <v>16.3</v>
      </c>
      <c r="Q57" s="1">
        <v>17.649999999999999</v>
      </c>
      <c r="R57" s="1">
        <v>225</v>
      </c>
      <c r="S57" s="1">
        <v>-15.35</v>
      </c>
      <c r="T57" s="1">
        <v>16.399999999999999</v>
      </c>
      <c r="U57" s="1">
        <v>11.58</v>
      </c>
      <c r="V57" s="1">
        <v>79426</v>
      </c>
      <c r="W57" s="1">
        <v>133575</v>
      </c>
      <c r="X57" s="1">
        <v>347925</v>
      </c>
      <c r="Y57" s="1" t="s">
        <v>49</v>
      </c>
      <c r="AA57" s="7">
        <f t="shared" si="2"/>
        <v>16.807971014492754</v>
      </c>
    </row>
    <row r="58" spans="1:27" x14ac:dyDescent="0.25">
      <c r="A58" t="str">
        <f t="shared" si="5"/>
        <v>CE11800</v>
      </c>
      <c r="B58" t="str">
        <f t="shared" si="6"/>
        <v>PE11800</v>
      </c>
      <c r="C58" t="s">
        <v>49</v>
      </c>
      <c r="D58" s="1">
        <v>607725</v>
      </c>
      <c r="E58" s="1">
        <v>-53025</v>
      </c>
      <c r="F58" s="1">
        <v>27260</v>
      </c>
      <c r="G58" s="1">
        <v>13.12</v>
      </c>
      <c r="H58" s="1">
        <v>149.6</v>
      </c>
      <c r="I58" s="1">
        <v>19.2</v>
      </c>
      <c r="J58" s="1">
        <v>75</v>
      </c>
      <c r="K58" s="1">
        <v>149.65</v>
      </c>
      <c r="L58" s="1">
        <v>150.94999999999999</v>
      </c>
      <c r="M58" s="1">
        <v>75</v>
      </c>
      <c r="N58" s="1">
        <v>11800</v>
      </c>
      <c r="O58" s="1">
        <v>600</v>
      </c>
      <c r="P58" s="1">
        <v>26.05</v>
      </c>
      <c r="Q58" s="1">
        <v>27.05</v>
      </c>
      <c r="R58" s="1">
        <v>75</v>
      </c>
      <c r="S58" s="1">
        <v>-19.2</v>
      </c>
      <c r="T58" s="1">
        <v>26.1</v>
      </c>
      <c r="U58" s="1">
        <v>11.36</v>
      </c>
      <c r="V58" s="1">
        <v>238235</v>
      </c>
      <c r="W58" s="1">
        <v>159525</v>
      </c>
      <c r="X58" s="1">
        <v>1582125</v>
      </c>
      <c r="Y58" s="1" t="s">
        <v>49</v>
      </c>
      <c r="AA58" s="7">
        <f t="shared" si="2"/>
        <v>2.6033567814389733</v>
      </c>
    </row>
    <row r="59" spans="1:27" x14ac:dyDescent="0.25">
      <c r="A59" t="str">
        <f t="shared" si="5"/>
        <v>CE11850</v>
      </c>
      <c r="B59" t="str">
        <f t="shared" si="6"/>
        <v>PE11850</v>
      </c>
      <c r="C59" t="s">
        <v>49</v>
      </c>
      <c r="D59" s="1">
        <v>222900</v>
      </c>
      <c r="E59" s="1">
        <v>-121875</v>
      </c>
      <c r="F59" s="1">
        <v>31855</v>
      </c>
      <c r="G59" s="1">
        <v>12.48</v>
      </c>
      <c r="H59" s="1">
        <v>112.5</v>
      </c>
      <c r="I59" s="1">
        <v>15</v>
      </c>
      <c r="J59" s="1">
        <v>300</v>
      </c>
      <c r="K59" s="1">
        <v>112.2</v>
      </c>
      <c r="L59" s="1">
        <v>113</v>
      </c>
      <c r="M59" s="1">
        <v>75</v>
      </c>
      <c r="N59" s="1">
        <v>11850</v>
      </c>
      <c r="O59" s="1">
        <v>375</v>
      </c>
      <c r="P59" s="1">
        <v>39</v>
      </c>
      <c r="Q59" s="1">
        <v>39.950000000000003</v>
      </c>
      <c r="R59" s="1">
        <v>750</v>
      </c>
      <c r="S59" s="1">
        <v>-24.35</v>
      </c>
      <c r="T59" s="1">
        <v>39.299999999999997</v>
      </c>
      <c r="U59" s="1">
        <v>11</v>
      </c>
      <c r="V59" s="1">
        <v>136313</v>
      </c>
      <c r="W59" s="1">
        <v>244125</v>
      </c>
      <c r="X59" s="1">
        <v>721575</v>
      </c>
      <c r="Y59" s="1" t="s">
        <v>49</v>
      </c>
      <c r="AA59" s="7">
        <f t="shared" si="2"/>
        <v>3.2372139973082099</v>
      </c>
    </row>
    <row r="60" spans="1:27" x14ac:dyDescent="0.25">
      <c r="A60" t="str">
        <f t="shared" si="5"/>
        <v>CE11900</v>
      </c>
      <c r="B60" t="str">
        <f t="shared" si="6"/>
        <v>PE11900</v>
      </c>
      <c r="C60" t="s">
        <v>49</v>
      </c>
      <c r="D60" s="1">
        <v>1246500</v>
      </c>
      <c r="E60" s="1">
        <v>6525</v>
      </c>
      <c r="F60" s="1">
        <v>200168</v>
      </c>
      <c r="G60" s="1">
        <v>12.14</v>
      </c>
      <c r="H60" s="1">
        <v>81.45</v>
      </c>
      <c r="I60" s="1">
        <v>9.6</v>
      </c>
      <c r="J60" s="1">
        <v>75</v>
      </c>
      <c r="K60" s="1">
        <v>80.849999999999994</v>
      </c>
      <c r="L60" s="1">
        <v>81.5</v>
      </c>
      <c r="M60" s="1">
        <v>2475</v>
      </c>
      <c r="N60" s="1">
        <v>11900</v>
      </c>
      <c r="O60" s="1">
        <v>75</v>
      </c>
      <c r="P60" s="1">
        <v>57.05</v>
      </c>
      <c r="Q60" s="1">
        <v>58.55</v>
      </c>
      <c r="R60" s="1">
        <v>225</v>
      </c>
      <c r="S60" s="1">
        <v>-29.7</v>
      </c>
      <c r="T60" s="1">
        <v>57.2</v>
      </c>
      <c r="U60" s="1">
        <v>10.58</v>
      </c>
      <c r="V60" s="1">
        <v>308522</v>
      </c>
      <c r="W60" s="1">
        <v>618750</v>
      </c>
      <c r="X60" s="1">
        <v>1403325</v>
      </c>
      <c r="Y60" s="1" t="s">
        <v>49</v>
      </c>
      <c r="AA60" s="7">
        <f t="shared" si="2"/>
        <v>1.1258122743682311</v>
      </c>
    </row>
    <row r="61" spans="1:27" x14ac:dyDescent="0.25">
      <c r="A61" t="str">
        <f t="shared" si="5"/>
        <v>CE11950</v>
      </c>
      <c r="B61" t="str">
        <f t="shared" si="6"/>
        <v>PE11950</v>
      </c>
      <c r="C61" t="s">
        <v>49</v>
      </c>
      <c r="D61" s="1">
        <v>669750</v>
      </c>
      <c r="E61" s="1">
        <v>192600</v>
      </c>
      <c r="F61" s="1">
        <v>171155</v>
      </c>
      <c r="G61" s="1">
        <v>11.83</v>
      </c>
      <c r="H61" s="1">
        <v>55.9</v>
      </c>
      <c r="I61" s="1">
        <v>7.6</v>
      </c>
      <c r="J61" s="1">
        <v>75</v>
      </c>
      <c r="K61" s="1">
        <v>55.15</v>
      </c>
      <c r="L61" s="1">
        <v>55.9</v>
      </c>
      <c r="M61" s="1">
        <v>1275</v>
      </c>
      <c r="N61" s="1">
        <v>11950</v>
      </c>
      <c r="O61" s="1">
        <v>300</v>
      </c>
      <c r="P61" s="1">
        <v>80.099999999999994</v>
      </c>
      <c r="Q61" s="1">
        <v>82</v>
      </c>
      <c r="R61" s="1">
        <v>75</v>
      </c>
      <c r="S61" s="1">
        <v>-32.5</v>
      </c>
      <c r="T61" s="1">
        <v>82</v>
      </c>
      <c r="U61" s="1">
        <v>10.33</v>
      </c>
      <c r="V61" s="1">
        <v>106583</v>
      </c>
      <c r="W61" s="1">
        <v>192600</v>
      </c>
      <c r="X61" s="1">
        <v>260325</v>
      </c>
      <c r="Y61" s="1" t="s">
        <v>49</v>
      </c>
      <c r="AA61" s="7">
        <f t="shared" si="2"/>
        <v>0.38868980963045913</v>
      </c>
    </row>
    <row r="62" spans="1:27" x14ac:dyDescent="0.25">
      <c r="A62" t="str">
        <f t="shared" si="5"/>
        <v>CE12000</v>
      </c>
      <c r="B62" t="str">
        <f t="shared" si="6"/>
        <v>PE12000</v>
      </c>
      <c r="C62" t="s">
        <v>49</v>
      </c>
      <c r="D62" s="1">
        <v>2064450</v>
      </c>
      <c r="E62" s="1">
        <v>1077000</v>
      </c>
      <c r="F62" s="1">
        <v>354978</v>
      </c>
      <c r="G62" s="1">
        <v>11.72</v>
      </c>
      <c r="H62" s="1">
        <v>36.950000000000003</v>
      </c>
      <c r="I62" s="1">
        <v>4.55</v>
      </c>
      <c r="J62" s="1">
        <v>300</v>
      </c>
      <c r="K62" s="1">
        <v>35.65</v>
      </c>
      <c r="L62" s="1">
        <v>36.950000000000003</v>
      </c>
      <c r="M62" s="1">
        <v>450</v>
      </c>
      <c r="N62" s="1">
        <v>12000</v>
      </c>
      <c r="O62" s="1">
        <v>75</v>
      </c>
      <c r="P62" s="1">
        <v>111.3</v>
      </c>
      <c r="Q62" s="1">
        <v>114</v>
      </c>
      <c r="R62" s="1">
        <v>1650</v>
      </c>
      <c r="S62" s="1">
        <v>-33.450000000000003</v>
      </c>
      <c r="T62" s="1">
        <v>114</v>
      </c>
      <c r="U62" s="1">
        <v>10.24</v>
      </c>
      <c r="V62" s="1">
        <v>93441</v>
      </c>
      <c r="W62" s="1">
        <v>493950</v>
      </c>
      <c r="X62" s="1">
        <v>743850</v>
      </c>
      <c r="Y62" s="1" t="s">
        <v>49</v>
      </c>
      <c r="AA62" s="7">
        <f t="shared" si="2"/>
        <v>0.36031388505413064</v>
      </c>
    </row>
    <row r="63" spans="1:27" x14ac:dyDescent="0.25">
      <c r="A63" t="str">
        <f t="shared" si="5"/>
        <v>CE12050</v>
      </c>
      <c r="B63" t="str">
        <f t="shared" si="6"/>
        <v>PE12050</v>
      </c>
      <c r="C63" t="s">
        <v>49</v>
      </c>
      <c r="D63" s="1">
        <v>413475</v>
      </c>
      <c r="E63" s="1">
        <v>201300</v>
      </c>
      <c r="F63" s="1">
        <v>131132</v>
      </c>
      <c r="G63" s="1">
        <v>11.38</v>
      </c>
      <c r="H63" s="1">
        <v>22</v>
      </c>
      <c r="I63" s="1">
        <v>2.0499999999999998</v>
      </c>
      <c r="J63" s="1">
        <v>825</v>
      </c>
      <c r="K63" s="1">
        <v>21</v>
      </c>
      <c r="L63" s="1">
        <v>22</v>
      </c>
      <c r="M63" s="1">
        <v>1950</v>
      </c>
      <c r="N63" s="1">
        <v>12050</v>
      </c>
      <c r="O63" s="1">
        <v>75</v>
      </c>
      <c r="P63" s="1">
        <v>143.9</v>
      </c>
      <c r="Q63" s="1">
        <v>149</v>
      </c>
      <c r="R63" s="1">
        <v>150</v>
      </c>
      <c r="S63" s="1">
        <v>-32.799999999999997</v>
      </c>
      <c r="T63" s="1">
        <v>150</v>
      </c>
      <c r="U63" s="1">
        <v>9.7799999999999994</v>
      </c>
      <c r="V63" s="1">
        <v>3543</v>
      </c>
      <c r="W63" s="1">
        <v>23025</v>
      </c>
      <c r="X63" s="1">
        <v>41625</v>
      </c>
      <c r="Y63" s="1" t="s">
        <v>49</v>
      </c>
      <c r="AA63" s="7">
        <f t="shared" si="2"/>
        <v>0.10067114093959731</v>
      </c>
    </row>
    <row r="64" spans="1:27" x14ac:dyDescent="0.25">
      <c r="A64" t="str">
        <f t="shared" si="5"/>
        <v>CE12100</v>
      </c>
      <c r="B64" t="str">
        <f t="shared" si="6"/>
        <v>PE12100</v>
      </c>
      <c r="C64" t="s">
        <v>49</v>
      </c>
      <c r="D64" s="1">
        <v>1036575</v>
      </c>
      <c r="E64" s="1">
        <v>329925</v>
      </c>
      <c r="F64" s="1">
        <v>226214</v>
      </c>
      <c r="G64" s="1">
        <v>11.29</v>
      </c>
      <c r="H64" s="1">
        <v>12.75</v>
      </c>
      <c r="I64" s="1">
        <v>0.8</v>
      </c>
      <c r="J64" s="1">
        <v>300</v>
      </c>
      <c r="K64" s="1">
        <v>12.75</v>
      </c>
      <c r="L64" s="1">
        <v>12.9</v>
      </c>
      <c r="M64" s="1">
        <v>525</v>
      </c>
      <c r="N64" s="1">
        <v>12100</v>
      </c>
      <c r="O64" s="1">
        <v>75</v>
      </c>
      <c r="P64" s="1">
        <v>188</v>
      </c>
      <c r="Q64" s="1">
        <v>192.3</v>
      </c>
      <c r="R64" s="1">
        <v>75</v>
      </c>
      <c r="S64" s="1">
        <v>-38.950000000000003</v>
      </c>
      <c r="T64" s="1">
        <v>188.1</v>
      </c>
      <c r="U64" s="1">
        <v>7.84</v>
      </c>
      <c r="V64" s="1">
        <v>6133</v>
      </c>
      <c r="W64" s="1">
        <v>29250</v>
      </c>
      <c r="X64" s="1">
        <v>81675</v>
      </c>
      <c r="Y64" s="1" t="s">
        <v>49</v>
      </c>
      <c r="AA64" s="7" t="e">
        <f>#REF!/#REF!</f>
        <v>#REF!</v>
      </c>
    </row>
    <row r="65" spans="1:27" x14ac:dyDescent="0.25">
      <c r="A65" t="str">
        <f t="shared" si="5"/>
        <v>CE12150</v>
      </c>
      <c r="B65" t="str">
        <f t="shared" si="6"/>
        <v>PE12150</v>
      </c>
      <c r="C65" t="s">
        <v>49</v>
      </c>
      <c r="D65" s="1">
        <v>475800</v>
      </c>
      <c r="E65" s="1">
        <v>328950</v>
      </c>
      <c r="F65" s="1">
        <v>82614</v>
      </c>
      <c r="G65" s="1">
        <v>11</v>
      </c>
      <c r="H65" s="1">
        <v>6.4</v>
      </c>
      <c r="I65" s="1">
        <v>-0.4</v>
      </c>
      <c r="J65" s="1">
        <v>300</v>
      </c>
      <c r="K65" s="1">
        <v>6.35</v>
      </c>
      <c r="L65" s="1">
        <v>6.4</v>
      </c>
      <c r="M65" s="1">
        <v>75</v>
      </c>
      <c r="N65" s="1">
        <v>12150</v>
      </c>
      <c r="O65" s="1">
        <v>75</v>
      </c>
      <c r="P65" s="1">
        <v>228.15</v>
      </c>
      <c r="Q65" s="1">
        <v>235.25</v>
      </c>
      <c r="R65" s="1">
        <v>75</v>
      </c>
      <c r="S65" s="1">
        <v>-36.35</v>
      </c>
      <c r="T65" s="1">
        <v>236.1</v>
      </c>
      <c r="U65" s="1">
        <v>8.01</v>
      </c>
      <c r="V65" s="1">
        <v>123</v>
      </c>
      <c r="W65" s="1">
        <v>3825</v>
      </c>
      <c r="X65" s="1">
        <v>4650</v>
      </c>
      <c r="Y65" s="1" t="s">
        <v>49</v>
      </c>
      <c r="AA65" s="7" t="e">
        <f>#REF!/#REF!</f>
        <v>#REF!</v>
      </c>
    </row>
    <row r="66" spans="1:27" x14ac:dyDescent="0.25">
      <c r="A66" t="str">
        <f t="shared" si="5"/>
        <v>CE12200</v>
      </c>
      <c r="B66" t="str">
        <f t="shared" si="6"/>
        <v>PE12200</v>
      </c>
      <c r="C66" t="s">
        <v>49</v>
      </c>
      <c r="D66" s="1">
        <v>951675</v>
      </c>
      <c r="E66" s="1">
        <v>556950</v>
      </c>
      <c r="F66" s="1">
        <v>129125</v>
      </c>
      <c r="G66" s="1">
        <v>11.08</v>
      </c>
      <c r="H66" s="1">
        <v>3.4</v>
      </c>
      <c r="I66" s="1">
        <v>-0.75</v>
      </c>
      <c r="J66" s="1">
        <v>375</v>
      </c>
      <c r="K66" s="1">
        <v>3.4</v>
      </c>
      <c r="L66" s="1">
        <v>3.5</v>
      </c>
      <c r="M66" s="1">
        <v>2100</v>
      </c>
      <c r="N66" s="1">
        <v>12200</v>
      </c>
      <c r="O66" s="1">
        <v>225</v>
      </c>
      <c r="P66" s="1">
        <v>278.2</v>
      </c>
      <c r="Q66" s="1">
        <v>282.35000000000002</v>
      </c>
      <c r="R66" s="1">
        <v>75</v>
      </c>
      <c r="S66" s="1">
        <v>-37.549999999999997</v>
      </c>
      <c r="T66" s="1">
        <v>282</v>
      </c>
      <c r="U66" s="1" t="s">
        <v>14</v>
      </c>
      <c r="V66" s="1">
        <v>1442</v>
      </c>
      <c r="W66" s="1">
        <v>30075</v>
      </c>
      <c r="X66" s="1">
        <v>35250</v>
      </c>
      <c r="Y66" s="1" t="s">
        <v>49</v>
      </c>
      <c r="AA66" s="7" t="e">
        <f>#REF!/#REF!</f>
        <v>#REF!</v>
      </c>
    </row>
    <row r="67" spans="1:27" x14ac:dyDescent="0.25">
      <c r="A67" t="str">
        <f t="shared" si="5"/>
        <v>CE12250</v>
      </c>
      <c r="B67" t="str">
        <f t="shared" si="6"/>
        <v>PE12250</v>
      </c>
      <c r="C67" t="s">
        <v>49</v>
      </c>
      <c r="D67" s="1">
        <v>245625</v>
      </c>
      <c r="E67" s="1">
        <v>179175</v>
      </c>
      <c r="F67" s="1">
        <v>31715</v>
      </c>
      <c r="G67" s="1">
        <v>11.49</v>
      </c>
      <c r="H67" s="1">
        <v>2.0499999999999998</v>
      </c>
      <c r="I67" s="1">
        <v>-0.65</v>
      </c>
      <c r="J67" s="1">
        <v>1125</v>
      </c>
      <c r="K67" s="1">
        <v>2</v>
      </c>
      <c r="L67" s="1">
        <v>2.0499999999999998</v>
      </c>
      <c r="M67" s="1">
        <v>225</v>
      </c>
      <c r="N67" s="1">
        <v>12250</v>
      </c>
      <c r="O67" s="1">
        <v>75</v>
      </c>
      <c r="P67" s="1">
        <v>323.39999999999998</v>
      </c>
      <c r="Q67" s="1">
        <v>338.1</v>
      </c>
      <c r="R67" s="1">
        <v>75</v>
      </c>
      <c r="S67" s="1">
        <v>-11.5</v>
      </c>
      <c r="T67" s="1">
        <v>338.5</v>
      </c>
      <c r="U67" s="1">
        <v>12.94</v>
      </c>
      <c r="V67" s="1">
        <v>63</v>
      </c>
      <c r="W67" s="1">
        <v>675</v>
      </c>
      <c r="X67" s="1">
        <v>675</v>
      </c>
      <c r="Y67" s="1" t="s">
        <v>49</v>
      </c>
      <c r="AA67" s="7" t="e">
        <f>#REF!/#REF!</f>
        <v>#REF!</v>
      </c>
    </row>
    <row r="68" spans="1:27" x14ac:dyDescent="0.25">
      <c r="A68" t="str">
        <f t="shared" si="5"/>
        <v>CE12300</v>
      </c>
      <c r="B68" t="str">
        <f t="shared" si="6"/>
        <v>PE12300</v>
      </c>
      <c r="C68" t="s">
        <v>49</v>
      </c>
      <c r="D68" s="1">
        <v>571425</v>
      </c>
      <c r="E68" s="1">
        <v>151425</v>
      </c>
      <c r="F68" s="1">
        <v>66580</v>
      </c>
      <c r="G68" s="1">
        <v>12.37</v>
      </c>
      <c r="H68" s="1">
        <v>1.6</v>
      </c>
      <c r="I68" s="1">
        <v>-0.45</v>
      </c>
      <c r="J68" s="1">
        <v>5775</v>
      </c>
      <c r="K68" s="1">
        <v>1.55</v>
      </c>
      <c r="L68" s="1">
        <v>1.6</v>
      </c>
      <c r="M68" s="1">
        <v>1050</v>
      </c>
      <c r="N68" s="1">
        <v>12300</v>
      </c>
      <c r="O68" s="1">
        <v>75</v>
      </c>
      <c r="P68" s="1">
        <v>374.2</v>
      </c>
      <c r="Q68" s="1">
        <v>383.55</v>
      </c>
      <c r="R68" s="1">
        <v>150</v>
      </c>
      <c r="S68" s="1">
        <v>-28.95</v>
      </c>
      <c r="T68" s="1">
        <v>381.05</v>
      </c>
      <c r="U68" s="1" t="s">
        <v>14</v>
      </c>
      <c r="V68" s="1">
        <v>77</v>
      </c>
      <c r="W68" s="1">
        <v>1500</v>
      </c>
      <c r="X68" s="1">
        <v>2325</v>
      </c>
      <c r="Y68" s="1" t="s">
        <v>49</v>
      </c>
      <c r="AA68" s="7" t="e">
        <f>#REF!/#REF!</f>
        <v>#REF!</v>
      </c>
    </row>
    <row r="69" spans="1:27" x14ac:dyDescent="0.25">
      <c r="A69" t="str">
        <f t="shared" si="5"/>
        <v>CE12350</v>
      </c>
      <c r="B69" t="str">
        <f t="shared" si="6"/>
        <v>PE12350</v>
      </c>
      <c r="C69" t="s">
        <v>49</v>
      </c>
      <c r="D69" s="1">
        <v>16650</v>
      </c>
      <c r="E69" s="1">
        <v>14925</v>
      </c>
      <c r="F69" s="1">
        <v>3187</v>
      </c>
      <c r="G69" s="1">
        <v>13.27</v>
      </c>
      <c r="H69" s="1">
        <v>1.3</v>
      </c>
      <c r="I69" s="1">
        <v>-0.3</v>
      </c>
      <c r="J69" s="1">
        <v>75</v>
      </c>
      <c r="K69" s="1">
        <v>1.3</v>
      </c>
      <c r="L69" s="1">
        <v>1.35</v>
      </c>
      <c r="M69" s="1">
        <v>75</v>
      </c>
      <c r="N69" s="1">
        <v>12350</v>
      </c>
      <c r="O69" s="1">
        <v>75</v>
      </c>
      <c r="P69" s="1">
        <v>422.25</v>
      </c>
      <c r="Q69" s="1">
        <v>434.4</v>
      </c>
      <c r="R69" s="1">
        <v>75</v>
      </c>
      <c r="S69" s="1">
        <v>-583.6</v>
      </c>
      <c r="T69" s="1">
        <v>431.05</v>
      </c>
      <c r="U69" s="1" t="s">
        <v>14</v>
      </c>
      <c r="V69" s="1">
        <v>7</v>
      </c>
      <c r="W69" s="1">
        <v>525</v>
      </c>
      <c r="X69" s="1">
        <v>525</v>
      </c>
      <c r="Y69" s="1" t="s">
        <v>49</v>
      </c>
      <c r="AA69" s="7" t="e">
        <f>#REF!/#REF!</f>
        <v>#REF!</v>
      </c>
    </row>
    <row r="70" spans="1:27" x14ac:dyDescent="0.25">
      <c r="A70" t="str">
        <f t="shared" si="5"/>
        <v>CE12400</v>
      </c>
      <c r="B70" t="str">
        <f t="shared" si="6"/>
        <v>PE12400</v>
      </c>
      <c r="C70" t="s">
        <v>49</v>
      </c>
      <c r="D70" s="1">
        <v>223725</v>
      </c>
      <c r="E70" s="1">
        <v>121275</v>
      </c>
      <c r="F70" s="1">
        <v>22515</v>
      </c>
      <c r="G70" s="1">
        <v>14.1</v>
      </c>
      <c r="H70" s="1">
        <v>1.05</v>
      </c>
      <c r="I70" s="1">
        <v>-0.2</v>
      </c>
      <c r="J70" s="1">
        <v>75</v>
      </c>
      <c r="K70" s="1">
        <v>0.9</v>
      </c>
      <c r="L70" s="1">
        <v>1.05</v>
      </c>
      <c r="M70" s="1">
        <v>75</v>
      </c>
      <c r="N70" s="1">
        <v>12400</v>
      </c>
      <c r="O70" s="1">
        <v>75</v>
      </c>
      <c r="P70" s="1">
        <v>472.4</v>
      </c>
      <c r="Q70" s="1">
        <v>482.55</v>
      </c>
      <c r="R70" s="1">
        <v>75</v>
      </c>
      <c r="S70" s="1">
        <v>-21.75</v>
      </c>
      <c r="T70" s="1">
        <v>471.7</v>
      </c>
      <c r="U70" s="1" t="s">
        <v>14</v>
      </c>
      <c r="V70" s="1">
        <v>33</v>
      </c>
      <c r="W70" s="1">
        <v>375</v>
      </c>
      <c r="X70" s="1">
        <v>450</v>
      </c>
      <c r="Y70" s="1" t="s">
        <v>49</v>
      </c>
      <c r="AA70" s="7" t="e">
        <f>#REF!/#REF!</f>
        <v>#REF!</v>
      </c>
    </row>
    <row r="71" spans="1:27" x14ac:dyDescent="0.25">
      <c r="A71" t="str">
        <f t="shared" si="5"/>
        <v>CE12450</v>
      </c>
      <c r="B71" t="str">
        <f t="shared" si="6"/>
        <v>PE12450</v>
      </c>
      <c r="C71" t="s">
        <v>49</v>
      </c>
      <c r="D71" s="1">
        <v>3750</v>
      </c>
      <c r="E71" s="1">
        <v>3750</v>
      </c>
      <c r="F71" s="1">
        <v>509</v>
      </c>
      <c r="G71" s="1">
        <v>14.78</v>
      </c>
      <c r="H71" s="1">
        <v>0.8</v>
      </c>
      <c r="I71" s="1">
        <v>-49.75</v>
      </c>
      <c r="J71" s="1">
        <v>600</v>
      </c>
      <c r="K71" s="1">
        <v>0.8</v>
      </c>
      <c r="L71" s="1">
        <v>0.9</v>
      </c>
      <c r="M71" s="1">
        <v>75</v>
      </c>
      <c r="N71" s="1">
        <v>12450</v>
      </c>
      <c r="O71" s="1">
        <v>5850</v>
      </c>
      <c r="P71" s="1">
        <v>455.75</v>
      </c>
      <c r="Q71" s="1">
        <v>598.5</v>
      </c>
      <c r="R71" s="1">
        <v>975</v>
      </c>
      <c r="S71" s="1" t="s">
        <v>14</v>
      </c>
      <c r="T71" s="1" t="s">
        <v>14</v>
      </c>
      <c r="U71" s="1" t="s">
        <v>14</v>
      </c>
      <c r="V71" s="1" t="s">
        <v>14</v>
      </c>
      <c r="W71" s="1" t="s">
        <v>14</v>
      </c>
      <c r="X71" s="1" t="s">
        <v>14</v>
      </c>
      <c r="Y71" s="1" t="s">
        <v>49</v>
      </c>
      <c r="AA71" s="7" t="e">
        <f>#REF!/#REF!</f>
        <v>#REF!</v>
      </c>
    </row>
    <row r="72" spans="1:27" x14ac:dyDescent="0.25">
      <c r="A72" t="str">
        <f t="shared" si="5"/>
        <v>CE12500</v>
      </c>
      <c r="B72" t="str">
        <f t="shared" si="6"/>
        <v>PE12500</v>
      </c>
      <c r="C72" t="s">
        <v>49</v>
      </c>
      <c r="D72" s="1">
        <v>929700</v>
      </c>
      <c r="E72" s="1">
        <v>-108600</v>
      </c>
      <c r="F72" s="1">
        <v>20080</v>
      </c>
      <c r="G72" s="1">
        <v>15.55</v>
      </c>
      <c r="H72" s="1">
        <v>0.65</v>
      </c>
      <c r="I72" s="1">
        <v>-0.55000000000000004</v>
      </c>
      <c r="J72" s="1">
        <v>15675</v>
      </c>
      <c r="K72" s="1">
        <v>0.65</v>
      </c>
      <c r="L72" s="1">
        <v>0.75</v>
      </c>
      <c r="M72" s="1">
        <v>8475</v>
      </c>
      <c r="N72" s="1">
        <v>12500</v>
      </c>
      <c r="O72" s="1">
        <v>75</v>
      </c>
      <c r="P72" s="1">
        <v>570.75</v>
      </c>
      <c r="Q72" s="1">
        <v>579.5</v>
      </c>
      <c r="R72" s="1">
        <v>75</v>
      </c>
      <c r="S72" s="1">
        <v>-52.7</v>
      </c>
      <c r="T72" s="1">
        <v>557.29999999999995</v>
      </c>
      <c r="U72" s="1" t="s">
        <v>14</v>
      </c>
      <c r="V72" s="1">
        <v>24</v>
      </c>
      <c r="W72" s="1">
        <v>300</v>
      </c>
      <c r="X72" s="1">
        <v>525</v>
      </c>
      <c r="Y72" s="1" t="s">
        <v>49</v>
      </c>
      <c r="AA72" s="7" t="e">
        <f>#REF!/#REF!</f>
        <v>#REF!</v>
      </c>
    </row>
    <row r="73" spans="1:27" x14ac:dyDescent="0.25">
      <c r="A73" t="str">
        <f t="shared" si="5"/>
        <v>CE12550</v>
      </c>
      <c r="B73" t="str">
        <f t="shared" si="6"/>
        <v>PE12550</v>
      </c>
      <c r="C73" t="s">
        <v>49</v>
      </c>
      <c r="D73" s="1">
        <v>36150</v>
      </c>
      <c r="E73" s="1">
        <v>36150</v>
      </c>
      <c r="F73" s="1">
        <v>819</v>
      </c>
      <c r="G73" s="1">
        <v>17.100000000000001</v>
      </c>
      <c r="H73" s="1">
        <v>0.8</v>
      </c>
      <c r="I73" s="1">
        <v>-39.85</v>
      </c>
      <c r="J73" s="1">
        <v>975</v>
      </c>
      <c r="K73" s="1">
        <v>0.45</v>
      </c>
      <c r="L73" s="1">
        <v>0.85</v>
      </c>
      <c r="M73" s="1">
        <v>300</v>
      </c>
      <c r="N73" s="1">
        <v>12550</v>
      </c>
      <c r="O73" s="1">
        <v>5850</v>
      </c>
      <c r="P73" s="1">
        <v>466.1</v>
      </c>
      <c r="Q73" s="1">
        <v>737.85</v>
      </c>
      <c r="R73" s="1">
        <v>975</v>
      </c>
      <c r="S73" s="1" t="s">
        <v>14</v>
      </c>
      <c r="T73" s="1" t="s">
        <v>14</v>
      </c>
      <c r="U73" s="1" t="s">
        <v>14</v>
      </c>
      <c r="V73" s="1" t="s">
        <v>14</v>
      </c>
      <c r="W73" s="1" t="s">
        <v>14</v>
      </c>
      <c r="X73" s="1" t="s">
        <v>14</v>
      </c>
      <c r="Y73" s="1" t="s">
        <v>49</v>
      </c>
      <c r="AA73" s="7" t="e">
        <f>#REF!/#REF!</f>
        <v>#REF!</v>
      </c>
    </row>
    <row r="74" spans="1:27" x14ac:dyDescent="0.25">
      <c r="A74" t="str">
        <f t="shared" si="5"/>
        <v>CE12600</v>
      </c>
      <c r="B74" t="str">
        <f t="shared" si="6"/>
        <v>PE12600</v>
      </c>
      <c r="C74" t="s">
        <v>49</v>
      </c>
      <c r="D74" s="1">
        <v>84600</v>
      </c>
      <c r="E74" s="1">
        <v>7350</v>
      </c>
      <c r="F74" s="1">
        <v>1850</v>
      </c>
      <c r="G74" s="1">
        <v>16.600000000000001</v>
      </c>
      <c r="H74" s="1">
        <v>0.35</v>
      </c>
      <c r="I74" s="1">
        <v>-0.55000000000000004</v>
      </c>
      <c r="J74" s="1">
        <v>5175</v>
      </c>
      <c r="K74" s="1">
        <v>0.35</v>
      </c>
      <c r="L74" s="1">
        <v>0.45</v>
      </c>
      <c r="M74" s="1">
        <v>2400</v>
      </c>
      <c r="N74" s="1">
        <v>12600</v>
      </c>
      <c r="O74" s="1">
        <v>75</v>
      </c>
      <c r="P74" s="1">
        <v>669.3</v>
      </c>
      <c r="Q74" s="1">
        <v>683.95</v>
      </c>
      <c r="R74" s="1">
        <v>75</v>
      </c>
      <c r="S74" s="1">
        <v>-591.85</v>
      </c>
      <c r="T74" s="1">
        <v>644.20000000000005</v>
      </c>
      <c r="U74" s="1" t="s">
        <v>14</v>
      </c>
      <c r="V74" s="1">
        <v>1</v>
      </c>
      <c r="W74" s="1">
        <v>75</v>
      </c>
      <c r="X74" s="1">
        <v>75</v>
      </c>
      <c r="Y74" s="1" t="s">
        <v>49</v>
      </c>
      <c r="AA74" s="7" t="e">
        <f>#REF!/#REF!</f>
        <v>#REF!</v>
      </c>
    </row>
    <row r="75" spans="1:27" x14ac:dyDescent="0.25">
      <c r="A75" t="str">
        <f t="shared" si="5"/>
        <v>CE12650</v>
      </c>
      <c r="B75" t="str">
        <f t="shared" si="6"/>
        <v>PE12650</v>
      </c>
      <c r="C75" t="s">
        <v>49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>
        <v>75</v>
      </c>
      <c r="K75" s="1">
        <v>0.1</v>
      </c>
      <c r="L75" s="1">
        <v>1</v>
      </c>
      <c r="M75" s="1">
        <v>1500</v>
      </c>
      <c r="N75" s="1">
        <v>12650</v>
      </c>
      <c r="O75" s="1">
        <v>5850</v>
      </c>
      <c r="P75" s="1">
        <v>646.9</v>
      </c>
      <c r="Q75" s="1">
        <v>855.3</v>
      </c>
      <c r="R75" s="1">
        <v>975</v>
      </c>
      <c r="S75" s="1" t="s">
        <v>14</v>
      </c>
      <c r="T75" s="1" t="s">
        <v>14</v>
      </c>
      <c r="U75" s="1" t="s">
        <v>14</v>
      </c>
      <c r="V75" s="1" t="s">
        <v>14</v>
      </c>
      <c r="W75" s="1" t="s">
        <v>14</v>
      </c>
      <c r="X75" s="1" t="s">
        <v>14</v>
      </c>
      <c r="Y75" s="1" t="s">
        <v>49</v>
      </c>
      <c r="AA75" s="7" t="e">
        <f>#REF!/#REF!</f>
        <v>#REF!</v>
      </c>
    </row>
    <row r="76" spans="1:27" x14ac:dyDescent="0.25">
      <c r="A76" t="str">
        <f t="shared" si="5"/>
        <v>CE12700</v>
      </c>
      <c r="B76" t="str">
        <f t="shared" si="6"/>
        <v>PE12700</v>
      </c>
      <c r="C76" t="s">
        <v>49</v>
      </c>
      <c r="D76" s="1">
        <v>1575</v>
      </c>
      <c r="E76" s="1">
        <v>75</v>
      </c>
      <c r="F76" s="1">
        <v>52</v>
      </c>
      <c r="G76" s="1">
        <v>18.940000000000001</v>
      </c>
      <c r="H76" s="1">
        <v>0.4</v>
      </c>
      <c r="I76" s="1">
        <v>-0.4</v>
      </c>
      <c r="J76" s="1">
        <v>3600</v>
      </c>
      <c r="K76" s="1">
        <v>0.4</v>
      </c>
      <c r="L76" s="1">
        <v>0.5</v>
      </c>
      <c r="M76" s="1">
        <v>525</v>
      </c>
      <c r="N76" s="1">
        <v>12700</v>
      </c>
      <c r="O76" s="1">
        <v>75</v>
      </c>
      <c r="P76" s="1">
        <v>769.4</v>
      </c>
      <c r="Q76" s="1">
        <v>783.55</v>
      </c>
      <c r="R76" s="1">
        <v>75</v>
      </c>
      <c r="S76" s="1">
        <v>-585.20000000000005</v>
      </c>
      <c r="T76" s="1">
        <v>742.4</v>
      </c>
      <c r="U76" s="1" t="s">
        <v>14</v>
      </c>
      <c r="V76" s="1">
        <v>1</v>
      </c>
      <c r="W76" s="1">
        <v>75</v>
      </c>
      <c r="X76" s="1">
        <v>75</v>
      </c>
      <c r="Y76" s="1" t="s">
        <v>49</v>
      </c>
      <c r="AA76" s="7" t="e">
        <f>#REF!/#REF!</f>
        <v>#REF!</v>
      </c>
    </row>
    <row r="77" spans="1:27" x14ac:dyDescent="0.25">
      <c r="A77" t="str">
        <f t="shared" si="5"/>
        <v>CE12750</v>
      </c>
      <c r="B77" t="str">
        <f t="shared" si="6"/>
        <v>PE12750</v>
      </c>
      <c r="C77" t="s">
        <v>49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1">
        <v>975</v>
      </c>
      <c r="K77" s="1">
        <v>0.1</v>
      </c>
      <c r="L77" s="1">
        <v>2.9</v>
      </c>
      <c r="M77" s="1">
        <v>3000</v>
      </c>
      <c r="N77" s="1">
        <v>12750</v>
      </c>
      <c r="O77" s="1">
        <v>5850</v>
      </c>
      <c r="P77" s="1">
        <v>716.3</v>
      </c>
      <c r="Q77" s="1">
        <v>920.9</v>
      </c>
      <c r="R77" s="1">
        <v>975</v>
      </c>
      <c r="S77" s="1" t="s">
        <v>14</v>
      </c>
      <c r="T77" s="1" t="s">
        <v>14</v>
      </c>
      <c r="U77" s="1" t="s">
        <v>14</v>
      </c>
      <c r="V77" s="1" t="s">
        <v>14</v>
      </c>
      <c r="W77" s="1" t="s">
        <v>14</v>
      </c>
      <c r="X77" s="1" t="s">
        <v>14</v>
      </c>
      <c r="Y77" s="1" t="s">
        <v>49</v>
      </c>
      <c r="AA77" s="7" t="e">
        <f>#REF!/#REF!</f>
        <v>#REF!</v>
      </c>
    </row>
    <row r="78" spans="1:27" x14ac:dyDescent="0.25">
      <c r="A78" t="str">
        <f t="shared" si="5"/>
        <v>CE12800</v>
      </c>
      <c r="B78" t="str">
        <f t="shared" si="6"/>
        <v>PE12800</v>
      </c>
      <c r="C78" t="s">
        <v>49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>
        <v>600</v>
      </c>
      <c r="K78" s="1">
        <v>0.3</v>
      </c>
      <c r="L78" s="1">
        <v>0.7</v>
      </c>
      <c r="M78" s="1">
        <v>300</v>
      </c>
      <c r="N78" s="1">
        <v>12800</v>
      </c>
      <c r="O78" s="1">
        <v>300</v>
      </c>
      <c r="P78" s="1">
        <v>854.5</v>
      </c>
      <c r="Q78" s="1">
        <v>901.6</v>
      </c>
      <c r="R78" s="1">
        <v>300</v>
      </c>
      <c r="S78" s="1" t="s">
        <v>14</v>
      </c>
      <c r="T78" s="1" t="s">
        <v>14</v>
      </c>
      <c r="U78" s="1" t="s">
        <v>14</v>
      </c>
      <c r="V78" s="1" t="s">
        <v>14</v>
      </c>
      <c r="W78" s="1" t="s">
        <v>14</v>
      </c>
      <c r="X78" s="1" t="s">
        <v>14</v>
      </c>
      <c r="Y78" s="1" t="s">
        <v>49</v>
      </c>
      <c r="AA78" s="7" t="e">
        <f>#REF!/#REF!</f>
        <v>#REF!</v>
      </c>
    </row>
    <row r="79" spans="1:27" x14ac:dyDescent="0.25">
      <c r="A79" t="str">
        <f t="shared" si="5"/>
        <v>CE12850</v>
      </c>
      <c r="B79" t="str">
        <f t="shared" si="6"/>
        <v>PE12850</v>
      </c>
      <c r="C79" t="s">
        <v>49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1">
        <v>4500</v>
      </c>
      <c r="K79" s="1">
        <v>0.05</v>
      </c>
      <c r="L79" s="1">
        <v>2.5</v>
      </c>
      <c r="M79" s="1">
        <v>3000</v>
      </c>
      <c r="N79" s="1">
        <v>12850</v>
      </c>
      <c r="O79" s="1">
        <v>5850</v>
      </c>
      <c r="P79" s="1">
        <v>632.6</v>
      </c>
      <c r="Q79" s="1">
        <v>1054.6500000000001</v>
      </c>
      <c r="R79" s="1">
        <v>975</v>
      </c>
      <c r="S79" s="1" t="s">
        <v>14</v>
      </c>
      <c r="T79" s="1" t="s">
        <v>14</v>
      </c>
      <c r="U79" s="1" t="s">
        <v>14</v>
      </c>
      <c r="V79" s="1" t="s">
        <v>14</v>
      </c>
      <c r="W79" s="1" t="s">
        <v>14</v>
      </c>
      <c r="X79" s="1" t="s">
        <v>14</v>
      </c>
      <c r="Y79" s="1" t="s">
        <v>49</v>
      </c>
      <c r="AA79" s="7" t="e">
        <f>#REF!/#REF!</f>
        <v>#REF!</v>
      </c>
    </row>
    <row r="80" spans="1:27" x14ac:dyDescent="0.25">
      <c r="A80" t="str">
        <f t="shared" si="5"/>
        <v>CE12900</v>
      </c>
      <c r="B80" t="str">
        <f t="shared" si="6"/>
        <v>PE12900</v>
      </c>
      <c r="C80" t="s">
        <v>49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1">
        <v>1500</v>
      </c>
      <c r="K80" s="1">
        <v>0.3</v>
      </c>
      <c r="L80" s="1">
        <v>0.7</v>
      </c>
      <c r="M80" s="1">
        <v>4950</v>
      </c>
      <c r="N80" s="1">
        <v>12900</v>
      </c>
      <c r="O80" s="1">
        <v>300</v>
      </c>
      <c r="P80" s="1">
        <v>954.5</v>
      </c>
      <c r="Q80" s="1">
        <v>1001.6</v>
      </c>
      <c r="R80" s="1">
        <v>300</v>
      </c>
      <c r="S80" s="1" t="s">
        <v>14</v>
      </c>
      <c r="T80" s="1" t="s">
        <v>14</v>
      </c>
      <c r="U80" s="1" t="s">
        <v>14</v>
      </c>
      <c r="V80" s="1" t="s">
        <v>14</v>
      </c>
      <c r="W80" s="1" t="s">
        <v>14</v>
      </c>
      <c r="X80" s="1" t="s">
        <v>14</v>
      </c>
      <c r="Y80" s="1" t="s">
        <v>49</v>
      </c>
      <c r="AA80" s="7" t="e">
        <f>#REF!/#REF!</f>
        <v>#REF!</v>
      </c>
    </row>
    <row r="81" spans="1:66" x14ac:dyDescent="0.25">
      <c r="A81" t="str">
        <f t="shared" si="5"/>
        <v>CE12950</v>
      </c>
      <c r="B81" t="str">
        <f t="shared" si="6"/>
        <v>PE12950</v>
      </c>
      <c r="C81" t="s">
        <v>49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1">
        <v>4500</v>
      </c>
      <c r="K81" s="1">
        <v>0.05</v>
      </c>
      <c r="L81" s="1">
        <v>1</v>
      </c>
      <c r="M81" s="1">
        <v>4950</v>
      </c>
      <c r="N81" s="1">
        <v>12950</v>
      </c>
      <c r="O81" s="1">
        <v>5850</v>
      </c>
      <c r="P81" s="1">
        <v>918</v>
      </c>
      <c r="Q81" s="1">
        <v>1141.8499999999999</v>
      </c>
      <c r="R81" s="1">
        <v>975</v>
      </c>
      <c r="S81" s="1" t="s">
        <v>14</v>
      </c>
      <c r="T81" s="1" t="s">
        <v>14</v>
      </c>
      <c r="U81" s="1" t="s">
        <v>14</v>
      </c>
      <c r="V81" s="1" t="s">
        <v>14</v>
      </c>
      <c r="W81" s="1" t="s">
        <v>14</v>
      </c>
      <c r="X81" s="1" t="s">
        <v>14</v>
      </c>
      <c r="Y81" s="1" t="s">
        <v>49</v>
      </c>
      <c r="AA81" s="7" t="e">
        <f>#REF!/#REF!</f>
        <v>#REF!</v>
      </c>
    </row>
    <row r="82" spans="1:66" x14ac:dyDescent="0.25">
      <c r="A82" t="str">
        <f t="shared" si="5"/>
        <v>CE13000</v>
      </c>
      <c r="B82" t="str">
        <f t="shared" si="6"/>
        <v>PE13000</v>
      </c>
      <c r="C82" t="s">
        <v>49</v>
      </c>
      <c r="D82" s="1">
        <v>78900</v>
      </c>
      <c r="E82" s="1">
        <v>19650</v>
      </c>
      <c r="F82" s="1">
        <v>1107</v>
      </c>
      <c r="G82" s="1">
        <v>23.91</v>
      </c>
      <c r="H82" s="1">
        <v>0.25</v>
      </c>
      <c r="I82" s="1">
        <v>-0.25</v>
      </c>
      <c r="J82" s="1">
        <v>8925</v>
      </c>
      <c r="K82" s="1">
        <v>0.25</v>
      </c>
      <c r="L82" s="1">
        <v>0.3</v>
      </c>
      <c r="M82" s="1">
        <v>4050</v>
      </c>
      <c r="N82" s="1">
        <v>13000</v>
      </c>
      <c r="O82" s="1">
        <v>300</v>
      </c>
      <c r="P82" s="1">
        <v>1054.45</v>
      </c>
      <c r="Q82" s="1">
        <v>1100.4000000000001</v>
      </c>
      <c r="R82" s="1">
        <v>75</v>
      </c>
      <c r="S82" s="1" t="s">
        <v>14</v>
      </c>
      <c r="T82" s="1" t="s">
        <v>14</v>
      </c>
      <c r="U82" s="1" t="s">
        <v>14</v>
      </c>
      <c r="V82" s="1" t="s">
        <v>14</v>
      </c>
      <c r="W82" s="1" t="s">
        <v>14</v>
      </c>
      <c r="X82" s="1" t="s">
        <v>14</v>
      </c>
      <c r="Y82" s="1" t="s">
        <v>49</v>
      </c>
      <c r="AA82" s="7" t="e">
        <f>#REF!/#REF!</f>
        <v>#REF!</v>
      </c>
    </row>
    <row r="83" spans="1:66" x14ac:dyDescent="0.25">
      <c r="A83" t="str">
        <f t="shared" si="5"/>
        <v>CE13050</v>
      </c>
      <c r="B83" t="str">
        <f t="shared" si="6"/>
        <v>PE13050</v>
      </c>
      <c r="C83" t="s">
        <v>49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  <c r="K83" s="1" t="s">
        <v>14</v>
      </c>
      <c r="L83" s="1">
        <v>0.45</v>
      </c>
      <c r="M83" s="1">
        <v>4950</v>
      </c>
      <c r="N83" s="1">
        <v>13050</v>
      </c>
      <c r="O83" s="1">
        <v>5850</v>
      </c>
      <c r="P83" s="1">
        <v>1008.7</v>
      </c>
      <c r="Q83" s="1">
        <v>1274.55</v>
      </c>
      <c r="R83" s="1">
        <v>975</v>
      </c>
      <c r="S83" s="1" t="s">
        <v>14</v>
      </c>
      <c r="T83" s="1" t="s">
        <v>14</v>
      </c>
      <c r="U83" s="1" t="s">
        <v>14</v>
      </c>
      <c r="V83" s="1" t="s">
        <v>14</v>
      </c>
      <c r="W83" s="1" t="s">
        <v>14</v>
      </c>
      <c r="X83" s="1" t="s">
        <v>14</v>
      </c>
      <c r="Y83" s="1" t="s">
        <v>49</v>
      </c>
      <c r="AA83" s="7" t="e">
        <f>#REF!/#REF!</f>
        <v>#REF!</v>
      </c>
    </row>
    <row r="84" spans="1:66" x14ac:dyDescent="0.25">
      <c r="A84" t="str">
        <f t="shared" si="5"/>
        <v>CE13100</v>
      </c>
      <c r="B84" t="str">
        <f t="shared" si="6"/>
        <v>PE13100</v>
      </c>
      <c r="C84" t="s">
        <v>49</v>
      </c>
      <c r="D84" s="1">
        <v>36150</v>
      </c>
      <c r="E84" s="1">
        <v>31575</v>
      </c>
      <c r="F84" s="1">
        <v>507</v>
      </c>
      <c r="G84" s="1">
        <v>26.63</v>
      </c>
      <c r="H84" s="1">
        <v>0.35</v>
      </c>
      <c r="I84" s="1">
        <v>-0.1</v>
      </c>
      <c r="J84" s="1">
        <v>75</v>
      </c>
      <c r="K84" s="1">
        <v>0.25</v>
      </c>
      <c r="L84" s="1">
        <v>0.3</v>
      </c>
      <c r="M84" s="1">
        <v>4950</v>
      </c>
      <c r="N84" s="1">
        <v>13100</v>
      </c>
      <c r="O84" s="1">
        <v>5850</v>
      </c>
      <c r="P84" s="1">
        <v>1072.0999999999999</v>
      </c>
      <c r="Q84" s="1">
        <v>1289.2</v>
      </c>
      <c r="R84" s="1">
        <v>975</v>
      </c>
      <c r="S84" s="1" t="s">
        <v>14</v>
      </c>
      <c r="T84" s="1" t="s">
        <v>14</v>
      </c>
      <c r="U84" s="1" t="s">
        <v>14</v>
      </c>
      <c r="V84" s="1" t="s">
        <v>14</v>
      </c>
      <c r="W84" s="1" t="s">
        <v>14</v>
      </c>
      <c r="X84" s="1" t="s">
        <v>14</v>
      </c>
      <c r="Y84" s="1" t="s">
        <v>49</v>
      </c>
      <c r="AA84" s="7" t="e">
        <f>#REF!/#REF!</f>
        <v>#REF!</v>
      </c>
    </row>
    <row r="85" spans="1:66" x14ac:dyDescent="0.25">
      <c r="A85" t="str">
        <f t="shared" si="5"/>
        <v>CE13150</v>
      </c>
      <c r="B85" t="str">
        <f t="shared" si="6"/>
        <v>PE13150</v>
      </c>
      <c r="C85" t="s">
        <v>49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 t="s">
        <v>14</v>
      </c>
      <c r="L85" s="1">
        <v>0.55000000000000004</v>
      </c>
      <c r="M85" s="1">
        <v>4950</v>
      </c>
      <c r="N85" s="1">
        <v>13150</v>
      </c>
      <c r="O85" s="1">
        <v>5850</v>
      </c>
      <c r="P85" s="1">
        <v>1098.2</v>
      </c>
      <c r="Q85" s="1">
        <v>1314.65</v>
      </c>
      <c r="R85" s="1">
        <v>975</v>
      </c>
      <c r="S85" s="1" t="s">
        <v>14</v>
      </c>
      <c r="T85" s="1" t="s">
        <v>14</v>
      </c>
      <c r="U85" s="1" t="s">
        <v>14</v>
      </c>
      <c r="V85" s="1" t="s">
        <v>14</v>
      </c>
      <c r="W85" s="1" t="s">
        <v>14</v>
      </c>
      <c r="X85" s="1" t="s">
        <v>14</v>
      </c>
      <c r="Y85" s="1" t="s">
        <v>49</v>
      </c>
      <c r="AA85" s="7" t="e">
        <f>#REF!/#REF!</f>
        <v>#REF!</v>
      </c>
    </row>
    <row r="86" spans="1:66" x14ac:dyDescent="0.25">
      <c r="A86" t="str">
        <f t="shared" si="5"/>
        <v>CE13200</v>
      </c>
      <c r="B86" t="str">
        <f t="shared" si="6"/>
        <v>PE13200</v>
      </c>
      <c r="C86" t="s">
        <v>49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>
        <v>600</v>
      </c>
      <c r="K86" s="1">
        <v>0.1</v>
      </c>
      <c r="L86" s="1">
        <v>0.6</v>
      </c>
      <c r="M86" s="1">
        <v>4950</v>
      </c>
      <c r="N86" s="1">
        <v>13200</v>
      </c>
      <c r="O86" s="1">
        <v>5850</v>
      </c>
      <c r="P86" s="1">
        <v>1159</v>
      </c>
      <c r="Q86" s="1">
        <v>1392.5</v>
      </c>
      <c r="R86" s="1">
        <v>975</v>
      </c>
      <c r="S86" s="1" t="s">
        <v>14</v>
      </c>
      <c r="T86" s="1" t="s">
        <v>14</v>
      </c>
      <c r="U86" s="1" t="s">
        <v>14</v>
      </c>
      <c r="V86" s="1" t="s">
        <v>14</v>
      </c>
      <c r="W86" s="1" t="s">
        <v>14</v>
      </c>
      <c r="X86" s="1" t="s">
        <v>14</v>
      </c>
      <c r="Y86" s="1" t="s">
        <v>49</v>
      </c>
      <c r="AA86" s="7" t="e">
        <f>#REF!/#REF!</f>
        <v>#REF!</v>
      </c>
    </row>
    <row r="87" spans="1:66" x14ac:dyDescent="0.25">
      <c r="A87" t="str">
        <f t="shared" si="5"/>
        <v>CE13250</v>
      </c>
      <c r="B87" t="str">
        <f t="shared" si="6"/>
        <v>PE13250</v>
      </c>
      <c r="C87" t="s">
        <v>49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 t="s">
        <v>14</v>
      </c>
      <c r="L87" s="1">
        <v>0.65</v>
      </c>
      <c r="M87" s="1">
        <v>4950</v>
      </c>
      <c r="N87" s="1">
        <v>13250</v>
      </c>
      <c r="O87" s="1">
        <v>5850</v>
      </c>
      <c r="P87" s="1">
        <v>1161.5</v>
      </c>
      <c r="Q87" s="1">
        <v>1459.2</v>
      </c>
      <c r="R87" s="1">
        <v>975</v>
      </c>
      <c r="S87" s="1" t="s">
        <v>14</v>
      </c>
      <c r="T87" s="1" t="s">
        <v>14</v>
      </c>
      <c r="U87" s="1" t="s">
        <v>14</v>
      </c>
      <c r="V87" s="1" t="s">
        <v>14</v>
      </c>
      <c r="W87" s="1" t="s">
        <v>14</v>
      </c>
      <c r="X87" s="1" t="s">
        <v>14</v>
      </c>
      <c r="Y87" s="1" t="s">
        <v>49</v>
      </c>
      <c r="AA87" s="7" t="e">
        <f>#REF!/#REF!</f>
        <v>#REF!</v>
      </c>
    </row>
    <row r="88" spans="1:66" x14ac:dyDescent="0.25">
      <c r="A88" t="str">
        <f t="shared" si="5"/>
        <v>CE13300</v>
      </c>
      <c r="B88" t="str">
        <f t="shared" si="6"/>
        <v>PE13300</v>
      </c>
      <c r="C88" t="s">
        <v>49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>
        <v>600</v>
      </c>
      <c r="K88" s="1">
        <v>0.1</v>
      </c>
      <c r="L88" s="1">
        <v>0.5</v>
      </c>
      <c r="M88" s="1">
        <v>4950</v>
      </c>
      <c r="N88" s="1">
        <v>13300</v>
      </c>
      <c r="O88" s="1">
        <v>5850</v>
      </c>
      <c r="P88" s="1">
        <v>1262.9000000000001</v>
      </c>
      <c r="Q88" s="1">
        <v>1497.6</v>
      </c>
      <c r="R88" s="1">
        <v>975</v>
      </c>
      <c r="S88" s="1" t="s">
        <v>14</v>
      </c>
      <c r="T88" s="1" t="s">
        <v>14</v>
      </c>
      <c r="U88" s="1" t="s">
        <v>14</v>
      </c>
      <c r="V88" s="1" t="s">
        <v>14</v>
      </c>
      <c r="W88" s="1" t="s">
        <v>14</v>
      </c>
      <c r="X88" s="1" t="s">
        <v>14</v>
      </c>
      <c r="Y88" s="1" t="s">
        <v>49</v>
      </c>
      <c r="AA88" s="7">
        <f t="shared" ref="AA88:AA100" si="7">X93/D93</f>
        <v>1.0303378645079533</v>
      </c>
    </row>
    <row r="89" spans="1:66" x14ac:dyDescent="0.25">
      <c r="A89" t="str">
        <f t="shared" si="5"/>
        <v>CE13350</v>
      </c>
      <c r="B89" t="str">
        <f t="shared" si="6"/>
        <v>PE13350</v>
      </c>
      <c r="C89" t="s">
        <v>49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  <c r="K89" s="1" t="s">
        <v>14</v>
      </c>
      <c r="L89" s="1">
        <v>0.5</v>
      </c>
      <c r="M89" s="1">
        <v>4950</v>
      </c>
      <c r="N89" s="1">
        <v>13350</v>
      </c>
      <c r="O89" s="1">
        <v>5775</v>
      </c>
      <c r="P89" s="1">
        <v>1276.9000000000001</v>
      </c>
      <c r="Q89" s="1">
        <v>1471.2</v>
      </c>
      <c r="R89" s="1">
        <v>900</v>
      </c>
      <c r="S89" s="1" t="s">
        <v>14</v>
      </c>
      <c r="T89" s="1" t="s">
        <v>14</v>
      </c>
      <c r="U89" s="1" t="s">
        <v>14</v>
      </c>
      <c r="V89" s="1" t="s">
        <v>14</v>
      </c>
      <c r="W89" s="1" t="s">
        <v>14</v>
      </c>
      <c r="X89" s="1" t="s">
        <v>14</v>
      </c>
      <c r="Y89" s="1" t="s">
        <v>49</v>
      </c>
      <c r="AA89" s="7" t="e">
        <f t="shared" si="7"/>
        <v>#DIV/0!</v>
      </c>
    </row>
    <row r="90" spans="1:66" x14ac:dyDescent="0.25">
      <c r="A90" t="str">
        <f t="shared" si="5"/>
        <v>CE13400</v>
      </c>
      <c r="B90" t="str">
        <f t="shared" si="6"/>
        <v>PE13400</v>
      </c>
      <c r="C90" t="s">
        <v>49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>
        <v>600</v>
      </c>
      <c r="K90" s="1">
        <v>0.1</v>
      </c>
      <c r="L90" s="1">
        <v>0.5</v>
      </c>
      <c r="M90" s="1">
        <v>4950</v>
      </c>
      <c r="N90" s="1">
        <v>13400</v>
      </c>
      <c r="O90" s="1">
        <v>5775</v>
      </c>
      <c r="P90" s="1">
        <v>1361.45</v>
      </c>
      <c r="Q90" s="1">
        <v>1610.2</v>
      </c>
      <c r="R90" s="1">
        <v>900</v>
      </c>
      <c r="S90" s="1" t="s">
        <v>14</v>
      </c>
      <c r="T90" s="1" t="s">
        <v>14</v>
      </c>
      <c r="U90" s="1" t="s">
        <v>14</v>
      </c>
      <c r="V90" s="1" t="s">
        <v>14</v>
      </c>
      <c r="W90" s="1" t="s">
        <v>14</v>
      </c>
      <c r="X90" s="1" t="s">
        <v>14</v>
      </c>
      <c r="Y90" s="1" t="s">
        <v>49</v>
      </c>
      <c r="AA90" s="7" t="e">
        <f t="shared" si="7"/>
        <v>#DIV/0!</v>
      </c>
    </row>
    <row r="91" spans="1:66" x14ac:dyDescent="0.25">
      <c r="A91" t="str">
        <f t="shared" si="5"/>
        <v>CE13450</v>
      </c>
      <c r="B91" t="str">
        <f t="shared" si="6"/>
        <v>PE13450</v>
      </c>
      <c r="C91" t="s">
        <v>49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14</v>
      </c>
      <c r="K91" s="1" t="s">
        <v>14</v>
      </c>
      <c r="L91" s="1">
        <v>0.5</v>
      </c>
      <c r="M91" s="1">
        <v>4950</v>
      </c>
      <c r="N91" s="1">
        <v>13450</v>
      </c>
      <c r="O91" s="1">
        <v>5775</v>
      </c>
      <c r="P91" s="1">
        <v>1381.55</v>
      </c>
      <c r="Q91" s="1">
        <v>1576.55</v>
      </c>
      <c r="R91" s="1">
        <v>900</v>
      </c>
      <c r="S91" s="1" t="s">
        <v>14</v>
      </c>
      <c r="T91" s="1" t="s">
        <v>14</v>
      </c>
      <c r="U91" s="1" t="s">
        <v>14</v>
      </c>
      <c r="V91" s="1" t="s">
        <v>14</v>
      </c>
      <c r="W91" s="1" t="s">
        <v>14</v>
      </c>
      <c r="X91" s="1" t="s">
        <v>14</v>
      </c>
      <c r="Y91" s="1" t="s">
        <v>49</v>
      </c>
      <c r="AA91" s="7" t="e">
        <f t="shared" si="7"/>
        <v>#DIV/0!</v>
      </c>
    </row>
    <row r="92" spans="1:66" x14ac:dyDescent="0.25">
      <c r="A92" t="str">
        <f t="shared" si="5"/>
        <v>CE13500</v>
      </c>
      <c r="B92" t="str">
        <f t="shared" si="6"/>
        <v>PE13500</v>
      </c>
      <c r="C92" t="s">
        <v>49</v>
      </c>
      <c r="D92" s="1">
        <v>900</v>
      </c>
      <c r="E92" s="1">
        <v>900</v>
      </c>
      <c r="F92" s="1">
        <v>12</v>
      </c>
      <c r="G92" s="1">
        <v>34.56</v>
      </c>
      <c r="H92" s="1">
        <v>0.4</v>
      </c>
      <c r="I92" s="1">
        <v>0.35</v>
      </c>
      <c r="J92" s="1">
        <v>1050</v>
      </c>
      <c r="K92" s="1">
        <v>0.05</v>
      </c>
      <c r="L92" s="1">
        <v>0.4</v>
      </c>
      <c r="M92" s="1">
        <v>4650</v>
      </c>
      <c r="N92" s="1">
        <v>13500</v>
      </c>
      <c r="O92" s="1">
        <v>5775</v>
      </c>
      <c r="P92" s="1">
        <v>1428.2</v>
      </c>
      <c r="Q92" s="1">
        <v>1629.4</v>
      </c>
      <c r="R92" s="1">
        <v>900</v>
      </c>
      <c r="S92" s="1" t="s">
        <v>14</v>
      </c>
      <c r="T92" s="1" t="s">
        <v>14</v>
      </c>
      <c r="U92" s="1" t="s">
        <v>14</v>
      </c>
      <c r="V92" s="1" t="s">
        <v>14</v>
      </c>
      <c r="W92" s="1" t="s">
        <v>14</v>
      </c>
      <c r="X92" s="1" t="s">
        <v>14</v>
      </c>
      <c r="Y92" s="1" t="s">
        <v>49</v>
      </c>
      <c r="AA92" s="7" t="e">
        <f t="shared" si="7"/>
        <v>#DIV/0!</v>
      </c>
    </row>
    <row r="93" spans="1:66" x14ac:dyDescent="0.25">
      <c r="A93" t="e">
        <f>"CE"&amp;#REF!</f>
        <v>#REF!</v>
      </c>
      <c r="B93" t="e">
        <f>"PE"&amp;#REF!</f>
        <v>#REF!</v>
      </c>
      <c r="C93" t="s">
        <v>18</v>
      </c>
      <c r="D93" s="1">
        <v>10830525</v>
      </c>
      <c r="E93" s="1"/>
      <c r="F93" s="1">
        <v>1511344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>
        <v>1358684</v>
      </c>
      <c r="W93" s="1"/>
      <c r="X93" s="1">
        <v>11159100</v>
      </c>
      <c r="Y93" s="1" t="s">
        <v>18</v>
      </c>
      <c r="AA93" s="7" t="e">
        <f t="shared" si="7"/>
        <v>#DIV/0!</v>
      </c>
    </row>
    <row r="94" spans="1:66" x14ac:dyDescent="0.25">
      <c r="A94" t="e">
        <f>"CE"&amp;#REF!</f>
        <v>#REF!</v>
      </c>
      <c r="B94" t="e">
        <f>"PE"&amp;#REF!</f>
        <v>#REF!</v>
      </c>
      <c r="Z94" s="1"/>
      <c r="AA94" s="7" t="e">
        <f t="shared" si="7"/>
        <v>#DIV/0!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BJ94" s="1"/>
      <c r="BN94" s="1"/>
    </row>
    <row r="95" spans="1:66" x14ac:dyDescent="0.25">
      <c r="A95" t="e">
        <f>"CE"&amp;#REF!</f>
        <v>#REF!</v>
      </c>
      <c r="B95" t="e">
        <f>"PE"&amp;#REF!</f>
        <v>#REF!</v>
      </c>
      <c r="AA95" s="7" t="e">
        <f t="shared" si="7"/>
        <v>#DIV/0!</v>
      </c>
      <c r="BF95" s="1"/>
    </row>
    <row r="96" spans="1:66" x14ac:dyDescent="0.25">
      <c r="A96" t="e">
        <f>"CE"&amp;#REF!</f>
        <v>#REF!</v>
      </c>
      <c r="B96" t="e">
        <f>"PE"&amp;#REF!</f>
        <v>#REF!</v>
      </c>
      <c r="Z96" s="1"/>
      <c r="AA96" s="7" t="e">
        <f t="shared" si="7"/>
        <v>#DIV/0!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x14ac:dyDescent="0.25">
      <c r="A97" t="e">
        <f>"CE"&amp;#REF!</f>
        <v>#REF!</v>
      </c>
      <c r="B97" t="e">
        <f>"PE"&amp;#REF!</f>
        <v>#REF!</v>
      </c>
      <c r="Z97" s="1"/>
      <c r="AA97" s="7" t="e">
        <f t="shared" si="7"/>
        <v>#DIV/0!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x14ac:dyDescent="0.25">
      <c r="A98" t="e">
        <f>"CE"&amp;#REF!</f>
        <v>#REF!</v>
      </c>
      <c r="B98" t="e">
        <f>"PE"&amp;#REF!</f>
        <v>#REF!</v>
      </c>
      <c r="AA98" s="7" t="e">
        <f t="shared" si="7"/>
        <v>#DIV/0!</v>
      </c>
    </row>
    <row r="99" spans="1:46" x14ac:dyDescent="0.25">
      <c r="A99" t="e">
        <f>"CE"&amp;#REF!</f>
        <v>#REF!</v>
      </c>
      <c r="B99" t="e">
        <f>"PE"&amp;#REF!</f>
        <v>#REF!</v>
      </c>
      <c r="AA99" s="7" t="e">
        <f t="shared" si="7"/>
        <v>#DIV/0!</v>
      </c>
    </row>
    <row r="100" spans="1:46" x14ac:dyDescent="0.25">
      <c r="A100" t="e">
        <f>"CE"&amp;#REF!</f>
        <v>#REF!</v>
      </c>
      <c r="B100" t="e">
        <f>"PE"&amp;#REF!</f>
        <v>#REF!</v>
      </c>
      <c r="AA100" s="7" t="e">
        <f t="shared" si="7"/>
        <v>#DIV/0!</v>
      </c>
    </row>
    <row r="101" spans="1:46" x14ac:dyDescent="0.25">
      <c r="A101" t="e">
        <f>"CE"&amp;#REF!</f>
        <v>#REF!</v>
      </c>
      <c r="B101" t="e">
        <f>"PE"&amp;#REF!</f>
        <v>#REF!</v>
      </c>
    </row>
    <row r="102" spans="1:46" x14ac:dyDescent="0.25">
      <c r="A102" t="e">
        <f>"CE"&amp;#REF!</f>
        <v>#REF!</v>
      </c>
      <c r="B102" t="e">
        <f>"PE"&amp;#REF!</f>
        <v>#REF!</v>
      </c>
    </row>
    <row r="103" spans="1:46" x14ac:dyDescent="0.25">
      <c r="A103" t="e">
        <f>"CE"&amp;#REF!</f>
        <v>#REF!</v>
      </c>
      <c r="B103" t="e">
        <f>"PE"&amp;#REF!</f>
        <v>#REF!</v>
      </c>
    </row>
    <row r="104" spans="1:46" x14ac:dyDescent="0.25">
      <c r="A104" t="e">
        <f>"CE"&amp;#REF!</f>
        <v>#REF!</v>
      </c>
      <c r="B104" t="e">
        <f>"PE"&amp;#REF!</f>
        <v>#REF!</v>
      </c>
    </row>
    <row r="105" spans="1:46" x14ac:dyDescent="0.25">
      <c r="A105" t="e">
        <f>"CE"&amp;#REF!</f>
        <v>#REF!</v>
      </c>
      <c r="B105" t="e">
        <f>"PE"&amp;#REF!</f>
        <v>#REF!</v>
      </c>
    </row>
    <row r="106" spans="1:46" x14ac:dyDescent="0.25">
      <c r="A106" t="e">
        <f>"CE"&amp;#REF!</f>
        <v>#REF!</v>
      </c>
      <c r="B106" t="e">
        <f>"PE"&amp;#REF!</f>
        <v>#REF!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46" x14ac:dyDescent="0.25">
      <c r="A107" t="e">
        <f>"CE"&amp;#REF!</f>
        <v>#REF!</v>
      </c>
      <c r="B107" t="e">
        <f>"PE"&amp;#REF!</f>
        <v>#REF!</v>
      </c>
    </row>
    <row r="108" spans="1:46" x14ac:dyDescent="0.25">
      <c r="A108" t="e">
        <f>"CE"&amp;#REF!</f>
        <v>#REF!</v>
      </c>
      <c r="B108" t="e">
        <f>"PE"&amp;#REF!</f>
        <v>#REF!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46" x14ac:dyDescent="0.25">
      <c r="A109" t="e">
        <f>"CE"&amp;#REF!</f>
        <v>#REF!</v>
      </c>
      <c r="B109" t="e">
        <f>"PE"&amp;#REF!</f>
        <v>#REF!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46" x14ac:dyDescent="0.25">
      <c r="A110" t="e">
        <f>"CE"&amp;#REF!</f>
        <v>#REF!</v>
      </c>
      <c r="B110" t="e">
        <f>"PE"&amp;#REF!</f>
        <v>#REF!</v>
      </c>
    </row>
    <row r="111" spans="1:46" x14ac:dyDescent="0.25">
      <c r="A111" t="e">
        <f>"CE"&amp;#REF!</f>
        <v>#REF!</v>
      </c>
      <c r="B111" t="e">
        <f>"PE"&amp;#REF!</f>
        <v>#REF!</v>
      </c>
    </row>
    <row r="112" spans="1:46" x14ac:dyDescent="0.25">
      <c r="A112" t="e">
        <f>"CE"&amp;#REF!</f>
        <v>#REF!</v>
      </c>
      <c r="B112" t="e">
        <f>"PE"&amp;#REF!</f>
        <v>#REF!</v>
      </c>
    </row>
    <row r="113" spans="1:2" x14ac:dyDescent="0.25">
      <c r="A113" t="e">
        <f>"CE"&amp;#REF!</f>
        <v>#REF!</v>
      </c>
      <c r="B113" t="e">
        <f>"PE"&amp;#REF!</f>
        <v>#REF!</v>
      </c>
    </row>
    <row r="114" spans="1:2" x14ac:dyDescent="0.25">
      <c r="A114" t="e">
        <f>"CE"&amp;#REF!</f>
        <v>#REF!</v>
      </c>
      <c r="B114" t="e">
        <f>"PE"&amp;#REF!</f>
        <v>#REF!</v>
      </c>
    </row>
    <row r="115" spans="1:2" x14ac:dyDescent="0.25">
      <c r="A115" t="e">
        <f>"CE"&amp;#REF!</f>
        <v>#REF!</v>
      </c>
      <c r="B115" t="e">
        <f>"PE"&amp;#REF!</f>
        <v>#REF!</v>
      </c>
    </row>
    <row r="116" spans="1:2" x14ac:dyDescent="0.25">
      <c r="A116" t="e">
        <f>"CE"&amp;#REF!</f>
        <v>#REF!</v>
      </c>
      <c r="B116" t="e">
        <f>"PE"&amp;#REF!</f>
        <v>#REF!</v>
      </c>
    </row>
    <row r="117" spans="1:2" x14ac:dyDescent="0.25">
      <c r="A117" t="e">
        <f>"CE"&amp;#REF!</f>
        <v>#REF!</v>
      </c>
      <c r="B117" t="e">
        <f>"PE"&amp;#REF!</f>
        <v>#REF!</v>
      </c>
    </row>
    <row r="118" spans="1:2" x14ac:dyDescent="0.25">
      <c r="A118" t="e">
        <f>"CE"&amp;#REF!</f>
        <v>#REF!</v>
      </c>
      <c r="B118" t="e">
        <f>"PE"&amp;#REF!</f>
        <v>#REF!</v>
      </c>
    </row>
    <row r="119" spans="1:2" x14ac:dyDescent="0.25">
      <c r="A119" t="e">
        <f>"CE"&amp;#REF!</f>
        <v>#REF!</v>
      </c>
      <c r="B119" t="e">
        <f>"PE"&amp;#REF!</f>
        <v>#REF!</v>
      </c>
    </row>
    <row r="120" spans="1:2" x14ac:dyDescent="0.25">
      <c r="A120" t="e">
        <f>"CE"&amp;#REF!</f>
        <v>#REF!</v>
      </c>
      <c r="B120" t="e">
        <f>"PE"&amp;#REF!</f>
        <v>#REF!</v>
      </c>
    </row>
    <row r="121" spans="1:2" x14ac:dyDescent="0.25">
      <c r="A121" t="e">
        <f>"CE"&amp;#REF!</f>
        <v>#REF!</v>
      </c>
      <c r="B121" t="e">
        <f>"PE"&amp;#REF!</f>
        <v>#REF!</v>
      </c>
    </row>
    <row r="122" spans="1:2" x14ac:dyDescent="0.25">
      <c r="A122" t="e">
        <f>"CE"&amp;#REF!</f>
        <v>#REF!</v>
      </c>
      <c r="B122" t="e">
        <f>"PE"&amp;#REF!</f>
        <v>#REF!</v>
      </c>
    </row>
    <row r="123" spans="1:2" x14ac:dyDescent="0.25">
      <c r="A123" t="e">
        <f>"CE"&amp;#REF!</f>
        <v>#REF!</v>
      </c>
      <c r="B123" t="e">
        <f>"PE"&amp;#REF!</f>
        <v>#REF!</v>
      </c>
    </row>
    <row r="124" spans="1:2" x14ac:dyDescent="0.25">
      <c r="A124" t="e">
        <f>"CE"&amp;#REF!</f>
        <v>#REF!</v>
      </c>
      <c r="B124" t="e">
        <f>"PE"&amp;#REF!</f>
        <v>#REF!</v>
      </c>
    </row>
    <row r="125" spans="1:2" x14ac:dyDescent="0.25">
      <c r="A125" t="e">
        <f>"CE"&amp;#REF!</f>
        <v>#REF!</v>
      </c>
      <c r="B125" t="e">
        <f>"PE"&amp;#REF!</f>
        <v>#REF!</v>
      </c>
    </row>
    <row r="126" spans="1:2" x14ac:dyDescent="0.25">
      <c r="A126" t="e">
        <f>"CE"&amp;#REF!</f>
        <v>#REF!</v>
      </c>
      <c r="B126" t="e">
        <f>"PE"&amp;#REF!</f>
        <v>#REF!</v>
      </c>
    </row>
    <row r="127" spans="1:2" x14ac:dyDescent="0.25">
      <c r="A127" t="e">
        <f>"CE"&amp;#REF!</f>
        <v>#REF!</v>
      </c>
      <c r="B127" t="e">
        <f>"PE"&amp;#REF!</f>
        <v>#REF!</v>
      </c>
    </row>
    <row r="128" spans="1:2" x14ac:dyDescent="0.25">
      <c r="A128" t="e">
        <f>"CE"&amp;#REF!</f>
        <v>#REF!</v>
      </c>
      <c r="B128" t="e">
        <f>"PE"&amp;#REF!</f>
        <v>#REF!</v>
      </c>
    </row>
    <row r="129" spans="1:2" x14ac:dyDescent="0.25">
      <c r="A129" t="e">
        <f>"CE"&amp;#REF!</f>
        <v>#REF!</v>
      </c>
      <c r="B129" t="e">
        <f>"PE"&amp;#REF!</f>
        <v>#REF!</v>
      </c>
    </row>
    <row r="130" spans="1:2" x14ac:dyDescent="0.25">
      <c r="A130" t="e">
        <f>"CE"&amp;#REF!</f>
        <v>#REF!</v>
      </c>
      <c r="B130" t="e">
        <f>"PE"&amp;#REF!</f>
        <v>#REF!</v>
      </c>
    </row>
    <row r="131" spans="1:2" x14ac:dyDescent="0.25">
      <c r="A131" t="e">
        <f>"CE"&amp;#REF!</f>
        <v>#REF!</v>
      </c>
      <c r="B131" t="e">
        <f>"PE"&amp;#REF!</f>
        <v>#REF!</v>
      </c>
    </row>
    <row r="132" spans="1:2" x14ac:dyDescent="0.25">
      <c r="A132" t="e">
        <f>"CE"&amp;#REF!</f>
        <v>#REF!</v>
      </c>
      <c r="B132" t="e">
        <f>"PE"&amp;#REF!</f>
        <v>#REF!</v>
      </c>
    </row>
    <row r="133" spans="1:2" x14ac:dyDescent="0.25">
      <c r="A133" t="e">
        <f>"CE"&amp;#REF!</f>
        <v>#REF!</v>
      </c>
      <c r="B133" t="e">
        <f>"PE"&amp;#REF!</f>
        <v>#REF!</v>
      </c>
    </row>
    <row r="134" spans="1:2" x14ac:dyDescent="0.25">
      <c r="A134" t="e">
        <f>"CE"&amp;#REF!</f>
        <v>#REF!</v>
      </c>
      <c r="B134" t="e">
        <f>"PE"&amp;#REF!</f>
        <v>#REF!</v>
      </c>
    </row>
    <row r="135" spans="1:2" x14ac:dyDescent="0.25">
      <c r="A135" t="e">
        <f>"CE"&amp;#REF!</f>
        <v>#REF!</v>
      </c>
      <c r="B135" t="e">
        <f>"PE"&amp;#REF!</f>
        <v>#REF!</v>
      </c>
    </row>
    <row r="136" spans="1:2" x14ac:dyDescent="0.25">
      <c r="A136" t="e">
        <f>"CE"&amp;#REF!</f>
        <v>#REF!</v>
      </c>
      <c r="B136" t="e">
        <f>"PE"&amp;#REF!</f>
        <v>#REF!</v>
      </c>
    </row>
    <row r="137" spans="1:2" x14ac:dyDescent="0.25">
      <c r="A137" t="e">
        <f>"CE"&amp;#REF!</f>
        <v>#REF!</v>
      </c>
      <c r="B137" t="e">
        <f>"PE"&amp;#REF!</f>
        <v>#REF!</v>
      </c>
    </row>
    <row r="138" spans="1:2" x14ac:dyDescent="0.25">
      <c r="A138" t="e">
        <f>"CE"&amp;#REF!</f>
        <v>#REF!</v>
      </c>
      <c r="B138" t="e">
        <f>"PE"&amp;#REF!</f>
        <v>#REF!</v>
      </c>
    </row>
    <row r="139" spans="1:2" x14ac:dyDescent="0.25">
      <c r="A139" t="e">
        <f>"CE"&amp;#REF!</f>
        <v>#REF!</v>
      </c>
      <c r="B139" t="e">
        <f>"PE"&amp;#REF!</f>
        <v>#REF!</v>
      </c>
    </row>
    <row r="140" spans="1:2" x14ac:dyDescent="0.25">
      <c r="A140" t="e">
        <f>"CE"&amp;#REF!</f>
        <v>#REF!</v>
      </c>
      <c r="B140" t="e">
        <f>"PE"&amp;#REF!</f>
        <v>#REF!</v>
      </c>
    </row>
    <row r="141" spans="1:2" x14ac:dyDescent="0.25">
      <c r="A141" t="e">
        <f>"CE"&amp;#REF!</f>
        <v>#REF!</v>
      </c>
      <c r="B141" t="e">
        <f>"PE"&amp;#REF!</f>
        <v>#REF!</v>
      </c>
    </row>
    <row r="142" spans="1:2" x14ac:dyDescent="0.25">
      <c r="A142" t="e">
        <f>"CE"&amp;#REF!</f>
        <v>#REF!</v>
      </c>
      <c r="B142" t="e">
        <f>"PE"&amp;#REF!</f>
        <v>#REF!</v>
      </c>
    </row>
    <row r="143" spans="1:2" x14ac:dyDescent="0.25">
      <c r="A143" t="e">
        <f>"CE"&amp;#REF!</f>
        <v>#REF!</v>
      </c>
      <c r="B143" t="e">
        <f>"PE"&amp;#REF!</f>
        <v>#REF!</v>
      </c>
    </row>
  </sheetData>
  <sortState xmlns:xlrd2="http://schemas.microsoft.com/office/spreadsheetml/2017/richdata2" ref="C1:E125">
    <sortCondition ref="D1:D125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Greeks</vt:lpstr>
      <vt:lpstr>Data Nifty</vt:lpstr>
      <vt:lpstr>'Data Nifty'!optionKeys.jsp?symbolCode__10006_symbol_NIFTY_symbol_NIFTY_instrument___date___segmentLink_17_symbolCount_2_segmentLink_17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 Kamal</dc:creator>
  <cp:lastModifiedBy>Sarthak</cp:lastModifiedBy>
  <dcterms:created xsi:type="dcterms:W3CDTF">2015-02-27T14:47:02Z</dcterms:created>
  <dcterms:modified xsi:type="dcterms:W3CDTF">2022-11-04T09:05:53Z</dcterms:modified>
</cp:coreProperties>
</file>