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PGDM\SEM-2\Advance excel\"/>
    </mc:Choice>
  </mc:AlternateContent>
  <xr:revisionPtr revIDLastSave="0" documentId="13_ncr:1_{0966E87C-C244-40BD-A472-4455CEF0D4B8}" xr6:coauthVersionLast="47" xr6:coauthVersionMax="47" xr10:uidLastSave="{00000000-0000-0000-0000-000000000000}"/>
  <bookViews>
    <workbookView xWindow="-110" yWindow="-110" windowWidth="19420" windowHeight="10300" xr2:uid="{C057A222-E30C-42F3-8942-1834DB03EC9B}"/>
  </bookViews>
  <sheets>
    <sheet name="Dashboard" sheetId="7" r:id="rId1"/>
    <sheet name="Database" sheetId="1" r:id="rId2"/>
    <sheet name="MasterSheet" sheetId="2" r:id="rId3"/>
    <sheet name="Pivot Analysis" sheetId="3" r:id="rId4"/>
  </sheets>
  <definedNames>
    <definedName name="East">MasterSheet!$F$3:$J$3</definedName>
    <definedName name="Godown">MasterSheet!$F$1:$F$5</definedName>
    <definedName name="hsngstmargin">MasterSheet!$A$2:$D$8</definedName>
    <definedName name="HSNTABLE">MasterSheet!$A$1:$D$9</definedName>
    <definedName name="North">MasterSheet!$F$5:$J$5</definedName>
    <definedName name="Product_category">'Pivot Analysis'!$Q$3</definedName>
    <definedName name="Slicer_Months__Date">#N/A</definedName>
    <definedName name="Slicer_Payment_Mode">#N/A</definedName>
    <definedName name="Slicer_Quarters__Date">#N/A</definedName>
    <definedName name="Slicer_Region">#N/A</definedName>
    <definedName name="Slicer_Years__Date">#N/A</definedName>
    <definedName name="South">MasterSheet!$F$2:$I$2</definedName>
    <definedName name="West">MasterSheet!$F$4:$J$4</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3" l="1"/>
  <c r="M12" i="3" s="1"/>
  <c r="N12" i="3" s="1"/>
  <c r="V4" i="1"/>
  <c r="V5" i="1"/>
  <c r="V6" i="1"/>
  <c r="V7" i="1" s="1"/>
  <c r="V8" i="1" s="1"/>
  <c r="V9" i="1" s="1"/>
  <c r="V10" i="1" s="1"/>
  <c r="V11" i="1" s="1"/>
  <c r="V12" i="1" s="1"/>
  <c r="V13" i="1" s="1"/>
  <c r="V14" i="1" s="1"/>
  <c r="V15" i="1"/>
  <c r="V16" i="1" s="1"/>
  <c r="V17" i="1" s="1"/>
  <c r="V18" i="1" s="1"/>
  <c r="V19" i="1" s="1"/>
  <c r="V20" i="1" s="1"/>
  <c r="V21" i="1" s="1"/>
  <c r="V22" i="1" s="1"/>
  <c r="V23" i="1" s="1"/>
  <c r="V24" i="1" s="1"/>
  <c r="V25" i="1" s="1"/>
  <c r="V26" i="1" s="1"/>
  <c r="V27" i="1"/>
  <c r="V28" i="1" s="1"/>
  <c r="V29" i="1" s="1"/>
  <c r="V30" i="1" s="1"/>
  <c r="V31" i="1" s="1"/>
  <c r="V32" i="1" s="1"/>
  <c r="V33" i="1" s="1"/>
  <c r="V34" i="1" s="1"/>
  <c r="V35" i="1" s="1"/>
  <c r="V36" i="1" s="1"/>
  <c r="V37" i="1" s="1"/>
  <c r="V38" i="1" s="1"/>
  <c r="V39" i="1" s="1"/>
  <c r="V40" i="1" s="1"/>
  <c r="V41" i="1" s="1"/>
  <c r="V42" i="1" s="1"/>
  <c r="V43" i="1" s="1"/>
  <c r="V44" i="1" s="1"/>
  <c r="V45" i="1" s="1"/>
  <c r="V46" i="1" s="1"/>
  <c r="V47" i="1" s="1"/>
  <c r="V48" i="1" s="1"/>
  <c r="V49" i="1" s="1"/>
  <c r="V50" i="1" s="1"/>
  <c r="V51" i="1" s="1"/>
  <c r="V52" i="1" s="1"/>
  <c r="V53" i="1" s="1"/>
  <c r="V54" i="1" s="1"/>
  <c r="V55" i="1" s="1"/>
  <c r="V56" i="1" s="1"/>
  <c r="V57" i="1" s="1"/>
  <c r="V58" i="1" s="1"/>
  <c r="V59" i="1" s="1"/>
  <c r="V60" i="1" s="1"/>
  <c r="V61" i="1" s="1"/>
  <c r="V62" i="1" s="1"/>
  <c r="V63" i="1" s="1"/>
  <c r="V64" i="1" s="1"/>
  <c r="V65" i="1" s="1"/>
  <c r="V66" i="1" s="1"/>
  <c r="V67" i="1" s="1"/>
  <c r="V68" i="1" s="1"/>
  <c r="V69" i="1" s="1"/>
  <c r="V70" i="1" s="1"/>
  <c r="V71" i="1" s="1"/>
  <c r="V72" i="1" s="1"/>
  <c r="V73" i="1" s="1"/>
  <c r="V74" i="1" s="1"/>
  <c r="V75" i="1" s="1"/>
  <c r="V76" i="1" s="1"/>
  <c r="V77" i="1" s="1"/>
  <c r="V78" i="1" s="1"/>
  <c r="V79" i="1" s="1"/>
  <c r="V80" i="1" s="1"/>
  <c r="V81" i="1" s="1"/>
  <c r="V82" i="1" s="1"/>
  <c r="V83" i="1" s="1"/>
  <c r="V84" i="1" s="1"/>
  <c r="V85" i="1" s="1"/>
  <c r="V86" i="1" s="1"/>
  <c r="V87" i="1" s="1"/>
  <c r="V88" i="1" s="1"/>
  <c r="V89" i="1" s="1"/>
  <c r="V90" i="1" s="1"/>
  <c r="V91" i="1" s="1"/>
  <c r="V92" i="1" s="1"/>
  <c r="V93" i="1" s="1"/>
  <c r="V94" i="1" s="1"/>
  <c r="V95" i="1" s="1"/>
  <c r="V96" i="1" s="1"/>
  <c r="V97" i="1" s="1"/>
  <c r="V98" i="1" s="1"/>
  <c r="V99" i="1" s="1"/>
  <c r="V100" i="1" s="1"/>
  <c r="V101" i="1" s="1"/>
  <c r="V102" i="1" s="1"/>
  <c r="V103" i="1" s="1"/>
  <c r="V104" i="1" s="1"/>
  <c r="V105" i="1" s="1"/>
  <c r="V106" i="1" s="1"/>
  <c r="V107" i="1" s="1"/>
  <c r="V108" i="1" s="1"/>
  <c r="V109" i="1" s="1"/>
  <c r="V110" i="1" s="1"/>
  <c r="V111" i="1" s="1"/>
  <c r="V112" i="1" s="1"/>
  <c r="V113" i="1" s="1"/>
  <c r="V114" i="1" s="1"/>
  <c r="V115" i="1" s="1"/>
  <c r="V116" i="1" s="1"/>
  <c r="V117" i="1" s="1"/>
  <c r="V118" i="1" s="1"/>
  <c r="V119" i="1" s="1"/>
  <c r="V120" i="1" s="1"/>
  <c r="V121" i="1" s="1"/>
  <c r="V122" i="1" s="1"/>
  <c r="V123" i="1" s="1"/>
  <c r="V124" i="1" s="1"/>
  <c r="V125" i="1" s="1"/>
  <c r="V126" i="1" s="1"/>
  <c r="V127" i="1" s="1"/>
  <c r="V128" i="1" s="1"/>
  <c r="V129" i="1" s="1"/>
  <c r="V130" i="1" s="1"/>
  <c r="V131" i="1" s="1"/>
  <c r="V132" i="1" s="1"/>
  <c r="V133" i="1" s="1"/>
  <c r="V134" i="1" s="1"/>
  <c r="V135" i="1" s="1"/>
  <c r="V136" i="1" s="1"/>
  <c r="V137" i="1" s="1"/>
  <c r="V138" i="1" s="1"/>
  <c r="V139" i="1" s="1"/>
  <c r="V140" i="1" s="1"/>
  <c r="V141" i="1" s="1"/>
  <c r="V142" i="1" s="1"/>
  <c r="V143" i="1" s="1"/>
  <c r="V144" i="1" s="1"/>
  <c r="V145" i="1" s="1"/>
  <c r="V146" i="1" s="1"/>
  <c r="V147" i="1" s="1"/>
  <c r="V148" i="1" s="1"/>
  <c r="V149" i="1" s="1"/>
  <c r="V150" i="1" s="1"/>
  <c r="V151" i="1" s="1"/>
  <c r="V3" i="1"/>
  <c r="L4" i="3"/>
  <c r="M4" i="3" s="1"/>
  <c r="N4" i="3" s="1"/>
  <c r="L5" i="3"/>
  <c r="M5" i="3" s="1"/>
  <c r="N5" i="3" s="1"/>
  <c r="L6" i="3"/>
  <c r="M6" i="3" s="1"/>
  <c r="N6" i="3" s="1"/>
  <c r="L7" i="3"/>
  <c r="M7" i="3" s="1"/>
  <c r="N7" i="3" s="1"/>
  <c r="L8" i="3"/>
  <c r="M8" i="3" s="1"/>
  <c r="N8" i="3" s="1"/>
  <c r="L9" i="3"/>
  <c r="M9" i="3" s="1"/>
  <c r="N9" i="3" s="1"/>
  <c r="L10" i="3"/>
  <c r="M10" i="3" s="1"/>
  <c r="N10" i="3" s="1"/>
  <c r="L11" i="3"/>
  <c r="M11" i="3" s="1"/>
  <c r="N11" i="3" s="1"/>
  <c r="L13" i="3"/>
  <c r="M13" i="3" s="1"/>
  <c r="N13" i="3" s="1"/>
  <c r="L14" i="3"/>
  <c r="M14" i="3" s="1"/>
  <c r="N14" i="3" s="1"/>
  <c r="L3" i="3"/>
  <c r="M3" i="3" s="1"/>
  <c r="N3" i="3" s="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F2" i="1"/>
  <c r="G2" i="1" s="1"/>
  <c r="H2" i="1" s="1"/>
  <c r="F3" i="1"/>
  <c r="G3" i="1" s="1"/>
  <c r="H3" i="1" s="1"/>
  <c r="F4" i="1"/>
  <c r="G4" i="1" s="1"/>
  <c r="H4" i="1" s="1"/>
  <c r="F5" i="1"/>
  <c r="G5" i="1" s="1"/>
  <c r="H5" i="1" s="1"/>
  <c r="F6" i="1"/>
  <c r="G6" i="1" s="1"/>
  <c r="H6" i="1" s="1"/>
  <c r="R6" i="1" s="1"/>
  <c r="F7" i="1"/>
  <c r="G7" i="1" s="1"/>
  <c r="H7" i="1" s="1"/>
  <c r="S7" i="1" s="1"/>
  <c r="F8" i="1"/>
  <c r="G8" i="1" s="1"/>
  <c r="H8" i="1" s="1"/>
  <c r="F9" i="1"/>
  <c r="G9" i="1" s="1"/>
  <c r="H9" i="1" s="1"/>
  <c r="F10" i="1"/>
  <c r="G10" i="1" s="1"/>
  <c r="H10" i="1" s="1"/>
  <c r="F11" i="1"/>
  <c r="G11" i="1" s="1"/>
  <c r="H11" i="1" s="1"/>
  <c r="S11" i="1" s="1"/>
  <c r="F12" i="1"/>
  <c r="G12" i="1" s="1"/>
  <c r="H12" i="1" s="1"/>
  <c r="F13" i="1"/>
  <c r="G13" i="1" s="1"/>
  <c r="H13" i="1" s="1"/>
  <c r="S13" i="1" s="1"/>
  <c r="F14" i="1"/>
  <c r="F15" i="1"/>
  <c r="G15" i="1" s="1"/>
  <c r="H15" i="1" s="1"/>
  <c r="F16" i="1"/>
  <c r="G16" i="1" s="1"/>
  <c r="H16" i="1" s="1"/>
  <c r="F17" i="1"/>
  <c r="G17" i="1" s="1"/>
  <c r="H17" i="1" s="1"/>
  <c r="F18" i="1"/>
  <c r="G18" i="1" s="1"/>
  <c r="H18" i="1" s="1"/>
  <c r="S18" i="1" s="1"/>
  <c r="F19" i="1"/>
  <c r="G19" i="1" s="1"/>
  <c r="H19" i="1" s="1"/>
  <c r="S19" i="1" s="1"/>
  <c r="F20" i="1"/>
  <c r="G20" i="1" s="1"/>
  <c r="H20" i="1" s="1"/>
  <c r="S20" i="1" s="1"/>
  <c r="F21" i="1"/>
  <c r="G21" i="1" s="1"/>
  <c r="H21" i="1" s="1"/>
  <c r="F22" i="1"/>
  <c r="G22" i="1" s="1"/>
  <c r="H22" i="1" s="1"/>
  <c r="F23" i="1"/>
  <c r="F24" i="1"/>
  <c r="G24" i="1" s="1"/>
  <c r="H24" i="1" s="1"/>
  <c r="F25" i="1"/>
  <c r="G25" i="1" s="1"/>
  <c r="H25" i="1" s="1"/>
  <c r="S25" i="1" s="1"/>
  <c r="F26" i="1"/>
  <c r="G26" i="1" s="1"/>
  <c r="H26" i="1" s="1"/>
  <c r="F27" i="1"/>
  <c r="G27" i="1" s="1"/>
  <c r="H27" i="1" s="1"/>
  <c r="F28" i="1"/>
  <c r="G28" i="1" s="1"/>
  <c r="H28" i="1" s="1"/>
  <c r="F29" i="1"/>
  <c r="G29" i="1" s="1"/>
  <c r="H29" i="1" s="1"/>
  <c r="F30" i="1"/>
  <c r="F31" i="1"/>
  <c r="G31" i="1" s="1"/>
  <c r="H31" i="1" s="1"/>
  <c r="S31" i="1" s="1"/>
  <c r="F32" i="1"/>
  <c r="G32" i="1" s="1"/>
  <c r="H32" i="1" s="1"/>
  <c r="S32" i="1" s="1"/>
  <c r="F33" i="1"/>
  <c r="G33" i="1" s="1"/>
  <c r="H33" i="1" s="1"/>
  <c r="S33" i="1" s="1"/>
  <c r="F34" i="1"/>
  <c r="G34" i="1" s="1"/>
  <c r="H34" i="1" s="1"/>
  <c r="F35" i="1"/>
  <c r="G35" i="1" s="1"/>
  <c r="H35" i="1" s="1"/>
  <c r="F36" i="1"/>
  <c r="G36" i="1" s="1"/>
  <c r="H36" i="1" s="1"/>
  <c r="S36" i="1" s="1"/>
  <c r="F37" i="1"/>
  <c r="G37" i="1" s="1"/>
  <c r="H37" i="1" s="1"/>
  <c r="S37" i="1" s="1"/>
  <c r="F38" i="1"/>
  <c r="G38" i="1" s="1"/>
  <c r="H38" i="1" s="1"/>
  <c r="F39" i="1"/>
  <c r="G39" i="1" s="1"/>
  <c r="H39" i="1" s="1"/>
  <c r="F40" i="1"/>
  <c r="G40" i="1" s="1"/>
  <c r="H40" i="1" s="1"/>
  <c r="F41" i="1"/>
  <c r="G41" i="1" s="1"/>
  <c r="H41" i="1" s="1"/>
  <c r="F42" i="1"/>
  <c r="G42" i="1" s="1"/>
  <c r="H42" i="1" s="1"/>
  <c r="S42" i="1" s="1"/>
  <c r="F43" i="1"/>
  <c r="G43" i="1" s="1"/>
  <c r="H43" i="1" s="1"/>
  <c r="F44" i="1"/>
  <c r="G44" i="1" s="1"/>
  <c r="H44" i="1" s="1"/>
  <c r="F45" i="1"/>
  <c r="G45" i="1" s="1"/>
  <c r="H45" i="1" s="1"/>
  <c r="F46" i="1"/>
  <c r="G46" i="1" s="1"/>
  <c r="H46" i="1" s="1"/>
  <c r="F47" i="1"/>
  <c r="G47" i="1" s="1"/>
  <c r="H47" i="1" s="1"/>
  <c r="S47" i="1" s="1"/>
  <c r="F48" i="1"/>
  <c r="F49" i="1"/>
  <c r="G49" i="1" s="1"/>
  <c r="H49" i="1" s="1"/>
  <c r="S49" i="1" s="1"/>
  <c r="F50" i="1"/>
  <c r="G50" i="1" s="1"/>
  <c r="H50" i="1" s="1"/>
  <c r="F51" i="1"/>
  <c r="G51" i="1" s="1"/>
  <c r="H51" i="1" s="1"/>
  <c r="F52" i="1"/>
  <c r="G52" i="1" s="1"/>
  <c r="H52" i="1" s="1"/>
  <c r="F53" i="1"/>
  <c r="G53" i="1" s="1"/>
  <c r="H53" i="1" s="1"/>
  <c r="F54" i="1"/>
  <c r="G54" i="1" s="1"/>
  <c r="H54" i="1" s="1"/>
  <c r="S54" i="1" s="1"/>
  <c r="F55" i="1"/>
  <c r="G55" i="1" s="1"/>
  <c r="H55" i="1" s="1"/>
  <c r="S55" i="1" s="1"/>
  <c r="F56" i="1"/>
  <c r="G56" i="1" s="1"/>
  <c r="H56" i="1" s="1"/>
  <c r="S56" i="1" s="1"/>
  <c r="F57" i="1"/>
  <c r="G57" i="1" s="1"/>
  <c r="H57" i="1" s="1"/>
  <c r="S57" i="1" s="1"/>
  <c r="F58" i="1"/>
  <c r="F59" i="1"/>
  <c r="G59" i="1" s="1"/>
  <c r="H59" i="1" s="1"/>
  <c r="S59" i="1" s="1"/>
  <c r="F60" i="1"/>
  <c r="G60" i="1" s="1"/>
  <c r="H60" i="1" s="1"/>
  <c r="S60" i="1" s="1"/>
  <c r="F61" i="1"/>
  <c r="G61" i="1" s="1"/>
  <c r="H61" i="1" s="1"/>
  <c r="S61" i="1" s="1"/>
  <c r="F62" i="1"/>
  <c r="G62" i="1" s="1"/>
  <c r="H62" i="1" s="1"/>
  <c r="F63" i="1"/>
  <c r="G63" i="1" s="1"/>
  <c r="H63" i="1" s="1"/>
  <c r="F64" i="1"/>
  <c r="G64" i="1" s="1"/>
  <c r="H64" i="1" s="1"/>
  <c r="F65" i="1"/>
  <c r="G65" i="1" s="1"/>
  <c r="H65" i="1" s="1"/>
  <c r="F66" i="1"/>
  <c r="G66" i="1" s="1"/>
  <c r="H66" i="1" s="1"/>
  <c r="F67" i="1"/>
  <c r="G67" i="1" s="1"/>
  <c r="H67" i="1" s="1"/>
  <c r="F68" i="1"/>
  <c r="G68" i="1" s="1"/>
  <c r="H68" i="1" s="1"/>
  <c r="S68" i="1" s="1"/>
  <c r="F69" i="1"/>
  <c r="G69" i="1" s="1"/>
  <c r="H69" i="1" s="1"/>
  <c r="F70" i="1"/>
  <c r="G70" i="1" s="1"/>
  <c r="H70" i="1" s="1"/>
  <c r="F71" i="1"/>
  <c r="G71" i="1" s="1"/>
  <c r="H71" i="1" s="1"/>
  <c r="F72" i="1"/>
  <c r="G72" i="1" s="1"/>
  <c r="H72" i="1" s="1"/>
  <c r="S72" i="1" s="1"/>
  <c r="F73" i="1"/>
  <c r="G73" i="1" s="1"/>
  <c r="H73" i="1" s="1"/>
  <c r="S73" i="1" s="1"/>
  <c r="F74" i="1"/>
  <c r="G74" i="1" s="1"/>
  <c r="H74" i="1" s="1"/>
  <c r="R74" i="1" s="1"/>
  <c r="F75" i="1"/>
  <c r="G75" i="1" s="1"/>
  <c r="H75" i="1" s="1"/>
  <c r="F76" i="1"/>
  <c r="G76" i="1" s="1"/>
  <c r="H76" i="1" s="1"/>
  <c r="F77" i="1"/>
  <c r="G77" i="1" s="1"/>
  <c r="H77" i="1" s="1"/>
  <c r="F78" i="1"/>
  <c r="G78" i="1" s="1"/>
  <c r="H78" i="1" s="1"/>
  <c r="S78" i="1" s="1"/>
  <c r="F79" i="1"/>
  <c r="G79" i="1" s="1"/>
  <c r="H79" i="1" s="1"/>
  <c r="F80" i="1"/>
  <c r="G80" i="1" s="1"/>
  <c r="H80" i="1" s="1"/>
  <c r="F81" i="1"/>
  <c r="G81" i="1" s="1"/>
  <c r="H81" i="1" s="1"/>
  <c r="F82" i="1"/>
  <c r="G82" i="1" s="1"/>
  <c r="H82" i="1" s="1"/>
  <c r="S82" i="1" s="1"/>
  <c r="F83" i="1"/>
  <c r="G83" i="1" s="1"/>
  <c r="H83" i="1" s="1"/>
  <c r="S83" i="1" s="1"/>
  <c r="F84" i="1"/>
  <c r="G84" i="1" s="1"/>
  <c r="H84" i="1" s="1"/>
  <c r="S84" i="1" s="1"/>
  <c r="F85" i="1"/>
  <c r="G85" i="1" s="1"/>
  <c r="H85" i="1" s="1"/>
  <c r="S85" i="1" s="1"/>
  <c r="F86" i="1"/>
  <c r="G86" i="1" s="1"/>
  <c r="H86" i="1" s="1"/>
  <c r="F87" i="1"/>
  <c r="G87" i="1" s="1"/>
  <c r="H87" i="1" s="1"/>
  <c r="F88" i="1"/>
  <c r="G88" i="1" s="1"/>
  <c r="H88" i="1" s="1"/>
  <c r="F89" i="1"/>
  <c r="G89" i="1" s="1"/>
  <c r="H89" i="1" s="1"/>
  <c r="F90" i="1"/>
  <c r="G90" i="1" s="1"/>
  <c r="H90" i="1" s="1"/>
  <c r="S90" i="1" s="1"/>
  <c r="F91" i="1"/>
  <c r="G91" i="1" s="1"/>
  <c r="H91" i="1" s="1"/>
  <c r="F92" i="1"/>
  <c r="G92" i="1" s="1"/>
  <c r="H92" i="1" s="1"/>
  <c r="F93" i="1"/>
  <c r="G93" i="1" s="1"/>
  <c r="H93" i="1" s="1"/>
  <c r="F94" i="1"/>
  <c r="G94" i="1" s="1"/>
  <c r="H94" i="1" s="1"/>
  <c r="F95" i="1"/>
  <c r="G95" i="1" s="1"/>
  <c r="H95" i="1" s="1"/>
  <c r="S95" i="1" s="1"/>
  <c r="F96" i="1"/>
  <c r="G96" i="1" s="1"/>
  <c r="H96" i="1" s="1"/>
  <c r="S96" i="1" s="1"/>
  <c r="F97" i="1"/>
  <c r="G97" i="1" s="1"/>
  <c r="H97" i="1" s="1"/>
  <c r="S97" i="1" s="1"/>
  <c r="F98" i="1"/>
  <c r="G98" i="1" s="1"/>
  <c r="H98" i="1" s="1"/>
  <c r="F99" i="1"/>
  <c r="G99" i="1" s="1"/>
  <c r="H99" i="1" s="1"/>
  <c r="F100" i="1"/>
  <c r="G100" i="1" s="1"/>
  <c r="H100" i="1" s="1"/>
  <c r="F101" i="1"/>
  <c r="G101" i="1" s="1"/>
  <c r="H101" i="1" s="1"/>
  <c r="F102" i="1"/>
  <c r="G102" i="1" s="1"/>
  <c r="H102" i="1" s="1"/>
  <c r="F103" i="1"/>
  <c r="G103" i="1" s="1"/>
  <c r="H103" i="1" s="1"/>
  <c r="S103" i="1" s="1"/>
  <c r="F104" i="1"/>
  <c r="G104" i="1" s="1"/>
  <c r="H104" i="1" s="1"/>
  <c r="S104" i="1" s="1"/>
  <c r="F105" i="1"/>
  <c r="G105" i="1" s="1"/>
  <c r="H105" i="1" s="1"/>
  <c r="S105" i="1" s="1"/>
  <c r="F106" i="1"/>
  <c r="G106" i="1" s="1"/>
  <c r="H106" i="1" s="1"/>
  <c r="S106" i="1" s="1"/>
  <c r="F107" i="1"/>
  <c r="G107" i="1" s="1"/>
  <c r="H107" i="1" s="1"/>
  <c r="F108" i="1"/>
  <c r="G108" i="1" s="1"/>
  <c r="H108" i="1" s="1"/>
  <c r="S108" i="1" s="1"/>
  <c r="F109" i="1"/>
  <c r="G109" i="1" s="1"/>
  <c r="H109" i="1" s="1"/>
  <c r="S109" i="1" s="1"/>
  <c r="F110" i="1"/>
  <c r="G110" i="1" s="1"/>
  <c r="H110" i="1" s="1"/>
  <c r="R110" i="1" s="1"/>
  <c r="F111" i="1"/>
  <c r="G111" i="1" s="1"/>
  <c r="H111" i="1" s="1"/>
  <c r="R111" i="1" s="1"/>
  <c r="F112" i="1"/>
  <c r="G112" i="1" s="1"/>
  <c r="H112" i="1" s="1"/>
  <c r="F113" i="1"/>
  <c r="G113" i="1" s="1"/>
  <c r="H113" i="1" s="1"/>
  <c r="S113" i="1" s="1"/>
  <c r="F114" i="1"/>
  <c r="G114" i="1" s="1"/>
  <c r="H114" i="1" s="1"/>
  <c r="R114" i="1" s="1"/>
  <c r="F115" i="1"/>
  <c r="G115" i="1" s="1"/>
  <c r="H115" i="1" s="1"/>
  <c r="F116" i="1"/>
  <c r="G116" i="1" s="1"/>
  <c r="H116" i="1" s="1"/>
  <c r="F117" i="1"/>
  <c r="G117" i="1" s="1"/>
  <c r="H117" i="1" s="1"/>
  <c r="F118" i="1"/>
  <c r="G118" i="1" s="1"/>
  <c r="H118" i="1" s="1"/>
  <c r="F119" i="1"/>
  <c r="G119" i="1" s="1"/>
  <c r="H119" i="1" s="1"/>
  <c r="F120" i="1"/>
  <c r="G120" i="1" s="1"/>
  <c r="H120" i="1" s="1"/>
  <c r="F121" i="1"/>
  <c r="G121" i="1" s="1"/>
  <c r="H121" i="1" s="1"/>
  <c r="S121" i="1" s="1"/>
  <c r="F122" i="1"/>
  <c r="G122" i="1" s="1"/>
  <c r="H122" i="1" s="1"/>
  <c r="F123" i="1"/>
  <c r="G123" i="1" s="1"/>
  <c r="H123" i="1" s="1"/>
  <c r="F124" i="1"/>
  <c r="G124" i="1" s="1"/>
  <c r="H124" i="1" s="1"/>
  <c r="F125" i="1"/>
  <c r="G125" i="1" s="1"/>
  <c r="H125" i="1" s="1"/>
  <c r="S125" i="1" s="1"/>
  <c r="F126" i="1"/>
  <c r="G126" i="1" s="1"/>
  <c r="H126" i="1" s="1"/>
  <c r="S126" i="1" s="1"/>
  <c r="F127" i="1"/>
  <c r="G127" i="1" s="1"/>
  <c r="H127" i="1" s="1"/>
  <c r="S127" i="1" s="1"/>
  <c r="F128" i="1"/>
  <c r="G128" i="1" s="1"/>
  <c r="H128" i="1" s="1"/>
  <c r="F129" i="1"/>
  <c r="G129" i="1" s="1"/>
  <c r="H129" i="1" s="1"/>
  <c r="F130" i="1"/>
  <c r="G130" i="1" s="1"/>
  <c r="H130" i="1" s="1"/>
  <c r="F131" i="1"/>
  <c r="G131" i="1" s="1"/>
  <c r="H131" i="1" s="1"/>
  <c r="S131" i="1" s="1"/>
  <c r="F132" i="1"/>
  <c r="G132" i="1" s="1"/>
  <c r="H132" i="1" s="1"/>
  <c r="S132" i="1" s="1"/>
  <c r="F133" i="1"/>
  <c r="G133" i="1" s="1"/>
  <c r="H133" i="1" s="1"/>
  <c r="S133" i="1" s="1"/>
  <c r="F134" i="1"/>
  <c r="G134" i="1" s="1"/>
  <c r="H134" i="1" s="1"/>
  <c r="F135" i="1"/>
  <c r="G135" i="1" s="1"/>
  <c r="H135" i="1" s="1"/>
  <c r="F136" i="1"/>
  <c r="G136" i="1" s="1"/>
  <c r="H136" i="1" s="1"/>
  <c r="F137" i="1"/>
  <c r="G137" i="1" s="1"/>
  <c r="H137" i="1" s="1"/>
  <c r="S137" i="1" s="1"/>
  <c r="F138" i="1"/>
  <c r="G138" i="1" s="1"/>
  <c r="H138" i="1" s="1"/>
  <c r="F139" i="1"/>
  <c r="G139" i="1" s="1"/>
  <c r="H139" i="1" s="1"/>
  <c r="F140" i="1"/>
  <c r="G140" i="1" s="1"/>
  <c r="H140" i="1" s="1"/>
  <c r="F141" i="1"/>
  <c r="G141" i="1" s="1"/>
  <c r="H141" i="1" s="1"/>
  <c r="F142" i="1"/>
  <c r="G142" i="1" s="1"/>
  <c r="H142" i="1" s="1"/>
  <c r="F143" i="1"/>
  <c r="G143" i="1" s="1"/>
  <c r="H143" i="1" s="1"/>
  <c r="F144" i="1"/>
  <c r="G144" i="1" s="1"/>
  <c r="H144" i="1" s="1"/>
  <c r="S144" i="1" s="1"/>
  <c r="F145" i="1"/>
  <c r="G145" i="1" s="1"/>
  <c r="H145" i="1" s="1"/>
  <c r="S145" i="1" s="1"/>
  <c r="F146" i="1"/>
  <c r="G146" i="1" s="1"/>
  <c r="H146" i="1" s="1"/>
  <c r="R146" i="1" s="1"/>
  <c r="F147" i="1"/>
  <c r="G147" i="1" s="1"/>
  <c r="H147" i="1" s="1"/>
  <c r="R147" i="1" s="1"/>
  <c r="F148" i="1"/>
  <c r="G148" i="1" s="1"/>
  <c r="H148" i="1" s="1"/>
  <c r="R148" i="1" s="1"/>
  <c r="F149" i="1"/>
  <c r="G149" i="1" s="1"/>
  <c r="H149" i="1" s="1"/>
  <c r="S149" i="1" s="1"/>
  <c r="F150" i="1"/>
  <c r="G150" i="1" s="1"/>
  <c r="H150" i="1" s="1"/>
  <c r="S150" i="1" s="1"/>
  <c r="F151" i="1"/>
  <c r="G151" i="1" s="1"/>
  <c r="H151" i="1"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E4" i="3"/>
  <c r="G14" i="1" l="1"/>
  <c r="H14" i="1" s="1"/>
  <c r="S14" i="1" s="1"/>
  <c r="G48" i="1"/>
  <c r="H48" i="1" s="1"/>
  <c r="S48" i="1" s="1"/>
  <c r="G30" i="1"/>
  <c r="H30" i="1" s="1"/>
  <c r="R30" i="1" s="1"/>
  <c r="G58" i="1"/>
  <c r="H58" i="1" s="1"/>
  <c r="S58" i="1" s="1"/>
  <c r="G23" i="1"/>
  <c r="H23" i="1" s="1"/>
  <c r="S23" i="1" s="1"/>
  <c r="R109" i="1"/>
  <c r="R78" i="1"/>
  <c r="R73" i="1"/>
  <c r="R42" i="1"/>
  <c r="R37" i="1"/>
  <c r="S6" i="1"/>
  <c r="R150" i="1"/>
  <c r="R145" i="1"/>
  <c r="R48" i="1"/>
  <c r="R12" i="1"/>
  <c r="R107" i="1"/>
  <c r="R35" i="1"/>
  <c r="R142" i="1"/>
  <c r="R118" i="1"/>
  <c r="R94" i="1"/>
  <c r="R70" i="1"/>
  <c r="R34" i="1"/>
  <c r="R10" i="1"/>
  <c r="R141" i="1"/>
  <c r="R117" i="1"/>
  <c r="R93" i="1"/>
  <c r="R69" i="1"/>
  <c r="R57" i="1"/>
  <c r="R33" i="1"/>
  <c r="R9" i="1"/>
  <c r="R56" i="1"/>
  <c r="R32" i="1"/>
  <c r="R8" i="1"/>
  <c r="R151" i="1"/>
  <c r="R139" i="1"/>
  <c r="R115" i="1"/>
  <c r="R91" i="1"/>
  <c r="R67" i="1"/>
  <c r="R55" i="1"/>
  <c r="R31" i="1"/>
  <c r="R19" i="1"/>
  <c r="R66" i="1"/>
  <c r="R36" i="1"/>
  <c r="R89" i="1"/>
  <c r="R65" i="1"/>
  <c r="R5" i="1"/>
  <c r="R134" i="1"/>
  <c r="R98" i="1"/>
  <c r="R86" i="1"/>
  <c r="R62" i="1"/>
  <c r="R38" i="1"/>
  <c r="R26" i="1"/>
  <c r="R2" i="1"/>
  <c r="S8" i="1"/>
  <c r="R133" i="1"/>
  <c r="R61" i="1"/>
  <c r="S151" i="1"/>
  <c r="S67" i="1"/>
  <c r="S34" i="1"/>
  <c r="R108" i="1"/>
  <c r="R120" i="1"/>
  <c r="R24" i="1"/>
  <c r="R71" i="1"/>
  <c r="R130" i="1"/>
  <c r="R106" i="1"/>
  <c r="R82" i="1"/>
  <c r="R46" i="1"/>
  <c r="R22" i="1"/>
  <c r="S130" i="1"/>
  <c r="R129" i="1"/>
  <c r="R105" i="1"/>
  <c r="R81" i="1"/>
  <c r="R45" i="1"/>
  <c r="R21" i="1"/>
  <c r="S129" i="1"/>
  <c r="R72" i="1"/>
  <c r="R140" i="1"/>
  <c r="R128" i="1"/>
  <c r="R116" i="1"/>
  <c r="R104" i="1"/>
  <c r="R92" i="1"/>
  <c r="R80" i="1"/>
  <c r="R68" i="1"/>
  <c r="R44" i="1"/>
  <c r="R20" i="1"/>
  <c r="S128" i="1"/>
  <c r="R127" i="1"/>
  <c r="R103" i="1"/>
  <c r="R79" i="1"/>
  <c r="R43" i="1"/>
  <c r="R7" i="1"/>
  <c r="R138" i="1"/>
  <c r="R102" i="1"/>
  <c r="R18" i="1"/>
  <c r="S81" i="1"/>
  <c r="S44" i="1"/>
  <c r="R144" i="1"/>
  <c r="R77" i="1"/>
  <c r="R41" i="1"/>
  <c r="R17" i="1"/>
  <c r="S114" i="1"/>
  <c r="S80" i="1"/>
  <c r="S43" i="1"/>
  <c r="S12" i="1"/>
  <c r="R112" i="1"/>
  <c r="R88" i="1"/>
  <c r="R76" i="1"/>
  <c r="R40" i="1"/>
  <c r="R4" i="1"/>
  <c r="S79" i="1"/>
  <c r="S10" i="1"/>
  <c r="R135" i="1"/>
  <c r="R99" i="1"/>
  <c r="R87" i="1"/>
  <c r="R75" i="1"/>
  <c r="R63" i="1"/>
  <c r="R39" i="1"/>
  <c r="R27" i="1"/>
  <c r="R15" i="1"/>
  <c r="R3" i="1"/>
  <c r="S9" i="1"/>
  <c r="R25" i="1"/>
  <c r="R97" i="1"/>
  <c r="R60" i="1"/>
  <c r="S120" i="1"/>
  <c r="R96" i="1"/>
  <c r="S142" i="1"/>
  <c r="S118" i="1"/>
  <c r="S94" i="1"/>
  <c r="R132" i="1"/>
  <c r="S141" i="1"/>
  <c r="S117" i="1"/>
  <c r="S93" i="1"/>
  <c r="S140" i="1"/>
  <c r="S116" i="1"/>
  <c r="S92" i="1"/>
  <c r="S70" i="1"/>
  <c r="S46" i="1"/>
  <c r="S22" i="1"/>
  <c r="R113" i="1"/>
  <c r="S139" i="1"/>
  <c r="S115" i="1"/>
  <c r="S91" i="1"/>
  <c r="S69" i="1"/>
  <c r="S45" i="1"/>
  <c r="S21" i="1"/>
  <c r="R149" i="1"/>
  <c r="R119" i="1"/>
  <c r="R83" i="1"/>
  <c r="R47" i="1"/>
  <c r="R11" i="1"/>
  <c r="S143" i="1"/>
  <c r="R59" i="1"/>
  <c r="R126" i="1"/>
  <c r="R90" i="1"/>
  <c r="R54" i="1"/>
  <c r="S101" i="1"/>
  <c r="S77" i="1"/>
  <c r="S53" i="1"/>
  <c r="S29" i="1"/>
  <c r="S5" i="1"/>
  <c r="R125" i="1"/>
  <c r="R53" i="1"/>
  <c r="S148" i="1"/>
  <c r="S124" i="1"/>
  <c r="S100" i="1"/>
  <c r="S76" i="1"/>
  <c r="S52" i="1"/>
  <c r="S28" i="1"/>
  <c r="S4" i="1"/>
  <c r="S119" i="1"/>
  <c r="R124" i="1"/>
  <c r="S147" i="1"/>
  <c r="S123" i="1"/>
  <c r="S99" i="1"/>
  <c r="S75" i="1"/>
  <c r="S51" i="1"/>
  <c r="S27" i="1"/>
  <c r="S3" i="1"/>
  <c r="S138" i="1"/>
  <c r="S102" i="1"/>
  <c r="S66" i="1"/>
  <c r="R143" i="1"/>
  <c r="R123" i="1"/>
  <c r="R51" i="1"/>
  <c r="S146" i="1"/>
  <c r="S122" i="1"/>
  <c r="S98" i="1"/>
  <c r="S74" i="1"/>
  <c r="S50" i="1"/>
  <c r="S26" i="1"/>
  <c r="R122" i="1"/>
  <c r="R50" i="1"/>
  <c r="S2" i="1"/>
  <c r="S24" i="1"/>
  <c r="R137" i="1"/>
  <c r="R121" i="1"/>
  <c r="R101" i="1"/>
  <c r="R85" i="1"/>
  <c r="R49" i="1"/>
  <c r="R29" i="1"/>
  <c r="R13" i="1"/>
  <c r="S107" i="1"/>
  <c r="S71" i="1"/>
  <c r="S35" i="1"/>
  <c r="R131" i="1"/>
  <c r="R95" i="1"/>
  <c r="S89" i="1"/>
  <c r="S65" i="1"/>
  <c r="S41" i="1"/>
  <c r="S17" i="1"/>
  <c r="S136" i="1"/>
  <c r="S112" i="1"/>
  <c r="S88" i="1"/>
  <c r="S64" i="1"/>
  <c r="S40" i="1"/>
  <c r="S16" i="1"/>
  <c r="R52" i="1"/>
  <c r="R16" i="1"/>
  <c r="S135" i="1"/>
  <c r="S111" i="1"/>
  <c r="S87" i="1"/>
  <c r="S63" i="1"/>
  <c r="S39" i="1"/>
  <c r="S15" i="1"/>
  <c r="S134" i="1"/>
  <c r="S110" i="1"/>
  <c r="S86" i="1"/>
  <c r="S62" i="1"/>
  <c r="S38" i="1"/>
  <c r="R136" i="1"/>
  <c r="R100" i="1"/>
  <c r="R84" i="1"/>
  <c r="R64" i="1"/>
  <c r="R28" i="1"/>
  <c r="J105" i="1"/>
  <c r="J69" i="1"/>
  <c r="J28" i="1"/>
  <c r="K28" i="1" s="1"/>
  <c r="J147" i="1"/>
  <c r="K147" i="1" s="1"/>
  <c r="J135" i="1"/>
  <c r="K135" i="1" s="1"/>
  <c r="J123" i="1"/>
  <c r="K123" i="1" s="1"/>
  <c r="J111" i="1"/>
  <c r="K111" i="1" s="1"/>
  <c r="J99" i="1"/>
  <c r="K99" i="1" s="1"/>
  <c r="J87" i="1"/>
  <c r="K87" i="1" s="1"/>
  <c r="J75" i="1"/>
  <c r="K75" i="1" s="1"/>
  <c r="J63" i="1"/>
  <c r="K63" i="1" s="1"/>
  <c r="J51" i="1"/>
  <c r="K51" i="1" s="1"/>
  <c r="J39" i="1"/>
  <c r="K39" i="1" s="1"/>
  <c r="J27" i="1"/>
  <c r="K27" i="1" s="1"/>
  <c r="J15" i="1"/>
  <c r="K15" i="1" s="1"/>
  <c r="J3" i="1"/>
  <c r="K3" i="1" s="1"/>
  <c r="J129" i="1"/>
  <c r="J93" i="1"/>
  <c r="J81" i="1"/>
  <c r="J57" i="1"/>
  <c r="J45" i="1"/>
  <c r="J33" i="1"/>
  <c r="J56" i="1"/>
  <c r="J61" i="1"/>
  <c r="K61" i="1" s="1"/>
  <c r="J117" i="1"/>
  <c r="J21" i="1"/>
  <c r="J9" i="1"/>
  <c r="J124" i="1"/>
  <c r="K124" i="1" s="1"/>
  <c r="J141" i="1"/>
  <c r="J140" i="1"/>
  <c r="J128" i="1"/>
  <c r="J116" i="1"/>
  <c r="J104" i="1"/>
  <c r="J92" i="1"/>
  <c r="J80" i="1"/>
  <c r="J68" i="1"/>
  <c r="J44" i="1"/>
  <c r="J32" i="1"/>
  <c r="J20" i="1"/>
  <c r="J8" i="1"/>
  <c r="J151" i="1"/>
  <c r="J139" i="1"/>
  <c r="J127" i="1"/>
  <c r="J115" i="1"/>
  <c r="J103" i="1"/>
  <c r="J91" i="1"/>
  <c r="J79" i="1"/>
  <c r="J67" i="1"/>
  <c r="J55" i="1"/>
  <c r="J43" i="1"/>
  <c r="J31" i="1"/>
  <c r="J19" i="1"/>
  <c r="J7" i="1"/>
  <c r="J134" i="1"/>
  <c r="K134" i="1" s="1"/>
  <c r="J122" i="1"/>
  <c r="K122" i="1" s="1"/>
  <c r="J86" i="1"/>
  <c r="K86" i="1" s="1"/>
  <c r="J74" i="1"/>
  <c r="K74" i="1" s="1"/>
  <c r="J38" i="1"/>
  <c r="K38" i="1" s="1"/>
  <c r="J26" i="1"/>
  <c r="K26" i="1" s="1"/>
  <c r="J2" i="1"/>
  <c r="J150" i="1"/>
  <c r="K150" i="1" s="1"/>
  <c r="J138" i="1"/>
  <c r="J126" i="1"/>
  <c r="K126" i="1" s="1"/>
  <c r="J114" i="1"/>
  <c r="K114" i="1" s="1"/>
  <c r="J102" i="1"/>
  <c r="J90" i="1"/>
  <c r="K90" i="1" s="1"/>
  <c r="J78" i="1"/>
  <c r="K78" i="1" s="1"/>
  <c r="J66" i="1"/>
  <c r="J54" i="1"/>
  <c r="K54" i="1" s="1"/>
  <c r="J42" i="1"/>
  <c r="J18" i="1"/>
  <c r="J6" i="1"/>
  <c r="K6" i="1" s="1"/>
  <c r="J133" i="1"/>
  <c r="K133" i="1" s="1"/>
  <c r="J121" i="1"/>
  <c r="K121" i="1" s="1"/>
  <c r="J109" i="1"/>
  <c r="K109" i="1" s="1"/>
  <c r="J85" i="1"/>
  <c r="K85" i="1" s="1"/>
  <c r="J73" i="1"/>
  <c r="K73" i="1" s="1"/>
  <c r="J37" i="1"/>
  <c r="K37" i="1" s="1"/>
  <c r="J25" i="1"/>
  <c r="K25" i="1" s="1"/>
  <c r="J13" i="1"/>
  <c r="K13" i="1" s="1"/>
  <c r="J149" i="1"/>
  <c r="K149" i="1" s="1"/>
  <c r="J125" i="1"/>
  <c r="J113" i="1"/>
  <c r="K113" i="1" s="1"/>
  <c r="J101" i="1"/>
  <c r="K101" i="1" s="1"/>
  <c r="J77" i="1"/>
  <c r="K77" i="1" s="1"/>
  <c r="J65" i="1"/>
  <c r="K65" i="1" s="1"/>
  <c r="J53" i="1"/>
  <c r="K53" i="1" s="1"/>
  <c r="J41" i="1"/>
  <c r="K41" i="1" s="1"/>
  <c r="J29" i="1"/>
  <c r="K29" i="1" s="1"/>
  <c r="J17" i="1"/>
  <c r="K17" i="1" s="1"/>
  <c r="J5" i="1"/>
  <c r="K5" i="1" s="1"/>
  <c r="J148" i="1"/>
  <c r="K148" i="1" s="1"/>
  <c r="J136" i="1"/>
  <c r="K136" i="1" s="1"/>
  <c r="J112" i="1"/>
  <c r="K112" i="1" s="1"/>
  <c r="J100" i="1"/>
  <c r="K100" i="1" s="1"/>
  <c r="J88" i="1"/>
  <c r="K88" i="1" s="1"/>
  <c r="J76" i="1"/>
  <c r="K76" i="1" s="1"/>
  <c r="J64" i="1"/>
  <c r="K64" i="1" s="1"/>
  <c r="J52" i="1"/>
  <c r="K52" i="1" s="1"/>
  <c r="J40" i="1"/>
  <c r="K40" i="1" s="1"/>
  <c r="J16" i="1"/>
  <c r="K16" i="1" s="1"/>
  <c r="J4" i="1"/>
  <c r="K4" i="1" s="1"/>
  <c r="J89" i="1"/>
  <c r="K89" i="1" s="1"/>
  <c r="J146" i="1"/>
  <c r="K146" i="1" s="1"/>
  <c r="J110" i="1"/>
  <c r="K110" i="1" s="1"/>
  <c r="J98" i="1"/>
  <c r="K98" i="1" s="1"/>
  <c r="J62" i="1"/>
  <c r="K62" i="1" s="1"/>
  <c r="J50" i="1"/>
  <c r="K50" i="1" s="1"/>
  <c r="J14" i="1"/>
  <c r="K14" i="1" s="1"/>
  <c r="J145" i="1"/>
  <c r="K145" i="1" s="1"/>
  <c r="J97" i="1"/>
  <c r="K97" i="1" s="1"/>
  <c r="J49" i="1"/>
  <c r="K49" i="1" s="1"/>
  <c r="J137" i="1"/>
  <c r="J132" i="1"/>
  <c r="J96" i="1"/>
  <c r="J72" i="1"/>
  <c r="J48" i="1"/>
  <c r="J24" i="1"/>
  <c r="K24" i="1" s="1"/>
  <c r="J143" i="1"/>
  <c r="K143" i="1" s="1"/>
  <c r="J131" i="1"/>
  <c r="K131" i="1" s="1"/>
  <c r="J119" i="1"/>
  <c r="K119" i="1" s="1"/>
  <c r="J107" i="1"/>
  <c r="K107" i="1" s="1"/>
  <c r="J95" i="1"/>
  <c r="K95" i="1" s="1"/>
  <c r="J83" i="1"/>
  <c r="K83" i="1" s="1"/>
  <c r="J71" i="1"/>
  <c r="K71" i="1" s="1"/>
  <c r="J59" i="1"/>
  <c r="K59" i="1" s="1"/>
  <c r="J47" i="1"/>
  <c r="K47" i="1" s="1"/>
  <c r="J35" i="1"/>
  <c r="K35" i="1" s="1"/>
  <c r="J11" i="1"/>
  <c r="K11" i="1" s="1"/>
  <c r="J144" i="1"/>
  <c r="J120" i="1"/>
  <c r="J108" i="1"/>
  <c r="J84" i="1"/>
  <c r="K84" i="1" s="1"/>
  <c r="J60" i="1"/>
  <c r="J36" i="1"/>
  <c r="J12" i="1"/>
  <c r="J142" i="1"/>
  <c r="J130" i="1"/>
  <c r="J118" i="1"/>
  <c r="J106" i="1"/>
  <c r="J94" i="1"/>
  <c r="J82" i="1"/>
  <c r="J70" i="1"/>
  <c r="J58" i="1"/>
  <c r="J46" i="1"/>
  <c r="J34" i="1"/>
  <c r="J22" i="1"/>
  <c r="J10" i="1"/>
  <c r="E5" i="3"/>
  <c r="R14" i="1" l="1"/>
  <c r="R23" i="1"/>
  <c r="J30" i="1"/>
  <c r="K30" i="1" s="1"/>
  <c r="J23" i="1"/>
  <c r="K23" i="1" s="1"/>
  <c r="R58" i="1"/>
  <c r="S30" i="1"/>
  <c r="L145" i="1"/>
  <c r="T145" i="1" s="1"/>
  <c r="U145" i="1" s="1"/>
  <c r="L77" i="1"/>
  <c r="T77" i="1" s="1"/>
  <c r="U77" i="1" s="1"/>
  <c r="L119" i="1"/>
  <c r="T119" i="1" s="1"/>
  <c r="U119" i="1" s="1"/>
  <c r="L73" i="1"/>
  <c r="T73" i="1" s="1"/>
  <c r="U73" i="1" s="1"/>
  <c r="L112" i="1"/>
  <c r="T112" i="1" s="1"/>
  <c r="U112" i="1" s="1"/>
  <c r="L64" i="1"/>
  <c r="T64" i="1" s="1"/>
  <c r="U64" i="1" s="1"/>
  <c r="L85" i="1"/>
  <c r="L17" i="1"/>
  <c r="T17" i="1" s="1"/>
  <c r="U17" i="1" s="1"/>
  <c r="L41" i="1"/>
  <c r="T41" i="1" s="1"/>
  <c r="U41" i="1" s="1"/>
  <c r="L16" i="1"/>
  <c r="T16" i="1" s="1"/>
  <c r="U16" i="1" s="1"/>
  <c r="L134" i="1"/>
  <c r="L40" i="1"/>
  <c r="L100" i="1"/>
  <c r="T100" i="1" s="1"/>
  <c r="U100" i="1" s="1"/>
  <c r="L101" i="1"/>
  <c r="L39" i="1"/>
  <c r="L11" i="1"/>
  <c r="L143" i="1"/>
  <c r="T143" i="1" s="1"/>
  <c r="U143" i="1" s="1"/>
  <c r="L24" i="1"/>
  <c r="L63" i="1"/>
  <c r="L150" i="1"/>
  <c r="L89" i="1"/>
  <c r="T89" i="1" s="1"/>
  <c r="U89" i="1" s="1"/>
  <c r="L50" i="1"/>
  <c r="T50" i="1" s="1"/>
  <c r="U50" i="1" s="1"/>
  <c r="L4" i="1"/>
  <c r="L5" i="1"/>
  <c r="L6" i="1"/>
  <c r="L90" i="1"/>
  <c r="L62" i="1"/>
  <c r="T62" i="1" s="1"/>
  <c r="U62" i="1" s="1"/>
  <c r="L111" i="1"/>
  <c r="L29" i="1"/>
  <c r="T29" i="1" s="1"/>
  <c r="U29" i="1" s="1"/>
  <c r="L88" i="1"/>
  <c r="L83" i="1"/>
  <c r="T83" i="1" s="1"/>
  <c r="U83" i="1" s="1"/>
  <c r="L135" i="1"/>
  <c r="L49" i="1"/>
  <c r="T49" i="1" s="1"/>
  <c r="U49" i="1" s="1"/>
  <c r="L122" i="1"/>
  <c r="T122" i="1" s="1"/>
  <c r="U122" i="1" s="1"/>
  <c r="L76" i="1"/>
  <c r="K106" i="1"/>
  <c r="L106" i="1" s="1"/>
  <c r="T106" i="1" s="1"/>
  <c r="U106" i="1" s="1"/>
  <c r="K42" i="1"/>
  <c r="L42" i="1" s="1"/>
  <c r="K91" i="1"/>
  <c r="L91" i="1" s="1"/>
  <c r="T91" i="1" s="1"/>
  <c r="K118" i="1"/>
  <c r="L118" i="1"/>
  <c r="K72" i="1"/>
  <c r="L72" i="1" s="1"/>
  <c r="K103" i="1"/>
  <c r="L103" i="1" s="1"/>
  <c r="T103" i="1" s="1"/>
  <c r="U103" i="1" s="1"/>
  <c r="K104" i="1"/>
  <c r="L104" i="1" s="1"/>
  <c r="T104" i="1" s="1"/>
  <c r="U104" i="1" s="1"/>
  <c r="K45" i="1"/>
  <c r="L45" i="1" s="1"/>
  <c r="T45" i="1" s="1"/>
  <c r="U45" i="1" s="1"/>
  <c r="L75" i="1"/>
  <c r="L148" i="1"/>
  <c r="T148" i="1" s="1"/>
  <c r="U148" i="1" s="1"/>
  <c r="K130" i="1"/>
  <c r="L130" i="1" s="1"/>
  <c r="T130" i="1" s="1"/>
  <c r="U130" i="1" s="1"/>
  <c r="K96" i="1"/>
  <c r="L96" i="1" s="1"/>
  <c r="T96" i="1" s="1"/>
  <c r="U96" i="1" s="1"/>
  <c r="K66" i="1"/>
  <c r="L66" i="1" s="1"/>
  <c r="T66" i="1" s="1"/>
  <c r="U66" i="1" s="1"/>
  <c r="K115" i="1"/>
  <c r="L115" i="1" s="1"/>
  <c r="K116" i="1"/>
  <c r="L116" i="1" s="1"/>
  <c r="K57" i="1"/>
  <c r="L57" i="1" s="1"/>
  <c r="T57" i="1" s="1"/>
  <c r="U57" i="1" s="1"/>
  <c r="L97" i="1"/>
  <c r="T97" i="1" s="1"/>
  <c r="U97" i="1" s="1"/>
  <c r="L54" i="1"/>
  <c r="K142" i="1"/>
  <c r="L142" i="1" s="1"/>
  <c r="T142" i="1" s="1"/>
  <c r="K132" i="1"/>
  <c r="L132" i="1" s="1"/>
  <c r="K127" i="1"/>
  <c r="L127" i="1" s="1"/>
  <c r="K128" i="1"/>
  <c r="L128" i="1" s="1"/>
  <c r="T128" i="1" s="1"/>
  <c r="U128" i="1" s="1"/>
  <c r="K81" i="1"/>
  <c r="L81" i="1" s="1"/>
  <c r="T81" i="1" s="1"/>
  <c r="U81" i="1" s="1"/>
  <c r="L95" i="1"/>
  <c r="T95" i="1" s="1"/>
  <c r="U95" i="1" s="1"/>
  <c r="L109" i="1"/>
  <c r="L74" i="1"/>
  <c r="T74" i="1" s="1"/>
  <c r="U74" i="1" s="1"/>
  <c r="L99" i="1"/>
  <c r="T99" i="1" s="1"/>
  <c r="U99" i="1" s="1"/>
  <c r="L28" i="1"/>
  <c r="L131" i="1"/>
  <c r="K10" i="1"/>
  <c r="L10" i="1" s="1"/>
  <c r="K12" i="1"/>
  <c r="L12" i="1" s="1"/>
  <c r="T12" i="1" s="1"/>
  <c r="U12" i="1" s="1"/>
  <c r="K137" i="1"/>
  <c r="L137" i="1" s="1"/>
  <c r="T137" i="1" s="1"/>
  <c r="U137" i="1" s="1"/>
  <c r="K139" i="1"/>
  <c r="L139" i="1" s="1"/>
  <c r="K140" i="1"/>
  <c r="L140" i="1" s="1"/>
  <c r="T140" i="1" s="1"/>
  <c r="U140" i="1" s="1"/>
  <c r="K93" i="1"/>
  <c r="L93" i="1" s="1"/>
  <c r="L14" i="1"/>
  <c r="T14" i="1" s="1"/>
  <c r="U14" i="1" s="1"/>
  <c r="L149" i="1"/>
  <c r="L121" i="1"/>
  <c r="T121" i="1" s="1"/>
  <c r="U121" i="1" s="1"/>
  <c r="L114" i="1"/>
  <c r="T114" i="1" s="1"/>
  <c r="U114" i="1" s="1"/>
  <c r="K22" i="1"/>
  <c r="L22" i="1" s="1"/>
  <c r="K36" i="1"/>
  <c r="L36" i="1" s="1"/>
  <c r="K102" i="1"/>
  <c r="L102" i="1" s="1"/>
  <c r="K7" i="1"/>
  <c r="L7" i="1" s="1"/>
  <c r="K151" i="1"/>
  <c r="L151" i="1" s="1"/>
  <c r="T151" i="1" s="1"/>
  <c r="U151" i="1" s="1"/>
  <c r="K141" i="1"/>
  <c r="L141" i="1" s="1"/>
  <c r="K129" i="1"/>
  <c r="L129" i="1" s="1"/>
  <c r="T129" i="1" s="1"/>
  <c r="U129" i="1" s="1"/>
  <c r="L15" i="1"/>
  <c r="T15" i="1" s="1"/>
  <c r="U15" i="1" s="1"/>
  <c r="L133" i="1"/>
  <c r="L98" i="1"/>
  <c r="T98" i="1" s="1"/>
  <c r="U98" i="1" s="1"/>
  <c r="L123" i="1"/>
  <c r="L52" i="1"/>
  <c r="K48" i="1"/>
  <c r="L48" i="1"/>
  <c r="T48" i="1" s="1"/>
  <c r="K92" i="1"/>
  <c r="L92" i="1" s="1"/>
  <c r="T92" i="1" s="1"/>
  <c r="U92" i="1" s="1"/>
  <c r="K33" i="1"/>
  <c r="L33" i="1" s="1"/>
  <c r="T33" i="1" s="1"/>
  <c r="U33" i="1" s="1"/>
  <c r="L110" i="1"/>
  <c r="K34" i="1"/>
  <c r="L34" i="1" s="1"/>
  <c r="T34" i="1" s="1"/>
  <c r="U34" i="1" s="1"/>
  <c r="K60" i="1"/>
  <c r="L60" i="1" s="1"/>
  <c r="T60" i="1" s="1"/>
  <c r="U60" i="1" s="1"/>
  <c r="K19" i="1"/>
  <c r="L19" i="1" s="1"/>
  <c r="K8" i="1"/>
  <c r="L8" i="1" s="1"/>
  <c r="L38" i="1"/>
  <c r="L136" i="1"/>
  <c r="K46" i="1"/>
  <c r="L46" i="1" s="1"/>
  <c r="T46" i="1" s="1"/>
  <c r="U46" i="1" s="1"/>
  <c r="K31" i="1"/>
  <c r="L31" i="1" s="1"/>
  <c r="T31" i="1" s="1"/>
  <c r="U31" i="1" s="1"/>
  <c r="K20" i="1"/>
  <c r="L20" i="1" s="1"/>
  <c r="K9" i="1"/>
  <c r="L9" i="1" s="1"/>
  <c r="T9" i="1" s="1"/>
  <c r="U9" i="1" s="1"/>
  <c r="L13" i="1"/>
  <c r="L3" i="1"/>
  <c r="T3" i="1" s="1"/>
  <c r="L147" i="1"/>
  <c r="T147" i="1" s="1"/>
  <c r="U147" i="1" s="1"/>
  <c r="L35" i="1"/>
  <c r="K58" i="1"/>
  <c r="L58" i="1" s="1"/>
  <c r="T58" i="1" s="1"/>
  <c r="U58" i="1" s="1"/>
  <c r="K108" i="1"/>
  <c r="L108" i="1" s="1"/>
  <c r="K138" i="1"/>
  <c r="L138" i="1" s="1"/>
  <c r="K43" i="1"/>
  <c r="L43" i="1" s="1"/>
  <c r="K32" i="1"/>
  <c r="L32" i="1" s="1"/>
  <c r="K21" i="1"/>
  <c r="L21" i="1" s="1"/>
  <c r="K69" i="1"/>
  <c r="L69" i="1" s="1"/>
  <c r="L25" i="1"/>
  <c r="T25" i="1" s="1"/>
  <c r="U25" i="1" s="1"/>
  <c r="L47" i="1"/>
  <c r="T47" i="1" s="1"/>
  <c r="U47" i="1" s="1"/>
  <c r="K70" i="1"/>
  <c r="L70" i="1" s="1"/>
  <c r="K120" i="1"/>
  <c r="L120" i="1" s="1"/>
  <c r="K55" i="1"/>
  <c r="L55" i="1" s="1"/>
  <c r="T55" i="1" s="1"/>
  <c r="U55" i="1" s="1"/>
  <c r="K44" i="1"/>
  <c r="L44" i="1" s="1"/>
  <c r="T44" i="1" s="1"/>
  <c r="U44" i="1" s="1"/>
  <c r="K117" i="1"/>
  <c r="L117" i="1" s="1"/>
  <c r="K105" i="1"/>
  <c r="L105" i="1" s="1"/>
  <c r="T105" i="1" s="1"/>
  <c r="U105" i="1" s="1"/>
  <c r="L107" i="1"/>
  <c r="T107" i="1" s="1"/>
  <c r="U107" i="1" s="1"/>
  <c r="L37" i="1"/>
  <c r="T37" i="1" s="1"/>
  <c r="L146" i="1"/>
  <c r="T146" i="1" s="1"/>
  <c r="U146" i="1" s="1"/>
  <c r="L27" i="1"/>
  <c r="T27" i="1" s="1"/>
  <c r="U27" i="1" s="1"/>
  <c r="L71" i="1"/>
  <c r="L84" i="1"/>
  <c r="K82" i="1"/>
  <c r="L82" i="1" s="1"/>
  <c r="T82" i="1" s="1"/>
  <c r="U82" i="1" s="1"/>
  <c r="K144" i="1"/>
  <c r="L144" i="1" s="1"/>
  <c r="T144" i="1" s="1"/>
  <c r="K18" i="1"/>
  <c r="L18" i="1" s="1"/>
  <c r="T18" i="1" s="1"/>
  <c r="U18" i="1" s="1"/>
  <c r="K2" i="1"/>
  <c r="L2" i="1" s="1"/>
  <c r="T2" i="1" s="1"/>
  <c r="U2" i="1" s="1"/>
  <c r="K67" i="1"/>
  <c r="L67" i="1" s="1"/>
  <c r="K68" i="1"/>
  <c r="L68" i="1" s="1"/>
  <c r="L86" i="1"/>
  <c r="L53" i="1"/>
  <c r="L78" i="1"/>
  <c r="T78" i="1" s="1"/>
  <c r="U78" i="1" s="1"/>
  <c r="K94" i="1"/>
  <c r="L94" i="1" s="1"/>
  <c r="T94" i="1" s="1"/>
  <c r="K125" i="1"/>
  <c r="L125" i="1" s="1"/>
  <c r="K79" i="1"/>
  <c r="L79" i="1" s="1"/>
  <c r="K80" i="1"/>
  <c r="L80" i="1" s="1"/>
  <c r="T80" i="1" s="1"/>
  <c r="U80" i="1" s="1"/>
  <c r="K56" i="1"/>
  <c r="L56" i="1" s="1"/>
  <c r="T56" i="1" s="1"/>
  <c r="U56" i="1" s="1"/>
  <c r="L87" i="1"/>
  <c r="L65" i="1"/>
  <c r="T65" i="1" s="1"/>
  <c r="U65" i="1" s="1"/>
  <c r="L61" i="1"/>
  <c r="L26" i="1"/>
  <c r="L113" i="1"/>
  <c r="T113" i="1" s="1"/>
  <c r="U113" i="1" s="1"/>
  <c r="L51" i="1"/>
  <c r="L124" i="1"/>
  <c r="L59" i="1"/>
  <c r="L126" i="1"/>
  <c r="L30" i="1" l="1"/>
  <c r="T30" i="1" s="1"/>
  <c r="U30" i="1" s="1"/>
  <c r="L23" i="1"/>
  <c r="T23" i="1" s="1"/>
  <c r="U23" i="1" s="1"/>
  <c r="U48" i="1"/>
  <c r="U142" i="1"/>
  <c r="T13" i="1"/>
  <c r="U13" i="1" s="1"/>
  <c r="U144" i="1"/>
  <c r="U94" i="1"/>
  <c r="T4" i="1"/>
  <c r="U4" i="1" s="1"/>
  <c r="T135" i="1"/>
  <c r="U135" i="1" s="1"/>
  <c r="T59" i="1"/>
  <c r="U59" i="1" s="1"/>
  <c r="T79" i="1"/>
  <c r="U79" i="1" s="1"/>
  <c r="T117" i="1"/>
  <c r="U117" i="1" s="1"/>
  <c r="T63" i="1"/>
  <c r="U63" i="1" s="1"/>
  <c r="T126" i="1"/>
  <c r="U126" i="1" s="1"/>
  <c r="T133" i="1"/>
  <c r="U133" i="1" s="1"/>
  <c r="U37" i="1"/>
  <c r="T125" i="1"/>
  <c r="U125" i="1" s="1"/>
  <c r="T90" i="1"/>
  <c r="U90" i="1" s="1"/>
  <c r="T108" i="1"/>
  <c r="U108" i="1" s="1"/>
  <c r="T67" i="1"/>
  <c r="U67" i="1" s="1"/>
  <c r="T68" i="1"/>
  <c r="U68" i="1" s="1"/>
  <c r="T38" i="1"/>
  <c r="U38" i="1" s="1"/>
  <c r="T19" i="1"/>
  <c r="U19" i="1" s="1"/>
  <c r="T127" i="1"/>
  <c r="U127" i="1" s="1"/>
  <c r="T71" i="1"/>
  <c r="U71" i="1" s="1"/>
  <c r="T32" i="1"/>
  <c r="U32" i="1" s="1"/>
  <c r="T69" i="1"/>
  <c r="U69" i="1" s="1"/>
  <c r="T120" i="1"/>
  <c r="U120" i="1" s="1"/>
  <c r="T70" i="1"/>
  <c r="U70" i="1" s="1"/>
  <c r="T21" i="1"/>
  <c r="U21" i="1" s="1"/>
  <c r="T39" i="1"/>
  <c r="U39" i="1" s="1"/>
  <c r="T115" i="1"/>
  <c r="U115" i="1" s="1"/>
  <c r="T109" i="1"/>
  <c r="U109" i="1" s="1"/>
  <c r="T35" i="1"/>
  <c r="U35" i="1" s="1"/>
  <c r="T111" i="1"/>
  <c r="U111" i="1" s="1"/>
  <c r="T110" i="1"/>
  <c r="U110" i="1" s="1"/>
  <c r="U91" i="1"/>
  <c r="T53" i="1"/>
  <c r="U53" i="1" s="1"/>
  <c r="U3" i="1"/>
  <c r="T87" i="1"/>
  <c r="U87" i="1" s="1"/>
  <c r="T141" i="1"/>
  <c r="U141" i="1" s="1"/>
  <c r="T88" i="1"/>
  <c r="U88" i="1" s="1"/>
  <c r="T101" i="1"/>
  <c r="U101" i="1" s="1"/>
  <c r="T10" i="1"/>
  <c r="U10" i="1" s="1"/>
  <c r="T124" i="1"/>
  <c r="U124" i="1" s="1"/>
  <c r="T86" i="1"/>
  <c r="U86" i="1" s="1"/>
  <c r="T40" i="1"/>
  <c r="U40" i="1" s="1"/>
  <c r="T84" i="1"/>
  <c r="U84" i="1" s="1"/>
  <c r="T11" i="1"/>
  <c r="U11" i="1" s="1"/>
  <c r="T28" i="1"/>
  <c r="U28" i="1" s="1"/>
  <c r="T26" i="1"/>
  <c r="U26" i="1" s="1"/>
  <c r="T139" i="1"/>
  <c r="U139" i="1" s="1"/>
  <c r="T24" i="1"/>
  <c r="U24" i="1" s="1"/>
  <c r="T131" i="1"/>
  <c r="U131" i="1" s="1"/>
  <c r="T43" i="1"/>
  <c r="U43" i="1" s="1"/>
  <c r="T36" i="1"/>
  <c r="U36" i="1" s="1"/>
  <c r="T51" i="1"/>
  <c r="U51" i="1" s="1"/>
  <c r="T132" i="1"/>
  <c r="U132" i="1" s="1"/>
  <c r="T150" i="1"/>
  <c r="U150" i="1" s="1"/>
  <c r="T134" i="1"/>
  <c r="U134" i="1" s="1"/>
  <c r="T123" i="1"/>
  <c r="U123" i="1" s="1"/>
  <c r="T76" i="1"/>
  <c r="U76" i="1" s="1"/>
  <c r="T72" i="1"/>
  <c r="U72" i="1" s="1"/>
  <c r="T54" i="1"/>
  <c r="U54" i="1" s="1"/>
  <c r="T8" i="1"/>
  <c r="U8" i="1" s="1"/>
  <c r="T75" i="1"/>
  <c r="U75" i="1" s="1"/>
  <c r="T22" i="1"/>
  <c r="U22" i="1" s="1"/>
  <c r="T6" i="1"/>
  <c r="U6" i="1" s="1"/>
  <c r="T102" i="1"/>
  <c r="U102" i="1" s="1"/>
  <c r="T61" i="1"/>
  <c r="U61" i="1" s="1"/>
  <c r="T85" i="1"/>
  <c r="U85" i="1" s="1"/>
  <c r="T116" i="1"/>
  <c r="U116" i="1" s="1"/>
  <c r="T138" i="1"/>
  <c r="U138" i="1" s="1"/>
  <c r="T93" i="1"/>
  <c r="U93" i="1" s="1"/>
  <c r="T52" i="1"/>
  <c r="U52" i="1" s="1"/>
  <c r="T20" i="1"/>
  <c r="U20" i="1" s="1"/>
  <c r="T136" i="1"/>
  <c r="U136" i="1" s="1"/>
  <c r="T42" i="1"/>
  <c r="U42" i="1" s="1"/>
  <c r="T7" i="1"/>
  <c r="U7" i="1" s="1"/>
  <c r="T5" i="1"/>
  <c r="U5" i="1" s="1"/>
  <c r="T118" i="1"/>
  <c r="U118" i="1" s="1"/>
  <c r="T149" i="1"/>
  <c r="U149" i="1" s="1"/>
</calcChain>
</file>

<file path=xl/sharedStrings.xml><?xml version="1.0" encoding="utf-8"?>
<sst xmlns="http://schemas.openxmlformats.org/spreadsheetml/2006/main" count="1023" uniqueCount="384">
  <si>
    <t>Product_ID</t>
  </si>
  <si>
    <t>Product_Category</t>
  </si>
  <si>
    <t>Product_Name</t>
  </si>
  <si>
    <t>HSN_N0</t>
  </si>
  <si>
    <t>Cost_Price</t>
  </si>
  <si>
    <t>GST%</t>
  </si>
  <si>
    <t>Total_CP</t>
  </si>
  <si>
    <t>GST_AMT</t>
  </si>
  <si>
    <t>Margin%</t>
  </si>
  <si>
    <t>Margin_amt</t>
  </si>
  <si>
    <t>Gst_on_Margin_amt</t>
  </si>
  <si>
    <t>Godown</t>
  </si>
  <si>
    <t>Region</t>
  </si>
  <si>
    <t>Sales_Person</t>
  </si>
  <si>
    <t>Qty_Purchased</t>
  </si>
  <si>
    <t>Qty_Sold</t>
  </si>
  <si>
    <t>Revenue_Invested</t>
  </si>
  <si>
    <t>CP_Qty_Sold</t>
  </si>
  <si>
    <t>SP_Qty_Sold</t>
  </si>
  <si>
    <t>Profit_Loss</t>
  </si>
  <si>
    <t>HSN_No</t>
  </si>
  <si>
    <t>Beverages</t>
  </si>
  <si>
    <t>Snacks &amp; Refreshments</t>
  </si>
  <si>
    <t>Baby Products</t>
  </si>
  <si>
    <t>Cleaning Supplies</t>
  </si>
  <si>
    <t>Groceries</t>
  </si>
  <si>
    <t>Beauty &amp; Personal Care</t>
  </si>
  <si>
    <t xml:space="preserve">Home &amp; Kitchen </t>
  </si>
  <si>
    <t>Product 001</t>
  </si>
  <si>
    <t>Product 002</t>
  </si>
  <si>
    <t>Product 003</t>
  </si>
  <si>
    <t>Product 004</t>
  </si>
  <si>
    <t>Product 005</t>
  </si>
  <si>
    <t>Product 006</t>
  </si>
  <si>
    <t>Product 007</t>
  </si>
  <si>
    <t>Product 008</t>
  </si>
  <si>
    <t>Product 009</t>
  </si>
  <si>
    <t>Product 010</t>
  </si>
  <si>
    <t>Product 011</t>
  </si>
  <si>
    <t>Product 012</t>
  </si>
  <si>
    <t>Product 013</t>
  </si>
  <si>
    <t>Product 014</t>
  </si>
  <si>
    <t>Product 015</t>
  </si>
  <si>
    <t>Product 016</t>
  </si>
  <si>
    <t>Product 017</t>
  </si>
  <si>
    <t>Product 018</t>
  </si>
  <si>
    <t>Product 019</t>
  </si>
  <si>
    <t>Product 020</t>
  </si>
  <si>
    <t>Product 021</t>
  </si>
  <si>
    <t>Product 022</t>
  </si>
  <si>
    <t>Product 023</t>
  </si>
  <si>
    <t>Product 024</t>
  </si>
  <si>
    <t>Product 025</t>
  </si>
  <si>
    <t>Product 026</t>
  </si>
  <si>
    <t>Product 027</t>
  </si>
  <si>
    <t>Product 028</t>
  </si>
  <si>
    <t>Product 029</t>
  </si>
  <si>
    <t>Product 030</t>
  </si>
  <si>
    <t>Product 031</t>
  </si>
  <si>
    <t>Product 032</t>
  </si>
  <si>
    <t>Product 033</t>
  </si>
  <si>
    <t>Product 034</t>
  </si>
  <si>
    <t>Product 035</t>
  </si>
  <si>
    <t>Product 036</t>
  </si>
  <si>
    <t>Product 037</t>
  </si>
  <si>
    <t>Product 038</t>
  </si>
  <si>
    <t>Product 039</t>
  </si>
  <si>
    <t>Product 040</t>
  </si>
  <si>
    <t>Product 041</t>
  </si>
  <si>
    <t>Product 042</t>
  </si>
  <si>
    <t>Product 043</t>
  </si>
  <si>
    <t>Product 044</t>
  </si>
  <si>
    <t>Product 045</t>
  </si>
  <si>
    <t>Product 046</t>
  </si>
  <si>
    <t>Product 047</t>
  </si>
  <si>
    <t>Product 048</t>
  </si>
  <si>
    <t>Product 049</t>
  </si>
  <si>
    <t>Product 050</t>
  </si>
  <si>
    <t>Product 051</t>
  </si>
  <si>
    <t>Product 052</t>
  </si>
  <si>
    <t>Product 053</t>
  </si>
  <si>
    <t>Product 054</t>
  </si>
  <si>
    <t>Product 055</t>
  </si>
  <si>
    <t>Product 056</t>
  </si>
  <si>
    <t>Product 057</t>
  </si>
  <si>
    <t>Product 058</t>
  </si>
  <si>
    <t>Product 059</t>
  </si>
  <si>
    <t>Product 060</t>
  </si>
  <si>
    <t>Product 061</t>
  </si>
  <si>
    <t>Product 062</t>
  </si>
  <si>
    <t>Product 063</t>
  </si>
  <si>
    <t>Product 064</t>
  </si>
  <si>
    <t>Product 065</t>
  </si>
  <si>
    <t>Product 066</t>
  </si>
  <si>
    <t>Product 067</t>
  </si>
  <si>
    <t>Product 068</t>
  </si>
  <si>
    <t>Product 069</t>
  </si>
  <si>
    <t>Product 070</t>
  </si>
  <si>
    <t>Product 071</t>
  </si>
  <si>
    <t>Product 072</t>
  </si>
  <si>
    <t>Product 073</t>
  </si>
  <si>
    <t>Product 074</t>
  </si>
  <si>
    <t>Product 075</t>
  </si>
  <si>
    <t>Product 076</t>
  </si>
  <si>
    <t>Product 077</t>
  </si>
  <si>
    <t>Product 078</t>
  </si>
  <si>
    <t>Product 079</t>
  </si>
  <si>
    <t>Product 080</t>
  </si>
  <si>
    <t>Product 081</t>
  </si>
  <si>
    <t>Product 082</t>
  </si>
  <si>
    <t>Product 083</t>
  </si>
  <si>
    <t>Product 084</t>
  </si>
  <si>
    <t>Product 085</t>
  </si>
  <si>
    <t>Product 086</t>
  </si>
  <si>
    <t>Product 087</t>
  </si>
  <si>
    <t>Product 088</t>
  </si>
  <si>
    <t>Product 089</t>
  </si>
  <si>
    <t>Product 090</t>
  </si>
  <si>
    <t>Product 091</t>
  </si>
  <si>
    <t>Product 092</t>
  </si>
  <si>
    <t>Product 093</t>
  </si>
  <si>
    <t>Product 094</t>
  </si>
  <si>
    <t>Product 095</t>
  </si>
  <si>
    <t>Product 096</t>
  </si>
  <si>
    <t>Product 097</t>
  </si>
  <si>
    <t>Product 098</t>
  </si>
  <si>
    <t>Product 099</t>
  </si>
  <si>
    <t>Product 100</t>
  </si>
  <si>
    <t>Product 101</t>
  </si>
  <si>
    <t>Product 102</t>
  </si>
  <si>
    <t>Product 103</t>
  </si>
  <si>
    <t>Product 104</t>
  </si>
  <si>
    <t>Product 105</t>
  </si>
  <si>
    <t>Product 106</t>
  </si>
  <si>
    <t>Product 107</t>
  </si>
  <si>
    <t>Product 108</t>
  </si>
  <si>
    <t>Product 109</t>
  </si>
  <si>
    <t>Product 110</t>
  </si>
  <si>
    <t>Product 111</t>
  </si>
  <si>
    <t>Product 112</t>
  </si>
  <si>
    <t>Product 113</t>
  </si>
  <si>
    <t>Product 114</t>
  </si>
  <si>
    <t>Product 115</t>
  </si>
  <si>
    <t>Product 116</t>
  </si>
  <si>
    <t>Product 117</t>
  </si>
  <si>
    <t>Product 118</t>
  </si>
  <si>
    <t>Product 119</t>
  </si>
  <si>
    <t>Product 120</t>
  </si>
  <si>
    <t>Product 121</t>
  </si>
  <si>
    <t>Product 122</t>
  </si>
  <si>
    <t>Product 123</t>
  </si>
  <si>
    <t>Product 124</t>
  </si>
  <si>
    <t>Product 125</t>
  </si>
  <si>
    <t>Product 126</t>
  </si>
  <si>
    <t>Product 127</t>
  </si>
  <si>
    <t>Product 128</t>
  </si>
  <si>
    <t>Product 129</t>
  </si>
  <si>
    <t>Product 130</t>
  </si>
  <si>
    <t>Product 131</t>
  </si>
  <si>
    <t>Product 132</t>
  </si>
  <si>
    <t>Product 133</t>
  </si>
  <si>
    <t>Product 134</t>
  </si>
  <si>
    <t>Product 135</t>
  </si>
  <si>
    <t>Product 136</t>
  </si>
  <si>
    <t>Product 137</t>
  </si>
  <si>
    <t>Product 138</t>
  </si>
  <si>
    <t>Product 139</t>
  </si>
  <si>
    <t>Product 140</t>
  </si>
  <si>
    <t>Product 141</t>
  </si>
  <si>
    <t>Product 142</t>
  </si>
  <si>
    <t>Product 143</t>
  </si>
  <si>
    <t>Product 144</t>
  </si>
  <si>
    <t>Product 145</t>
  </si>
  <si>
    <t>Product 146</t>
  </si>
  <si>
    <t>Product 147</t>
  </si>
  <si>
    <t>Product 148</t>
  </si>
  <si>
    <t>Product 149</t>
  </si>
  <si>
    <t>Product 150</t>
  </si>
  <si>
    <t>TotalSelling_Price</t>
  </si>
  <si>
    <t>South</t>
  </si>
  <si>
    <t>East</t>
  </si>
  <si>
    <t>West</t>
  </si>
  <si>
    <t>North</t>
  </si>
  <si>
    <t>Marine Lines</t>
  </si>
  <si>
    <t>Bhandup</t>
  </si>
  <si>
    <t>Bandra</t>
  </si>
  <si>
    <t>Gorai</t>
  </si>
  <si>
    <t>SalesPerson</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</si>
  <si>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</si>
  <si>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</si>
  <si>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</si>
  <si>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</si>
  <si>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</si>
  <si>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</si>
  <si>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</si>
  <si>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</si>
  <si>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</si>
  <si>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</si>
  <si>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</si>
  <si>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</si>
  <si>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</si>
  <si>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</si>
  <si>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</si>
  <si>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</si>
  <si>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</si>
  <si>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</si>
  <si>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</si>
  <si>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</si>
  <si>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</si>
  <si>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</si>
  <si>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</si>
  <si>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</si>
  <si>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</si>
  <si>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</si>
  <si>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</si>
  <si>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</si>
  <si>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</si>
  <si>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</si>
  <si>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</si>
  <si>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</si>
  <si>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</si>
  <si>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</si>
  <si>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</si>
  <si>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</si>
  <si>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</si>
  <si>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</si>
  <si>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</si>
  <si>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</si>
  <si>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</si>
  <si>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</si>
  <si>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</si>
  <si>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</si>
  <si>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</si>
  <si>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</si>
  <si>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</si>
  <si>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</si>
  <si>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</si>
  <si>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</si>
  <si>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</si>
  <si>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</si>
  <si>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</si>
  <si>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</si>
  <si>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</si>
  <si>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</si>
  <si>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</si>
  <si>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</si>
  <si>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</si>
  <si>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</si>
  <si>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</si>
  <si>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</si>
  <si>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</si>
  <si>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</si>
  <si>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</si>
  <si>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</si>
  <si>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</si>
  <si>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</si>
  <si>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</si>
  <si>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</si>
  <si>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</si>
  <si>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</si>
  <si>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</si>
  <si>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</si>
  <si>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</si>
  <si>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</si>
  <si>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</si>
  <si>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</si>
  <si>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</si>
  <si>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</si>
  <si>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</si>
  <si>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</si>
  <si>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</si>
  <si>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</si>
  <si>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</si>
  <si>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</si>
  <si>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</si>
  <si>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</si>
  <si>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</si>
  <si>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</si>
  <si>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</si>
  <si>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</si>
  <si>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</si>
  <si>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</si>
  <si>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</si>
  <si>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</si>
  <si>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</si>
  <si>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</si>
  <si>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</si>
  <si>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</si>
  <si>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</si>
  <si>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</si>
  <si>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</si>
  <si>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</si>
  <si>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</si>
  <si>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</si>
  <si>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</si>
  <si>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</si>
  <si>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</si>
  <si>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</si>
  <si>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</si>
  <si>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</si>
  <si>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</si>
  <si>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</si>
  <si>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</si>
  <si>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</si>
  <si>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</si>
  <si>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</si>
  <si>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</si>
  <si>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</si>
  <si>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</si>
  <si>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</si>
  <si>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</si>
  <si>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</si>
  <si>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</si>
  <si>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</si>
  <si>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</si>
  <si>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</si>
  <si>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</si>
  <si>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</si>
  <si>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</si>
  <si>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</si>
  <si>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</si>
  <si>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</si>
  <si>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</si>
  <si>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</si>
  <si>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</si>
  <si>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</si>
  <si>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</si>
  <si>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</si>
  <si>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</si>
  <si>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</si>
  <si>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</si>
  <si>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</si>
  <si>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</si>
  <si>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</si>
  <si>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</si>
  <si>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</si>
  <si>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</si>
  <si>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</si>
  <si>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Dry Fruits</t>
  </si>
  <si>
    <t>Sarthak</t>
  </si>
  <si>
    <t>Sahaj</t>
  </si>
  <si>
    <t>Ayush</t>
  </si>
  <si>
    <t>Nayan</t>
  </si>
  <si>
    <t>Sauham</t>
  </si>
  <si>
    <t>Shivansh</t>
  </si>
  <si>
    <t>CHOOSE(RANDBETWEEN(1,3),"Marine Lines","Bhandup","Bandra","Gorai")</t>
  </si>
  <si>
    <t>Vlookup</t>
  </si>
  <si>
    <t>Arithmetic function</t>
  </si>
  <si>
    <t>Roundup</t>
  </si>
  <si>
    <t>Date</t>
  </si>
  <si>
    <t>Payment Mode</t>
  </si>
  <si>
    <t>Online</t>
  </si>
  <si>
    <t>Cash</t>
  </si>
  <si>
    <t>Jan</t>
  </si>
  <si>
    <t>Feb</t>
  </si>
  <si>
    <t>Mar</t>
  </si>
  <si>
    <t>Apr</t>
  </si>
  <si>
    <t>May</t>
  </si>
  <si>
    <t>Jun</t>
  </si>
  <si>
    <t>Jul</t>
  </si>
  <si>
    <t>Aug</t>
  </si>
  <si>
    <t>Sep</t>
  </si>
  <si>
    <t>Oct</t>
  </si>
  <si>
    <t>Nov</t>
  </si>
  <si>
    <t>Dec</t>
  </si>
  <si>
    <t>2023</t>
  </si>
  <si>
    <t>Sum of TotalSelling_Price</t>
  </si>
  <si>
    <t>Sum of Total_CP</t>
  </si>
  <si>
    <t>Year</t>
  </si>
  <si>
    <t>Month</t>
  </si>
  <si>
    <t>Total Sales</t>
  </si>
  <si>
    <t>Total Profit</t>
  </si>
  <si>
    <t>Profit %</t>
  </si>
  <si>
    <t>Profit</t>
  </si>
  <si>
    <t>Profit%</t>
  </si>
  <si>
    <t>2022</t>
  </si>
  <si>
    <t>2024</t>
  </si>
  <si>
    <t>Pivottable</t>
  </si>
  <si>
    <t>Pivotchat</t>
  </si>
  <si>
    <t>Slicer</t>
  </si>
  <si>
    <t>Dashboard</t>
  </si>
  <si>
    <t>{+,-*,/}</t>
  </si>
  <si>
    <t>CheckIN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</si>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</sst>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quot;₹&quot;\ #,##0.00"/>
    <numFmt numFmtId="165" formatCode="[$-F800]dddd\,\ mmmm\ dd\,\ yyyy"/>
    <numFmt numFmtId="166" formatCode="_ [$₹-4009]\ * #,##0.00_ ;_ [$₹-4009]\ * \-#,##0.00_ ;_ [$₹-4009]\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8"/>
      <color rgb="FF000000"/>
      <name val="Segoe UI"/>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0" borderId="0" xfId="0" applyFont="1"/>
    <xf numFmtId="9" fontId="2" fillId="0" borderId="0" xfId="1" applyFont="1"/>
    <xf numFmtId="9" fontId="0" fillId="0" borderId="0" xfId="1" applyFont="1"/>
    <xf numFmtId="164" fontId="2" fillId="0" borderId="0" xfId="0" applyNumberFormat="1" applyFont="1"/>
    <xf numFmtId="164" fontId="0" fillId="0" borderId="0" xfId="0" applyNumberFormat="1"/>
    <xf numFmtId="0" fontId="0" fillId="2" borderId="1" xfId="0" applyFill="1" applyBorder="1"/>
    <xf numFmtId="0" fontId="0" fillId="3" borderId="1" xfId="0" applyFill="1" applyBorder="1"/>
    <xf numFmtId="9" fontId="0" fillId="3" borderId="1" xfId="0" applyNumberFormat="1" applyFill="1" applyBorder="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44" fontId="0" fillId="0" borderId="0" xfId="0" applyNumberFormat="1"/>
    <xf numFmtId="0" fontId="0" fillId="0" borderId="0" xfId="0" applyNumberFormat="1"/>
  </cellXfs>
  <cellStyles count="2">
    <cellStyle name="Normal" xfId="0" builtinId="0"/>
    <cellStyle name="Percent" xfId="1" builtinId="5"/>
  </cellStyles>
  <dxfs count="24">
    <dxf>
      <numFmt numFmtId="166" formatCode="_ [$₹-4009]\ * #,##0.00_ ;_ [$₹-4009]\ * \-#,##0.00_ ;_ [$₹-4009]\ * &quot;-&quot;??_ ;_ @_ "/>
    </dxf>
    <dxf>
      <numFmt numFmtId="166" formatCode="_ [$₹-4009]\ * #,##0.00_ ;_ [$₹-4009]\ * \-#,##0.00_ ;_ [$₹-4009]\ * &quot;-&quot;??_ ;_ @_ "/>
    </dxf>
    <dxf>
      <numFmt numFmtId="34" formatCode="_ &quot;₹&quot;\ * #,##0.00_ ;_ &quot;₹&quot;\ * \-#,##0.00_ ;_ &quot;₹&quot;\ * &quot;-&quot;??_ ;_ @_ "/>
    </dxf>
    <dxf>
      <numFmt numFmtId="164" formatCode="&quot;₹&quot;\ #,##0.00"/>
    </dxf>
    <dxf>
      <numFmt numFmtId="164" formatCode="&quot;₹&quot;\ #,##0.00"/>
    </dxf>
    <dxf>
      <numFmt numFmtId="165" formatCode="[$-F800]dddd\,\ mmmm\ dd\,\ yyyy"/>
    </dxf>
    <dxf>
      <numFmt numFmtId="164" formatCode="&quot;₹&quot;\ #,##0.00"/>
    </dxf>
    <dxf>
      <numFmt numFmtId="164" formatCode="&quot;₹&quot;\ #,##0.00"/>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
      <numFmt numFmtId="164" formatCode="&quot;₹&quot;\ #,##0.00"/>
    </dxf>
    <dxf>
      <numFmt numFmtId="164" formatCode="&quot;₹&quot;\ #,##0.00"/>
    </dxf>
    <dxf>
      <numFmt numFmtId="164" formatCode="&quot;₹&quot;\ #,##0.00"/>
    </dxf>
    <dxf>
      <numFmt numFmtId="13" formatCode="0%"/>
    </dxf>
    <dxf>
      <numFmt numFmtId="164" formatCode="&quot;₹&quot;\ #,##0.00"/>
    </dxf>
    <dxf>
      <numFmt numFmtId="0" formatCode="General"/>
    </dxf>
    <dxf>
      <numFmt numFmtId="13" formatCode="0%"/>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Slicer Style 1" pivot="0" table="0" count="1" xr9:uid="{84C8376B-018F-4E82-8689-1A1B7274CE99}"/>
  </tableStyles>
  <colors>
    <mruColors>
      <color rgb="FFFF3300"/>
      <color rgb="FFFF7D7D"/>
    </mruColors>
  </colors>
  <extLst>
    <ext xmlns:x14="http://schemas.microsoft.com/office/spreadsheetml/2009/9/main" uri="{46F421CA-312F-682f-3DD2-61675219B42D}">
      <x14:dxfs count="1">
        <dxf>
          <fill>
            <patternFill>
              <bgColor rgb="FFFF33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Dashboard_project.xlsx]Pivot Analysis!Product_category</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70C0"/>
          </a:solidFill>
          <a:ln>
            <a:noFill/>
          </a:ln>
          <a:effectLst>
            <a:outerShdw blurRad="57150" dist="19050" dir="5400000" algn="ctr" rotWithShape="0">
              <a:srgbClr val="000000">
                <a:alpha val="63000"/>
              </a:srgbClr>
            </a:outerShdw>
          </a:effectLst>
        </c:spPr>
      </c:pivotFmt>
      <c:pivotFmt>
        <c:idx val="20"/>
        <c:spPr>
          <a:solidFill>
            <a:srgbClr val="FFFF00"/>
          </a:solidFill>
          <a:ln>
            <a:noFill/>
          </a:ln>
          <a:effectLst>
            <a:outerShdw blurRad="57150" dist="19050" dir="5400000" algn="ctr" rotWithShape="0">
              <a:srgbClr val="000000">
                <a:alpha val="63000"/>
              </a:srgbClr>
            </a:outerShdw>
          </a:effectLst>
        </c:spPr>
      </c:pivotFmt>
      <c:pivotFmt>
        <c:idx val="21"/>
        <c:spPr>
          <a:solidFill>
            <a:srgbClr val="00B0F0"/>
          </a:solidFill>
          <a:ln>
            <a:noFill/>
          </a:ln>
          <a:effectLst>
            <a:outerShdw blurRad="57150" dist="19050" dir="5400000" algn="ctr" rotWithShape="0">
              <a:srgbClr val="000000">
                <a:alpha val="63000"/>
              </a:srgbClr>
            </a:outerShdw>
          </a:effectLst>
        </c:spPr>
      </c:pivotFmt>
      <c:pivotFmt>
        <c:idx val="22"/>
        <c:spPr>
          <a:solidFill>
            <a:srgbClr val="7030A0"/>
          </a:solidFill>
          <a:ln>
            <a:noFill/>
          </a:ln>
          <a:effectLst>
            <a:outerShdw blurRad="57150" dist="19050" dir="5400000" algn="ctr" rotWithShape="0">
              <a:srgbClr val="000000">
                <a:alpha val="63000"/>
              </a:srgbClr>
            </a:outerShdw>
          </a:effectLst>
        </c:spPr>
      </c:pivotFmt>
      <c:pivotFmt>
        <c:idx val="23"/>
        <c:spPr>
          <a:solidFill>
            <a:srgbClr val="C00000"/>
          </a:solidFill>
          <a:ln>
            <a:noFill/>
          </a:ln>
          <a:effectLst>
            <a:outerShdw blurRad="57150" dist="19050" dir="5400000" algn="ctr" rotWithShape="0">
              <a:srgbClr val="000000">
                <a:alpha val="63000"/>
              </a:srgbClr>
            </a:outerShdw>
          </a:effectLst>
        </c:spPr>
      </c:pivotFmt>
      <c:pivotFmt>
        <c:idx val="24"/>
        <c:spPr>
          <a:solidFill>
            <a:srgbClr val="92D050"/>
          </a:solidFill>
          <a:ln>
            <a:noFill/>
          </a:ln>
          <a:effectLst>
            <a:outerShdw blurRad="57150" dist="19050" dir="5400000" algn="ctr" rotWithShape="0">
              <a:srgbClr val="000000">
                <a:alpha val="63000"/>
              </a:srgbClr>
            </a:outerShdw>
          </a:effectLst>
        </c:spPr>
      </c:pivotFmt>
      <c:pivotFmt>
        <c:idx val="25"/>
        <c:spPr>
          <a:solidFill>
            <a:srgbClr val="002060"/>
          </a:solidFill>
          <a:ln>
            <a:noFill/>
          </a:ln>
          <a:effectLst>
            <a:outerShdw blurRad="57150" dist="19050" dir="5400000" algn="ctr" rotWithShape="0">
              <a:srgbClr val="000000">
                <a:alpha val="63000"/>
              </a:srgbClr>
            </a:outerShdw>
          </a:effectLst>
        </c:spPr>
      </c:pivotFmt>
      <c:pivotFmt>
        <c:idx val="26"/>
        <c:spPr>
          <a:solidFill>
            <a:srgbClr val="FFC00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Analysis'!$R$1</c:f>
              <c:strCache>
                <c:ptCount val="1"/>
                <c:pt idx="0">
                  <c:v>Total</c:v>
                </c:pt>
              </c:strCache>
            </c:strRef>
          </c:tx>
          <c:spPr>
            <a:solidFill>
              <a:srgbClr val="00B050"/>
            </a:solidFill>
          </c:spPr>
          <c:dPt>
            <c:idx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A18-44E2-89F7-B16A057222F5}"/>
              </c:ext>
            </c:extLst>
          </c:dPt>
          <c:dPt>
            <c:idx val="1"/>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A18-44E2-89F7-B16A057222F5}"/>
              </c:ext>
            </c:extLst>
          </c:dPt>
          <c:dPt>
            <c:idx val="2"/>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A18-44E2-89F7-B16A057222F5}"/>
              </c:ext>
            </c:extLst>
          </c:dPt>
          <c:dPt>
            <c:idx val="3"/>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2A18-44E2-89F7-B16A057222F5}"/>
              </c:ext>
            </c:extLst>
          </c:dPt>
          <c:dPt>
            <c:idx val="4"/>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A18-44E2-89F7-B16A057222F5}"/>
              </c:ext>
            </c:extLst>
          </c:dPt>
          <c:dPt>
            <c:idx val="5"/>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2A18-44E2-89F7-B16A057222F5}"/>
              </c:ext>
            </c:extLst>
          </c:dPt>
          <c:dPt>
            <c:idx val="6"/>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A18-44E2-89F7-B16A057222F5}"/>
              </c:ext>
            </c:extLst>
          </c:dPt>
          <c:dPt>
            <c:idx val="7"/>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A18-44E2-89F7-B16A057222F5}"/>
              </c:ext>
            </c:extLst>
          </c:dPt>
          <c:cat>
            <c:strRef>
              <c:f>'Pivot Analysis'!$Q$2:$Q$9</c:f>
              <c:strCache>
                <c:ptCount val="8"/>
                <c:pt idx="0">
                  <c:v>Baby Products</c:v>
                </c:pt>
                <c:pt idx="1">
                  <c:v>Beauty &amp; Personal Care</c:v>
                </c:pt>
                <c:pt idx="2">
                  <c:v>Beverages</c:v>
                </c:pt>
                <c:pt idx="3">
                  <c:v>Cleaning Supplies</c:v>
                </c:pt>
                <c:pt idx="4">
                  <c:v>Dry Fruits</c:v>
                </c:pt>
                <c:pt idx="5">
                  <c:v>Groceries</c:v>
                </c:pt>
                <c:pt idx="6">
                  <c:v>Home &amp; Kitchen </c:v>
                </c:pt>
                <c:pt idx="7">
                  <c:v>Snacks &amp; Refreshments</c:v>
                </c:pt>
              </c:strCache>
            </c:strRef>
          </c:cat>
          <c:val>
            <c:numRef>
              <c:f>'Pivot Analysis'!$R$2:$R$9</c:f>
              <c:numCache>
                <c:formatCode>_("₹"* #,##0.00_);_("₹"* \(#,##0.00\);_("₹"* "-"??_);_(@_)</c:formatCode>
                <c:ptCount val="8"/>
                <c:pt idx="0">
                  <c:v>11197</c:v>
                </c:pt>
                <c:pt idx="1">
                  <c:v>25435</c:v>
                </c:pt>
                <c:pt idx="2">
                  <c:v>10819</c:v>
                </c:pt>
                <c:pt idx="3">
                  <c:v>13987</c:v>
                </c:pt>
                <c:pt idx="4">
                  <c:v>28960</c:v>
                </c:pt>
                <c:pt idx="5">
                  <c:v>11270</c:v>
                </c:pt>
                <c:pt idx="6">
                  <c:v>12931</c:v>
                </c:pt>
                <c:pt idx="7">
                  <c:v>15892</c:v>
                </c:pt>
              </c:numCache>
            </c:numRef>
          </c:val>
          <c:extLst>
            <c:ext xmlns:c16="http://schemas.microsoft.com/office/drawing/2014/chart" uri="{C3380CC4-5D6E-409C-BE32-E72D297353CC}">
              <c16:uniqueId val="{00000010-2A18-44E2-89F7-B16A057222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615577604617888E-2"/>
          <c:y val="8.6795766826931298E-2"/>
          <c:w val="0.87936109573413812"/>
          <c:h val="0.81448344558691366"/>
        </c:manualLayout>
      </c:layout>
      <c:barChart>
        <c:barDir val="col"/>
        <c:grouping val="clustered"/>
        <c:varyColors val="0"/>
        <c:ser>
          <c:idx val="0"/>
          <c:order val="0"/>
          <c:tx>
            <c:strRef>
              <c:f>'Pivot Analysis'!$L$2</c:f>
              <c:strCache>
                <c:ptCount val="1"/>
                <c:pt idx="0">
                  <c:v>Total Sales</c:v>
                </c:pt>
              </c:strCache>
            </c:strRef>
          </c:tx>
          <c:spPr>
            <a:solidFill>
              <a:srgbClr val="C00000"/>
            </a:solidFill>
            <a:ln>
              <a:noFill/>
            </a:ln>
            <a:effectLst/>
          </c:spPr>
          <c:invertIfNegative val="0"/>
          <c:cat>
            <c:strRef>
              <c:f>'Pivot 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Analysis'!$L$3:$L$14</c:f>
              <c:numCache>
                <c:formatCode>"₹"\ #,##0.00</c:formatCode>
                <c:ptCount val="12"/>
                <c:pt idx="0">
                  <c:v>13939</c:v>
                </c:pt>
                <c:pt idx="1">
                  <c:v>9785</c:v>
                </c:pt>
                <c:pt idx="2">
                  <c:v>12120</c:v>
                </c:pt>
                <c:pt idx="3">
                  <c:v>11886</c:v>
                </c:pt>
                <c:pt idx="4">
                  <c:v>11590</c:v>
                </c:pt>
                <c:pt idx="5">
                  <c:v>9598</c:v>
                </c:pt>
                <c:pt idx="6">
                  <c:v>8029</c:v>
                </c:pt>
                <c:pt idx="7">
                  <c:v>10384</c:v>
                </c:pt>
                <c:pt idx="8">
                  <c:v>12458</c:v>
                </c:pt>
                <c:pt idx="9">
                  <c:v>8607</c:v>
                </c:pt>
                <c:pt idx="10">
                  <c:v>12261</c:v>
                </c:pt>
                <c:pt idx="11">
                  <c:v>9834</c:v>
                </c:pt>
              </c:numCache>
            </c:numRef>
          </c:val>
          <c:extLst>
            <c:ext xmlns:c16="http://schemas.microsoft.com/office/drawing/2014/chart" uri="{C3380CC4-5D6E-409C-BE32-E72D297353CC}">
              <c16:uniqueId val="{00000000-2B77-4007-90E5-B3D311049DA3}"/>
            </c:ext>
          </c:extLst>
        </c:ser>
        <c:ser>
          <c:idx val="1"/>
          <c:order val="1"/>
          <c:tx>
            <c:strRef>
              <c:f>'Pivot Analysis'!$M$2</c:f>
              <c:strCache>
                <c:ptCount val="1"/>
                <c:pt idx="0">
                  <c:v>Profit</c:v>
                </c:pt>
              </c:strCache>
            </c:strRef>
          </c:tx>
          <c:spPr>
            <a:solidFill>
              <a:srgbClr val="FFFF00"/>
            </a:solidFill>
            <a:ln>
              <a:noFill/>
            </a:ln>
            <a:effectLst/>
          </c:spPr>
          <c:invertIfNegative val="0"/>
          <c:cat>
            <c:strRef>
              <c:f>'Pivot 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Analysis'!$M$3:$M$14</c:f>
              <c:numCache>
                <c:formatCode>"₹"\ #,##0.00</c:formatCode>
                <c:ptCount val="12"/>
                <c:pt idx="0">
                  <c:v>3318</c:v>
                </c:pt>
                <c:pt idx="1">
                  <c:v>2192</c:v>
                </c:pt>
                <c:pt idx="2">
                  <c:v>2960</c:v>
                </c:pt>
                <c:pt idx="3">
                  <c:v>2874</c:v>
                </c:pt>
                <c:pt idx="4">
                  <c:v>2624</c:v>
                </c:pt>
                <c:pt idx="5">
                  <c:v>1777</c:v>
                </c:pt>
                <c:pt idx="6">
                  <c:v>1402</c:v>
                </c:pt>
                <c:pt idx="7">
                  <c:v>2274</c:v>
                </c:pt>
                <c:pt idx="8">
                  <c:v>3235</c:v>
                </c:pt>
                <c:pt idx="9">
                  <c:v>2168</c:v>
                </c:pt>
                <c:pt idx="10">
                  <c:v>3003</c:v>
                </c:pt>
                <c:pt idx="11">
                  <c:v>2467</c:v>
                </c:pt>
              </c:numCache>
            </c:numRef>
          </c:val>
          <c:extLst>
            <c:ext xmlns:c16="http://schemas.microsoft.com/office/drawing/2014/chart" uri="{C3380CC4-5D6E-409C-BE32-E72D297353CC}">
              <c16:uniqueId val="{0000000D-2B77-4007-90E5-B3D311049DA3}"/>
            </c:ext>
          </c:extLst>
        </c:ser>
        <c:dLbls>
          <c:showLegendKey val="0"/>
          <c:showVal val="0"/>
          <c:showCatName val="0"/>
          <c:showSerName val="0"/>
          <c:showPercent val="0"/>
          <c:showBubbleSize val="0"/>
        </c:dLbls>
        <c:gapWidth val="50"/>
        <c:overlap val="100"/>
        <c:axId val="1923462160"/>
        <c:axId val="435172512"/>
      </c:barChart>
      <c:catAx>
        <c:axId val="19234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72512"/>
        <c:crosses val="autoZero"/>
        <c:auto val="1"/>
        <c:lblAlgn val="ctr"/>
        <c:lblOffset val="100"/>
        <c:noMultiLvlLbl val="0"/>
      </c:catAx>
      <c:valAx>
        <c:axId val="43517251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Dashboard_project.xlsx]Pivot Analysis!Region</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outerShdw blurRad="57150" dist="19050" dir="5400000" algn="ctr" rotWithShape="0">
              <a:srgbClr val="000000">
                <a:alpha val="63000"/>
              </a:srgbClr>
            </a:outerShdw>
          </a:effectLst>
        </c:spPr>
      </c:pivotFmt>
      <c:pivotFmt>
        <c:idx val="10"/>
        <c:spPr>
          <a:solidFill>
            <a:srgbClr val="0070C0"/>
          </a:solidFill>
          <a:ln>
            <a:noFill/>
          </a:ln>
          <a:effectLst>
            <a:outerShdw blurRad="57150" dist="19050" dir="5400000" algn="ctr" rotWithShape="0">
              <a:srgbClr val="000000">
                <a:alpha val="63000"/>
              </a:srgbClr>
            </a:outerShdw>
          </a:effectLst>
        </c:spPr>
      </c:pivotFmt>
      <c:pivotFmt>
        <c:idx val="11"/>
        <c:spPr>
          <a:solidFill>
            <a:srgbClr val="C0000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Analysis'!$U$1</c:f>
              <c:strCache>
                <c:ptCount val="1"/>
                <c:pt idx="0">
                  <c:v>Total</c:v>
                </c:pt>
              </c:strCache>
            </c:strRef>
          </c:tx>
          <c:dPt>
            <c:idx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75A-4140-9A25-B7E3E0381FD4}"/>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75A-4140-9A25-B7E3E0381FD4}"/>
              </c:ext>
            </c:extLst>
          </c:dPt>
          <c:dPt>
            <c:idx val="2"/>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75A-4140-9A25-B7E3E0381F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Analysis'!$T$2:$T$4</c:f>
              <c:strCache>
                <c:ptCount val="3"/>
                <c:pt idx="0">
                  <c:v>East</c:v>
                </c:pt>
                <c:pt idx="1">
                  <c:v>South</c:v>
                </c:pt>
                <c:pt idx="2">
                  <c:v>West</c:v>
                </c:pt>
              </c:strCache>
            </c:strRef>
          </c:cat>
          <c:val>
            <c:numRef>
              <c:f>'Pivot Analysis'!$U$2:$U$4</c:f>
              <c:numCache>
                <c:formatCode>General</c:formatCode>
                <c:ptCount val="3"/>
                <c:pt idx="0">
                  <c:v>42763</c:v>
                </c:pt>
                <c:pt idx="1">
                  <c:v>38926</c:v>
                </c:pt>
                <c:pt idx="2">
                  <c:v>48802</c:v>
                </c:pt>
              </c:numCache>
            </c:numRef>
          </c:val>
          <c:extLst>
            <c:ext xmlns:c16="http://schemas.microsoft.com/office/drawing/2014/chart" uri="{C3380CC4-5D6E-409C-BE32-E72D297353CC}">
              <c16:uniqueId val="{00000006-575A-4140-9A25-B7E3E0381FD4}"/>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Dashboard_project.xlsx]Pivot Analysis!PivotTable1</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FF00"/>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C0000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8131445912767332E-2"/>
          <c:y val="0.12716062663887581"/>
          <c:w val="0.72230185207006481"/>
          <c:h val="0.75421804612384857"/>
        </c:manualLayout>
      </c:layout>
      <c:doughnutChart>
        <c:varyColors val="0"/>
        <c:ser>
          <c:idx val="0"/>
          <c:order val="0"/>
          <c:tx>
            <c:strRef>
              <c:f>'Pivot Analysis'!$X$1</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dPt>
            <c:idx val="0"/>
            <c:bubble3D val="0"/>
            <c:spPr>
              <a:solidFill>
                <a:srgbClr val="FFFF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9F8D-4FA1-83B2-AE0B81AAAB5D}"/>
              </c:ext>
            </c:extLst>
          </c:dPt>
          <c:dPt>
            <c:idx val="1"/>
            <c:bubble3D val="0"/>
            <c:spPr>
              <a:solidFill>
                <a:srgbClr val="C0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F8D-4FA1-83B2-AE0B81AAAB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Analysis'!$W$2:$W$3</c:f>
              <c:strCache>
                <c:ptCount val="2"/>
                <c:pt idx="0">
                  <c:v>Cash</c:v>
                </c:pt>
                <c:pt idx="1">
                  <c:v>Online</c:v>
                </c:pt>
              </c:strCache>
            </c:strRef>
          </c:cat>
          <c:val>
            <c:numRef>
              <c:f>'Pivot Analysis'!$X$2:$X$3</c:f>
              <c:numCache>
                <c:formatCode>General</c:formatCode>
                <c:ptCount val="2"/>
                <c:pt idx="0">
                  <c:v>65644</c:v>
                </c:pt>
                <c:pt idx="1">
                  <c:v>64847</c:v>
                </c:pt>
              </c:numCache>
            </c:numRef>
          </c:val>
          <c:extLst>
            <c:ext xmlns:c16="http://schemas.microsoft.com/office/drawing/2014/chart" uri="{C3380CC4-5D6E-409C-BE32-E72D297353CC}">
              <c16:uniqueId val="{00000004-9F8D-4FA1-83B2-AE0B81AAAB5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Dashboard_project.xlsx]Pivot Analysis!Year</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c:f>
              <c:strCache>
                <c:ptCount val="1"/>
                <c:pt idx="0">
                  <c:v>Total</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'Pivot Analysis'!$A$2:$A$5</c:f>
              <c:strCache>
                <c:ptCount val="3"/>
                <c:pt idx="0">
                  <c:v>2023</c:v>
                </c:pt>
                <c:pt idx="1">
                  <c:v>2022</c:v>
                </c:pt>
                <c:pt idx="2">
                  <c:v>2024</c:v>
                </c:pt>
              </c:strCache>
            </c:strRef>
          </c:cat>
          <c:val>
            <c:numRef>
              <c:f>'Pivot Analysis'!$B$2:$B$5</c:f>
              <c:numCache>
                <c:formatCode>_ [$₹-4009]\ * #,##0.00_ ;_ [$₹-4009]\ * \-#,##0.00_ ;_ [$₹-4009]\ * "-"??_ ;_ @_ </c:formatCode>
                <c:ptCount val="3"/>
                <c:pt idx="0">
                  <c:v>64843</c:v>
                </c:pt>
                <c:pt idx="1">
                  <c:v>62741</c:v>
                </c:pt>
                <c:pt idx="2">
                  <c:v>2907</c:v>
                </c:pt>
              </c:numCache>
            </c:numRef>
          </c:val>
          <c:extLst>
            <c:ext xmlns:c16="http://schemas.microsoft.com/office/drawing/2014/chart" uri="{C3380CC4-5D6E-409C-BE32-E72D297353CC}">
              <c16:uniqueId val="{00000000-7BCF-4DE1-B2D0-F7B59DC99E76}"/>
            </c:ext>
          </c:extLst>
        </c:ser>
        <c:dLbls>
          <c:showLegendKey val="0"/>
          <c:showVal val="0"/>
          <c:showCatName val="0"/>
          <c:showSerName val="0"/>
          <c:showPercent val="0"/>
          <c:showBubbleSize val="0"/>
        </c:dLbls>
        <c:gapWidth val="115"/>
        <c:overlap val="-20"/>
        <c:axId val="277046800"/>
        <c:axId val="509788256"/>
      </c:barChart>
      <c:catAx>
        <c:axId val="277046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8256"/>
        <c:crosses val="autoZero"/>
        <c:auto val="1"/>
        <c:lblAlgn val="ctr"/>
        <c:lblOffset val="100"/>
        <c:noMultiLvlLbl val="0"/>
      </c:catAx>
      <c:valAx>
        <c:axId val="509788256"/>
        <c:scaling>
          <c:orientation val="minMax"/>
        </c:scaling>
        <c:delete val="0"/>
        <c:axPos val="b"/>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fmlaLink="'Pivot Analysis'!$M$1" lockText="1" noThreeD="1"/>
</file>

<file path=xl/ctrlProps/ctrlProp2.xml><?xml version="1.0" encoding="utf-8"?>
<formControlPr xmlns="http://schemas.microsoft.com/office/spreadsheetml/2009/9/main" objectType="CheckBox" checked="Checked" fmlaLink="'Pivot Analysis'!$N$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7.png"/><Relationship Id="rId5" Type="http://schemas.openxmlformats.org/officeDocument/2006/relationships/chart" Target="../charts/chart3.xml"/><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529167</xdr:colOff>
      <xdr:row>47</xdr:row>
      <xdr:rowOff>45357</xdr:rowOff>
    </xdr:to>
    <xdr:pic>
      <xdr:nvPicPr>
        <xdr:cNvPr id="20" name="Graphic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7999808" cy="8463178"/>
        </a:xfrm>
        <a:prstGeom prst="rect">
          <a:avLst/>
        </a:prstGeom>
      </xdr:spPr>
    </xdr:pic>
    <xdr:clientData/>
  </xdr:twoCellAnchor>
  <xdr:twoCellAnchor editAs="oneCell">
    <xdr:from>
      <xdr:col>21</xdr:col>
      <xdr:colOff>81642</xdr:colOff>
      <xdr:row>1</xdr:row>
      <xdr:rowOff>111079</xdr:rowOff>
    </xdr:from>
    <xdr:to>
      <xdr:col>25</xdr:col>
      <xdr:colOff>241938</xdr:colOff>
      <xdr:row>5</xdr:row>
      <xdr:rowOff>50132</xdr:rowOff>
    </xdr:to>
    <mc:AlternateContent xmlns:mc="http://schemas.openxmlformats.org/markup-compatibility/2006" xmlns:a14="http://schemas.microsoft.com/office/drawing/2010/main">
      <mc:Choice Requires="a14">
        <xdr:graphicFrame macro="">
          <xdr:nvGraphicFramePr>
            <xdr:cNvPr id="23" name="Payment Mode">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2220873" y="298456"/>
              <a:ext cx="3375574" cy="688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419374</xdr:colOff>
      <xdr:row>1</xdr:row>
      <xdr:rowOff>90580</xdr:rowOff>
    </xdr:from>
    <xdr:to>
      <xdr:col>20</xdr:col>
      <xdr:colOff>502304</xdr:colOff>
      <xdr:row>5</xdr:row>
      <xdr:rowOff>35363</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09919" y="275307"/>
              <a:ext cx="2530567" cy="683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402545</xdr:colOff>
      <xdr:row>15</xdr:row>
      <xdr:rowOff>140096</xdr:rowOff>
    </xdr:from>
    <xdr:to>
      <xdr:col>21</xdr:col>
      <xdr:colOff>481921</xdr:colOff>
      <xdr:row>27</xdr:row>
      <xdr:rowOff>71815</xdr:rowOff>
    </xdr:to>
    <xdr:graphicFrame macro="">
      <xdr:nvGraphicFramePr>
        <xdr:cNvPr id="25" name="Chart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502709</xdr:colOff>
      <xdr:row>32</xdr:row>
      <xdr:rowOff>88604</xdr:rowOff>
    </xdr:from>
    <xdr:to>
      <xdr:col>15</xdr:col>
      <xdr:colOff>383647</xdr:colOff>
      <xdr:row>44</xdr:row>
      <xdr:rowOff>92604</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449791</xdr:colOff>
      <xdr:row>32</xdr:row>
      <xdr:rowOff>13231</xdr:rowOff>
    </xdr:from>
    <xdr:to>
      <xdr:col>21</xdr:col>
      <xdr:colOff>410104</xdr:colOff>
      <xdr:row>44</xdr:row>
      <xdr:rowOff>66147</xdr:rowOff>
    </xdr:to>
    <xdr:graphicFrame macro="">
      <xdr:nvGraphicFramePr>
        <xdr:cNvPr id="28" name="Chart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357188</xdr:colOff>
      <xdr:row>28</xdr:row>
      <xdr:rowOff>117929</xdr:rowOff>
    </xdr:from>
    <xdr:to>
      <xdr:col>28</xdr:col>
      <xdr:colOff>423333</xdr:colOff>
      <xdr:row>44</xdr:row>
      <xdr:rowOff>66146</xdr:rowOff>
    </xdr:to>
    <xdr:graphicFrame macro="">
      <xdr:nvGraphicFramePr>
        <xdr:cNvPr id="30" name="Chart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470581</xdr:colOff>
      <xdr:row>15</xdr:row>
      <xdr:rowOff>141111</xdr:rowOff>
    </xdr:from>
    <xdr:to>
      <xdr:col>2</xdr:col>
      <xdr:colOff>536727</xdr:colOff>
      <xdr:row>38</xdr:row>
      <xdr:rowOff>83785</xdr:rowOff>
    </xdr:to>
    <mc:AlternateContent xmlns:mc="http://schemas.openxmlformats.org/markup-compatibility/2006" xmlns:a14="http://schemas.microsoft.com/office/drawing/2010/main">
      <mc:Choice Requires="a14">
        <xdr:graphicFrame macro="">
          <xdr:nvGraphicFramePr>
            <xdr:cNvPr id="31" name="Months (Date)">
              <a:extLst>
                <a:ext uri="{FF2B5EF4-FFF2-40B4-BE49-F238E27FC236}">
                  <a16:creationId xmlns:a16="http://schemas.microsoft.com/office/drawing/2014/main" id="{00000000-0008-0000-0000-00001F00000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70581" y="2951767"/>
              <a:ext cx="1294507" cy="4252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27215</xdr:colOff>
      <xdr:row>1</xdr:row>
      <xdr:rowOff>132907</xdr:rowOff>
    </xdr:from>
    <xdr:to>
      <xdr:col>16</xdr:col>
      <xdr:colOff>244929</xdr:colOff>
      <xdr:row>5</xdr:row>
      <xdr:rowOff>2</xdr:rowOff>
    </xdr:to>
    <mc:AlternateContent xmlns:mc="http://schemas.openxmlformats.org/markup-compatibility/2006" xmlns:a14="http://schemas.microsoft.com/office/drawing/2010/main">
      <mc:Choice Requires="a14">
        <xdr:graphicFrame macro="">
          <xdr:nvGraphicFramePr>
            <xdr:cNvPr id="33" name="Years (Date)">
              <a:extLst>
                <a:ext uri="{FF2B5EF4-FFF2-40B4-BE49-F238E27FC236}">
                  <a16:creationId xmlns:a16="http://schemas.microsoft.com/office/drawing/2014/main" id="{00000000-0008-0000-0000-00002100000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982033" y="317634"/>
              <a:ext cx="2053441" cy="606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498241</xdr:colOff>
      <xdr:row>0</xdr:row>
      <xdr:rowOff>162441</xdr:rowOff>
    </xdr:from>
    <xdr:to>
      <xdr:col>2</xdr:col>
      <xdr:colOff>236279</xdr:colOff>
      <xdr:row>6</xdr:row>
      <xdr:rowOff>40431</xdr:rowOff>
    </xdr:to>
    <xdr:pic>
      <xdr:nvPicPr>
        <xdr:cNvPr id="35" name="Graphic 34" descr="Presentation with bar chart with solid fill">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8241" y="162441"/>
          <a:ext cx="948968" cy="941246"/>
        </a:xfrm>
        <a:prstGeom prst="rect">
          <a:avLst/>
        </a:prstGeom>
      </xdr:spPr>
    </xdr:pic>
    <xdr:clientData/>
  </xdr:twoCellAnchor>
  <xdr:twoCellAnchor editAs="oneCell">
    <xdr:from>
      <xdr:col>3</xdr:col>
      <xdr:colOff>396601</xdr:colOff>
      <xdr:row>6</xdr:row>
      <xdr:rowOff>162365</xdr:rowOff>
    </xdr:from>
    <xdr:to>
      <xdr:col>5</xdr:col>
      <xdr:colOff>96218</xdr:colOff>
      <xdr:row>12</xdr:row>
      <xdr:rowOff>27</xdr:rowOff>
    </xdr:to>
    <xdr:pic>
      <xdr:nvPicPr>
        <xdr:cNvPr id="37" name="Graphic 36" descr="Money with solid fill">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210887" y="1250936"/>
          <a:ext cx="909141" cy="924261"/>
        </a:xfrm>
        <a:prstGeom prst="rect">
          <a:avLst/>
        </a:prstGeom>
      </xdr:spPr>
    </xdr:pic>
    <xdr:clientData/>
  </xdr:twoCellAnchor>
  <xdr:twoCellAnchor editAs="oneCell">
    <xdr:from>
      <xdr:col>20</xdr:col>
      <xdr:colOff>29535</xdr:colOff>
      <xdr:row>6</xdr:row>
      <xdr:rowOff>118137</xdr:rowOff>
    </xdr:from>
    <xdr:to>
      <xdr:col>21</xdr:col>
      <xdr:colOff>428255</xdr:colOff>
      <xdr:row>12</xdr:row>
      <xdr:rowOff>59066</xdr:rowOff>
    </xdr:to>
    <xdr:pic>
      <xdr:nvPicPr>
        <xdr:cNvPr id="39" name="Graphic 38" descr="Piggy Bank with solid fill">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138837" y="1181393"/>
          <a:ext cx="1004185" cy="1004185"/>
        </a:xfrm>
        <a:prstGeom prst="rect">
          <a:avLst/>
        </a:prstGeom>
      </xdr:spPr>
    </xdr:pic>
    <xdr:clientData/>
  </xdr:twoCellAnchor>
  <xdr:twoCellAnchor editAs="oneCell">
    <xdr:from>
      <xdr:col>9</xdr:col>
      <xdr:colOff>369186</xdr:colOff>
      <xdr:row>7</xdr:row>
      <xdr:rowOff>59069</xdr:rowOff>
    </xdr:from>
    <xdr:to>
      <xdr:col>10</xdr:col>
      <xdr:colOff>561163</xdr:colOff>
      <xdr:row>11</xdr:row>
      <xdr:rowOff>147674</xdr:rowOff>
    </xdr:to>
    <xdr:pic>
      <xdr:nvPicPr>
        <xdr:cNvPr id="41" name="Graphic 40" descr="Bar graph with upward trend with solid fill">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818372" y="1299534"/>
          <a:ext cx="797442" cy="797442"/>
        </a:xfrm>
        <a:prstGeom prst="rect">
          <a:avLst/>
        </a:prstGeom>
      </xdr:spPr>
    </xdr:pic>
    <xdr:clientData/>
  </xdr:twoCellAnchor>
  <xdr:oneCellAnchor>
    <xdr:from>
      <xdr:col>2</xdr:col>
      <xdr:colOff>298117</xdr:colOff>
      <xdr:row>1</xdr:row>
      <xdr:rowOff>35217</xdr:rowOff>
    </xdr:from>
    <xdr:ext cx="5940760" cy="766470"/>
    <xdr:sp macro="" textlink="">
      <xdr:nvSpPr>
        <xdr:cNvPr id="42" name="Rectangle 41">
          <a:extLst>
            <a:ext uri="{FF2B5EF4-FFF2-40B4-BE49-F238E27FC236}">
              <a16:creationId xmlns:a16="http://schemas.microsoft.com/office/drawing/2014/main" id="{00000000-0008-0000-0000-00002A000000}"/>
            </a:ext>
          </a:extLst>
        </xdr:cNvPr>
        <xdr:cNvSpPr/>
      </xdr:nvSpPr>
      <xdr:spPr>
        <a:xfrm>
          <a:off x="1520492" y="217780"/>
          <a:ext cx="5940760" cy="766470"/>
        </a:xfrm>
        <a:prstGeom prst="rect">
          <a:avLst/>
        </a:prstGeom>
        <a:noFill/>
      </xdr:spPr>
      <xdr:txBody>
        <a:bodyPr wrap="square" lIns="91440" tIns="45720" rIns="91440" bIns="45720">
          <a:spAutoFit/>
        </a:bodyPr>
        <a:lstStyle/>
        <a:p>
          <a:pPr algn="ctr"/>
          <a:r>
            <a:rPr lang="en-US" sz="44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4400" b="1" cap="none" spc="0" baseline="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DASHBOARD</a:t>
          </a:r>
          <a:endParaRPr lang="en-US" sz="44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6</xdr:col>
      <xdr:colOff>12755</xdr:colOff>
      <xdr:row>7</xdr:row>
      <xdr:rowOff>59029</xdr:rowOff>
    </xdr:from>
    <xdr:ext cx="1427058" cy="298800"/>
    <xdr:sp macro="" textlink="">
      <xdr:nvSpPr>
        <xdr:cNvPr id="43" name="Rectangle 42">
          <a:extLst>
            <a:ext uri="{FF2B5EF4-FFF2-40B4-BE49-F238E27FC236}">
              <a16:creationId xmlns:a16="http://schemas.microsoft.com/office/drawing/2014/main" id="{00000000-0008-0000-0000-00002B000000}"/>
            </a:ext>
          </a:extLst>
        </xdr:cNvPr>
        <xdr:cNvSpPr/>
      </xdr:nvSpPr>
      <xdr:spPr>
        <a:xfrm>
          <a:off x="3679880" y="1336967"/>
          <a:ext cx="1427058" cy="298800"/>
        </a:xfrm>
        <a:prstGeom prst="rect">
          <a:avLst/>
        </a:prstGeom>
        <a:noFill/>
      </xdr:spPr>
      <xdr:txBody>
        <a:bodyPr wrap="none" lIns="91440" tIns="45720" rIns="91440" bIns="45720">
          <a:spAutoFit/>
        </a:bodyPr>
        <a:lstStyle/>
        <a:p>
          <a:pPr algn="ctr"/>
          <a:r>
            <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400" b="1" cap="none" spc="0" baseline="0">
              <a:ln w="0"/>
              <a:solidFill>
                <a:schemeClr val="accent4">
                  <a:lumMod val="75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t>
          </a:r>
          <a:r>
            <a:rPr lang="en-US" sz="1400" b="1" cap="none" spc="0" baseline="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endParaRPr lang="en-IN"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12</xdr:col>
      <xdr:colOff>50344</xdr:colOff>
      <xdr:row>7</xdr:row>
      <xdr:rowOff>52680</xdr:rowOff>
    </xdr:from>
    <xdr:ext cx="862930" cy="298800"/>
    <xdr:sp macro="" textlink="">
      <xdr:nvSpPr>
        <xdr:cNvPr id="44" name="Rectangle 43">
          <a:extLst>
            <a:ext uri="{FF2B5EF4-FFF2-40B4-BE49-F238E27FC236}">
              <a16:creationId xmlns:a16="http://schemas.microsoft.com/office/drawing/2014/main" id="{00000000-0008-0000-0000-00002C000000}"/>
            </a:ext>
          </a:extLst>
        </xdr:cNvPr>
        <xdr:cNvSpPr/>
      </xdr:nvSpPr>
      <xdr:spPr>
        <a:xfrm>
          <a:off x="7384594" y="1330618"/>
          <a:ext cx="862930" cy="298800"/>
        </a:xfrm>
        <a:prstGeom prst="rect">
          <a:avLst/>
        </a:prstGeom>
        <a:noFill/>
      </xdr:spPr>
      <xdr:txBody>
        <a:bodyPr wrap="none" lIns="91440" tIns="45720" rIns="91440" bIns="45720">
          <a:spAutoFit/>
        </a:bodyPr>
        <a:lstStyle/>
        <a:p>
          <a:pPr algn="ctr"/>
          <a:r>
            <a:rPr lang="en-IN"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PROFIT</a:t>
          </a:r>
        </a:p>
      </xdr:txBody>
    </xdr:sp>
    <xdr:clientData/>
  </xdr:oneCellAnchor>
  <xdr:oneCellAnchor>
    <xdr:from>
      <xdr:col>17</xdr:col>
      <xdr:colOff>130223</xdr:colOff>
      <xdr:row>7</xdr:row>
      <xdr:rowOff>30455</xdr:rowOff>
    </xdr:from>
    <xdr:ext cx="1087350" cy="298800"/>
    <xdr:sp macro="" textlink="">
      <xdr:nvSpPr>
        <xdr:cNvPr id="45" name="Rectangle 44">
          <a:extLst>
            <a:ext uri="{FF2B5EF4-FFF2-40B4-BE49-F238E27FC236}">
              <a16:creationId xmlns:a16="http://schemas.microsoft.com/office/drawing/2014/main" id="{00000000-0008-0000-0000-00002D000000}"/>
            </a:ext>
          </a:extLst>
        </xdr:cNvPr>
        <xdr:cNvSpPr/>
      </xdr:nvSpPr>
      <xdr:spPr>
        <a:xfrm>
          <a:off x="10520411" y="1308393"/>
          <a:ext cx="1087350" cy="298800"/>
        </a:xfrm>
        <a:prstGeom prst="rect">
          <a:avLst/>
        </a:prstGeom>
        <a:noFill/>
      </xdr:spPr>
      <xdr:txBody>
        <a:bodyPr wrap="none" lIns="91440" tIns="45720" rIns="91440" bIns="45720">
          <a:spAutoFit/>
        </a:bodyPr>
        <a:lstStyle/>
        <a:p>
          <a:pPr algn="ctr"/>
          <a:r>
            <a:rPr lang="en-IN"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PROFIT</a:t>
          </a:r>
          <a:r>
            <a:rPr lang="en-IN" sz="1400" b="1" cap="none" spc="0" baseline="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t>
          </a:r>
          <a:endParaRPr lang="en-IN"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5</xdr:col>
      <xdr:colOff>82193</xdr:colOff>
      <xdr:row>8</xdr:row>
      <xdr:rowOff>132055</xdr:rowOff>
    </xdr:from>
    <xdr:ext cx="2339102" cy="505203"/>
    <xdr:sp macro="" textlink="">
      <xdr:nvSpPr>
        <xdr:cNvPr id="46" name="Rectangle 45">
          <a:extLst>
            <a:ext uri="{FF2B5EF4-FFF2-40B4-BE49-F238E27FC236}">
              <a16:creationId xmlns:a16="http://schemas.microsoft.com/office/drawing/2014/main" id="{00000000-0008-0000-0000-00002E000000}"/>
            </a:ext>
          </a:extLst>
        </xdr:cNvPr>
        <xdr:cNvSpPr/>
      </xdr:nvSpPr>
      <xdr:spPr>
        <a:xfrm>
          <a:off x="3138131" y="1592555"/>
          <a:ext cx="2339102" cy="505203"/>
        </a:xfrm>
        <a:prstGeom prst="rect">
          <a:avLst/>
        </a:prstGeom>
        <a:noFill/>
      </xdr:spPr>
      <xdr:txBody>
        <a:bodyPr wrap="none" lIns="91440" tIns="45720" rIns="91440" bIns="45720">
          <a:spAutoFit/>
        </a:bodyPr>
        <a:lstStyle/>
        <a:p>
          <a:pPr algn="ctr"/>
          <a:r>
            <a:rPr lang="en-IN" sz="2800" b="1" i="0" u="none" strike="noStrike">
              <a:solidFill>
                <a:schemeClr val="bg1"/>
              </a:solidFill>
              <a:effectLst/>
              <a:latin typeface="Times New Roman" panose="02020603050405020304" pitchFamily="18" charset="0"/>
              <a:ea typeface="+mn-ea"/>
              <a:cs typeface="Times New Roman" panose="02020603050405020304" pitchFamily="18" charset="0"/>
            </a:rPr>
            <a:t> ₹ 1,30,491.00 </a:t>
          </a:r>
          <a:endParaRPr lang="en-IN" sz="28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11</xdr:col>
      <xdr:colOff>41888</xdr:colOff>
      <xdr:row>8</xdr:row>
      <xdr:rowOff>133642</xdr:rowOff>
    </xdr:from>
    <xdr:ext cx="2069798" cy="505203"/>
    <xdr:sp macro="" textlink="">
      <xdr:nvSpPr>
        <xdr:cNvPr id="47" name="Rectangle 46">
          <a:extLst>
            <a:ext uri="{FF2B5EF4-FFF2-40B4-BE49-F238E27FC236}">
              <a16:creationId xmlns:a16="http://schemas.microsoft.com/office/drawing/2014/main" id="{00000000-0008-0000-0000-00002F000000}"/>
            </a:ext>
          </a:extLst>
        </xdr:cNvPr>
        <xdr:cNvSpPr/>
      </xdr:nvSpPr>
      <xdr:spPr>
        <a:xfrm>
          <a:off x="6786026" y="1622608"/>
          <a:ext cx="2069798" cy="505203"/>
        </a:xfrm>
        <a:prstGeom prst="rect">
          <a:avLst/>
        </a:prstGeom>
        <a:noFill/>
      </xdr:spPr>
      <xdr:txBody>
        <a:bodyPr wrap="none" lIns="91440" tIns="45720" rIns="91440" bIns="45720">
          <a:spAutoFit/>
        </a:bodyPr>
        <a:lstStyle/>
        <a:p>
          <a:pPr algn="ctr"/>
          <a:r>
            <a:rPr lang="en-IN" sz="2800" b="1" i="0" u="none" strike="noStrike">
              <a:solidFill>
                <a:schemeClr val="bg1"/>
              </a:solidFill>
              <a:effectLst/>
              <a:latin typeface="Times New Roman" panose="02020603050405020304" pitchFamily="18" charset="0"/>
              <a:ea typeface="+mn-ea"/>
              <a:cs typeface="Times New Roman" panose="02020603050405020304" pitchFamily="18" charset="0"/>
            </a:rPr>
            <a:t> ₹30,294.00  </a:t>
          </a:r>
          <a:endParaRPr lang="en-IN" sz="28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17</xdr:col>
      <xdr:colOff>155420</xdr:colOff>
      <xdr:row>8</xdr:row>
      <xdr:rowOff>142328</xdr:rowOff>
    </xdr:from>
    <xdr:ext cx="992579" cy="505203"/>
    <xdr:sp macro="" textlink="">
      <xdr:nvSpPr>
        <xdr:cNvPr id="50" name="Rectangle 49">
          <a:extLst>
            <a:ext uri="{FF2B5EF4-FFF2-40B4-BE49-F238E27FC236}">
              <a16:creationId xmlns:a16="http://schemas.microsoft.com/office/drawing/2014/main" id="{00000000-0008-0000-0000-000032000000}"/>
            </a:ext>
          </a:extLst>
        </xdr:cNvPr>
        <xdr:cNvSpPr/>
      </xdr:nvSpPr>
      <xdr:spPr>
        <a:xfrm>
          <a:off x="10578179" y="1631294"/>
          <a:ext cx="992579" cy="505203"/>
        </a:xfrm>
        <a:prstGeom prst="rect">
          <a:avLst/>
        </a:prstGeom>
        <a:noFill/>
      </xdr:spPr>
      <xdr:txBody>
        <a:bodyPr wrap="none" lIns="91440" tIns="45720" rIns="91440" bIns="45720">
          <a:spAutoFit/>
        </a:bodyPr>
        <a:lstStyle/>
        <a:p>
          <a:pPr algn="ctr"/>
          <a:r>
            <a:rPr lang="en-IN" sz="2800" b="1" i="0" u="none" strike="noStrike">
              <a:solidFill>
                <a:schemeClr val="bg1"/>
              </a:solidFill>
              <a:effectLst/>
              <a:latin typeface="Times New Roman" panose="02020603050405020304" pitchFamily="18" charset="0"/>
              <a:ea typeface="+mn-ea"/>
              <a:cs typeface="Times New Roman" panose="02020603050405020304" pitchFamily="18" charset="0"/>
            </a:rPr>
            <a:t>30.23</a:t>
          </a:r>
          <a:endParaRPr lang="en-IN" sz="28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25</xdr:col>
      <xdr:colOff>497787</xdr:colOff>
      <xdr:row>0</xdr:row>
      <xdr:rowOff>72159</xdr:rowOff>
    </xdr:from>
    <xdr:ext cx="1659878" cy="977191"/>
    <xdr:sp macro="" textlink="">
      <xdr:nvSpPr>
        <xdr:cNvPr id="51" name="Rectangle 50">
          <a:extLst>
            <a:ext uri="{FF2B5EF4-FFF2-40B4-BE49-F238E27FC236}">
              <a16:creationId xmlns:a16="http://schemas.microsoft.com/office/drawing/2014/main" id="{00000000-0008-0000-0000-000033000000}"/>
            </a:ext>
          </a:extLst>
        </xdr:cNvPr>
        <xdr:cNvSpPr/>
      </xdr:nvSpPr>
      <xdr:spPr>
        <a:xfrm>
          <a:off x="15537261" y="72159"/>
          <a:ext cx="1659878" cy="977191"/>
        </a:xfrm>
        <a:prstGeom prst="rect">
          <a:avLst/>
        </a:prstGeom>
        <a:noFill/>
      </xdr:spPr>
      <xdr:txBody>
        <a:bodyPr wrap="none" lIns="91440" tIns="45720" rIns="91440" bIns="45720">
          <a:spAutoFit/>
        </a:bodyPr>
        <a:lstStyle/>
        <a:p>
          <a:pPr algn="ctr"/>
          <a:r>
            <a:rPr lang="en-US" sz="3000" b="1" i="0" u="sng"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RETAIL</a:t>
          </a:r>
          <a:br>
            <a:rPr lang="en-US" sz="3000" b="1" i="0" u="sng"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br>
          <a:r>
            <a:rPr lang="en-US" sz="3000" b="1" i="0" u="sng"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STORE</a:t>
          </a:r>
        </a:p>
      </xdr:txBody>
    </xdr:sp>
    <xdr:clientData/>
  </xdr:oneCellAnchor>
  <xdr:twoCellAnchor editAs="oneCell">
    <xdr:from>
      <xdr:col>0</xdr:col>
      <xdr:colOff>438452</xdr:colOff>
      <xdr:row>39</xdr:row>
      <xdr:rowOff>136071</xdr:rowOff>
    </xdr:from>
    <xdr:to>
      <xdr:col>2</xdr:col>
      <xdr:colOff>498928</xdr:colOff>
      <xdr:row>46</xdr:row>
      <xdr:rowOff>136071</xdr:rowOff>
    </xdr:to>
    <xdr:pic>
      <xdr:nvPicPr>
        <xdr:cNvPr id="53" name="Graphic 52" descr="Store with solid fill">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38452" y="7211785"/>
          <a:ext cx="1270000" cy="1270000"/>
        </a:xfrm>
        <a:prstGeom prst="rect">
          <a:avLst/>
        </a:prstGeom>
      </xdr:spPr>
    </xdr:pic>
    <xdr:clientData/>
  </xdr:twoCellAnchor>
  <xdr:twoCellAnchor>
    <xdr:from>
      <xdr:col>3</xdr:col>
      <xdr:colOff>540427</xdr:colOff>
      <xdr:row>15</xdr:row>
      <xdr:rowOff>118140</xdr:rowOff>
    </xdr:from>
    <xdr:to>
      <xdr:col>15</xdr:col>
      <xdr:colOff>283724</xdr:colOff>
      <xdr:row>27</xdr:row>
      <xdr:rowOff>109035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526586</xdr:colOff>
      <xdr:row>7</xdr:row>
      <xdr:rowOff>170365</xdr:rowOff>
    </xdr:from>
    <xdr:to>
      <xdr:col>2</xdr:col>
      <xdr:colOff>448023</xdr:colOff>
      <xdr:row>13</xdr:row>
      <xdr:rowOff>64730</xdr:rowOff>
    </xdr:to>
    <mc:AlternateContent xmlns:mc="http://schemas.openxmlformats.org/markup-compatibility/2006" xmlns:a14="http://schemas.microsoft.com/office/drawing/2010/main">
      <mc:Choice Requires="a14">
        <xdr:graphicFrame macro="">
          <xdr:nvGraphicFramePr>
            <xdr:cNvPr id="5" name="Quarters (Dat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526586" y="1463456"/>
              <a:ext cx="1145255" cy="1002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579762</xdr:colOff>
      <xdr:row>7</xdr:row>
      <xdr:rowOff>145314</xdr:rowOff>
    </xdr:from>
    <xdr:ext cx="2570447" cy="446212"/>
    <xdr:sp macro="" textlink="">
      <xdr:nvSpPr>
        <xdr:cNvPr id="6" name="Rectangle 5">
          <a:extLst>
            <a:ext uri="{FF2B5EF4-FFF2-40B4-BE49-F238E27FC236}">
              <a16:creationId xmlns:a16="http://schemas.microsoft.com/office/drawing/2014/main" id="{00000000-0008-0000-0000-000006000000}"/>
            </a:ext>
          </a:extLst>
        </xdr:cNvPr>
        <xdr:cNvSpPr/>
      </xdr:nvSpPr>
      <xdr:spPr>
        <a:xfrm>
          <a:off x="14520898" y="1458609"/>
          <a:ext cx="2570447" cy="446212"/>
        </a:xfrm>
        <a:prstGeom prst="rect">
          <a:avLst/>
        </a:prstGeom>
        <a:noFill/>
      </xdr:spPr>
      <xdr:txBody>
        <a:bodyPr wrap="none" lIns="91440" tIns="45720" rIns="91440" bIns="45720">
          <a:spAutoFit/>
        </a:bodyPr>
        <a:lstStyle/>
        <a:p>
          <a:pPr algn="ctr"/>
          <a:r>
            <a:rPr lang="en-US" sz="2400" b="1" i="0"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BEST PRODUCT</a:t>
          </a:r>
        </a:p>
      </xdr:txBody>
    </xdr:sp>
    <xdr:clientData/>
  </xdr:oneCellAnchor>
  <xdr:oneCellAnchor>
    <xdr:from>
      <xdr:col>24</xdr:col>
      <xdr:colOff>111028</xdr:colOff>
      <xdr:row>11</xdr:row>
      <xdr:rowOff>9077</xdr:rowOff>
    </xdr:from>
    <xdr:ext cx="2254079" cy="1390124"/>
    <xdr:sp macro="" textlink="">
      <xdr:nvSpPr>
        <xdr:cNvPr id="7" name="Rectangle 6">
          <a:extLst>
            <a:ext uri="{FF2B5EF4-FFF2-40B4-BE49-F238E27FC236}">
              <a16:creationId xmlns:a16="http://schemas.microsoft.com/office/drawing/2014/main" id="{00000000-0008-0000-0000-000007000000}"/>
            </a:ext>
          </a:extLst>
        </xdr:cNvPr>
        <xdr:cNvSpPr/>
      </xdr:nvSpPr>
      <xdr:spPr>
        <a:xfrm>
          <a:off x="14658301" y="2072827"/>
          <a:ext cx="2254079" cy="1390124"/>
        </a:xfrm>
        <a:prstGeom prst="rect">
          <a:avLst/>
        </a:prstGeom>
        <a:noFill/>
      </xdr:spPr>
      <xdr:txBody>
        <a:bodyPr wrap="none" lIns="91440" tIns="45720" rIns="91440" bIns="45720">
          <a:spAutoFit/>
        </a:bodyPr>
        <a:lstStyle/>
        <a:p>
          <a:pPr algn="ctr"/>
          <a:r>
            <a:rPr lang="en-US" sz="4400" b="1" i="0" u="none"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DRY</a:t>
          </a:r>
          <a:endParaRPr lang="en-US" sz="4400" b="1" i="0" u="none" cap="none" spc="0" baseline="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a:p>
          <a:pPr algn="ctr"/>
          <a:r>
            <a:rPr lang="en-US" sz="4400" b="1" i="0" u="none" cap="none" spc="0" baseline="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FRUITS</a:t>
          </a:r>
          <a:endParaRPr lang="en-US" sz="4400" b="1" i="0" u="none"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24</xdr:col>
      <xdr:colOff>464555</xdr:colOff>
      <xdr:row>17</xdr:row>
      <xdr:rowOff>161477</xdr:rowOff>
    </xdr:from>
    <xdr:ext cx="1613628" cy="741229"/>
    <xdr:sp macro="" textlink="">
      <xdr:nvSpPr>
        <xdr:cNvPr id="8" name="Rectangle 7">
          <a:extLst>
            <a:ext uri="{FF2B5EF4-FFF2-40B4-BE49-F238E27FC236}">
              <a16:creationId xmlns:a16="http://schemas.microsoft.com/office/drawing/2014/main" id="{00000000-0008-0000-0000-000008000000}"/>
            </a:ext>
          </a:extLst>
        </xdr:cNvPr>
        <xdr:cNvSpPr/>
      </xdr:nvSpPr>
      <xdr:spPr>
        <a:xfrm>
          <a:off x="15011828" y="3350909"/>
          <a:ext cx="1613628" cy="741229"/>
        </a:xfrm>
        <a:prstGeom prst="rect">
          <a:avLst/>
        </a:prstGeom>
        <a:noFill/>
      </xdr:spPr>
      <xdr:txBody>
        <a:bodyPr wrap="square" lIns="91440" tIns="45720" rIns="91440" bIns="45720">
          <a:spAutoFit/>
        </a:bodyPr>
        <a:lstStyle/>
        <a:p>
          <a:pPr algn="ctr"/>
          <a:endParaRPr lang="en-US" sz="4400" b="1" i="0"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24</xdr:col>
      <xdr:colOff>66816</xdr:colOff>
      <xdr:row>18</xdr:row>
      <xdr:rowOff>180617</xdr:rowOff>
    </xdr:from>
    <xdr:ext cx="2184547" cy="534762"/>
    <xdr:sp macro="" textlink="">
      <xdr:nvSpPr>
        <xdr:cNvPr id="10" name="Rectangle 9">
          <a:extLst>
            <a:ext uri="{FF2B5EF4-FFF2-40B4-BE49-F238E27FC236}">
              <a16:creationId xmlns:a16="http://schemas.microsoft.com/office/drawing/2014/main" id="{00000000-0008-0000-0000-00000A000000}"/>
            </a:ext>
          </a:extLst>
        </xdr:cNvPr>
        <xdr:cNvSpPr/>
      </xdr:nvSpPr>
      <xdr:spPr>
        <a:xfrm>
          <a:off x="14614089" y="3557662"/>
          <a:ext cx="2184547" cy="534762"/>
        </a:xfrm>
        <a:prstGeom prst="rect">
          <a:avLst/>
        </a:prstGeom>
        <a:noFill/>
      </xdr:spPr>
      <xdr:txBody>
        <a:bodyPr wrap="square" lIns="91440" tIns="45720" rIns="91440" bIns="45720">
          <a:spAutoFit/>
        </a:bodyPr>
        <a:lstStyle/>
        <a:p>
          <a:pPr algn="ctr"/>
          <a:r>
            <a:rPr lang="en-IN" sz="3000" b="1" i="0" u="none" strike="noStrike">
              <a:solidFill>
                <a:schemeClr val="bg1"/>
              </a:solidFill>
              <a:effectLst/>
              <a:latin typeface="Times New Roman" panose="02020603050405020304" pitchFamily="18" charset="0"/>
              <a:ea typeface="+mn-ea"/>
              <a:cs typeface="Times New Roman" panose="02020603050405020304" pitchFamily="18" charset="0"/>
            </a:rPr>
            <a:t> ₹ 28,960.00 </a:t>
          </a:r>
          <a:endParaRPr lang="en-US" sz="30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4</xdr:col>
      <xdr:colOff>265259</xdr:colOff>
      <xdr:row>13</xdr:row>
      <xdr:rowOff>55338</xdr:rowOff>
    </xdr:from>
    <xdr:ext cx="5940760" cy="298800"/>
    <xdr:sp macro="" textlink="">
      <xdr:nvSpPr>
        <xdr:cNvPr id="11" name="Rectangle 10">
          <a:extLst>
            <a:ext uri="{FF2B5EF4-FFF2-40B4-BE49-F238E27FC236}">
              <a16:creationId xmlns:a16="http://schemas.microsoft.com/office/drawing/2014/main" id="{00000000-0008-0000-0000-00000B000000}"/>
            </a:ext>
          </a:extLst>
        </xdr:cNvPr>
        <xdr:cNvSpPr/>
      </xdr:nvSpPr>
      <xdr:spPr>
        <a:xfrm>
          <a:off x="2687119" y="2359059"/>
          <a:ext cx="5940760" cy="298800"/>
        </a:xfrm>
        <a:prstGeom prst="rect">
          <a:avLst/>
        </a:prstGeom>
        <a:noFill/>
      </xdr:spPr>
      <xdr:txBody>
        <a:bodyPr wrap="square" lIns="91440" tIns="45720" rIns="91440" bIns="45720">
          <a:spAutoFit/>
        </a:bodyPr>
        <a:lstStyle/>
        <a:p>
          <a:pPr algn="ctr"/>
          <a:r>
            <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YEARLY SALES</a:t>
          </a:r>
        </a:p>
      </xdr:txBody>
    </xdr:sp>
    <xdr:clientData/>
  </xdr:oneCellAnchor>
  <xdr:oneCellAnchor>
    <xdr:from>
      <xdr:col>4</xdr:col>
      <xdr:colOff>339651</xdr:colOff>
      <xdr:row>30</xdr:row>
      <xdr:rowOff>44303</xdr:rowOff>
    </xdr:from>
    <xdr:ext cx="5940760" cy="298800"/>
    <xdr:sp macro="" textlink="">
      <xdr:nvSpPr>
        <xdr:cNvPr id="12" name="Rectangle 11">
          <a:extLst>
            <a:ext uri="{FF2B5EF4-FFF2-40B4-BE49-F238E27FC236}">
              <a16:creationId xmlns:a16="http://schemas.microsoft.com/office/drawing/2014/main" id="{00000000-0008-0000-0000-00000C000000}"/>
            </a:ext>
          </a:extLst>
        </xdr:cNvPr>
        <xdr:cNvSpPr/>
      </xdr:nvSpPr>
      <xdr:spPr>
        <a:xfrm>
          <a:off x="2761511" y="5360582"/>
          <a:ext cx="5940760" cy="298800"/>
        </a:xfrm>
        <a:prstGeom prst="rect">
          <a:avLst/>
        </a:prstGeom>
        <a:noFill/>
      </xdr:spPr>
      <xdr:txBody>
        <a:bodyPr wrap="square" lIns="91440" tIns="45720" rIns="91440" bIns="45720">
          <a:spAutoFit/>
        </a:bodyPr>
        <a:lstStyle/>
        <a:p>
          <a:pPr algn="ctr"/>
          <a:r>
            <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MONTHLY SALES</a:t>
          </a:r>
        </a:p>
      </xdr:txBody>
    </xdr:sp>
    <xdr:clientData/>
  </xdr:oneCellAnchor>
  <xdr:oneCellAnchor>
    <xdr:from>
      <xdr:col>14</xdr:col>
      <xdr:colOff>211468</xdr:colOff>
      <xdr:row>13</xdr:row>
      <xdr:rowOff>78564</xdr:rowOff>
    </xdr:from>
    <xdr:ext cx="5940760" cy="298800"/>
    <xdr:sp macro="" textlink="">
      <xdr:nvSpPr>
        <xdr:cNvPr id="13" name="Rectangle 12">
          <a:extLst>
            <a:ext uri="{FF2B5EF4-FFF2-40B4-BE49-F238E27FC236}">
              <a16:creationId xmlns:a16="http://schemas.microsoft.com/office/drawing/2014/main" id="{00000000-0008-0000-0000-00000D000000}"/>
            </a:ext>
          </a:extLst>
        </xdr:cNvPr>
        <xdr:cNvSpPr/>
      </xdr:nvSpPr>
      <xdr:spPr>
        <a:xfrm>
          <a:off x="8687980" y="2382285"/>
          <a:ext cx="5940760" cy="298800"/>
        </a:xfrm>
        <a:prstGeom prst="rect">
          <a:avLst/>
        </a:prstGeom>
        <a:noFill/>
      </xdr:spPr>
      <xdr:txBody>
        <a:bodyPr wrap="square" lIns="91440" tIns="45720" rIns="91440" bIns="45720">
          <a:spAutoFit/>
        </a:bodyPr>
        <a:lstStyle/>
        <a:p>
          <a:pPr algn="ctr"/>
          <a:r>
            <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PRODUCT</a:t>
          </a:r>
          <a:r>
            <a:rPr lang="en-US" sz="1400" b="1" cap="none" spc="0" baseline="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CATEGORY</a:t>
          </a:r>
          <a:endPar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14</xdr:col>
      <xdr:colOff>171891</xdr:colOff>
      <xdr:row>30</xdr:row>
      <xdr:rowOff>24220</xdr:rowOff>
    </xdr:from>
    <xdr:ext cx="5940760" cy="298800"/>
    <xdr:sp macro="" textlink="">
      <xdr:nvSpPr>
        <xdr:cNvPr id="14" name="Rectangle 13">
          <a:extLst>
            <a:ext uri="{FF2B5EF4-FFF2-40B4-BE49-F238E27FC236}">
              <a16:creationId xmlns:a16="http://schemas.microsoft.com/office/drawing/2014/main" id="{00000000-0008-0000-0000-00000E000000}"/>
            </a:ext>
          </a:extLst>
        </xdr:cNvPr>
        <xdr:cNvSpPr/>
      </xdr:nvSpPr>
      <xdr:spPr>
        <a:xfrm>
          <a:off x="8648403" y="5340499"/>
          <a:ext cx="5940760" cy="298800"/>
        </a:xfrm>
        <a:prstGeom prst="rect">
          <a:avLst/>
        </a:prstGeom>
        <a:noFill/>
      </xdr:spPr>
      <xdr:txBody>
        <a:bodyPr wrap="square" lIns="91440" tIns="45720" rIns="91440" bIns="45720">
          <a:spAutoFit/>
        </a:bodyPr>
        <a:lstStyle/>
        <a:p>
          <a:pPr algn="ctr"/>
          <a:r>
            <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REGIONWISE SALES</a:t>
          </a:r>
        </a:p>
      </xdr:txBody>
    </xdr:sp>
    <xdr:clientData/>
  </xdr:oneCellAnchor>
  <xdr:oneCellAnchor>
    <xdr:from>
      <xdr:col>21</xdr:col>
      <xdr:colOff>176618</xdr:colOff>
      <xdr:row>26</xdr:row>
      <xdr:rowOff>132317</xdr:rowOff>
    </xdr:from>
    <xdr:ext cx="5940760" cy="298800"/>
    <xdr:sp macro="" textlink="">
      <xdr:nvSpPr>
        <xdr:cNvPr id="15" name="Rectangle 14">
          <a:extLst>
            <a:ext uri="{FF2B5EF4-FFF2-40B4-BE49-F238E27FC236}">
              <a16:creationId xmlns:a16="http://schemas.microsoft.com/office/drawing/2014/main" id="{00000000-0008-0000-0000-00000F000000}"/>
            </a:ext>
          </a:extLst>
        </xdr:cNvPr>
        <xdr:cNvSpPr/>
      </xdr:nvSpPr>
      <xdr:spPr>
        <a:xfrm>
          <a:off x="12891385" y="4739759"/>
          <a:ext cx="5940760" cy="298800"/>
        </a:xfrm>
        <a:prstGeom prst="rect">
          <a:avLst/>
        </a:prstGeom>
        <a:noFill/>
      </xdr:spPr>
      <xdr:txBody>
        <a:bodyPr wrap="square" lIns="91440" tIns="45720" rIns="91440" bIns="45720">
          <a:spAutoFit/>
        </a:bodyPr>
        <a:lstStyle/>
        <a:p>
          <a:pPr algn="ctr"/>
          <a:r>
            <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PAYMENT</a:t>
          </a:r>
          <a:r>
            <a:rPr lang="en-US" sz="1400" b="1" cap="none" spc="0" baseline="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MODE</a:t>
          </a:r>
          <a:endParaRPr lang="en-US" sz="1400" b="1"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215900</xdr:colOff>
          <xdr:row>14</xdr:row>
          <xdr:rowOff>76200</xdr:rowOff>
        </xdr:from>
        <xdr:to>
          <xdr:col>11</xdr:col>
          <xdr:colOff>1136650</xdr:colOff>
          <xdr:row>15</xdr:row>
          <xdr:rowOff>133350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914400</xdr:colOff>
          <xdr:row>14</xdr:row>
          <xdr:rowOff>82550</xdr:rowOff>
        </xdr:from>
        <xdr:to>
          <xdr:col>12</xdr:col>
          <xdr:colOff>304800</xdr:colOff>
          <xdr:row>15</xdr:row>
          <xdr:rowOff>146050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LATHI" refreshedDate="45315.752262268521" createdVersion="8" refreshedVersion="8" minRefreshableVersion="3" recordCount="150" xr:uid="{496E285F-B97C-4E0E-8116-26286F6C073E}">
  <cacheSource type="worksheet">
    <worksheetSource name="Table1"/>
  </cacheSource>
  <cacheFields count="26">
    <cacheField name="Product_ID" numFmtId="0">
      <sharedItems/>
    </cacheField>
    <cacheField name="Product_Category" numFmtId="0">
      <sharedItems count="8">
        <s v="Beverages"/>
        <s v="Snacks &amp; Refreshments"/>
        <s v="Cleaning Supplies"/>
        <s v="Groceries"/>
        <s v="Baby Products"/>
        <s v="Beauty &amp; Personal Care"/>
        <s v="Home &amp; Kitchen "/>
        <s v="Dry Fruits"/>
      </sharedItems>
    </cacheField>
    <cacheField name="Product_Name" numFmtId="0">
      <sharedItems/>
    </cacheField>
    <cacheField name="HSN_N0" numFmtId="0">
      <sharedItems containsSemiMixedTypes="0" containsString="0" containsNumber="1" containsInteger="1" minValue="2202" maxValue="9967"/>
    </cacheField>
    <cacheField name="Cost_Price" numFmtId="0">
      <sharedItems containsSemiMixedTypes="0" containsString="0" containsNumber="1" containsInteger="1" minValue="100" maxValue="993"/>
    </cacheField>
    <cacheField name="GST%" numFmtId="9">
      <sharedItems containsSemiMixedTypes="0" containsString="0" containsNumber="1" minValue="0.05" maxValue="0.18"/>
    </cacheField>
    <cacheField name="GST_AMT" numFmtId="0">
      <sharedItems containsSemiMixedTypes="0" containsString="0" containsNumber="1" minValue="10.850000000000001" maxValue="178.73999999999998"/>
    </cacheField>
    <cacheField name="Total_CP" numFmtId="164">
      <sharedItems containsSemiMixedTypes="0" containsString="0" containsNumber="1" containsInteger="1" minValue="118" maxValue="1172"/>
    </cacheField>
    <cacheField name="Margin%" numFmtId="9">
      <sharedItems containsSemiMixedTypes="0" containsString="0" containsNumber="1" minValue="0.15" maxValue="0.35"/>
    </cacheField>
    <cacheField name="Margin_amt" numFmtId="164">
      <sharedItems containsSemiMixedTypes="0" containsString="0" containsNumber="1" minValue="18.149999999999999" maxValue="399.7"/>
    </cacheField>
    <cacheField name="Gst_on_Margin_amt" numFmtId="164">
      <sharedItems containsSemiMixedTypes="0" containsString="0" containsNumber="1" minValue="2.1779999999999999" maxValue="71.945999999999998"/>
    </cacheField>
    <cacheField name="TotalSelling_Price" numFmtId="164">
      <sharedItems containsSemiMixedTypes="0" containsString="0" containsNumber="1" containsInteger="1" minValue="142" maxValue="1614"/>
    </cacheField>
    <cacheField name="Godown" numFmtId="0">
      <sharedItems/>
    </cacheField>
    <cacheField name="Region" numFmtId="0">
      <sharedItems count="3">
        <s v="South"/>
        <s v="West"/>
        <s v="East"/>
      </sharedItems>
    </cacheField>
    <cacheField name="Sales_Person" numFmtId="0">
      <sharedItems count="6">
        <s v="Nayan"/>
        <s v="Shivansh"/>
        <s v="Sauham"/>
        <s v="Sahaj"/>
        <s v="Sarthak"/>
        <s v="Ayush"/>
      </sharedItems>
    </cacheField>
    <cacheField name="Qty_Purchased" numFmtId="0">
      <sharedItems containsSemiMixedTypes="0" containsString="0" containsNumber="1" containsInteger="1" minValue="100" maxValue="100"/>
    </cacheField>
    <cacheField name="Qty_Sold" numFmtId="0">
      <sharedItems containsSemiMixedTypes="0" containsString="0" containsNumber="1" containsInteger="1" minValue="20" maxValue="50"/>
    </cacheField>
    <cacheField name="Revenue_Invested" numFmtId="164">
      <sharedItems containsSemiMixedTypes="0" containsString="0" containsNumber="1" containsInteger="1" minValue="11800" maxValue="117200"/>
    </cacheField>
    <cacheField name="CP_Qty_Sold" numFmtId="164">
      <sharedItems containsSemiMixedTypes="0" containsString="0" containsNumber="1" containsInteger="1" minValue="2604" maxValue="53280"/>
    </cacheField>
    <cacheField name="SP_Qty_Sold" numFmtId="164">
      <sharedItems containsSemiMixedTypes="0" containsString="0" containsNumber="1" containsInteger="1" minValue="3234" maxValue="75312"/>
    </cacheField>
    <cacheField name="Profit_Loss" numFmtId="164">
      <sharedItems containsSemiMixedTypes="0" containsString="0" containsNumber="1" containsInteger="1" minValue="630" maxValue="22032"/>
    </cacheField>
    <cacheField name="Date" numFmtId="165">
      <sharedItems containsSemiMixedTypes="0" containsNonDate="0" containsDate="1" containsString="0" minDate="2022-01-01T00:00:00" maxDate="2024-01-17T00:00:00" count="270">
        <d v="2022-01-01T00:00:00"/>
        <d v="2022-01-06T00:00:00"/>
        <d v="2022-01-11T00:00:00"/>
        <d v="2022-01-16T00:00:00"/>
        <d v="2022-01-21T00:00:00"/>
        <d v="2022-01-26T00:00:00"/>
        <d v="2022-01-31T00:00:00"/>
        <d v="2022-02-05T00:00:00"/>
        <d v="2022-02-10T00:00:00"/>
        <d v="2022-02-15T00:00:00"/>
        <d v="2022-02-20T00:00:00"/>
        <d v="2022-02-25T00:00:00"/>
        <d v="2022-03-02T00:00:00"/>
        <d v="2022-03-07T00:00:00"/>
        <d v="2022-03-12T00:00:00"/>
        <d v="2022-03-17T00:00:00"/>
        <d v="2022-03-22T00:00:00"/>
        <d v="2022-03-27T00:00:00"/>
        <d v="2022-04-01T00:00:00"/>
        <d v="2022-04-06T00:00:00"/>
        <d v="2022-04-11T00:00:00"/>
        <d v="2022-04-16T00:00:00"/>
        <d v="2022-04-21T00:00:00"/>
        <d v="2022-04-26T00:00:00"/>
        <d v="2022-05-01T00:00:00"/>
        <d v="2022-05-06T00:00:00"/>
        <d v="2022-05-11T00:00:00"/>
        <d v="2022-05-16T00:00:00"/>
        <d v="2022-05-21T00:00:00"/>
        <d v="2022-05-26T00:00:00"/>
        <d v="2022-05-31T00:00:00"/>
        <d v="2022-06-05T00:00:00"/>
        <d v="2022-06-10T00:00:00"/>
        <d v="2022-06-15T00:00:00"/>
        <d v="2022-06-20T00:00:00"/>
        <d v="2022-06-25T00:00:00"/>
        <d v="2022-06-30T00:00:00"/>
        <d v="2022-07-05T00:00:00"/>
        <d v="2022-07-10T00:00:00"/>
        <d v="2022-07-15T00:00:00"/>
        <d v="2022-07-20T00:00:00"/>
        <d v="2022-07-25T00:00:00"/>
        <d v="2022-07-30T00:00:00"/>
        <d v="2022-08-04T00:00:00"/>
        <d v="2022-08-09T00:00:00"/>
        <d v="2022-08-14T00:00:00"/>
        <d v="2022-08-19T00:00:00"/>
        <d v="2022-08-24T00:00:00"/>
        <d v="2022-08-29T00:00:00"/>
        <d v="2022-09-03T00:00:00"/>
        <d v="2022-09-08T00:00:00"/>
        <d v="2022-09-13T00:00:00"/>
        <d v="2022-09-18T00:00:00"/>
        <d v="2022-09-23T00:00:00"/>
        <d v="2022-09-28T00:00:00"/>
        <d v="2022-10-03T00:00:00"/>
        <d v="2022-10-08T00:00:00"/>
        <d v="2022-10-13T00:00:00"/>
        <d v="2022-10-18T00:00:00"/>
        <d v="2022-10-23T00:00:00"/>
        <d v="2022-10-28T00:00:00"/>
        <d v="2022-11-02T00:00:00"/>
        <d v="2022-11-07T00:00:00"/>
        <d v="2022-11-12T00:00:00"/>
        <d v="2022-11-17T00:00:00"/>
        <d v="2022-11-22T00:00:00"/>
        <d v="2022-11-27T00:00:00"/>
        <d v="2022-12-02T00:00:00"/>
        <d v="2022-12-07T00:00:00"/>
        <d v="2022-12-12T00:00:00"/>
        <d v="2022-12-17T00:00:00"/>
        <d v="2022-12-22T00:00:00"/>
        <d v="2022-12-27T00:00:00"/>
        <d v="2023-01-01T00:00:00"/>
        <d v="2023-01-06T00:00:00"/>
        <d v="2023-01-11T00:00:00"/>
        <d v="2023-01-16T00:00:00"/>
        <d v="2023-01-21T00:00:00"/>
        <d v="2023-01-26T00:00:00"/>
        <d v="2023-01-31T00:00:00"/>
        <d v="2023-02-05T00:00:00"/>
        <d v="2023-02-10T00:00:00"/>
        <d v="2023-02-15T00:00:00"/>
        <d v="2023-02-20T00:00:00"/>
        <d v="2023-02-25T00:00:00"/>
        <d v="2023-03-02T00:00:00"/>
        <d v="2023-03-07T00:00:00"/>
        <d v="2023-03-12T00:00:00"/>
        <d v="2023-03-17T00:00:00"/>
        <d v="2023-03-22T00:00:00"/>
        <d v="2023-03-27T00:00:00"/>
        <d v="2023-04-01T00:00:00"/>
        <d v="2023-04-06T00:00:00"/>
        <d v="2023-04-11T00:00:00"/>
        <d v="2023-04-16T00:00:00"/>
        <d v="2023-04-21T00:00:00"/>
        <d v="2023-04-26T00:00:00"/>
        <d v="2023-05-01T00:00:00"/>
        <d v="2023-05-06T00:00:00"/>
        <d v="2023-05-11T00:00:00"/>
        <d v="2023-05-16T00:00:00"/>
        <d v="2023-05-21T00:00:00"/>
        <d v="2023-05-26T00:00:00"/>
        <d v="2023-05-31T00:00:00"/>
        <d v="2023-06-05T00:00:00"/>
        <d v="2023-06-10T00:00:00"/>
        <d v="2023-06-15T00:00:00"/>
        <d v="2023-06-20T00:00:00"/>
        <d v="2023-06-25T00:00:00"/>
        <d v="2023-06-30T00:00:00"/>
        <d v="2023-07-05T00:00:00"/>
        <d v="2023-07-10T00:00:00"/>
        <d v="2023-07-15T00:00:00"/>
        <d v="2023-07-20T00:00:00"/>
        <d v="2023-07-25T00:00:00"/>
        <d v="2023-07-30T00:00:00"/>
        <d v="2023-08-04T00:00:00"/>
        <d v="2023-08-09T00:00:00"/>
        <d v="2023-08-14T00:00:00"/>
        <d v="2023-08-19T00:00:00"/>
        <d v="2023-08-24T00:00:00"/>
        <d v="2023-08-29T00:00:00"/>
        <d v="2023-09-03T00:00:00"/>
        <d v="2023-09-08T00:00:00"/>
        <d v="2023-09-13T00:00:00"/>
        <d v="2023-09-18T00:00:00"/>
        <d v="2023-09-23T00:00:00"/>
        <d v="2023-09-28T00:00:00"/>
        <d v="2023-10-03T00:00:00"/>
        <d v="2023-10-08T00:00:00"/>
        <d v="2023-10-13T00:00:00"/>
        <d v="2023-10-18T00:00:00"/>
        <d v="2023-10-23T00:00:00"/>
        <d v="2023-10-28T00:00:00"/>
        <d v="2023-11-02T00:00:00"/>
        <d v="2023-11-07T00:00:00"/>
        <d v="2023-11-12T00:00:00"/>
        <d v="2023-11-17T00:00:00"/>
        <d v="2023-11-22T00:00:00"/>
        <d v="2023-11-27T00:00:00"/>
        <d v="2023-12-02T00:00:00"/>
        <d v="2023-12-07T00:00:00"/>
        <d v="2023-12-12T00:00:00"/>
        <d v="2023-12-17T00:00:00"/>
        <d v="2023-12-22T00:00:00"/>
        <d v="2023-12-27T00:00:00"/>
        <d v="2024-01-01T00:00:00"/>
        <d v="2024-01-06T00:00:00"/>
        <d v="2024-01-11T00:00:00"/>
        <d v="2024-01-16T00:00:00"/>
        <d v="2023-01-03T00:00:00" u="1"/>
        <d v="2023-01-05T00:00:00" u="1"/>
        <d v="2023-01-07T00:00:00" u="1"/>
        <d v="2023-01-09T00:00:00" u="1"/>
        <d v="2023-01-13T00:00:00" u="1"/>
        <d v="2023-01-15T00:00:00" u="1"/>
        <d v="2023-01-17T00:00:00" u="1"/>
        <d v="2023-01-19T00:00:00" u="1"/>
        <d v="2023-01-23T00:00:00" u="1"/>
        <d v="2023-01-25T00:00:00" u="1"/>
        <d v="2023-01-27T00:00:00" u="1"/>
        <d v="2023-01-29T00:00:00" u="1"/>
        <d v="2023-02-02T00:00:00" u="1"/>
        <d v="2023-02-04T00:00:00" u="1"/>
        <d v="2023-02-06T00:00:00" u="1"/>
        <d v="2023-02-08T00:00:00" u="1"/>
        <d v="2023-02-12T00:00:00" u="1"/>
        <d v="2023-02-14T00:00:00" u="1"/>
        <d v="2023-02-16T00:00:00" u="1"/>
        <d v="2023-02-18T00:00:00" u="1"/>
        <d v="2023-02-22T00:00:00" u="1"/>
        <d v="2023-02-24T00:00:00" u="1"/>
        <d v="2023-02-26T00:00:00" u="1"/>
        <d v="2023-02-28T00:00:00" u="1"/>
        <d v="2023-03-04T00:00:00" u="1"/>
        <d v="2023-03-06T00:00:00" u="1"/>
        <d v="2023-03-08T00:00:00" u="1"/>
        <d v="2023-03-10T00:00:00" u="1"/>
        <d v="2023-03-14T00:00:00" u="1"/>
        <d v="2023-03-16T00:00:00" u="1"/>
        <d v="2023-03-18T00:00:00" u="1"/>
        <d v="2023-03-20T00:00:00" u="1"/>
        <d v="2023-03-24T00:00:00" u="1"/>
        <d v="2023-03-26T00:00:00" u="1"/>
        <d v="2023-03-28T00:00:00" u="1"/>
        <d v="2023-03-30T00:00:00" u="1"/>
        <d v="2023-04-03T00:00:00" u="1"/>
        <d v="2023-04-05T00:00:00" u="1"/>
        <d v="2023-04-07T00:00:00" u="1"/>
        <d v="2023-04-09T00:00:00" u="1"/>
        <d v="2023-04-13T00:00:00" u="1"/>
        <d v="2023-04-15T00:00:00" u="1"/>
        <d v="2023-04-17T00:00:00" u="1"/>
        <d v="2023-04-19T00:00:00" u="1"/>
        <d v="2023-04-23T00:00:00" u="1"/>
        <d v="2023-04-25T00:00:00" u="1"/>
        <d v="2023-04-27T00:00:00" u="1"/>
        <d v="2023-04-29T00:00:00" u="1"/>
        <d v="2023-05-03T00:00:00" u="1"/>
        <d v="2023-05-05T00:00:00" u="1"/>
        <d v="2023-05-07T00:00:00" u="1"/>
        <d v="2023-05-09T00:00:00" u="1"/>
        <d v="2023-05-13T00:00:00" u="1"/>
        <d v="2023-05-15T00:00:00" u="1"/>
        <d v="2023-05-17T00:00:00" u="1"/>
        <d v="2023-05-19T00:00:00" u="1"/>
        <d v="2023-05-23T00:00:00" u="1"/>
        <d v="2023-05-25T00:00:00" u="1"/>
        <d v="2023-05-27T00:00:00" u="1"/>
        <d v="2023-05-29T00:00:00" u="1"/>
        <d v="2023-06-02T00:00:00" u="1"/>
        <d v="2023-06-04T00:00:00" u="1"/>
        <d v="2023-06-06T00:00:00" u="1"/>
        <d v="2023-06-08T00:00:00" u="1"/>
        <d v="2023-06-12T00:00:00" u="1"/>
        <d v="2023-06-14T00:00:00" u="1"/>
        <d v="2023-06-16T00:00:00" u="1"/>
        <d v="2023-06-18T00:00:00" u="1"/>
        <d v="2023-06-22T00:00:00" u="1"/>
        <d v="2023-06-24T00:00:00" u="1"/>
        <d v="2023-06-26T00:00:00" u="1"/>
        <d v="2023-06-28T00:00:00" u="1"/>
        <d v="2023-07-02T00:00:00" u="1"/>
        <d v="2023-07-04T00:00:00" u="1"/>
        <d v="2023-07-06T00:00:00" u="1"/>
        <d v="2023-07-08T00:00:00" u="1"/>
        <d v="2023-07-12T00:00:00" u="1"/>
        <d v="2023-07-14T00:00:00" u="1"/>
        <d v="2023-07-16T00:00:00" u="1"/>
        <d v="2023-07-18T00:00:00" u="1"/>
        <d v="2023-07-22T00:00:00" u="1"/>
        <d v="2023-07-24T00:00:00" u="1"/>
        <d v="2023-07-26T00:00:00" u="1"/>
        <d v="2023-07-28T00:00:00" u="1"/>
        <d v="2023-08-01T00:00:00" u="1"/>
        <d v="2023-08-03T00:00:00" u="1"/>
        <d v="2023-08-05T00:00:00" u="1"/>
        <d v="2023-08-07T00:00:00" u="1"/>
        <d v="2023-08-11T00:00:00" u="1"/>
        <d v="2023-08-13T00:00:00" u="1"/>
        <d v="2023-08-15T00:00:00" u="1"/>
        <d v="2023-08-17T00:00:00" u="1"/>
        <d v="2023-08-21T00:00:00" u="1"/>
        <d v="2023-08-23T00:00:00" u="1"/>
        <d v="2023-08-25T00:00:00" u="1"/>
        <d v="2023-08-27T00:00:00" u="1"/>
        <d v="2023-08-31T00:00:00" u="1"/>
        <d v="2023-09-02T00:00:00" u="1"/>
        <d v="2023-09-04T00:00:00" u="1"/>
        <d v="2023-09-06T00:00:00" u="1"/>
        <d v="2023-09-10T00:00:00" u="1"/>
        <d v="2023-09-12T00:00:00" u="1"/>
        <d v="2023-09-14T00:00:00" u="1"/>
        <d v="2023-09-16T00:00:00" u="1"/>
        <d v="2023-09-20T00:00:00" u="1"/>
        <d v="2023-09-22T00:00:00" u="1"/>
        <d v="2023-09-24T00:00:00" u="1"/>
        <d v="2023-09-26T00:00:00" u="1"/>
        <d v="2023-09-30T00:00:00" u="1"/>
        <d v="2023-10-02T00:00:00" u="1"/>
        <d v="2023-10-04T00:00:00" u="1"/>
        <d v="2023-10-06T00:00:00" u="1"/>
        <d v="2023-10-10T00:00:00" u="1"/>
        <d v="2023-10-12T00:00:00" u="1"/>
        <d v="2023-10-14T00:00:00" u="1"/>
        <d v="2023-10-16T00:00:00" u="1"/>
        <d v="2023-10-20T00:00:00" u="1"/>
        <d v="2023-10-22T00:00:00" u="1"/>
        <d v="2023-10-24T00:00:00" u="1"/>
        <d v="2023-10-26T00:00:00" u="1"/>
      </sharedItems>
      <fieldGroup par="25"/>
    </cacheField>
    <cacheField name="Payment Mode" numFmtId="164">
      <sharedItems count="2">
        <s v="Online"/>
        <s v="Cash"/>
      </sharedItems>
    </cacheField>
    <cacheField name="Months (Date)" numFmtId="0" databaseField="0">
      <fieldGroup base="21">
        <rangePr groupBy="months" startDate="2022-01-01T00:00:00" endDate="2024-01-17T00:00:00"/>
        <groupItems count="14">
          <s v="&lt;01-01-2022"/>
          <s v="Jan"/>
          <s v="Feb"/>
          <s v="Mar"/>
          <s v="Apr"/>
          <s v="May"/>
          <s v="Jun"/>
          <s v="Jul"/>
          <s v="Aug"/>
          <s v="Sep"/>
          <s v="Oct"/>
          <s v="Nov"/>
          <s v="Dec"/>
          <s v="&gt;17-01-2024"/>
        </groupItems>
      </fieldGroup>
    </cacheField>
    <cacheField name="Quarters (Date)" numFmtId="0" databaseField="0">
      <fieldGroup base="21">
        <rangePr groupBy="quarters" startDate="2022-01-01T00:00:00" endDate="2024-01-17T00:00:00"/>
        <groupItems count="6">
          <s v="&lt;01-01-2022"/>
          <s v="Qtr1"/>
          <s v="Qtr2"/>
          <s v="Qtr3"/>
          <s v="Qtr4"/>
          <s v="&gt;17-01-2024"/>
        </groupItems>
      </fieldGroup>
    </cacheField>
    <cacheField name="Years (Date)" numFmtId="0" databaseField="0">
      <fieldGroup base="21">
        <rangePr groupBy="years" startDate="2022-01-01T00:00:00" endDate="2024-01-17T00:00:00"/>
        <groupItems count="5">
          <s v="&lt;01-01-2022"/>
          <s v="2022"/>
          <s v="2023"/>
          <s v="2024"/>
          <s v="&gt;17-01-2024"/>
        </groupItems>
      </fieldGroup>
    </cacheField>
  </cacheFields>
  <extLst>
    <ext xmlns:x14="http://schemas.microsoft.com/office/spreadsheetml/2009/9/main" uri="{725AE2AE-9491-48be-B2B4-4EB974FC3084}">
      <x14:pivotCacheDefinition pivotCacheId="1897690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P0001"/>
    <x v="0"/>
    <s v="Product 001"/>
    <n v="9963"/>
    <n v="700"/>
    <n v="0.18"/>
    <n v="126"/>
    <n v="826"/>
    <n v="0.2"/>
    <n v="165.20000000000002"/>
    <n v="29.736000000000001"/>
    <n v="1021"/>
    <s v="Marine Lines"/>
    <x v="0"/>
    <x v="0"/>
    <n v="100"/>
    <n v="45"/>
    <n v="82600"/>
    <n v="37170"/>
    <n v="45945"/>
    <n v="8775"/>
    <x v="0"/>
    <x v="0"/>
  </r>
  <r>
    <s v="P0002"/>
    <x v="0"/>
    <s v="Product 002"/>
    <n v="9963"/>
    <n v="369"/>
    <n v="0.18"/>
    <n v="66.42"/>
    <n v="436"/>
    <n v="0.2"/>
    <n v="87.2"/>
    <n v="15.696"/>
    <n v="539"/>
    <s v="Bandra"/>
    <x v="1"/>
    <x v="1"/>
    <n v="100"/>
    <n v="30"/>
    <n v="43600"/>
    <n v="13080"/>
    <n v="16170"/>
    <n v="3090"/>
    <x v="1"/>
    <x v="1"/>
  </r>
  <r>
    <s v="P0003"/>
    <x v="0"/>
    <s v="Product 003"/>
    <n v="9963"/>
    <n v="676"/>
    <n v="0.18"/>
    <n v="121.67999999999999"/>
    <n v="798"/>
    <n v="0.2"/>
    <n v="159.60000000000002"/>
    <n v="28.728000000000002"/>
    <n v="987"/>
    <s v="Bhandup"/>
    <x v="2"/>
    <x v="2"/>
    <n v="100"/>
    <n v="29"/>
    <n v="79800"/>
    <n v="23142"/>
    <n v="28623"/>
    <n v="5481"/>
    <x v="2"/>
    <x v="0"/>
  </r>
  <r>
    <s v="P0004"/>
    <x v="0"/>
    <s v="Product 004"/>
    <n v="9963"/>
    <n v="161"/>
    <n v="0.18"/>
    <n v="28.98"/>
    <n v="190"/>
    <n v="0.2"/>
    <n v="38"/>
    <n v="6.84"/>
    <n v="235"/>
    <s v="Bhandup"/>
    <x v="2"/>
    <x v="3"/>
    <n v="100"/>
    <n v="41"/>
    <n v="19000"/>
    <n v="7790"/>
    <n v="9635"/>
    <n v="1845"/>
    <x v="3"/>
    <x v="0"/>
  </r>
  <r>
    <s v="P0005"/>
    <x v="0"/>
    <s v="Product 005"/>
    <n v="9963"/>
    <n v="824"/>
    <n v="0.18"/>
    <n v="148.32"/>
    <n v="973"/>
    <n v="0.2"/>
    <n v="194.60000000000002"/>
    <n v="35.028000000000006"/>
    <n v="1203"/>
    <s v="Bhandup"/>
    <x v="2"/>
    <x v="4"/>
    <n v="100"/>
    <n v="26"/>
    <n v="97300"/>
    <n v="25298"/>
    <n v="31278"/>
    <n v="5980"/>
    <x v="4"/>
    <x v="1"/>
  </r>
  <r>
    <s v="P0006"/>
    <x v="0"/>
    <s v="Product 006"/>
    <n v="9963"/>
    <n v="388"/>
    <n v="0.18"/>
    <n v="69.84"/>
    <n v="458"/>
    <n v="0.2"/>
    <n v="91.600000000000009"/>
    <n v="16.488"/>
    <n v="567"/>
    <s v="Bandra"/>
    <x v="1"/>
    <x v="0"/>
    <n v="100"/>
    <n v="33"/>
    <n v="45800"/>
    <n v="15114"/>
    <n v="18711"/>
    <n v="3597"/>
    <x v="5"/>
    <x v="0"/>
  </r>
  <r>
    <s v="P0007"/>
    <x v="0"/>
    <s v="Product 007"/>
    <n v="9963"/>
    <n v="697"/>
    <n v="0.18"/>
    <n v="125.46"/>
    <n v="823"/>
    <n v="0.2"/>
    <n v="164.60000000000002"/>
    <n v="29.628000000000004"/>
    <n v="1018"/>
    <s v="Bandra"/>
    <x v="1"/>
    <x v="2"/>
    <n v="100"/>
    <n v="37"/>
    <n v="82300"/>
    <n v="30451"/>
    <n v="37666"/>
    <n v="7215"/>
    <x v="6"/>
    <x v="1"/>
  </r>
  <r>
    <s v="P0008"/>
    <x v="0"/>
    <s v="Product 008"/>
    <n v="9963"/>
    <n v="445"/>
    <n v="0.18"/>
    <n v="80.099999999999994"/>
    <n v="526"/>
    <n v="0.2"/>
    <n v="105.2"/>
    <n v="18.936"/>
    <n v="651"/>
    <s v="Bandra"/>
    <x v="1"/>
    <x v="0"/>
    <n v="100"/>
    <n v="38"/>
    <n v="52600"/>
    <n v="19988"/>
    <n v="24738"/>
    <n v="4750"/>
    <x v="7"/>
    <x v="0"/>
  </r>
  <r>
    <s v="P0009"/>
    <x v="0"/>
    <s v="Product 009"/>
    <n v="9963"/>
    <n v="920"/>
    <n v="0.18"/>
    <n v="165.6"/>
    <n v="1086"/>
    <n v="0.2"/>
    <n v="217.20000000000002"/>
    <n v="39.096000000000004"/>
    <n v="1343"/>
    <s v="Bandra"/>
    <x v="1"/>
    <x v="2"/>
    <n v="100"/>
    <n v="26"/>
    <n v="108600"/>
    <n v="28236"/>
    <n v="34918"/>
    <n v="6682"/>
    <x v="8"/>
    <x v="1"/>
  </r>
  <r>
    <s v="P0010"/>
    <x v="0"/>
    <s v="Product 010"/>
    <n v="9963"/>
    <n v="980"/>
    <n v="0.18"/>
    <n v="176.4"/>
    <n v="1157"/>
    <n v="0.2"/>
    <n v="231.4"/>
    <n v="41.652000000000001"/>
    <n v="1431"/>
    <s v="Bhandup"/>
    <x v="2"/>
    <x v="5"/>
    <n v="100"/>
    <n v="41"/>
    <n v="115700"/>
    <n v="47437"/>
    <n v="58671"/>
    <n v="11234"/>
    <x v="9"/>
    <x v="1"/>
  </r>
  <r>
    <s v="P0011"/>
    <x v="0"/>
    <s v="Product 011"/>
    <n v="9963"/>
    <n v="885"/>
    <n v="0.18"/>
    <n v="159.29999999999998"/>
    <n v="1045"/>
    <n v="0.2"/>
    <n v="209"/>
    <n v="37.619999999999997"/>
    <n v="1292"/>
    <s v="Bandra"/>
    <x v="1"/>
    <x v="3"/>
    <n v="100"/>
    <n v="20"/>
    <n v="104500"/>
    <n v="20900"/>
    <n v="25840"/>
    <n v="4940"/>
    <x v="10"/>
    <x v="0"/>
  </r>
  <r>
    <s v="P0012"/>
    <x v="0"/>
    <s v="Product 012"/>
    <n v="9963"/>
    <n v="364"/>
    <n v="0.18"/>
    <n v="65.52"/>
    <n v="430"/>
    <n v="0.2"/>
    <n v="86"/>
    <n v="15.479999999999999"/>
    <n v="532"/>
    <s v="Bandra"/>
    <x v="1"/>
    <x v="3"/>
    <n v="100"/>
    <n v="38"/>
    <n v="43000"/>
    <n v="16340"/>
    <n v="20216"/>
    <n v="3876"/>
    <x v="11"/>
    <x v="0"/>
  </r>
  <r>
    <s v="P0013"/>
    <x v="1"/>
    <s v="Product 013"/>
    <n v="2202"/>
    <n v="729"/>
    <n v="0.18"/>
    <n v="131.22"/>
    <n v="861"/>
    <n v="0.25"/>
    <n v="215.25"/>
    <n v="38.744999999999997"/>
    <n v="1115"/>
    <s v="Marine Lines"/>
    <x v="0"/>
    <x v="1"/>
    <n v="100"/>
    <n v="48"/>
    <n v="86100"/>
    <n v="41328"/>
    <n v="53520"/>
    <n v="12192"/>
    <x v="12"/>
    <x v="1"/>
  </r>
  <r>
    <s v="P0014"/>
    <x v="1"/>
    <s v="Product 014"/>
    <n v="2202"/>
    <n v="678"/>
    <n v="0.18"/>
    <n v="122.03999999999999"/>
    <n v="801"/>
    <n v="0.25"/>
    <n v="200.25"/>
    <n v="36.045000000000002"/>
    <n v="1038"/>
    <s v="Marine Lines"/>
    <x v="0"/>
    <x v="2"/>
    <n v="100"/>
    <n v="30"/>
    <n v="80100"/>
    <n v="24030"/>
    <n v="31140"/>
    <n v="7110"/>
    <x v="13"/>
    <x v="1"/>
  </r>
  <r>
    <s v="P0015"/>
    <x v="1"/>
    <s v="Product 015"/>
    <n v="2202"/>
    <n v="957"/>
    <n v="0.18"/>
    <n v="172.26"/>
    <n v="1130"/>
    <n v="0.25"/>
    <n v="282.5"/>
    <n v="50.85"/>
    <n v="1464"/>
    <s v="Marine Lines"/>
    <x v="0"/>
    <x v="4"/>
    <n v="100"/>
    <n v="37"/>
    <n v="113000"/>
    <n v="41810"/>
    <n v="54168"/>
    <n v="12358"/>
    <x v="14"/>
    <x v="0"/>
  </r>
  <r>
    <s v="P0016"/>
    <x v="1"/>
    <s v="Product 016"/>
    <n v="2202"/>
    <n v="719"/>
    <n v="0.18"/>
    <n v="129.41999999999999"/>
    <n v="849"/>
    <n v="0.25"/>
    <n v="212.25"/>
    <n v="38.204999999999998"/>
    <n v="1100"/>
    <s v="Bhandup"/>
    <x v="2"/>
    <x v="3"/>
    <n v="100"/>
    <n v="22"/>
    <n v="84900"/>
    <n v="18678"/>
    <n v="24200"/>
    <n v="5522"/>
    <x v="15"/>
    <x v="0"/>
  </r>
  <r>
    <s v="P0017"/>
    <x v="1"/>
    <s v="Product 017"/>
    <n v="2202"/>
    <n v="310"/>
    <n v="0.18"/>
    <n v="55.8"/>
    <n v="366"/>
    <n v="0.25"/>
    <n v="91.5"/>
    <n v="16.47"/>
    <n v="474"/>
    <s v="Bhandup"/>
    <x v="2"/>
    <x v="3"/>
    <n v="100"/>
    <n v="30"/>
    <n v="36600"/>
    <n v="10980"/>
    <n v="14220"/>
    <n v="3240"/>
    <x v="16"/>
    <x v="0"/>
  </r>
  <r>
    <s v="P0018"/>
    <x v="1"/>
    <s v="Product 018"/>
    <n v="2202"/>
    <n v="744"/>
    <n v="0.18"/>
    <n v="133.91999999999999"/>
    <n v="878"/>
    <n v="0.25"/>
    <n v="219.5"/>
    <n v="39.51"/>
    <n v="1138"/>
    <s v="Bandra"/>
    <x v="1"/>
    <x v="2"/>
    <n v="100"/>
    <n v="49"/>
    <n v="87800"/>
    <n v="43022"/>
    <n v="55762"/>
    <n v="12740"/>
    <x v="17"/>
    <x v="1"/>
  </r>
  <r>
    <s v="P0019"/>
    <x v="1"/>
    <s v="Product 019"/>
    <n v="2202"/>
    <n v="509"/>
    <n v="0.18"/>
    <n v="91.61999999999999"/>
    <n v="601"/>
    <n v="0.25"/>
    <n v="150.25"/>
    <n v="27.044999999999998"/>
    <n v="779"/>
    <s v="Marine Lines"/>
    <x v="0"/>
    <x v="5"/>
    <n v="100"/>
    <n v="36"/>
    <n v="60100"/>
    <n v="21636"/>
    <n v="28044"/>
    <n v="6408"/>
    <x v="18"/>
    <x v="1"/>
  </r>
  <r>
    <s v="P0020"/>
    <x v="1"/>
    <s v="Product 020"/>
    <n v="2202"/>
    <n v="789"/>
    <n v="0.18"/>
    <n v="142.01999999999998"/>
    <n v="932"/>
    <n v="0.25"/>
    <n v="233"/>
    <n v="41.94"/>
    <n v="1207"/>
    <s v="Marine Lines"/>
    <x v="0"/>
    <x v="5"/>
    <n v="100"/>
    <n v="37"/>
    <n v="93200"/>
    <n v="34484"/>
    <n v="44659"/>
    <n v="10175"/>
    <x v="19"/>
    <x v="0"/>
  </r>
  <r>
    <s v="P0021"/>
    <x v="1"/>
    <s v="Product 021"/>
    <n v="2202"/>
    <n v="594"/>
    <n v="0.18"/>
    <n v="106.92"/>
    <n v="701"/>
    <n v="0.25"/>
    <n v="175.25"/>
    <n v="31.544999999999998"/>
    <n v="908"/>
    <s v="Marine Lines"/>
    <x v="0"/>
    <x v="4"/>
    <n v="100"/>
    <n v="50"/>
    <n v="70100"/>
    <n v="35050"/>
    <n v="45400"/>
    <n v="10350"/>
    <x v="20"/>
    <x v="0"/>
  </r>
  <r>
    <s v="P0022"/>
    <x v="1"/>
    <s v="Product 022"/>
    <n v="2202"/>
    <n v="988"/>
    <n v="0.18"/>
    <n v="177.84"/>
    <n v="1166"/>
    <n v="0.25"/>
    <n v="291.5"/>
    <n v="52.47"/>
    <n v="1510"/>
    <s v="Bandra"/>
    <x v="1"/>
    <x v="2"/>
    <n v="100"/>
    <n v="29"/>
    <n v="116600"/>
    <n v="33814"/>
    <n v="43790"/>
    <n v="9976"/>
    <x v="21"/>
    <x v="1"/>
  </r>
  <r>
    <s v="P0023"/>
    <x v="1"/>
    <s v="Product 023"/>
    <n v="2202"/>
    <n v="781"/>
    <n v="0.18"/>
    <n v="140.57999999999998"/>
    <n v="922"/>
    <n v="0.25"/>
    <n v="230.5"/>
    <n v="41.49"/>
    <n v="1194"/>
    <s v="Bandra"/>
    <x v="1"/>
    <x v="2"/>
    <n v="100"/>
    <n v="23"/>
    <n v="92200"/>
    <n v="21206"/>
    <n v="27462"/>
    <n v="6256"/>
    <x v="22"/>
    <x v="0"/>
  </r>
  <r>
    <s v="P0024"/>
    <x v="1"/>
    <s v="Product 024"/>
    <n v="2202"/>
    <n v="933"/>
    <n v="0.18"/>
    <n v="167.94"/>
    <n v="1101"/>
    <n v="0.25"/>
    <n v="275.25"/>
    <n v="49.545000000000002"/>
    <n v="1426"/>
    <s v="Bhandup"/>
    <x v="2"/>
    <x v="1"/>
    <n v="100"/>
    <n v="28"/>
    <n v="110100"/>
    <n v="30828"/>
    <n v="39928"/>
    <n v="9100"/>
    <x v="23"/>
    <x v="0"/>
  </r>
  <r>
    <s v="P0025"/>
    <x v="1"/>
    <s v="Product 025"/>
    <n v="2202"/>
    <n v="405"/>
    <n v="0.18"/>
    <n v="72.899999999999991"/>
    <n v="478"/>
    <n v="0.25"/>
    <n v="119.5"/>
    <n v="21.509999999999998"/>
    <n v="620"/>
    <s v="Bandra"/>
    <x v="1"/>
    <x v="2"/>
    <n v="100"/>
    <n v="49"/>
    <n v="47800"/>
    <n v="23422"/>
    <n v="30380"/>
    <n v="6958"/>
    <x v="24"/>
    <x v="1"/>
  </r>
  <r>
    <s v="P0026"/>
    <x v="1"/>
    <s v="Product 026"/>
    <n v="2202"/>
    <n v="331"/>
    <n v="0.18"/>
    <n v="59.58"/>
    <n v="391"/>
    <n v="0.25"/>
    <n v="97.75"/>
    <n v="17.594999999999999"/>
    <n v="507"/>
    <s v="Bandra"/>
    <x v="1"/>
    <x v="4"/>
    <n v="100"/>
    <n v="50"/>
    <n v="39100"/>
    <n v="19550"/>
    <n v="25350"/>
    <n v="5800"/>
    <x v="25"/>
    <x v="0"/>
  </r>
  <r>
    <s v="P0027"/>
    <x v="1"/>
    <s v="Product 027"/>
    <n v="2202"/>
    <n v="923"/>
    <n v="0.18"/>
    <n v="166.14"/>
    <n v="1090"/>
    <n v="0.25"/>
    <n v="272.5"/>
    <n v="49.05"/>
    <n v="1412"/>
    <s v="Marine Lines"/>
    <x v="0"/>
    <x v="2"/>
    <n v="100"/>
    <n v="45"/>
    <n v="109000"/>
    <n v="49050"/>
    <n v="63540"/>
    <n v="14490"/>
    <x v="26"/>
    <x v="0"/>
  </r>
  <r>
    <s v="P0028"/>
    <x v="2"/>
    <s v="Product 028"/>
    <n v="9967"/>
    <n v="571"/>
    <n v="0.12"/>
    <n v="68.52"/>
    <n v="640"/>
    <n v="0.15"/>
    <n v="96"/>
    <n v="11.52"/>
    <n v="748"/>
    <s v="Bhandup"/>
    <x v="2"/>
    <x v="3"/>
    <n v="100"/>
    <n v="25"/>
    <n v="64000"/>
    <n v="16000"/>
    <n v="18700"/>
    <n v="2700"/>
    <x v="27"/>
    <x v="0"/>
  </r>
  <r>
    <s v="P0029"/>
    <x v="2"/>
    <s v="Product 029"/>
    <n v="9967"/>
    <n v="440"/>
    <n v="0.12"/>
    <n v="52.8"/>
    <n v="493"/>
    <n v="0.15"/>
    <n v="73.95"/>
    <n v="8.8740000000000006"/>
    <n v="576"/>
    <s v="Bandra"/>
    <x v="1"/>
    <x v="0"/>
    <n v="100"/>
    <n v="30"/>
    <n v="49300"/>
    <n v="14790"/>
    <n v="17280"/>
    <n v="2490"/>
    <x v="28"/>
    <x v="0"/>
  </r>
  <r>
    <s v="P0030"/>
    <x v="2"/>
    <s v="Product 030"/>
    <n v="9967"/>
    <n v="296"/>
    <n v="0.12"/>
    <n v="35.519999999999996"/>
    <n v="332"/>
    <n v="0.15"/>
    <n v="49.8"/>
    <n v="5.9759999999999991"/>
    <n v="388"/>
    <s v="Bhandup"/>
    <x v="2"/>
    <x v="1"/>
    <n v="100"/>
    <n v="25"/>
    <n v="33200"/>
    <n v="8300"/>
    <n v="9700"/>
    <n v="1400"/>
    <x v="29"/>
    <x v="1"/>
  </r>
  <r>
    <s v="P0031"/>
    <x v="2"/>
    <s v="Product 031"/>
    <n v="9967"/>
    <n v="484"/>
    <n v="0.12"/>
    <n v="58.08"/>
    <n v="543"/>
    <n v="0.15"/>
    <n v="81.45"/>
    <n v="9.7739999999999991"/>
    <n v="635"/>
    <s v="Marine Lines"/>
    <x v="0"/>
    <x v="1"/>
    <n v="100"/>
    <n v="21"/>
    <n v="54300"/>
    <n v="11403"/>
    <n v="13335"/>
    <n v="1932"/>
    <x v="30"/>
    <x v="0"/>
  </r>
  <r>
    <s v="P0032"/>
    <x v="2"/>
    <s v="Product 032"/>
    <n v="9967"/>
    <n v="832"/>
    <n v="0.12"/>
    <n v="99.84"/>
    <n v="932"/>
    <n v="0.15"/>
    <n v="139.79999999999998"/>
    <n v="16.775999999999996"/>
    <n v="1089"/>
    <s v="Bhandup"/>
    <x v="2"/>
    <x v="3"/>
    <n v="100"/>
    <n v="22"/>
    <n v="93200"/>
    <n v="20504"/>
    <n v="23958"/>
    <n v="3454"/>
    <x v="31"/>
    <x v="1"/>
  </r>
  <r>
    <s v="P0033"/>
    <x v="2"/>
    <s v="Product 033"/>
    <n v="9967"/>
    <n v="108"/>
    <n v="0.12"/>
    <n v="12.959999999999999"/>
    <n v="121"/>
    <n v="0.15"/>
    <n v="18.149999999999999"/>
    <n v="2.1779999999999999"/>
    <n v="142"/>
    <s v="Marine Lines"/>
    <x v="0"/>
    <x v="1"/>
    <n v="100"/>
    <n v="32"/>
    <n v="12100"/>
    <n v="3872"/>
    <n v="4544"/>
    <n v="672"/>
    <x v="32"/>
    <x v="0"/>
  </r>
  <r>
    <s v="P0034"/>
    <x v="2"/>
    <s v="Product 034"/>
    <n v="9967"/>
    <n v="890"/>
    <n v="0.12"/>
    <n v="106.8"/>
    <n v="997"/>
    <n v="0.15"/>
    <n v="149.54999999999998"/>
    <n v="17.945999999999998"/>
    <n v="1165"/>
    <s v="Marine Lines"/>
    <x v="0"/>
    <x v="5"/>
    <n v="100"/>
    <n v="20"/>
    <n v="99700"/>
    <n v="19940"/>
    <n v="23300"/>
    <n v="3360"/>
    <x v="33"/>
    <x v="1"/>
  </r>
  <r>
    <s v="P0035"/>
    <x v="2"/>
    <s v="Product 035"/>
    <n v="9967"/>
    <n v="742"/>
    <n v="0.12"/>
    <n v="89.039999999999992"/>
    <n v="832"/>
    <n v="0.15"/>
    <n v="124.8"/>
    <n v="14.975999999999999"/>
    <n v="972"/>
    <s v="Marine Lines"/>
    <x v="0"/>
    <x v="5"/>
    <n v="100"/>
    <n v="45"/>
    <n v="83200"/>
    <n v="37440"/>
    <n v="43740"/>
    <n v="6300"/>
    <x v="34"/>
    <x v="1"/>
  </r>
  <r>
    <s v="P0036"/>
    <x v="2"/>
    <s v="Product 036"/>
    <n v="9967"/>
    <n v="636"/>
    <n v="0.12"/>
    <n v="76.319999999999993"/>
    <n v="713"/>
    <n v="0.15"/>
    <n v="106.95"/>
    <n v="12.834"/>
    <n v="833"/>
    <s v="Bhandup"/>
    <x v="2"/>
    <x v="4"/>
    <n v="100"/>
    <n v="25"/>
    <n v="71300"/>
    <n v="17825"/>
    <n v="20825"/>
    <n v="3000"/>
    <x v="35"/>
    <x v="1"/>
  </r>
  <r>
    <s v="P0037"/>
    <x v="2"/>
    <s v="Product 037"/>
    <n v="9967"/>
    <n v="561"/>
    <n v="0.12"/>
    <n v="67.319999999999993"/>
    <n v="629"/>
    <n v="0.15"/>
    <n v="94.35"/>
    <n v="11.321999999999999"/>
    <n v="735"/>
    <s v="Marine Lines"/>
    <x v="0"/>
    <x v="5"/>
    <n v="100"/>
    <n v="33"/>
    <n v="62900"/>
    <n v="20757"/>
    <n v="24255"/>
    <n v="3498"/>
    <x v="36"/>
    <x v="1"/>
  </r>
  <r>
    <s v="P0038"/>
    <x v="2"/>
    <s v="Product 038"/>
    <n v="9967"/>
    <n v="395"/>
    <n v="0.12"/>
    <n v="47.4"/>
    <n v="443"/>
    <n v="0.15"/>
    <n v="66.45"/>
    <n v="7.9740000000000002"/>
    <n v="518"/>
    <s v="Bhandup"/>
    <x v="2"/>
    <x v="3"/>
    <n v="100"/>
    <n v="37"/>
    <n v="44300"/>
    <n v="16391"/>
    <n v="19166"/>
    <n v="2775"/>
    <x v="37"/>
    <x v="1"/>
  </r>
  <r>
    <s v="P0039"/>
    <x v="2"/>
    <s v="Product 039"/>
    <n v="9967"/>
    <n v="991"/>
    <n v="0.12"/>
    <n v="118.92"/>
    <n v="1110"/>
    <n v="0.15"/>
    <n v="166.5"/>
    <n v="19.98"/>
    <n v="1297"/>
    <s v="Bandra"/>
    <x v="1"/>
    <x v="2"/>
    <n v="100"/>
    <n v="32"/>
    <n v="111000"/>
    <n v="35520"/>
    <n v="41504"/>
    <n v="5984"/>
    <x v="38"/>
    <x v="1"/>
  </r>
  <r>
    <s v="P0040"/>
    <x v="2"/>
    <s v="Product 040"/>
    <n v="9967"/>
    <n v="904"/>
    <n v="0.12"/>
    <n v="108.47999999999999"/>
    <n v="1013"/>
    <n v="0.15"/>
    <n v="151.94999999999999"/>
    <n v="18.233999999999998"/>
    <n v="1184"/>
    <s v="Marine Lines"/>
    <x v="0"/>
    <x v="4"/>
    <n v="100"/>
    <n v="42"/>
    <n v="101300"/>
    <n v="42546"/>
    <n v="49728"/>
    <n v="7182"/>
    <x v="39"/>
    <x v="1"/>
  </r>
  <r>
    <s v="P0041"/>
    <x v="2"/>
    <s v="Product 041"/>
    <n v="9967"/>
    <n v="463"/>
    <n v="0.12"/>
    <n v="55.559999999999995"/>
    <n v="519"/>
    <n v="0.15"/>
    <n v="77.849999999999994"/>
    <n v="9.3419999999999987"/>
    <n v="607"/>
    <s v="Marine Lines"/>
    <x v="0"/>
    <x v="5"/>
    <n v="100"/>
    <n v="25"/>
    <n v="51900"/>
    <n v="12975"/>
    <n v="15175"/>
    <n v="2200"/>
    <x v="40"/>
    <x v="0"/>
  </r>
  <r>
    <s v="P0042"/>
    <x v="2"/>
    <s v="Product 042"/>
    <n v="9967"/>
    <n v="359"/>
    <n v="0.12"/>
    <n v="43.08"/>
    <n v="403"/>
    <n v="0.15"/>
    <n v="60.449999999999996"/>
    <n v="7.2539999999999996"/>
    <n v="471"/>
    <s v="Bandra"/>
    <x v="1"/>
    <x v="0"/>
    <n v="100"/>
    <n v="48"/>
    <n v="40300"/>
    <n v="19344"/>
    <n v="22608"/>
    <n v="3264"/>
    <x v="41"/>
    <x v="0"/>
  </r>
  <r>
    <s v="P0043"/>
    <x v="2"/>
    <s v="Product 043"/>
    <n v="9967"/>
    <n v="815"/>
    <n v="0.12"/>
    <n v="97.8"/>
    <n v="913"/>
    <n v="0.15"/>
    <n v="136.94999999999999"/>
    <n v="16.433999999999997"/>
    <n v="1067"/>
    <s v="Bhandup"/>
    <x v="2"/>
    <x v="3"/>
    <n v="100"/>
    <n v="29"/>
    <n v="91300"/>
    <n v="26477"/>
    <n v="30943"/>
    <n v="4466"/>
    <x v="42"/>
    <x v="1"/>
  </r>
  <r>
    <s v="P0044"/>
    <x v="2"/>
    <s v="Product 044"/>
    <n v="9967"/>
    <n v="837"/>
    <n v="0.12"/>
    <n v="100.44"/>
    <n v="938"/>
    <n v="0.15"/>
    <n v="140.69999999999999"/>
    <n v="16.883999999999997"/>
    <n v="1096"/>
    <s v="Marine Lines"/>
    <x v="0"/>
    <x v="0"/>
    <n v="100"/>
    <n v="26"/>
    <n v="93800"/>
    <n v="24388"/>
    <n v="28496"/>
    <n v="4108"/>
    <x v="43"/>
    <x v="0"/>
  </r>
  <r>
    <s v="P0045"/>
    <x v="2"/>
    <s v="Product 045"/>
    <n v="9967"/>
    <n v="354"/>
    <n v="0.12"/>
    <n v="42.48"/>
    <n v="397"/>
    <n v="0.15"/>
    <n v="59.55"/>
    <n v="7.145999999999999"/>
    <n v="464"/>
    <s v="Marine Lines"/>
    <x v="0"/>
    <x v="5"/>
    <n v="100"/>
    <n v="22"/>
    <n v="39700"/>
    <n v="8734"/>
    <n v="10208"/>
    <n v="1474"/>
    <x v="44"/>
    <x v="0"/>
  </r>
  <r>
    <s v="P0046"/>
    <x v="3"/>
    <s v="Product 046"/>
    <n v="2552"/>
    <n v="812"/>
    <n v="0.05"/>
    <n v="40.6"/>
    <n v="853"/>
    <n v="0.25"/>
    <n v="213.25"/>
    <n v="10.662500000000001"/>
    <n v="1077"/>
    <s v="Bhandup"/>
    <x v="2"/>
    <x v="0"/>
    <n v="100"/>
    <n v="25"/>
    <n v="85300"/>
    <n v="21325"/>
    <n v="26925"/>
    <n v="5600"/>
    <x v="45"/>
    <x v="0"/>
  </r>
  <r>
    <s v="P0047"/>
    <x v="3"/>
    <s v="Product 047"/>
    <n v="2552"/>
    <n v="978"/>
    <n v="0.05"/>
    <n v="48.900000000000006"/>
    <n v="1027"/>
    <n v="0.25"/>
    <n v="256.75"/>
    <n v="12.8375"/>
    <n v="1297"/>
    <s v="Marine Lines"/>
    <x v="0"/>
    <x v="5"/>
    <n v="100"/>
    <n v="35"/>
    <n v="102700"/>
    <n v="35945"/>
    <n v="45395"/>
    <n v="9450"/>
    <x v="46"/>
    <x v="0"/>
  </r>
  <r>
    <s v="P0048"/>
    <x v="3"/>
    <s v="Product 048"/>
    <n v="2552"/>
    <n v="473"/>
    <n v="0.05"/>
    <n v="23.650000000000002"/>
    <n v="497"/>
    <n v="0.25"/>
    <n v="124.25"/>
    <n v="6.2125000000000004"/>
    <n v="628"/>
    <s v="Bandra"/>
    <x v="1"/>
    <x v="0"/>
    <n v="100"/>
    <n v="44"/>
    <n v="49700"/>
    <n v="21868"/>
    <n v="27632"/>
    <n v="5764"/>
    <x v="47"/>
    <x v="0"/>
  </r>
  <r>
    <s v="P0049"/>
    <x v="3"/>
    <s v="Product 049"/>
    <n v="2552"/>
    <n v="257"/>
    <n v="0.05"/>
    <n v="12.850000000000001"/>
    <n v="270"/>
    <n v="0.25"/>
    <n v="67.5"/>
    <n v="3.375"/>
    <n v="341"/>
    <s v="Bhandup"/>
    <x v="2"/>
    <x v="1"/>
    <n v="100"/>
    <n v="25"/>
    <n v="27000"/>
    <n v="6750"/>
    <n v="8525"/>
    <n v="1775"/>
    <x v="48"/>
    <x v="1"/>
  </r>
  <r>
    <s v="P0050"/>
    <x v="3"/>
    <s v="Product 050"/>
    <n v="2552"/>
    <n v="842"/>
    <n v="0.05"/>
    <n v="42.1"/>
    <n v="885"/>
    <n v="0.25"/>
    <n v="221.25"/>
    <n v="11.0625"/>
    <n v="1118"/>
    <s v="Bandra"/>
    <x v="1"/>
    <x v="3"/>
    <n v="100"/>
    <n v="37"/>
    <n v="88500"/>
    <n v="32745"/>
    <n v="41366"/>
    <n v="8621"/>
    <x v="49"/>
    <x v="0"/>
  </r>
  <r>
    <s v="P0051"/>
    <x v="3"/>
    <s v="Product 051"/>
    <n v="2552"/>
    <n v="336"/>
    <n v="0.05"/>
    <n v="16.8"/>
    <n v="353"/>
    <n v="0.25"/>
    <n v="88.25"/>
    <n v="4.4125000000000005"/>
    <n v="446"/>
    <s v="Bandra"/>
    <x v="1"/>
    <x v="2"/>
    <n v="100"/>
    <n v="31"/>
    <n v="35300"/>
    <n v="10943"/>
    <n v="13826"/>
    <n v="2883"/>
    <x v="50"/>
    <x v="0"/>
  </r>
  <r>
    <s v="P0052"/>
    <x v="3"/>
    <s v="Product 052"/>
    <n v="2552"/>
    <n v="342"/>
    <n v="0.05"/>
    <n v="17.100000000000001"/>
    <n v="360"/>
    <n v="0.25"/>
    <n v="90"/>
    <n v="4.5"/>
    <n v="455"/>
    <s v="Marine Lines"/>
    <x v="0"/>
    <x v="1"/>
    <n v="100"/>
    <n v="41"/>
    <n v="36000"/>
    <n v="14760"/>
    <n v="18655"/>
    <n v="3895"/>
    <x v="51"/>
    <x v="1"/>
  </r>
  <r>
    <s v="P0053"/>
    <x v="3"/>
    <s v="Product 053"/>
    <n v="2552"/>
    <n v="639"/>
    <n v="0.05"/>
    <n v="31.950000000000003"/>
    <n v="671"/>
    <n v="0.25"/>
    <n v="167.75"/>
    <n v="8.3875000000000011"/>
    <n v="848"/>
    <s v="Bandra"/>
    <x v="1"/>
    <x v="2"/>
    <n v="100"/>
    <n v="22"/>
    <n v="67100"/>
    <n v="14762"/>
    <n v="18656"/>
    <n v="3894"/>
    <x v="52"/>
    <x v="1"/>
  </r>
  <r>
    <s v="P0054"/>
    <x v="3"/>
    <s v="Product 054"/>
    <n v="2552"/>
    <n v="680"/>
    <n v="0.05"/>
    <n v="34"/>
    <n v="714"/>
    <n v="0.25"/>
    <n v="178.5"/>
    <n v="8.9250000000000007"/>
    <n v="902"/>
    <s v="Marine Lines"/>
    <x v="0"/>
    <x v="2"/>
    <n v="100"/>
    <n v="26"/>
    <n v="71400"/>
    <n v="18564"/>
    <n v="23452"/>
    <n v="4888"/>
    <x v="53"/>
    <x v="1"/>
  </r>
  <r>
    <s v="P0055"/>
    <x v="3"/>
    <s v="Product 055"/>
    <n v="2552"/>
    <n v="834"/>
    <n v="0.05"/>
    <n v="41.7"/>
    <n v="876"/>
    <n v="0.25"/>
    <n v="219"/>
    <n v="10.950000000000001"/>
    <n v="1106"/>
    <s v="Bandra"/>
    <x v="1"/>
    <x v="0"/>
    <n v="100"/>
    <n v="35"/>
    <n v="87600"/>
    <n v="30660"/>
    <n v="38710"/>
    <n v="8050"/>
    <x v="54"/>
    <x v="0"/>
  </r>
  <r>
    <s v="P0056"/>
    <x v="3"/>
    <s v="Product 056"/>
    <n v="2552"/>
    <n v="421"/>
    <n v="0.05"/>
    <n v="21.05"/>
    <n v="443"/>
    <n v="0.25"/>
    <n v="110.75"/>
    <n v="5.5375000000000005"/>
    <n v="560"/>
    <s v="Bhandup"/>
    <x v="2"/>
    <x v="3"/>
    <n v="100"/>
    <n v="22"/>
    <n v="44300"/>
    <n v="9746"/>
    <n v="12320"/>
    <n v="2574"/>
    <x v="55"/>
    <x v="1"/>
  </r>
  <r>
    <s v="P0057"/>
    <x v="3"/>
    <s v="Product 057"/>
    <n v="2552"/>
    <n v="588"/>
    <n v="0.05"/>
    <n v="29.400000000000002"/>
    <n v="618"/>
    <n v="0.25"/>
    <n v="154.5"/>
    <n v="7.7250000000000005"/>
    <n v="781"/>
    <s v="Bhandup"/>
    <x v="2"/>
    <x v="3"/>
    <n v="100"/>
    <n v="46"/>
    <n v="61800"/>
    <n v="28428"/>
    <n v="35926"/>
    <n v="7498"/>
    <x v="56"/>
    <x v="1"/>
  </r>
  <r>
    <s v="P0058"/>
    <x v="3"/>
    <s v="Product 058"/>
    <n v="2552"/>
    <n v="621"/>
    <n v="0.05"/>
    <n v="31.05"/>
    <n v="653"/>
    <n v="0.25"/>
    <n v="163.25"/>
    <n v="8.1624999999999996"/>
    <n v="825"/>
    <s v="Bhandup"/>
    <x v="2"/>
    <x v="5"/>
    <n v="100"/>
    <n v="36"/>
    <n v="65300"/>
    <n v="23508"/>
    <n v="29700"/>
    <n v="6192"/>
    <x v="57"/>
    <x v="1"/>
  </r>
  <r>
    <s v="P0059"/>
    <x v="3"/>
    <s v="Product 059"/>
    <n v="2552"/>
    <n v="450"/>
    <n v="0.05"/>
    <n v="22.5"/>
    <n v="473"/>
    <n v="0.25"/>
    <n v="118.25"/>
    <n v="5.9125000000000005"/>
    <n v="598"/>
    <s v="Marine Lines"/>
    <x v="0"/>
    <x v="3"/>
    <n v="100"/>
    <n v="22"/>
    <n v="47300"/>
    <n v="10406"/>
    <n v="13156"/>
    <n v="2750"/>
    <x v="58"/>
    <x v="0"/>
  </r>
  <r>
    <s v="P0060"/>
    <x v="3"/>
    <s v="Product 060"/>
    <n v="2552"/>
    <n v="217"/>
    <n v="0.05"/>
    <n v="10.850000000000001"/>
    <n v="228"/>
    <n v="0.25"/>
    <n v="57"/>
    <n v="2.85"/>
    <n v="288"/>
    <s v="Bandra"/>
    <x v="1"/>
    <x v="1"/>
    <n v="100"/>
    <n v="46"/>
    <n v="22800"/>
    <n v="10488"/>
    <n v="13248"/>
    <n v="2760"/>
    <x v="59"/>
    <x v="1"/>
  </r>
  <r>
    <s v="P0061"/>
    <x v="4"/>
    <s v="Product 061"/>
    <n v="2204"/>
    <n v="644"/>
    <n v="0.18"/>
    <n v="115.92"/>
    <n v="760"/>
    <n v="0.2"/>
    <n v="152"/>
    <n v="27.36"/>
    <n v="940"/>
    <s v="Marine Lines"/>
    <x v="0"/>
    <x v="0"/>
    <n v="100"/>
    <n v="40"/>
    <n v="76000"/>
    <n v="30400"/>
    <n v="37600"/>
    <n v="7200"/>
    <x v="60"/>
    <x v="0"/>
  </r>
  <r>
    <s v="P0062"/>
    <x v="4"/>
    <s v="Product 062"/>
    <n v="2204"/>
    <n v="799"/>
    <n v="0.18"/>
    <n v="143.82"/>
    <n v="943"/>
    <n v="0.2"/>
    <n v="188.60000000000002"/>
    <n v="33.948"/>
    <n v="1166"/>
    <s v="Bandra"/>
    <x v="1"/>
    <x v="2"/>
    <n v="100"/>
    <n v="38"/>
    <n v="94300"/>
    <n v="35834"/>
    <n v="44308"/>
    <n v="8474"/>
    <x v="61"/>
    <x v="0"/>
  </r>
  <r>
    <s v="P0063"/>
    <x v="4"/>
    <s v="Product 063"/>
    <n v="2204"/>
    <n v="993"/>
    <n v="0.18"/>
    <n v="178.73999999999998"/>
    <n v="1172"/>
    <n v="0.2"/>
    <n v="234.4"/>
    <n v="42.192"/>
    <n v="1449"/>
    <s v="Bandra"/>
    <x v="1"/>
    <x v="0"/>
    <n v="100"/>
    <n v="21"/>
    <n v="117200"/>
    <n v="24612"/>
    <n v="30429"/>
    <n v="5817"/>
    <x v="62"/>
    <x v="1"/>
  </r>
  <r>
    <s v="P0064"/>
    <x v="4"/>
    <s v="Product 064"/>
    <n v="2204"/>
    <n v="717"/>
    <n v="0.18"/>
    <n v="129.06"/>
    <n v="847"/>
    <n v="0.2"/>
    <n v="169.4"/>
    <n v="30.492000000000001"/>
    <n v="1047"/>
    <s v="Bhandup"/>
    <x v="2"/>
    <x v="0"/>
    <n v="100"/>
    <n v="35"/>
    <n v="84700"/>
    <n v="29645"/>
    <n v="36645"/>
    <n v="7000"/>
    <x v="63"/>
    <x v="0"/>
  </r>
  <r>
    <s v="P0065"/>
    <x v="4"/>
    <s v="Product 065"/>
    <n v="2204"/>
    <n v="557"/>
    <n v="0.18"/>
    <n v="100.25999999999999"/>
    <n v="658"/>
    <n v="0.2"/>
    <n v="131.6"/>
    <n v="23.687999999999999"/>
    <n v="814"/>
    <s v="Bandra"/>
    <x v="1"/>
    <x v="2"/>
    <n v="100"/>
    <n v="25"/>
    <n v="65800"/>
    <n v="16450"/>
    <n v="20350"/>
    <n v="3900"/>
    <x v="64"/>
    <x v="1"/>
  </r>
  <r>
    <s v="P0066"/>
    <x v="4"/>
    <s v="Product 066"/>
    <n v="2204"/>
    <n v="150"/>
    <n v="0.18"/>
    <n v="27"/>
    <n v="177"/>
    <n v="0.2"/>
    <n v="35.4"/>
    <n v="6.3719999999999999"/>
    <n v="219"/>
    <s v="Bandra"/>
    <x v="1"/>
    <x v="1"/>
    <n v="100"/>
    <n v="25"/>
    <n v="17700"/>
    <n v="4425"/>
    <n v="5475"/>
    <n v="1050"/>
    <x v="65"/>
    <x v="1"/>
  </r>
  <r>
    <s v="P0067"/>
    <x v="4"/>
    <s v="Product 067"/>
    <n v="2204"/>
    <n v="731"/>
    <n v="0.18"/>
    <n v="131.57999999999998"/>
    <n v="863"/>
    <n v="0.2"/>
    <n v="172.60000000000002"/>
    <n v="31.068000000000001"/>
    <n v="1067"/>
    <s v="Marine Lines"/>
    <x v="0"/>
    <x v="4"/>
    <n v="100"/>
    <n v="26"/>
    <n v="86300"/>
    <n v="22438"/>
    <n v="27742"/>
    <n v="5304"/>
    <x v="66"/>
    <x v="0"/>
  </r>
  <r>
    <s v="P0068"/>
    <x v="4"/>
    <s v="Product 068"/>
    <n v="2204"/>
    <n v="384"/>
    <n v="0.18"/>
    <n v="69.12"/>
    <n v="454"/>
    <n v="0.2"/>
    <n v="90.800000000000011"/>
    <n v="16.344000000000001"/>
    <n v="562"/>
    <s v="Bandra"/>
    <x v="1"/>
    <x v="4"/>
    <n v="100"/>
    <n v="21"/>
    <n v="45400"/>
    <n v="9534"/>
    <n v="11802"/>
    <n v="2268"/>
    <x v="67"/>
    <x v="1"/>
  </r>
  <r>
    <s v="P0069"/>
    <x v="4"/>
    <s v="Product 069"/>
    <n v="2204"/>
    <n v="375"/>
    <n v="0.18"/>
    <n v="67.5"/>
    <n v="443"/>
    <n v="0.2"/>
    <n v="88.600000000000009"/>
    <n v="15.948"/>
    <n v="548"/>
    <s v="Marine Lines"/>
    <x v="0"/>
    <x v="1"/>
    <n v="100"/>
    <n v="35"/>
    <n v="44300"/>
    <n v="15505"/>
    <n v="19180"/>
    <n v="3675"/>
    <x v="68"/>
    <x v="0"/>
  </r>
  <r>
    <s v="P0070"/>
    <x v="4"/>
    <s v="Product 070"/>
    <n v="2204"/>
    <n v="105"/>
    <n v="0.18"/>
    <n v="18.899999999999999"/>
    <n v="124"/>
    <n v="0.2"/>
    <n v="24.8"/>
    <n v="4.4639999999999995"/>
    <n v="154"/>
    <s v="Bandra"/>
    <x v="1"/>
    <x v="1"/>
    <n v="100"/>
    <n v="21"/>
    <n v="12400"/>
    <n v="2604"/>
    <n v="3234"/>
    <n v="630"/>
    <x v="69"/>
    <x v="1"/>
  </r>
  <r>
    <s v="P0071"/>
    <x v="4"/>
    <s v="Product 071"/>
    <n v="2204"/>
    <n v="381"/>
    <n v="0.18"/>
    <n v="68.58"/>
    <n v="450"/>
    <n v="0.2"/>
    <n v="90"/>
    <n v="16.2"/>
    <n v="557"/>
    <s v="Bhandup"/>
    <x v="2"/>
    <x v="3"/>
    <n v="100"/>
    <n v="34"/>
    <n v="45000"/>
    <n v="15300"/>
    <n v="18938"/>
    <n v="3638"/>
    <x v="70"/>
    <x v="0"/>
  </r>
  <r>
    <s v="P0072"/>
    <x v="4"/>
    <s v="Product 072"/>
    <n v="2204"/>
    <n v="692"/>
    <n v="0.18"/>
    <n v="124.56"/>
    <n v="817"/>
    <n v="0.2"/>
    <n v="163.4"/>
    <n v="29.411999999999999"/>
    <n v="1010"/>
    <s v="Bandra"/>
    <x v="1"/>
    <x v="3"/>
    <n v="100"/>
    <n v="45"/>
    <n v="81700"/>
    <n v="36765"/>
    <n v="45450"/>
    <n v="8685"/>
    <x v="71"/>
    <x v="0"/>
  </r>
  <r>
    <s v="P0073"/>
    <x v="4"/>
    <s v="Product 073"/>
    <n v="2204"/>
    <n v="850"/>
    <n v="0.18"/>
    <n v="153"/>
    <n v="1003"/>
    <n v="0.2"/>
    <n v="200.60000000000002"/>
    <n v="36.108000000000004"/>
    <n v="1240"/>
    <s v="Marine Lines"/>
    <x v="0"/>
    <x v="3"/>
    <n v="100"/>
    <n v="24"/>
    <n v="100300"/>
    <n v="24072"/>
    <n v="29760"/>
    <n v="5688"/>
    <x v="72"/>
    <x v="0"/>
  </r>
  <r>
    <s v="P0074"/>
    <x v="4"/>
    <s v="Product 074"/>
    <n v="2204"/>
    <n v="290"/>
    <n v="0.18"/>
    <n v="52.199999999999996"/>
    <n v="343"/>
    <n v="0.2"/>
    <n v="68.600000000000009"/>
    <n v="12.348000000000001"/>
    <n v="424"/>
    <s v="Bhandup"/>
    <x v="2"/>
    <x v="1"/>
    <n v="100"/>
    <n v="45"/>
    <n v="34300"/>
    <n v="15435"/>
    <n v="19080"/>
    <n v="3645"/>
    <x v="73"/>
    <x v="1"/>
  </r>
  <r>
    <s v="P0075"/>
    <x v="5"/>
    <s v="Product 075"/>
    <n v="3543"/>
    <n v="196"/>
    <n v="0.18"/>
    <n v="35.28"/>
    <n v="232"/>
    <n v="0.3"/>
    <n v="69.599999999999994"/>
    <n v="12.527999999999999"/>
    <n v="315"/>
    <s v="Marine Lines"/>
    <x v="0"/>
    <x v="4"/>
    <n v="100"/>
    <n v="46"/>
    <n v="23200"/>
    <n v="10672"/>
    <n v="14490"/>
    <n v="3818"/>
    <x v="74"/>
    <x v="0"/>
  </r>
  <r>
    <s v="P0076"/>
    <x v="5"/>
    <s v="Product 076"/>
    <n v="3543"/>
    <n v="668"/>
    <n v="0.18"/>
    <n v="120.24"/>
    <n v="789"/>
    <n v="0.3"/>
    <n v="236.7"/>
    <n v="42.605999999999995"/>
    <n v="1069"/>
    <s v="Bhandup"/>
    <x v="2"/>
    <x v="4"/>
    <n v="100"/>
    <n v="38"/>
    <n v="78900"/>
    <n v="29982"/>
    <n v="40622"/>
    <n v="10640"/>
    <x v="75"/>
    <x v="0"/>
  </r>
  <r>
    <s v="P0077"/>
    <x v="5"/>
    <s v="Product 077"/>
    <n v="3543"/>
    <n v="822"/>
    <n v="0.18"/>
    <n v="147.96"/>
    <n v="970"/>
    <n v="0.3"/>
    <n v="291"/>
    <n v="52.379999999999995"/>
    <n v="1314"/>
    <s v="Bandra"/>
    <x v="1"/>
    <x v="2"/>
    <n v="100"/>
    <n v="36"/>
    <n v="97000"/>
    <n v="34920"/>
    <n v="47304"/>
    <n v="12384"/>
    <x v="76"/>
    <x v="1"/>
  </r>
  <r>
    <s v="P0078"/>
    <x v="5"/>
    <s v="Product 078"/>
    <n v="3543"/>
    <n v="848"/>
    <n v="0.18"/>
    <n v="152.63999999999999"/>
    <n v="1001"/>
    <n v="0.3"/>
    <n v="300.3"/>
    <n v="54.054000000000002"/>
    <n v="1356"/>
    <s v="Bandra"/>
    <x v="1"/>
    <x v="0"/>
    <n v="100"/>
    <n v="39"/>
    <n v="100100"/>
    <n v="39039"/>
    <n v="52884"/>
    <n v="13845"/>
    <x v="77"/>
    <x v="0"/>
  </r>
  <r>
    <s v="P0079"/>
    <x v="5"/>
    <s v="Product 079"/>
    <n v="3543"/>
    <n v="340"/>
    <n v="0.18"/>
    <n v="61.199999999999996"/>
    <n v="402"/>
    <n v="0.3"/>
    <n v="120.6"/>
    <n v="21.707999999999998"/>
    <n v="545"/>
    <s v="Bhandup"/>
    <x v="2"/>
    <x v="0"/>
    <n v="100"/>
    <n v="31"/>
    <n v="40200"/>
    <n v="12462"/>
    <n v="16895"/>
    <n v="4433"/>
    <x v="78"/>
    <x v="1"/>
  </r>
  <r>
    <s v="P0080"/>
    <x v="5"/>
    <s v="Product 080"/>
    <n v="3543"/>
    <n v="274"/>
    <n v="0.18"/>
    <n v="49.32"/>
    <n v="324"/>
    <n v="0.3"/>
    <n v="97.2"/>
    <n v="17.495999999999999"/>
    <n v="439"/>
    <s v="Bhandup"/>
    <x v="2"/>
    <x v="0"/>
    <n v="100"/>
    <n v="26"/>
    <n v="32400"/>
    <n v="8424"/>
    <n v="11414"/>
    <n v="2990"/>
    <x v="79"/>
    <x v="0"/>
  </r>
  <r>
    <s v="P0081"/>
    <x v="5"/>
    <s v="Product 081"/>
    <n v="3543"/>
    <n v="792"/>
    <n v="0.18"/>
    <n v="142.56"/>
    <n v="935"/>
    <n v="0.3"/>
    <n v="280.5"/>
    <n v="50.489999999999995"/>
    <n v="1266"/>
    <s v="Bhandup"/>
    <x v="2"/>
    <x v="5"/>
    <n v="100"/>
    <n v="38"/>
    <n v="93500"/>
    <n v="35530"/>
    <n v="48108"/>
    <n v="12578"/>
    <x v="80"/>
    <x v="1"/>
  </r>
  <r>
    <s v="P0082"/>
    <x v="5"/>
    <s v="Product 082"/>
    <n v="3543"/>
    <n v="758"/>
    <n v="0.18"/>
    <n v="136.44"/>
    <n v="895"/>
    <n v="0.3"/>
    <n v="268.5"/>
    <n v="48.33"/>
    <n v="1212"/>
    <s v="Bhandup"/>
    <x v="2"/>
    <x v="5"/>
    <n v="100"/>
    <n v="44"/>
    <n v="89500"/>
    <n v="39380"/>
    <n v="53328"/>
    <n v="13948"/>
    <x v="81"/>
    <x v="1"/>
  </r>
  <r>
    <s v="P0083"/>
    <x v="5"/>
    <s v="Product 083"/>
    <n v="3543"/>
    <n v="443"/>
    <n v="0.18"/>
    <n v="79.739999999999995"/>
    <n v="523"/>
    <n v="0.3"/>
    <n v="156.9"/>
    <n v="28.242000000000001"/>
    <n v="709"/>
    <s v="Bhandup"/>
    <x v="2"/>
    <x v="3"/>
    <n v="100"/>
    <n v="28"/>
    <n v="52300"/>
    <n v="14644"/>
    <n v="19852"/>
    <n v="5208"/>
    <x v="82"/>
    <x v="1"/>
  </r>
  <r>
    <s v="P0084"/>
    <x v="5"/>
    <s v="Product 084"/>
    <n v="3543"/>
    <n v="135"/>
    <n v="0.18"/>
    <n v="24.3"/>
    <n v="160"/>
    <n v="0.3"/>
    <n v="48"/>
    <n v="8.64"/>
    <n v="217"/>
    <s v="Marine Lines"/>
    <x v="0"/>
    <x v="0"/>
    <n v="100"/>
    <n v="35"/>
    <n v="16000"/>
    <n v="5600"/>
    <n v="7595"/>
    <n v="1995"/>
    <x v="83"/>
    <x v="1"/>
  </r>
  <r>
    <s v="P0085"/>
    <x v="5"/>
    <s v="Product 085"/>
    <n v="3543"/>
    <n v="708"/>
    <n v="0.18"/>
    <n v="127.44"/>
    <n v="836"/>
    <n v="0.3"/>
    <n v="250.79999999999998"/>
    <n v="45.143999999999998"/>
    <n v="1132"/>
    <s v="Bandra"/>
    <x v="1"/>
    <x v="3"/>
    <n v="100"/>
    <n v="27"/>
    <n v="83600"/>
    <n v="22572"/>
    <n v="30564"/>
    <n v="7992"/>
    <x v="84"/>
    <x v="1"/>
  </r>
  <r>
    <s v="P0086"/>
    <x v="5"/>
    <s v="Product 086"/>
    <n v="3543"/>
    <n v="381"/>
    <n v="0.18"/>
    <n v="68.58"/>
    <n v="450"/>
    <n v="0.3"/>
    <n v="135"/>
    <n v="24.3"/>
    <n v="610"/>
    <s v="Marine Lines"/>
    <x v="0"/>
    <x v="0"/>
    <n v="100"/>
    <n v="42"/>
    <n v="45000"/>
    <n v="18900"/>
    <n v="25620"/>
    <n v="6720"/>
    <x v="85"/>
    <x v="1"/>
  </r>
  <r>
    <s v="P0087"/>
    <x v="5"/>
    <s v="Product 087"/>
    <n v="3543"/>
    <n v="949"/>
    <n v="0.18"/>
    <n v="170.82"/>
    <n v="1120"/>
    <n v="0.3"/>
    <n v="336"/>
    <n v="60.48"/>
    <n v="1517"/>
    <s v="Bandra"/>
    <x v="1"/>
    <x v="0"/>
    <n v="100"/>
    <n v="47"/>
    <n v="112000"/>
    <n v="52640"/>
    <n v="71299"/>
    <n v="18659"/>
    <x v="86"/>
    <x v="1"/>
  </r>
  <r>
    <s v="P0088"/>
    <x v="5"/>
    <s v="Product 088"/>
    <n v="3543"/>
    <n v="274"/>
    <n v="0.18"/>
    <n v="49.32"/>
    <n v="324"/>
    <n v="0.3"/>
    <n v="97.2"/>
    <n v="17.495999999999999"/>
    <n v="439"/>
    <s v="Bandra"/>
    <x v="1"/>
    <x v="1"/>
    <n v="100"/>
    <n v="31"/>
    <n v="32400"/>
    <n v="10044"/>
    <n v="13609"/>
    <n v="3565"/>
    <x v="87"/>
    <x v="0"/>
  </r>
  <r>
    <s v="P0089"/>
    <x v="5"/>
    <s v="Product 089"/>
    <n v="3543"/>
    <n v="264"/>
    <n v="0.18"/>
    <n v="47.519999999999996"/>
    <n v="312"/>
    <n v="0.3"/>
    <n v="93.6"/>
    <n v="16.847999999999999"/>
    <n v="423"/>
    <s v="Bandra"/>
    <x v="1"/>
    <x v="0"/>
    <n v="100"/>
    <n v="46"/>
    <n v="31200"/>
    <n v="14352"/>
    <n v="19458"/>
    <n v="5106"/>
    <x v="88"/>
    <x v="0"/>
  </r>
  <r>
    <s v="P0090"/>
    <x v="5"/>
    <s v="Product 090"/>
    <n v="3543"/>
    <n v="992"/>
    <n v="0.18"/>
    <n v="178.56"/>
    <n v="1171"/>
    <n v="0.3"/>
    <n v="351.3"/>
    <n v="63.234000000000002"/>
    <n v="1586"/>
    <s v="Bhandup"/>
    <x v="2"/>
    <x v="4"/>
    <n v="100"/>
    <n v="41"/>
    <n v="117100"/>
    <n v="48011"/>
    <n v="65026"/>
    <n v="17015"/>
    <x v="89"/>
    <x v="0"/>
  </r>
  <r>
    <s v="P0091"/>
    <x v="5"/>
    <s v="Product 091"/>
    <n v="3543"/>
    <n v="761"/>
    <n v="0.18"/>
    <n v="136.97999999999999"/>
    <n v="898"/>
    <n v="0.3"/>
    <n v="269.39999999999998"/>
    <n v="48.491999999999997"/>
    <n v="1216"/>
    <s v="Marine Lines"/>
    <x v="0"/>
    <x v="0"/>
    <n v="100"/>
    <n v="38"/>
    <n v="89800"/>
    <n v="34124"/>
    <n v="46208"/>
    <n v="12084"/>
    <x v="90"/>
    <x v="0"/>
  </r>
  <r>
    <s v="P0092"/>
    <x v="5"/>
    <s v="Product 092"/>
    <n v="3543"/>
    <n v="281"/>
    <n v="0.18"/>
    <n v="50.58"/>
    <n v="332"/>
    <n v="0.3"/>
    <n v="99.6"/>
    <n v="17.927999999999997"/>
    <n v="450"/>
    <s v="Bandra"/>
    <x v="1"/>
    <x v="0"/>
    <n v="100"/>
    <n v="50"/>
    <n v="33200"/>
    <n v="16600"/>
    <n v="22500"/>
    <n v="5900"/>
    <x v="91"/>
    <x v="1"/>
  </r>
  <r>
    <s v="P0093"/>
    <x v="5"/>
    <s v="Product 093"/>
    <n v="3543"/>
    <n v="354"/>
    <n v="0.18"/>
    <n v="63.72"/>
    <n v="418"/>
    <n v="0.3"/>
    <n v="125.39999999999999"/>
    <n v="22.571999999999999"/>
    <n v="566"/>
    <s v="Bhandup"/>
    <x v="2"/>
    <x v="2"/>
    <n v="100"/>
    <n v="48"/>
    <n v="41800"/>
    <n v="20064"/>
    <n v="27168"/>
    <n v="7104"/>
    <x v="92"/>
    <x v="1"/>
  </r>
  <r>
    <s v="P0094"/>
    <x v="5"/>
    <s v="Product 094"/>
    <n v="3543"/>
    <n v="992"/>
    <n v="0.18"/>
    <n v="178.56"/>
    <n v="1171"/>
    <n v="0.3"/>
    <n v="351.3"/>
    <n v="63.234000000000002"/>
    <n v="1586"/>
    <s v="Bandra"/>
    <x v="1"/>
    <x v="4"/>
    <n v="100"/>
    <n v="37"/>
    <n v="117100"/>
    <n v="43327"/>
    <n v="58682"/>
    <n v="15355"/>
    <x v="93"/>
    <x v="0"/>
  </r>
  <r>
    <s v="P0095"/>
    <x v="5"/>
    <s v="Product 095"/>
    <n v="3543"/>
    <n v="349"/>
    <n v="0.18"/>
    <n v="62.82"/>
    <n v="412"/>
    <n v="0.3"/>
    <n v="123.6"/>
    <n v="22.247999999999998"/>
    <n v="558"/>
    <s v="Bhandup"/>
    <x v="2"/>
    <x v="2"/>
    <n v="100"/>
    <n v="32"/>
    <n v="41200"/>
    <n v="13184"/>
    <n v="17856"/>
    <n v="4672"/>
    <x v="94"/>
    <x v="1"/>
  </r>
  <r>
    <s v="P0096"/>
    <x v="5"/>
    <s v="Product 096"/>
    <n v="3543"/>
    <n v="168"/>
    <n v="0.18"/>
    <n v="30.24"/>
    <n v="199"/>
    <n v="0.3"/>
    <n v="59.699999999999996"/>
    <n v="10.745999999999999"/>
    <n v="270"/>
    <s v="Marine Lines"/>
    <x v="0"/>
    <x v="5"/>
    <n v="100"/>
    <n v="30"/>
    <n v="19900"/>
    <n v="5970"/>
    <n v="8100"/>
    <n v="2130"/>
    <x v="95"/>
    <x v="1"/>
  </r>
  <r>
    <s v="P0097"/>
    <x v="5"/>
    <s v="Product 097"/>
    <n v="3543"/>
    <n v="895"/>
    <n v="0.18"/>
    <n v="161.1"/>
    <n v="1057"/>
    <n v="0.3"/>
    <n v="317.09999999999997"/>
    <n v="57.077999999999989"/>
    <n v="1432"/>
    <s v="Marine Lines"/>
    <x v="0"/>
    <x v="0"/>
    <n v="100"/>
    <n v="33"/>
    <n v="105700"/>
    <n v="34881"/>
    <n v="47256"/>
    <n v="12375"/>
    <x v="96"/>
    <x v="1"/>
  </r>
  <r>
    <s v="P0098"/>
    <x v="5"/>
    <s v="Product 098"/>
    <n v="3543"/>
    <n v="761"/>
    <n v="0.18"/>
    <n v="136.97999999999999"/>
    <n v="898"/>
    <n v="0.3"/>
    <n v="269.39999999999998"/>
    <n v="48.491999999999997"/>
    <n v="1216"/>
    <s v="Marine Lines"/>
    <x v="0"/>
    <x v="4"/>
    <n v="100"/>
    <n v="39"/>
    <n v="89800"/>
    <n v="35022"/>
    <n v="47424"/>
    <n v="12402"/>
    <x v="97"/>
    <x v="0"/>
  </r>
  <r>
    <s v="P0099"/>
    <x v="5"/>
    <s v="Product 099"/>
    <n v="3543"/>
    <n v="814"/>
    <n v="0.18"/>
    <n v="146.51999999999998"/>
    <n v="961"/>
    <n v="0.3"/>
    <n v="288.3"/>
    <n v="51.893999999999998"/>
    <n v="1302"/>
    <s v="Bhandup"/>
    <x v="2"/>
    <x v="5"/>
    <n v="100"/>
    <n v="27"/>
    <n v="96100"/>
    <n v="25947"/>
    <n v="35154"/>
    <n v="9207"/>
    <x v="98"/>
    <x v="0"/>
  </r>
  <r>
    <s v="P0100"/>
    <x v="5"/>
    <s v="Product 100"/>
    <n v="3543"/>
    <n v="474"/>
    <n v="0.18"/>
    <n v="85.32"/>
    <n v="560"/>
    <n v="0.3"/>
    <n v="168"/>
    <n v="30.24"/>
    <n v="759"/>
    <s v="Bandra"/>
    <x v="1"/>
    <x v="3"/>
    <n v="100"/>
    <n v="26"/>
    <n v="56000"/>
    <n v="14560"/>
    <n v="19734"/>
    <n v="5174"/>
    <x v="99"/>
    <x v="1"/>
  </r>
  <r>
    <s v="P0101"/>
    <x v="5"/>
    <s v="Product 101"/>
    <n v="3543"/>
    <n v="512"/>
    <n v="0.18"/>
    <n v="92.16"/>
    <n v="605"/>
    <n v="0.3"/>
    <n v="181.5"/>
    <n v="32.67"/>
    <n v="820"/>
    <s v="Marine Lines"/>
    <x v="0"/>
    <x v="1"/>
    <n v="100"/>
    <n v="33"/>
    <n v="60500"/>
    <n v="19965"/>
    <n v="27060"/>
    <n v="7095"/>
    <x v="100"/>
    <x v="1"/>
  </r>
  <r>
    <s v="P0102"/>
    <x v="5"/>
    <s v="Product 102"/>
    <n v="3543"/>
    <n v="108"/>
    <n v="0.18"/>
    <n v="19.439999999999998"/>
    <n v="128"/>
    <n v="0.3"/>
    <n v="38.4"/>
    <n v="6.9119999999999999"/>
    <n v="174"/>
    <s v="Bandra"/>
    <x v="1"/>
    <x v="0"/>
    <n v="100"/>
    <n v="29"/>
    <n v="12800"/>
    <n v="3712"/>
    <n v="5046"/>
    <n v="1334"/>
    <x v="101"/>
    <x v="1"/>
  </r>
  <r>
    <s v="P0103"/>
    <x v="5"/>
    <s v="Product 103"/>
    <n v="3543"/>
    <n v="586"/>
    <n v="0.18"/>
    <n v="105.47999999999999"/>
    <n v="692"/>
    <n v="0.3"/>
    <n v="207.6"/>
    <n v="37.367999999999995"/>
    <n v="937"/>
    <s v="Bhandup"/>
    <x v="2"/>
    <x v="4"/>
    <n v="100"/>
    <n v="23"/>
    <n v="69200"/>
    <n v="15916"/>
    <n v="21551"/>
    <n v="5635"/>
    <x v="102"/>
    <x v="0"/>
  </r>
  <r>
    <s v="P0104"/>
    <x v="6"/>
    <s v="Product 104"/>
    <n v="2552"/>
    <n v="978"/>
    <n v="0.18"/>
    <n v="176.04"/>
    <n v="1155"/>
    <n v="0.25"/>
    <n v="288.75"/>
    <n v="51.975000000000001"/>
    <n v="1496"/>
    <s v="Bhandup"/>
    <x v="2"/>
    <x v="4"/>
    <n v="100"/>
    <n v="45"/>
    <n v="115500"/>
    <n v="51975"/>
    <n v="67320"/>
    <n v="15345"/>
    <x v="103"/>
    <x v="1"/>
  </r>
  <r>
    <s v="P0105"/>
    <x v="6"/>
    <s v="Product 105"/>
    <n v="2552"/>
    <n v="396"/>
    <n v="0.18"/>
    <n v="71.28"/>
    <n v="468"/>
    <n v="0.25"/>
    <n v="117"/>
    <n v="21.06"/>
    <n v="607"/>
    <s v="Bandra"/>
    <x v="1"/>
    <x v="0"/>
    <n v="100"/>
    <n v="42"/>
    <n v="46800"/>
    <n v="19656"/>
    <n v="25494"/>
    <n v="5838"/>
    <x v="104"/>
    <x v="1"/>
  </r>
  <r>
    <s v="P0106"/>
    <x v="6"/>
    <s v="Product 106"/>
    <n v="2552"/>
    <n v="627"/>
    <n v="0.18"/>
    <n v="112.86"/>
    <n v="740"/>
    <n v="0.25"/>
    <n v="185"/>
    <n v="33.299999999999997"/>
    <n v="959"/>
    <s v="Bandra"/>
    <x v="1"/>
    <x v="3"/>
    <n v="100"/>
    <n v="40"/>
    <n v="74000"/>
    <n v="29600"/>
    <n v="38360"/>
    <n v="8760"/>
    <x v="105"/>
    <x v="1"/>
  </r>
  <r>
    <s v="P0107"/>
    <x v="6"/>
    <s v="Product 107"/>
    <n v="2552"/>
    <n v="962"/>
    <n v="0.18"/>
    <n v="173.16"/>
    <n v="1136"/>
    <n v="0.25"/>
    <n v="284"/>
    <n v="51.12"/>
    <n v="1472"/>
    <s v="Bhandup"/>
    <x v="2"/>
    <x v="5"/>
    <n v="100"/>
    <n v="29"/>
    <n v="113600"/>
    <n v="32944"/>
    <n v="42688"/>
    <n v="9744"/>
    <x v="106"/>
    <x v="1"/>
  </r>
  <r>
    <s v="P0108"/>
    <x v="6"/>
    <s v="Product 108"/>
    <n v="2552"/>
    <n v="504"/>
    <n v="0.18"/>
    <n v="90.72"/>
    <n v="595"/>
    <n v="0.25"/>
    <n v="148.75"/>
    <n v="26.774999999999999"/>
    <n v="771"/>
    <s v="Bhandup"/>
    <x v="2"/>
    <x v="4"/>
    <n v="100"/>
    <n v="21"/>
    <n v="59500"/>
    <n v="12495"/>
    <n v="16191"/>
    <n v="3696"/>
    <x v="107"/>
    <x v="0"/>
  </r>
  <r>
    <s v="P0109"/>
    <x v="6"/>
    <s v="Product 109"/>
    <n v="2552"/>
    <n v="327"/>
    <n v="0.18"/>
    <n v="58.86"/>
    <n v="386"/>
    <n v="0.25"/>
    <n v="96.5"/>
    <n v="17.37"/>
    <n v="500"/>
    <s v="Bandra"/>
    <x v="1"/>
    <x v="2"/>
    <n v="100"/>
    <n v="40"/>
    <n v="38600"/>
    <n v="15440"/>
    <n v="20000"/>
    <n v="4560"/>
    <x v="108"/>
    <x v="0"/>
  </r>
  <r>
    <s v="P0110"/>
    <x v="6"/>
    <s v="Product 110"/>
    <n v="2552"/>
    <n v="230"/>
    <n v="0.18"/>
    <n v="41.4"/>
    <n v="272"/>
    <n v="0.25"/>
    <n v="68"/>
    <n v="12.24"/>
    <n v="353"/>
    <s v="Bhandup"/>
    <x v="2"/>
    <x v="2"/>
    <n v="100"/>
    <n v="22"/>
    <n v="27200"/>
    <n v="5984"/>
    <n v="7766"/>
    <n v="1782"/>
    <x v="109"/>
    <x v="0"/>
  </r>
  <r>
    <s v="P0111"/>
    <x v="6"/>
    <s v="Product 111"/>
    <n v="2552"/>
    <n v="525"/>
    <n v="0.18"/>
    <n v="94.5"/>
    <n v="620"/>
    <n v="0.25"/>
    <n v="155"/>
    <n v="27.9"/>
    <n v="803"/>
    <s v="Bandra"/>
    <x v="1"/>
    <x v="2"/>
    <n v="100"/>
    <n v="44"/>
    <n v="62000"/>
    <n v="27280"/>
    <n v="35332"/>
    <n v="8052"/>
    <x v="110"/>
    <x v="0"/>
  </r>
  <r>
    <s v="P0112"/>
    <x v="6"/>
    <s v="Product 112"/>
    <n v="2552"/>
    <n v="100"/>
    <n v="0.18"/>
    <n v="18"/>
    <n v="118"/>
    <n v="0.25"/>
    <n v="29.5"/>
    <n v="5.31"/>
    <n v="153"/>
    <s v="Bandra"/>
    <x v="1"/>
    <x v="4"/>
    <n v="100"/>
    <n v="44"/>
    <n v="11800"/>
    <n v="5192"/>
    <n v="6732"/>
    <n v="1540"/>
    <x v="111"/>
    <x v="1"/>
  </r>
  <r>
    <s v="P0113"/>
    <x v="6"/>
    <s v="Product 113"/>
    <n v="2552"/>
    <n v="498"/>
    <n v="0.18"/>
    <n v="89.64"/>
    <n v="588"/>
    <n v="0.25"/>
    <n v="147"/>
    <n v="26.459999999999997"/>
    <n v="762"/>
    <s v="Marine Lines"/>
    <x v="0"/>
    <x v="3"/>
    <n v="100"/>
    <n v="27"/>
    <n v="58800"/>
    <n v="15876"/>
    <n v="20574"/>
    <n v="4698"/>
    <x v="112"/>
    <x v="1"/>
  </r>
  <r>
    <s v="P0114"/>
    <x v="6"/>
    <s v="Product 114"/>
    <n v="2552"/>
    <n v="218"/>
    <n v="0.18"/>
    <n v="39.24"/>
    <n v="258"/>
    <n v="0.25"/>
    <n v="64.5"/>
    <n v="11.61"/>
    <n v="335"/>
    <s v="Marine Lines"/>
    <x v="0"/>
    <x v="1"/>
    <n v="100"/>
    <n v="30"/>
    <n v="25800"/>
    <n v="7740"/>
    <n v="10050"/>
    <n v="2310"/>
    <x v="113"/>
    <x v="1"/>
  </r>
  <r>
    <s v="P0115"/>
    <x v="6"/>
    <s v="Product 115"/>
    <n v="2552"/>
    <n v="412"/>
    <n v="0.18"/>
    <n v="74.16"/>
    <n v="487"/>
    <n v="0.25"/>
    <n v="121.75"/>
    <n v="21.914999999999999"/>
    <n v="631"/>
    <s v="Bandra"/>
    <x v="1"/>
    <x v="5"/>
    <n v="100"/>
    <n v="21"/>
    <n v="48700"/>
    <n v="10227"/>
    <n v="13251"/>
    <n v="3024"/>
    <x v="114"/>
    <x v="0"/>
  </r>
  <r>
    <s v="P0116"/>
    <x v="6"/>
    <s v="Product 116"/>
    <n v="2552"/>
    <n v="131"/>
    <n v="0.18"/>
    <n v="23.58"/>
    <n v="155"/>
    <n v="0.25"/>
    <n v="38.75"/>
    <n v="6.9749999999999996"/>
    <n v="201"/>
    <s v="Bhandup"/>
    <x v="2"/>
    <x v="1"/>
    <n v="100"/>
    <n v="28"/>
    <n v="15500"/>
    <n v="4340"/>
    <n v="5628"/>
    <n v="1288"/>
    <x v="115"/>
    <x v="1"/>
  </r>
  <r>
    <s v="P0117"/>
    <x v="6"/>
    <s v="Product 117"/>
    <n v="2552"/>
    <n v="254"/>
    <n v="0.18"/>
    <n v="45.72"/>
    <n v="300"/>
    <n v="0.25"/>
    <n v="75"/>
    <n v="13.5"/>
    <n v="389"/>
    <s v="Marine Lines"/>
    <x v="0"/>
    <x v="3"/>
    <n v="100"/>
    <n v="23"/>
    <n v="30000"/>
    <n v="6900"/>
    <n v="8947"/>
    <n v="2047"/>
    <x v="116"/>
    <x v="1"/>
  </r>
  <r>
    <s v="P0118"/>
    <x v="6"/>
    <s v="Product 118"/>
    <n v="2552"/>
    <n v="460"/>
    <n v="0.18"/>
    <n v="82.8"/>
    <n v="543"/>
    <n v="0.25"/>
    <n v="135.75"/>
    <n v="24.434999999999999"/>
    <n v="704"/>
    <s v="Bhandup"/>
    <x v="2"/>
    <x v="0"/>
    <n v="100"/>
    <n v="46"/>
    <n v="54300"/>
    <n v="24978"/>
    <n v="32384"/>
    <n v="7406"/>
    <x v="117"/>
    <x v="1"/>
  </r>
  <r>
    <s v="P0119"/>
    <x v="6"/>
    <s v="Product 119"/>
    <n v="2552"/>
    <n v="732"/>
    <n v="0.18"/>
    <n v="131.76"/>
    <n v="864"/>
    <n v="0.25"/>
    <n v="216"/>
    <n v="38.879999999999995"/>
    <n v="1119"/>
    <s v="Bandra"/>
    <x v="1"/>
    <x v="1"/>
    <n v="100"/>
    <n v="21"/>
    <n v="86400"/>
    <n v="18144"/>
    <n v="23499"/>
    <n v="5355"/>
    <x v="118"/>
    <x v="0"/>
  </r>
  <r>
    <s v="P0120"/>
    <x v="6"/>
    <s v="Product 120"/>
    <n v="2552"/>
    <n v="327"/>
    <n v="0.18"/>
    <n v="58.86"/>
    <n v="386"/>
    <n v="0.25"/>
    <n v="96.5"/>
    <n v="17.37"/>
    <n v="500"/>
    <s v="Bandra"/>
    <x v="1"/>
    <x v="5"/>
    <n v="100"/>
    <n v="33"/>
    <n v="38600"/>
    <n v="12738"/>
    <n v="16500"/>
    <n v="3762"/>
    <x v="119"/>
    <x v="1"/>
  </r>
  <r>
    <s v="P0121"/>
    <x v="6"/>
    <s v="Product 121"/>
    <n v="2552"/>
    <n v="769"/>
    <n v="0.18"/>
    <n v="138.41999999999999"/>
    <n v="908"/>
    <n v="0.25"/>
    <n v="227"/>
    <n v="40.86"/>
    <n v="1176"/>
    <s v="Bandra"/>
    <x v="1"/>
    <x v="5"/>
    <n v="100"/>
    <n v="47"/>
    <n v="90800"/>
    <n v="42676"/>
    <n v="55272"/>
    <n v="12596"/>
    <x v="120"/>
    <x v="0"/>
  </r>
  <r>
    <s v="P0122"/>
    <x v="7"/>
    <s v="Product 122"/>
    <n v="5811"/>
    <n v="955"/>
    <n v="0.18"/>
    <n v="171.9"/>
    <n v="1127"/>
    <n v="0.35"/>
    <n v="394.45"/>
    <n v="71.000999999999991"/>
    <n v="1593"/>
    <s v="Bhandup"/>
    <x v="2"/>
    <x v="3"/>
    <n v="100"/>
    <n v="30"/>
    <n v="112700"/>
    <n v="33810"/>
    <n v="47790"/>
    <n v="13980"/>
    <x v="121"/>
    <x v="1"/>
  </r>
  <r>
    <s v="P0123"/>
    <x v="7"/>
    <s v="Product 123"/>
    <n v="5811"/>
    <n v="667"/>
    <n v="0.18"/>
    <n v="120.06"/>
    <n v="788"/>
    <n v="0.35"/>
    <n v="275.79999999999995"/>
    <n v="49.643999999999991"/>
    <n v="1114"/>
    <s v="Bhandup"/>
    <x v="2"/>
    <x v="3"/>
    <n v="100"/>
    <n v="42"/>
    <n v="78800"/>
    <n v="33096"/>
    <n v="46788"/>
    <n v="13692"/>
    <x v="122"/>
    <x v="1"/>
  </r>
  <r>
    <s v="P0124"/>
    <x v="7"/>
    <s v="Product 124"/>
    <n v="5811"/>
    <n v="704"/>
    <n v="0.18"/>
    <n v="126.72"/>
    <n v="831"/>
    <n v="0.35"/>
    <n v="290.84999999999997"/>
    <n v="52.352999999999994"/>
    <n v="1175"/>
    <s v="Bhandup"/>
    <x v="2"/>
    <x v="4"/>
    <n v="100"/>
    <n v="36"/>
    <n v="83100"/>
    <n v="29916"/>
    <n v="42300"/>
    <n v="12384"/>
    <x v="123"/>
    <x v="0"/>
  </r>
  <r>
    <s v="P0125"/>
    <x v="7"/>
    <s v="Product 125"/>
    <n v="5811"/>
    <n v="637"/>
    <n v="0.18"/>
    <n v="114.66"/>
    <n v="752"/>
    <n v="0.35"/>
    <n v="263.2"/>
    <n v="47.375999999999998"/>
    <n v="1063"/>
    <s v="Marine Lines"/>
    <x v="0"/>
    <x v="3"/>
    <n v="100"/>
    <n v="39"/>
    <n v="75200"/>
    <n v="29328"/>
    <n v="41457"/>
    <n v="12129"/>
    <x v="124"/>
    <x v="0"/>
  </r>
  <r>
    <s v="P0126"/>
    <x v="7"/>
    <s v="Product 126"/>
    <n v="5811"/>
    <n v="914"/>
    <n v="0.18"/>
    <n v="164.51999999999998"/>
    <n v="1079"/>
    <n v="0.35"/>
    <n v="377.65"/>
    <n v="67.97699999999999"/>
    <n v="1525"/>
    <s v="Bandra"/>
    <x v="1"/>
    <x v="1"/>
    <n v="100"/>
    <n v="31"/>
    <n v="107900"/>
    <n v="33449"/>
    <n v="47275"/>
    <n v="13826"/>
    <x v="125"/>
    <x v="1"/>
  </r>
  <r>
    <s v="P0127"/>
    <x v="7"/>
    <s v="Product 127"/>
    <n v="5811"/>
    <n v="681"/>
    <n v="0.18"/>
    <n v="122.58"/>
    <n v="804"/>
    <n v="0.35"/>
    <n v="281.39999999999998"/>
    <n v="50.651999999999994"/>
    <n v="1137"/>
    <s v="Bandra"/>
    <x v="1"/>
    <x v="2"/>
    <n v="100"/>
    <n v="23"/>
    <n v="80400"/>
    <n v="18492"/>
    <n v="26151"/>
    <n v="7659"/>
    <x v="126"/>
    <x v="0"/>
  </r>
  <r>
    <s v="P0128"/>
    <x v="7"/>
    <s v="Product 128"/>
    <n v="5811"/>
    <n v="940"/>
    <n v="0.18"/>
    <n v="169.2"/>
    <n v="1110"/>
    <n v="0.35"/>
    <n v="388.5"/>
    <n v="69.929999999999993"/>
    <n v="1569"/>
    <s v="Marine Lines"/>
    <x v="0"/>
    <x v="5"/>
    <n v="100"/>
    <n v="48"/>
    <n v="111000"/>
    <n v="53280"/>
    <n v="75312"/>
    <n v="22032"/>
    <x v="127"/>
    <x v="0"/>
  </r>
  <r>
    <s v="P0129"/>
    <x v="7"/>
    <s v="Product 129"/>
    <n v="5811"/>
    <n v="263"/>
    <n v="0.18"/>
    <n v="47.339999999999996"/>
    <n v="311"/>
    <n v="0.35"/>
    <n v="108.85"/>
    <n v="19.593"/>
    <n v="440"/>
    <s v="Marine Lines"/>
    <x v="0"/>
    <x v="5"/>
    <n v="100"/>
    <n v="41"/>
    <n v="31100"/>
    <n v="12751"/>
    <n v="18040"/>
    <n v="5289"/>
    <x v="128"/>
    <x v="1"/>
  </r>
  <r>
    <s v="P0130"/>
    <x v="7"/>
    <s v="Product 130"/>
    <n v="5811"/>
    <n v="815"/>
    <n v="0.18"/>
    <n v="146.69999999999999"/>
    <n v="962"/>
    <n v="0.35"/>
    <n v="336.7"/>
    <n v="60.605999999999995"/>
    <n v="1360"/>
    <s v="Marine Lines"/>
    <x v="0"/>
    <x v="0"/>
    <n v="100"/>
    <n v="46"/>
    <n v="96200"/>
    <n v="44252"/>
    <n v="62560"/>
    <n v="18308"/>
    <x v="129"/>
    <x v="0"/>
  </r>
  <r>
    <s v="P0131"/>
    <x v="7"/>
    <s v="Product 131"/>
    <n v="5811"/>
    <n v="888"/>
    <n v="0.18"/>
    <n v="159.84"/>
    <n v="1048"/>
    <n v="0.35"/>
    <n v="366.79999999999995"/>
    <n v="66.023999999999987"/>
    <n v="1481"/>
    <s v="Bandra"/>
    <x v="1"/>
    <x v="0"/>
    <n v="100"/>
    <n v="34"/>
    <n v="104800"/>
    <n v="35632"/>
    <n v="50354"/>
    <n v="14722"/>
    <x v="130"/>
    <x v="1"/>
  </r>
  <r>
    <s v="P0132"/>
    <x v="7"/>
    <s v="Product 132"/>
    <n v="5811"/>
    <n v="107"/>
    <n v="0.18"/>
    <n v="19.259999999999998"/>
    <n v="127"/>
    <n v="0.35"/>
    <n v="44.449999999999996"/>
    <n v="8.0009999999999994"/>
    <n v="180"/>
    <s v="Marine Lines"/>
    <x v="0"/>
    <x v="2"/>
    <n v="100"/>
    <n v="49"/>
    <n v="12700"/>
    <n v="6223"/>
    <n v="8820"/>
    <n v="2597"/>
    <x v="131"/>
    <x v="1"/>
  </r>
  <r>
    <s v="P0133"/>
    <x v="7"/>
    <s v="Product 133"/>
    <n v="5811"/>
    <n v="171"/>
    <n v="0.18"/>
    <n v="30.779999999999998"/>
    <n v="202"/>
    <n v="0.35"/>
    <n v="70.699999999999989"/>
    <n v="12.725999999999997"/>
    <n v="286"/>
    <s v="Bhandup"/>
    <x v="2"/>
    <x v="3"/>
    <n v="100"/>
    <n v="33"/>
    <n v="20200"/>
    <n v="6666"/>
    <n v="9438"/>
    <n v="2772"/>
    <x v="132"/>
    <x v="0"/>
  </r>
  <r>
    <s v="P0134"/>
    <x v="7"/>
    <s v="Product 134"/>
    <n v="5811"/>
    <n v="520"/>
    <n v="0.18"/>
    <n v="93.6"/>
    <n v="614"/>
    <n v="0.35"/>
    <n v="214.89999999999998"/>
    <n v="38.681999999999995"/>
    <n v="868"/>
    <s v="Bandra"/>
    <x v="1"/>
    <x v="0"/>
    <n v="100"/>
    <n v="21"/>
    <n v="61400"/>
    <n v="12894"/>
    <n v="18228"/>
    <n v="5334"/>
    <x v="133"/>
    <x v="1"/>
  </r>
  <r>
    <s v="P0135"/>
    <x v="7"/>
    <s v="Product 135"/>
    <n v="5811"/>
    <n v="865"/>
    <n v="0.18"/>
    <n v="155.69999999999999"/>
    <n v="1021"/>
    <n v="0.35"/>
    <n v="357.34999999999997"/>
    <n v="64.322999999999993"/>
    <n v="1443"/>
    <s v="Bandra"/>
    <x v="1"/>
    <x v="0"/>
    <n v="100"/>
    <n v="25"/>
    <n v="102100"/>
    <n v="25525"/>
    <n v="36075"/>
    <n v="10550"/>
    <x v="134"/>
    <x v="1"/>
  </r>
  <r>
    <s v="P0136"/>
    <x v="7"/>
    <s v="Product 136"/>
    <n v="5811"/>
    <n v="180"/>
    <n v="0.18"/>
    <n v="32.4"/>
    <n v="213"/>
    <n v="0.35"/>
    <n v="74.55"/>
    <n v="13.418999999999999"/>
    <n v="301"/>
    <s v="Bhandup"/>
    <x v="2"/>
    <x v="1"/>
    <n v="100"/>
    <n v="49"/>
    <n v="21300"/>
    <n v="10437"/>
    <n v="14749"/>
    <n v="4312"/>
    <x v="135"/>
    <x v="0"/>
  </r>
  <r>
    <s v="P0137"/>
    <x v="7"/>
    <s v="Product 137"/>
    <n v="5811"/>
    <n v="260"/>
    <n v="0.18"/>
    <n v="46.8"/>
    <n v="307"/>
    <n v="0.35"/>
    <n v="107.44999999999999"/>
    <n v="19.340999999999998"/>
    <n v="434"/>
    <s v="Bandra"/>
    <x v="1"/>
    <x v="2"/>
    <n v="100"/>
    <n v="32"/>
    <n v="30700"/>
    <n v="9824"/>
    <n v="13888"/>
    <n v="4064"/>
    <x v="136"/>
    <x v="0"/>
  </r>
  <r>
    <s v="P0138"/>
    <x v="7"/>
    <s v="Product 138"/>
    <n v="5811"/>
    <n v="831"/>
    <n v="0.18"/>
    <n v="149.57999999999998"/>
    <n v="981"/>
    <n v="0.35"/>
    <n v="343.34999999999997"/>
    <n v="61.80299999999999"/>
    <n v="1387"/>
    <s v="Bandra"/>
    <x v="1"/>
    <x v="0"/>
    <n v="100"/>
    <n v="49"/>
    <n v="98100"/>
    <n v="48069"/>
    <n v="67963"/>
    <n v="19894"/>
    <x v="137"/>
    <x v="0"/>
  </r>
  <r>
    <s v="P0139"/>
    <x v="7"/>
    <s v="Product 139"/>
    <n v="5811"/>
    <n v="791"/>
    <n v="0.18"/>
    <n v="142.38"/>
    <n v="934"/>
    <n v="0.35"/>
    <n v="326.89999999999998"/>
    <n v="58.841999999999992"/>
    <n v="1320"/>
    <s v="Bandra"/>
    <x v="1"/>
    <x v="1"/>
    <n v="100"/>
    <n v="48"/>
    <n v="93400"/>
    <n v="44832"/>
    <n v="63360"/>
    <n v="18528"/>
    <x v="138"/>
    <x v="0"/>
  </r>
  <r>
    <s v="P0140"/>
    <x v="7"/>
    <s v="Product 140"/>
    <n v="5811"/>
    <n v="967"/>
    <n v="0.18"/>
    <n v="174.06"/>
    <n v="1142"/>
    <n v="0.35"/>
    <n v="399.7"/>
    <n v="71.945999999999998"/>
    <n v="1614"/>
    <s v="Bhandup"/>
    <x v="2"/>
    <x v="0"/>
    <n v="100"/>
    <n v="43"/>
    <n v="114200"/>
    <n v="49106"/>
    <n v="69402"/>
    <n v="20296"/>
    <x v="139"/>
    <x v="1"/>
  </r>
  <r>
    <s v="P0141"/>
    <x v="7"/>
    <s v="Product 141"/>
    <n v="5811"/>
    <n v="465"/>
    <n v="0.18"/>
    <n v="83.7"/>
    <n v="549"/>
    <n v="0.35"/>
    <n v="192.14999999999998"/>
    <n v="34.586999999999996"/>
    <n v="776"/>
    <s v="Marine Lines"/>
    <x v="0"/>
    <x v="2"/>
    <n v="100"/>
    <n v="29"/>
    <n v="54900"/>
    <n v="15921"/>
    <n v="22504"/>
    <n v="6583"/>
    <x v="140"/>
    <x v="0"/>
  </r>
  <r>
    <s v="P0142"/>
    <x v="7"/>
    <s v="Product 142"/>
    <n v="5811"/>
    <n v="630"/>
    <n v="0.18"/>
    <n v="113.39999999999999"/>
    <n v="744"/>
    <n v="0.35"/>
    <n v="260.39999999999998"/>
    <n v="46.871999999999993"/>
    <n v="1052"/>
    <s v="Bhandup"/>
    <x v="2"/>
    <x v="5"/>
    <n v="100"/>
    <n v="40"/>
    <n v="74400"/>
    <n v="29760"/>
    <n v="42080"/>
    <n v="12320"/>
    <x v="141"/>
    <x v="0"/>
  </r>
  <r>
    <s v="P0143"/>
    <x v="7"/>
    <s v="Product 143"/>
    <n v="5811"/>
    <n v="590"/>
    <n v="0.18"/>
    <n v="106.2"/>
    <n v="697"/>
    <n v="0.35"/>
    <n v="243.95"/>
    <n v="43.910999999999994"/>
    <n v="985"/>
    <s v="Bhandup"/>
    <x v="2"/>
    <x v="4"/>
    <n v="100"/>
    <n v="28"/>
    <n v="69700"/>
    <n v="19516"/>
    <n v="27580"/>
    <n v="8064"/>
    <x v="142"/>
    <x v="1"/>
  </r>
  <r>
    <s v="P0144"/>
    <x v="7"/>
    <s v="Product 144"/>
    <n v="5811"/>
    <n v="788"/>
    <n v="0.18"/>
    <n v="141.84"/>
    <n v="930"/>
    <n v="0.35"/>
    <n v="325.5"/>
    <n v="58.589999999999996"/>
    <n v="1315"/>
    <s v="Marine Lines"/>
    <x v="0"/>
    <x v="2"/>
    <n v="100"/>
    <n v="32"/>
    <n v="93000"/>
    <n v="29760"/>
    <n v="42080"/>
    <n v="12320"/>
    <x v="143"/>
    <x v="0"/>
  </r>
  <r>
    <s v="P0145"/>
    <x v="7"/>
    <s v="Product 145"/>
    <n v="5811"/>
    <n v="652"/>
    <n v="0.18"/>
    <n v="117.36"/>
    <n v="770"/>
    <n v="0.35"/>
    <n v="269.5"/>
    <n v="48.51"/>
    <n v="1089"/>
    <s v="Bhandup"/>
    <x v="2"/>
    <x v="5"/>
    <n v="100"/>
    <n v="45"/>
    <n v="77000"/>
    <n v="34650"/>
    <n v="49005"/>
    <n v="14355"/>
    <x v="144"/>
    <x v="1"/>
  </r>
  <r>
    <s v="P0146"/>
    <x v="7"/>
    <s v="Product 146"/>
    <n v="5811"/>
    <n v="327"/>
    <n v="0.18"/>
    <n v="58.86"/>
    <n v="386"/>
    <n v="0.35"/>
    <n v="135.1"/>
    <n v="24.317999999999998"/>
    <n v="546"/>
    <s v="Bandra"/>
    <x v="1"/>
    <x v="3"/>
    <n v="100"/>
    <n v="21"/>
    <n v="38600"/>
    <n v="8106"/>
    <n v="11466"/>
    <n v="3360"/>
    <x v="145"/>
    <x v="0"/>
  </r>
  <r>
    <s v="P0147"/>
    <x v="7"/>
    <s v="Product 147"/>
    <n v="5811"/>
    <n v="361"/>
    <n v="0.18"/>
    <n v="64.98"/>
    <n v="426"/>
    <n v="0.35"/>
    <n v="149.1"/>
    <n v="26.837999999999997"/>
    <n v="602"/>
    <s v="Marine Lines"/>
    <x v="0"/>
    <x v="5"/>
    <n v="100"/>
    <n v="37"/>
    <n v="42600"/>
    <n v="15762"/>
    <n v="22274"/>
    <n v="6512"/>
    <x v="146"/>
    <x v="1"/>
  </r>
  <r>
    <s v="P0148"/>
    <x v="7"/>
    <s v="Product 148"/>
    <n v="5811"/>
    <n v="753"/>
    <n v="0.18"/>
    <n v="135.54"/>
    <n v="889"/>
    <n v="0.35"/>
    <n v="311.14999999999998"/>
    <n v="56.006999999999991"/>
    <n v="1257"/>
    <s v="Bhandup"/>
    <x v="2"/>
    <x v="1"/>
    <n v="100"/>
    <n v="35"/>
    <n v="88900"/>
    <n v="31115"/>
    <n v="43995"/>
    <n v="12880"/>
    <x v="147"/>
    <x v="1"/>
  </r>
  <r>
    <s v="P0149"/>
    <x v="7"/>
    <s v="Product 149"/>
    <n v="5811"/>
    <n v="431"/>
    <n v="0.18"/>
    <n v="77.58"/>
    <n v="509"/>
    <n v="0.35"/>
    <n v="178.14999999999998"/>
    <n v="32.066999999999993"/>
    <n v="720"/>
    <s v="Marine Lines"/>
    <x v="0"/>
    <x v="3"/>
    <n v="100"/>
    <n v="25"/>
    <n v="50900"/>
    <n v="12725"/>
    <n v="18000"/>
    <n v="5275"/>
    <x v="148"/>
    <x v="1"/>
  </r>
  <r>
    <s v="P0150"/>
    <x v="7"/>
    <s v="Product 150"/>
    <n v="5811"/>
    <n v="196"/>
    <n v="0.18"/>
    <n v="35.28"/>
    <n v="232"/>
    <n v="0.35"/>
    <n v="81.199999999999989"/>
    <n v="14.615999999999998"/>
    <n v="328"/>
    <s v="Marine Lines"/>
    <x v="0"/>
    <x v="1"/>
    <n v="100"/>
    <n v="43"/>
    <n v="23200"/>
    <n v="9976"/>
    <n v="14104"/>
    <n v="4128"/>
    <x v="14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0C1AC-53EF-45AD-9A14-99CA960E83A2}"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26">
    <pivotField showAll="0"/>
    <pivotField showAll="0"/>
    <pivotField showAll="0"/>
    <pivotField showAll="0"/>
    <pivotField showAll="0"/>
    <pivotField numFmtId="9" showAll="0"/>
    <pivotField showAll="0"/>
    <pivotField dataField="1" numFmtId="164" showAll="0"/>
    <pivotField numFmtId="9" showAll="0"/>
    <pivotField numFmtId="164" showAll="0"/>
    <pivotField numFmtId="164" showAll="0"/>
    <pivotField dataField="1" numFmtId="164" showAll="0"/>
    <pivotField showAll="0"/>
    <pivotField showAll="0">
      <items count="4">
        <item x="2"/>
        <item x="0"/>
        <item x="1"/>
        <item t="default"/>
      </items>
    </pivotField>
    <pivotField showAll="0"/>
    <pivotField showAll="0"/>
    <pivotField showAll="0"/>
    <pivotField numFmtId="164" showAll="0"/>
    <pivotField numFmtId="164" showAll="0"/>
    <pivotField numFmtId="164" showAll="0"/>
    <pivotField numFmtId="164" showAll="0"/>
    <pivotField numFmtId="165" showAll="0">
      <items count="2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6">
        <item sd="0" x="2"/>
        <item x="0"/>
        <item x="1"/>
        <item x="3"/>
        <item x="4"/>
        <item t="default"/>
      </items>
    </pivotField>
  </pivotFields>
  <rowItems count="1">
    <i/>
  </rowItems>
  <colFields count="1">
    <field x="-2"/>
  </colFields>
  <colItems count="2">
    <i>
      <x/>
    </i>
    <i i="1">
      <x v="1"/>
    </i>
  </colItems>
  <dataFields count="2">
    <dataField name="Sum of Total_CP" fld="7" baseField="0" baseItem="0"/>
    <dataField name="Sum of TotalSelling_Price" fld="11" baseField="0" baseItem="0" numFmtId="166"/>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8EFF6-A1F8-4548-8BD5-EB673700CC77}" name="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Year">
  <location ref="A1:B5" firstHeaderRow="1" firstDataRow="1" firstDataCol="1"/>
  <pivotFields count="26">
    <pivotField showAll="0"/>
    <pivotField showAll="0"/>
    <pivotField showAll="0"/>
    <pivotField showAll="0"/>
    <pivotField showAll="0"/>
    <pivotField numFmtId="9" showAll="0"/>
    <pivotField showAll="0"/>
    <pivotField numFmtId="164" showAll="0"/>
    <pivotField numFmtId="9" showAll="0"/>
    <pivotField numFmtId="164" showAll="0"/>
    <pivotField numFmtId="164" showAll="0"/>
    <pivotField dataField="1" numFmtId="164" showAll="0"/>
    <pivotField showAll="0"/>
    <pivotField showAll="0">
      <items count="4">
        <item x="2"/>
        <item x="0"/>
        <item x="1"/>
        <item t="default"/>
      </items>
    </pivotField>
    <pivotField showAll="0"/>
    <pivotField showAll="0"/>
    <pivotField showAll="0"/>
    <pivotField numFmtId="164" showAll="0"/>
    <pivotField numFmtId="164" showAll="0"/>
    <pivotField numFmtId="164" showAll="0"/>
    <pivotField numFmtId="164" showAll="0"/>
    <pivotField axis="axisRow" numFmtId="165" showAll="0">
      <items count="2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1"/>
        <item sd="0" x="2"/>
        <item sd="0" x="3"/>
        <item sd="0" x="4"/>
        <item sd="0" x="0"/>
        <item sd="0" x="5"/>
        <item t="default"/>
      </items>
    </pivotField>
    <pivotField axis="axisRow" showAll="0">
      <items count="6">
        <item sd="0" x="2"/>
        <item sd="0" x="0"/>
        <item sd="0" x="1"/>
        <item sd="0" x="3"/>
        <item sd="0" x="4"/>
        <item t="default"/>
      </items>
    </pivotField>
  </pivotFields>
  <rowFields count="4">
    <field x="25"/>
    <field x="24"/>
    <field x="23"/>
    <field x="21"/>
  </rowFields>
  <rowItems count="4">
    <i>
      <x/>
    </i>
    <i>
      <x v="2"/>
    </i>
    <i>
      <x v="3"/>
    </i>
    <i t="grand">
      <x/>
    </i>
  </rowItems>
  <colItems count="1">
    <i/>
  </colItems>
  <dataFields count="1">
    <dataField name="Sum of TotalSelling_Price" fld="11" baseField="0" baseItem="0" numFmtId="166"/>
  </dataFields>
  <formats count="1">
    <format dxfId="1">
      <pivotArea outline="0" collapsedLevelsAreSubtotals="1" fieldPosition="0"/>
    </format>
  </format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855CE4-A97E-4D03-AC46-D255CD8795DD}" name="Reg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rowHeaderCaption="Region">
  <location ref="T1:U4" firstHeaderRow="1" firstDataRow="1" firstDataCol="1"/>
  <pivotFields count="26">
    <pivotField showAll="0"/>
    <pivotField showAll="0"/>
    <pivotField showAll="0"/>
    <pivotField showAll="0"/>
    <pivotField showAll="0"/>
    <pivotField numFmtId="9" showAll="0"/>
    <pivotField showAll="0"/>
    <pivotField numFmtId="164" showAll="0"/>
    <pivotField numFmtId="9" showAll="0"/>
    <pivotField numFmtId="164" showAll="0"/>
    <pivotField numFmtId="164" showAll="0"/>
    <pivotField dataField="1" numFmtId="164" showAll="0"/>
    <pivotField showAll="0"/>
    <pivotField axis="axisRow" showAll="0">
      <items count="4">
        <item sd="0" x="2"/>
        <item sd="0" x="0"/>
        <item sd="0" x="1"/>
        <item t="default"/>
      </items>
    </pivotField>
    <pivotField axis="axisRow" showAll="0">
      <items count="7">
        <item x="5"/>
        <item x="0"/>
        <item x="3"/>
        <item x="4"/>
        <item x="2"/>
        <item x="1"/>
        <item t="default"/>
      </items>
    </pivotField>
    <pivotField showAll="0"/>
    <pivotField showAll="0"/>
    <pivotField numFmtId="164" showAll="0"/>
    <pivotField numFmtId="164" showAll="0"/>
    <pivotField numFmtId="164" showAll="0"/>
    <pivotField numFmtId="164" showAll="0"/>
    <pivotField numFmtId="165" showAll="0">
      <items count="2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6">
        <item sd="0" x="2"/>
        <item x="0"/>
        <item x="1"/>
        <item x="3"/>
        <item x="4"/>
        <item t="default"/>
      </items>
    </pivotField>
  </pivotFields>
  <rowFields count="2">
    <field x="13"/>
    <field x="14"/>
  </rowFields>
  <rowItems count="3">
    <i>
      <x/>
    </i>
    <i>
      <x v="1"/>
    </i>
    <i>
      <x v="2"/>
    </i>
  </rowItems>
  <colItems count="1">
    <i/>
  </colItems>
  <dataFields count="1">
    <dataField name="Sum of TotalSelling_Price" fld="11" baseField="0" baseItem="0"/>
  </dataFields>
  <chartFormats count="16">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3" count="1" selected="0">
            <x v="0"/>
          </reference>
        </references>
      </pivotArea>
    </chartFormat>
    <chartFormat chart="14" format="6">
      <pivotArea type="data" outline="0" fieldPosition="0">
        <references count="2">
          <reference field="4294967294" count="1" selected="0">
            <x v="0"/>
          </reference>
          <reference field="13" count="1" selected="0">
            <x v="1"/>
          </reference>
        </references>
      </pivotArea>
    </chartFormat>
    <chartFormat chart="14" format="7">
      <pivotArea type="data" outline="0" fieldPosition="0">
        <references count="2">
          <reference field="4294967294" count="1" selected="0">
            <x v="0"/>
          </reference>
          <reference field="13" count="1" selected="0">
            <x v="2"/>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3" count="1" selected="0">
            <x v="0"/>
          </reference>
        </references>
      </pivotArea>
    </chartFormat>
    <chartFormat chart="16" format="6">
      <pivotArea type="data" outline="0" fieldPosition="0">
        <references count="2">
          <reference field="4294967294" count="1" selected="0">
            <x v="0"/>
          </reference>
          <reference field="13" count="1" selected="0">
            <x v="1"/>
          </reference>
        </references>
      </pivotArea>
    </chartFormat>
    <chartFormat chart="16" format="7">
      <pivotArea type="data" outline="0" fieldPosition="0">
        <references count="2">
          <reference field="4294967294" count="1" selected="0">
            <x v="0"/>
          </reference>
          <reference field="13"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13" count="1" selected="0">
            <x v="0"/>
          </reference>
        </references>
      </pivotArea>
    </chartFormat>
    <chartFormat chart="17" format="10">
      <pivotArea type="data" outline="0" fieldPosition="0">
        <references count="2">
          <reference field="4294967294" count="1" selected="0">
            <x v="0"/>
          </reference>
          <reference field="13" count="1" selected="0">
            <x v="1"/>
          </reference>
        </references>
      </pivotArea>
    </chartFormat>
    <chartFormat chart="17" format="11">
      <pivotArea type="data" outline="0" fieldPosition="0">
        <references count="2">
          <reference field="4294967294" count="1" selected="0">
            <x v="0"/>
          </reference>
          <reference field="13"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3" count="1" selected="0">
            <x v="0"/>
          </reference>
        </references>
      </pivotArea>
    </chartFormat>
    <chartFormat chart="18" format="10">
      <pivotArea type="data" outline="0" fieldPosition="0">
        <references count="2">
          <reference field="4294967294" count="1" selected="0">
            <x v="0"/>
          </reference>
          <reference field="13" count="1" selected="0">
            <x v="1"/>
          </reference>
        </references>
      </pivotArea>
    </chartFormat>
    <chartFormat chart="18"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817431-6845-4C52-8C22-4652BC4FF67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rowHeaderCaption="Region">
  <location ref="W1:X3" firstHeaderRow="1" firstDataRow="1" firstDataCol="1"/>
  <pivotFields count="26">
    <pivotField showAll="0"/>
    <pivotField showAll="0"/>
    <pivotField showAll="0"/>
    <pivotField showAll="0"/>
    <pivotField showAll="0"/>
    <pivotField numFmtId="9" showAll="0"/>
    <pivotField showAll="0"/>
    <pivotField numFmtId="164" showAll="0"/>
    <pivotField numFmtId="9" showAll="0"/>
    <pivotField numFmtId="164" showAll="0"/>
    <pivotField numFmtId="164" showAll="0"/>
    <pivotField dataField="1" numFmtId="164" showAll="0"/>
    <pivotField showAll="0"/>
    <pivotField showAll="0"/>
    <pivotField showAll="0"/>
    <pivotField showAll="0"/>
    <pivotField showAll="0"/>
    <pivotField numFmtId="164" showAll="0"/>
    <pivotField numFmtId="164" showAll="0"/>
    <pivotField numFmtId="164" showAll="0"/>
    <pivotField numFmtId="164" showAll="0"/>
    <pivotField numFmtId="165" showAll="0">
      <items count="2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t="default"/>
      </items>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6">
        <item sd="0" x="2"/>
        <item x="0"/>
        <item x="1"/>
        <item x="3"/>
        <item x="4"/>
        <item t="default"/>
      </items>
    </pivotField>
  </pivotFields>
  <rowFields count="1">
    <field x="22"/>
  </rowFields>
  <rowItems count="2">
    <i>
      <x/>
    </i>
    <i>
      <x v="1"/>
    </i>
  </rowItems>
  <colItems count="1">
    <i/>
  </colItems>
  <dataFields count="1">
    <dataField name="Sum of TotalSelling_Price" fld="11" baseField="0" baseItem="0"/>
  </dataFields>
  <chartFormats count="8">
    <chartFormat chart="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22" count="1" selected="0">
            <x v="0"/>
          </reference>
        </references>
      </pivotArea>
    </chartFormat>
    <chartFormat chart="23" format="6">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DF4DD1-D6B1-418F-ABD5-3203B409EE2F}" name="Product_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Product_Category">
  <location ref="Q1:R9" firstHeaderRow="1" firstDataRow="1" firstDataCol="1"/>
  <pivotFields count="26">
    <pivotField showAll="0"/>
    <pivotField axis="axisRow" showAll="0">
      <items count="9">
        <item x="4"/>
        <item x="5"/>
        <item x="0"/>
        <item x="2"/>
        <item x="7"/>
        <item x="3"/>
        <item x="6"/>
        <item x="1"/>
        <item t="default"/>
      </items>
    </pivotField>
    <pivotField showAll="0"/>
    <pivotField showAll="0"/>
    <pivotField showAll="0"/>
    <pivotField numFmtId="9" showAll="0"/>
    <pivotField showAll="0"/>
    <pivotField numFmtId="164" showAll="0"/>
    <pivotField numFmtId="9" showAll="0"/>
    <pivotField numFmtId="164" showAll="0"/>
    <pivotField numFmtId="164" showAll="0"/>
    <pivotField dataField="1" numFmtId="164" showAll="0"/>
    <pivotField showAll="0"/>
    <pivotField showAll="0">
      <items count="4">
        <item x="2"/>
        <item x="0"/>
        <item x="1"/>
        <item t="default"/>
      </items>
    </pivotField>
    <pivotField showAll="0"/>
    <pivotField showAll="0"/>
    <pivotField showAll="0"/>
    <pivotField numFmtId="164" showAll="0"/>
    <pivotField numFmtId="164" showAll="0"/>
    <pivotField numFmtId="164" showAll="0"/>
    <pivotField numFmtId="164" showAll="0"/>
    <pivotField numFmtId="165" showAll="0">
      <items count="2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6">
        <item sd="0" x="2"/>
        <item x="0"/>
        <item x="1"/>
        <item x="3"/>
        <item x="4"/>
        <item t="default"/>
      </items>
    </pivotField>
  </pivotFields>
  <rowFields count="1">
    <field x="1"/>
  </rowFields>
  <rowItems count="8">
    <i>
      <x/>
    </i>
    <i>
      <x v="1"/>
    </i>
    <i>
      <x v="2"/>
    </i>
    <i>
      <x v="3"/>
    </i>
    <i>
      <x v="4"/>
    </i>
    <i>
      <x v="5"/>
    </i>
    <i>
      <x v="6"/>
    </i>
    <i>
      <x v="7"/>
    </i>
  </rowItems>
  <colItems count="1">
    <i/>
  </colItems>
  <dataFields count="1">
    <dataField name="Sum of TotalSelling_Price" fld="11" baseField="0" baseItem="0" numFmtId="44"/>
  </dataFields>
  <formats count="1">
    <format dxfId="2">
      <pivotArea outline="0" collapsedLevelsAreSubtotals="1" fieldPosition="0"/>
    </format>
  </formats>
  <chartFormats count="28">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3"/>
          </reference>
        </references>
      </pivotArea>
    </chartFormat>
    <chartFormat chart="6" format="22">
      <pivotArea type="data" outline="0" fieldPosition="0">
        <references count="2">
          <reference field="4294967294" count="1" selected="0">
            <x v="0"/>
          </reference>
          <reference field="1" count="1" selected="0">
            <x v="6"/>
          </reference>
        </references>
      </pivotArea>
    </chartFormat>
    <chartFormat chart="6" format="23">
      <pivotArea type="data" outline="0" fieldPosition="0">
        <references count="2">
          <reference field="4294967294" count="1" selected="0">
            <x v="0"/>
          </reference>
          <reference field="1" count="1" selected="0">
            <x v="7"/>
          </reference>
        </references>
      </pivotArea>
    </chartFormat>
    <chartFormat chart="6" format="24">
      <pivotArea type="data" outline="0" fieldPosition="0">
        <references count="2">
          <reference field="4294967294" count="1" selected="0">
            <x v="0"/>
          </reference>
          <reference field="1" count="1" selected="0">
            <x v="2"/>
          </reference>
        </references>
      </pivotArea>
    </chartFormat>
    <chartFormat chart="6" format="25">
      <pivotArea type="data" outline="0" fieldPosition="0">
        <references count="2">
          <reference field="4294967294" count="1" selected="0">
            <x v="0"/>
          </reference>
          <reference field="1" count="1" selected="0">
            <x v="5"/>
          </reference>
        </references>
      </pivotArea>
    </chartFormat>
    <chartFormat chart="6" format="26">
      <pivotArea type="data" outline="0" fieldPosition="0">
        <references count="2">
          <reference field="4294967294" count="1" selected="0">
            <x v="0"/>
          </reference>
          <reference field="1"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 chart="11" format="5">
      <pivotArea type="data" outline="0" fieldPosition="0">
        <references count="2">
          <reference field="4294967294" count="1" selected="0">
            <x v="0"/>
          </reference>
          <reference field="1" count="1" selected="0">
            <x v="3"/>
          </reference>
        </references>
      </pivotArea>
    </chartFormat>
    <chartFormat chart="11" format="6">
      <pivotArea type="data" outline="0" fieldPosition="0">
        <references count="2">
          <reference field="4294967294" count="1" selected="0">
            <x v="0"/>
          </reference>
          <reference field="1" count="1" selected="0">
            <x v="4"/>
          </reference>
        </references>
      </pivotArea>
    </chartFormat>
    <chartFormat chart="11" format="7">
      <pivotArea type="data" outline="0" fieldPosition="0">
        <references count="2">
          <reference field="4294967294" count="1" selected="0">
            <x v="0"/>
          </reference>
          <reference field="1" count="1" selected="0">
            <x v="5"/>
          </reference>
        </references>
      </pivotArea>
    </chartFormat>
    <chartFormat chart="11" format="8">
      <pivotArea type="data" outline="0" fieldPosition="0">
        <references count="2">
          <reference field="4294967294" count="1" selected="0">
            <x v="0"/>
          </reference>
          <reference field="1" count="1" selected="0">
            <x v="6"/>
          </reference>
        </references>
      </pivotArea>
    </chartFormat>
    <chartFormat chart="11" format="9">
      <pivotArea type="data" outline="0" fieldPosition="0">
        <references count="2">
          <reference field="4294967294" count="1" selected="0">
            <x v="0"/>
          </reference>
          <reference field="1" count="1" selected="0">
            <x v="7"/>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 count="1" selected="0">
            <x v="0"/>
          </reference>
        </references>
      </pivotArea>
    </chartFormat>
    <chartFormat chart="12" format="12">
      <pivotArea type="data" outline="0" fieldPosition="0">
        <references count="2">
          <reference field="4294967294" count="1" selected="0">
            <x v="0"/>
          </reference>
          <reference field="1" count="1" selected="0">
            <x v="1"/>
          </reference>
        </references>
      </pivotArea>
    </chartFormat>
    <chartFormat chart="12" format="13">
      <pivotArea type="data" outline="0" fieldPosition="0">
        <references count="2">
          <reference field="4294967294" count="1" selected="0">
            <x v="0"/>
          </reference>
          <reference field="1" count="1" selected="0">
            <x v="2"/>
          </reference>
        </references>
      </pivotArea>
    </chartFormat>
    <chartFormat chart="12" format="14">
      <pivotArea type="data" outline="0" fieldPosition="0">
        <references count="2">
          <reference field="4294967294" count="1" selected="0">
            <x v="0"/>
          </reference>
          <reference field="1" count="1" selected="0">
            <x v="3"/>
          </reference>
        </references>
      </pivotArea>
    </chartFormat>
    <chartFormat chart="12" format="15">
      <pivotArea type="data" outline="0" fieldPosition="0">
        <references count="2">
          <reference field="4294967294" count="1" selected="0">
            <x v="0"/>
          </reference>
          <reference field="1" count="1" selected="0">
            <x v="4"/>
          </reference>
        </references>
      </pivotArea>
    </chartFormat>
    <chartFormat chart="12" format="16">
      <pivotArea type="data" outline="0" fieldPosition="0">
        <references count="2">
          <reference field="4294967294" count="1" selected="0">
            <x v="0"/>
          </reference>
          <reference field="1" count="1" selected="0">
            <x v="5"/>
          </reference>
        </references>
      </pivotArea>
    </chartFormat>
    <chartFormat chart="12" format="17">
      <pivotArea type="data" outline="0" fieldPosition="0">
        <references count="2">
          <reference field="4294967294" count="1" selected="0">
            <x v="0"/>
          </reference>
          <reference field="1" count="1" selected="0">
            <x v="6"/>
          </reference>
        </references>
      </pivotArea>
    </chartFormat>
    <chartFormat chart="12" format="1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D5FB15-402D-45C6-8371-FA6E38A904DB}" name="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G1:I13" firstHeaderRow="0" firstDataRow="1" firstDataCol="1"/>
  <pivotFields count="26">
    <pivotField showAll="0"/>
    <pivotField showAll="0"/>
    <pivotField showAll="0"/>
    <pivotField showAll="0"/>
    <pivotField showAll="0"/>
    <pivotField numFmtId="9" showAll="0"/>
    <pivotField showAll="0"/>
    <pivotField dataField="1" numFmtId="164" showAll="0"/>
    <pivotField numFmtId="9" showAll="0"/>
    <pivotField numFmtId="164" showAll="0"/>
    <pivotField numFmtId="164" showAll="0"/>
    <pivotField dataField="1" numFmtId="164" showAll="0"/>
    <pivotField showAll="0"/>
    <pivotField showAll="0">
      <items count="4">
        <item x="2"/>
        <item x="0"/>
        <item x="1"/>
        <item t="default"/>
      </items>
    </pivotField>
    <pivotField showAll="0"/>
    <pivotField showAll="0"/>
    <pivotField showAll="0"/>
    <pivotField numFmtId="164" showAll="0"/>
    <pivotField numFmtId="164" showAll="0"/>
    <pivotField numFmtId="164" showAll="0"/>
    <pivotField numFmtId="164" showAll="0"/>
    <pivotField numFmtId="165" showAll="0">
      <items count="2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6">
        <item sd="0" x="2"/>
        <item x="0"/>
        <item x="1"/>
        <item x="3"/>
        <item x="4"/>
        <item t="default"/>
      </items>
    </pivotField>
  </pivotFields>
  <rowFields count="1">
    <field x="23"/>
  </rowFields>
  <rowItems count="12">
    <i>
      <x v="1"/>
    </i>
    <i>
      <x v="2"/>
    </i>
    <i>
      <x v="3"/>
    </i>
    <i>
      <x v="4"/>
    </i>
    <i>
      <x v="5"/>
    </i>
    <i>
      <x v="6"/>
    </i>
    <i>
      <x v="7"/>
    </i>
    <i>
      <x v="8"/>
    </i>
    <i>
      <x v="9"/>
    </i>
    <i>
      <x v="10"/>
    </i>
    <i>
      <x v="11"/>
    </i>
    <i>
      <x v="12"/>
    </i>
  </rowItems>
  <colFields count="1">
    <field x="-2"/>
  </colFields>
  <colItems count="2">
    <i>
      <x/>
    </i>
    <i i="1">
      <x v="1"/>
    </i>
  </colItems>
  <dataFields count="2">
    <dataField name="Sum of Total_CP" fld="7" baseField="0" baseItem="0"/>
    <dataField name="Sum of TotalSelling_Price" fld="11"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5274A890-6F65-465F-B6C9-BF347F6B8411}" sourceName="Payment Mode">
  <pivotTables>
    <pivotTable tabId="3" name="Year"/>
    <pivotTable tabId="3" name="Monthly"/>
    <pivotTable tabId="3" name="Product_category"/>
    <pivotTable tabId="3" name="Region"/>
    <pivotTable tabId="3" name="Total Sales"/>
    <pivotTable tabId="3" name="PivotTable1"/>
  </pivotTables>
  <data>
    <tabular pivotCacheId="189769006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4FEEF8F-2BC2-4055-9E48-E4F691B8EDFC}" sourceName="Months (Date)">
  <pivotTables>
    <pivotTable tabId="3" name="Year"/>
    <pivotTable tabId="3" name="Product_category"/>
    <pivotTable tabId="3" name="Region"/>
    <pivotTable tabId="3" name="Total Sales"/>
    <pivotTable tabId="3" name="Monthly"/>
    <pivotTable tabId="3" name="PivotTable1"/>
  </pivotTables>
  <data>
    <tabular pivotCacheId="1897690064">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BD4DF2-F12E-49B1-BC28-8D87F72FB820}" sourceName="Region">
  <pivotTables>
    <pivotTable tabId="3" name="Year"/>
    <pivotTable tabId="3" name="Monthly"/>
    <pivotTable tabId="3" name="Product_category"/>
    <pivotTable tabId="3" name="Total Sales"/>
  </pivotTables>
  <data>
    <tabular pivotCacheId="1897690064">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7285B05-8C7F-4727-8E50-AD7D5E72622D}" sourceName="Years (Date)">
  <pivotTables>
    <pivotTable tabId="3" name="Monthly"/>
    <pivotTable tabId="3" name="Product_category"/>
    <pivotTable tabId="3" name="Region"/>
    <pivotTable tabId="3" name="Total Sales"/>
    <pivotTable tabId="3" name="PivotTable1"/>
    <pivotTable tabId="3" name="Year"/>
  </pivotTables>
  <data>
    <tabular pivotCacheId="1897690064">
      <items count="5">
        <i x="1" s="1"/>
        <i x="2" s="1"/>
        <i x="3" s="1"/>
        <i x="0"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DD269EF1-3E9D-467F-BA02-C600E3540A08}" sourceName="Quarters (Date)">
  <pivotTables>
    <pivotTable tabId="3" name="Year"/>
  </pivotTables>
  <data>
    <tabular pivotCacheId="189769006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316E9F61-9114-4697-AA32-5BCCC9544874}" cache="Slicer_Payment_Mode" caption="Payment Mode" columnCount="2" style="SlicerStyleLight4" rowHeight="241300"/>
  <slicer name="Months (Date)" xr10:uid="{9B1FF863-EB96-4CFF-957C-13B923D56CCC}" cache="Slicer_Months__Date" caption="Months (Date)" style="SlicerStyleLight4" rowHeight="241300"/>
  <slicer name="Region" xr10:uid="{8F0195B4-669E-4AC2-9F65-5346CAF8C404}" cache="Slicer_Region" caption="Region" columnCount="3" style="SlicerStyleLight4" rowHeight="241300"/>
  <slicer name="Years (Date)" xr10:uid="{2EC7CBA6-7EDC-42BB-86FE-07AF4A455888}" cache="Slicer_Years__Date" caption="Years (Date)" columnCount="3" style="SlicerStyleLight4" rowHeight="241300"/>
  <slicer name="Quarters (Date)" xr10:uid="{4BDC6FB0-1946-4FA4-8CA0-D566AADC7C18}" cache="Slicer_Quarters__Date" caption="Quarters (Dat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07AD4E-DE18-461E-8384-E00C7872B891}" name="Table1" displayName="Table1" ref="A1:W151" totalsRowShown="0" headerRowDxfId="23">
  <autoFilter ref="A1:W151" xr:uid="{5C07AD4E-DE18-461E-8384-E00C7872B891}"/>
  <tableColumns count="23">
    <tableColumn id="1" xr3:uid="{4CFFA145-B24A-433C-BE40-3511EE68BF30}" name="Product_ID"/>
    <tableColumn id="2" xr3:uid="{03E293BB-1E81-48E8-B96A-FCBF91E873FB}" name="Product_Category"/>
    <tableColumn id="3" xr3:uid="{2A358FC8-1F28-4710-9E32-D48F166A7BD1}" name="Product_Name"/>
    <tableColumn id="4" xr3:uid="{49401338-857C-40CE-A11F-F487E9B7098C}" name="HSN_N0" dataDxfId="22">
      <calculatedColumnFormula>VLOOKUP(Table1[[#This Row],[Product_Category]],HSNTABLE,2,FALSE)</calculatedColumnFormula>
    </tableColumn>
    <tableColumn id="5" xr3:uid="{CE58F400-2F0B-46D5-97DC-7E9330AE6323}" name="Cost_Price" dataDxfId="21"/>
    <tableColumn id="6" xr3:uid="{E3B1F893-1B89-45BF-8C6C-B8AB0108743D}" name="GST%" dataDxfId="20" dataCellStyle="Percent">
      <calculatedColumnFormula>VLOOKUP(Table1[[#This Row],[Product_Category]],HSNTABLE,3,FALSE)</calculatedColumnFormula>
    </tableColumn>
    <tableColumn id="7" xr3:uid="{BD11D173-1730-4481-B1A4-4F17364D4441}" name="GST_AMT" dataDxfId="19">
      <calculatedColumnFormula>Table1[[#This Row],[Cost_Price]]*Table1[[#This Row],[GST%]]</calculatedColumnFormula>
    </tableColumn>
    <tableColumn id="8" xr3:uid="{E898220A-DA4D-43EE-AB6F-3118B2398F4D}" name="Total_CP" dataDxfId="18">
      <calculatedColumnFormula>ROUNDUP(Table1[[#This Row],[Cost_Price]]+Table1[[#This Row],[GST_AMT]],0)</calculatedColumnFormula>
    </tableColumn>
    <tableColumn id="9" xr3:uid="{627E219D-A426-451A-A963-2348FFB67703}" name="Margin%" dataDxfId="17" dataCellStyle="Percent">
      <calculatedColumnFormula>VLOOKUP(Table1[[#This Row],[Product_Category]],HSNTABLE,4,FALSE)</calculatedColumnFormula>
    </tableColumn>
    <tableColumn id="10" xr3:uid="{C991A18D-B132-47E6-91CE-2A6EE56199EC}" name="Margin_amt" dataDxfId="16">
      <calculatedColumnFormula>Table1[[#This Row],[Total_CP]]*Table1[[#This Row],[Margin%]]</calculatedColumnFormula>
    </tableColumn>
    <tableColumn id="11" xr3:uid="{691855EA-35BE-404D-9B48-6E75FA008AC1}" name="Gst_on_Margin_amt" dataDxfId="15">
      <calculatedColumnFormula>Table1[[#This Row],[Margin_amt]]*Table1[[#This Row],[GST%]]</calculatedColumnFormula>
    </tableColumn>
    <tableColumn id="12" xr3:uid="{F41EADF7-F4CA-4171-9A51-795EC9041B74}" name="TotalSelling_Price" dataDxfId="14">
      <calculatedColumnFormula>ROUNDUP(Table1[[#This Row],[Total_CP]]+Table1[[#This Row],[Margin_amt]]+Table1[[#This Row],[Gst_on_Margin_amt]],0)</calculatedColumnFormula>
    </tableColumn>
    <tableColumn id="13" xr3:uid="{D99C9552-2D61-4479-AEEB-6348FEC4958A}" name="Godown" dataDxfId="13"/>
    <tableColumn id="14" xr3:uid="{8B9E8568-64F1-4C7E-8156-D98017538EA7}" name="Region" dataDxfId="12">
      <calculatedColumnFormula>VLOOKUP(Table1[[#This Row],[Godown]],MasterSheet!$F$1:$G$5,2,FALSE)</calculatedColumnFormula>
    </tableColumn>
    <tableColumn id="15" xr3:uid="{93B5184F-05D6-44A9-8559-21048544BFCB}" name="Sales_Person"/>
    <tableColumn id="16" xr3:uid="{30B032EF-5B27-45E4-A368-D76972EF10CE}" name="Qty_Purchased" dataDxfId="11">
      <calculatedColumnFormula>100</calculatedColumnFormula>
    </tableColumn>
    <tableColumn id="17" xr3:uid="{380D902C-FE46-4811-A689-7FD08F5922C9}" name="Qty_Sold" dataDxfId="10"/>
    <tableColumn id="18" xr3:uid="{06E24BB8-1928-49C8-83FA-82D5993B9F3E}" name="Revenue_Invested" dataDxfId="9">
      <calculatedColumnFormula>Table1[[#This Row],[Total_CP]]*Table1[[#This Row],[Qty_Purchased]]</calculatedColumnFormula>
    </tableColumn>
    <tableColumn id="19" xr3:uid="{728370C1-9CDD-4BC0-8700-B898E297B892}" name="CP_Qty_Sold" dataDxfId="8">
      <calculatedColumnFormula>Table1[[#This Row],[Total_CP]]*Table1[[#This Row],[Qty_Sold]]</calculatedColumnFormula>
    </tableColumn>
    <tableColumn id="20" xr3:uid="{C30490CF-6CAF-4056-B971-F77233BE0F94}" name="SP_Qty_Sold" dataDxfId="7">
      <calculatedColumnFormula>Table1[[#This Row],[TotalSelling_Price]]*Table1[[#This Row],[Qty_Sold]]</calculatedColumnFormula>
    </tableColumn>
    <tableColumn id="21" xr3:uid="{5E5CF461-8085-4208-BA5A-09051F19B3B5}" name="Profit_Loss" dataDxfId="6">
      <calculatedColumnFormula>Table1[[#This Row],[SP_Qty_Sold]]-Table1[[#This Row],[CP_Qty_Sold]]</calculatedColumnFormula>
    </tableColumn>
    <tableColumn id="22" xr3:uid="{6BF13E3A-01CE-43AB-8564-0FE491FDA428}" name="Date" dataDxfId="5"/>
    <tableColumn id="23" xr3:uid="{25F19020-F80B-44BE-A7E7-F6CCD95D68F4}" name="Payment Mode" dataDxfId="4"/>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ctrlProp" Target="../ctrlProps/ctrlProp2.xml"/><Relationship Id="rId4" Type="http://schemas.openxmlformats.org/officeDocument/2006/relationships/pivotTable" Target="../pivotTables/pivotTable4.xml"/><Relationship Id="rId9"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B08B5-0D5A-4E11-8BB8-B45CE494B0FF}">
  <dimension ref="AI13"/>
  <sheetViews>
    <sheetView tabSelected="1" topLeftCell="A2" zoomScale="56" zoomScaleNormal="69" workbookViewId="0">
      <selection activeCell="AI27" sqref="AI27"/>
    </sheetView>
  </sheetViews>
  <sheetFormatPr defaultRowHeight="14.5" x14ac:dyDescent="0.35"/>
  <sheetData>
    <row r="13" spans="35:35" x14ac:dyDescent="0.35">
      <c r="AI1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F461-95F9-4322-A633-867DF6A954B7}">
  <dimension ref="A1:W151"/>
  <sheetViews>
    <sheetView zoomScale="76" zoomScaleNormal="100" workbookViewId="0">
      <selection activeCell="E2" sqref="E2:E151"/>
    </sheetView>
  </sheetViews>
  <sheetFormatPr defaultRowHeight="14.5" x14ac:dyDescent="0.35"/>
  <cols>
    <col min="1" max="1" width="10.08984375" customWidth="1"/>
    <col min="2" max="2" width="22.54296875" customWidth="1"/>
    <col min="3" max="3" width="17.26953125" customWidth="1"/>
    <col min="4" max="4" width="12.453125" customWidth="1"/>
    <col min="5" max="5" width="15.90625" customWidth="1"/>
    <col min="6" max="6" width="11.453125" style="3" customWidth="1"/>
    <col min="7" max="7" width="16.54296875" customWidth="1"/>
    <col min="8" max="8" width="17.81640625" style="5" customWidth="1"/>
    <col min="9" max="9" width="9.36328125" style="3" customWidth="1"/>
    <col min="10" max="10" width="14.7265625" style="5" customWidth="1"/>
    <col min="11" max="11" width="16.08984375" customWidth="1"/>
    <col min="12" max="12" width="18.453125" style="5" customWidth="1"/>
    <col min="13" max="13" width="15" customWidth="1"/>
    <col min="14" max="15" width="13.1796875" customWidth="1"/>
    <col min="16" max="16" width="12.36328125" customWidth="1"/>
    <col min="17" max="17" width="9.54296875" customWidth="1"/>
    <col min="18" max="18" width="13.36328125" customWidth="1"/>
    <col min="19" max="19" width="11.453125" customWidth="1"/>
    <col min="20" max="20" width="19.54296875" customWidth="1"/>
    <col min="21" max="21" width="13.6328125" customWidth="1"/>
    <col min="22" max="22" width="26.7265625" customWidth="1"/>
    <col min="23" max="23" width="6.26953125" bestFit="1" customWidth="1"/>
  </cols>
  <sheetData>
    <row r="1" spans="1:23" x14ac:dyDescent="0.35">
      <c r="A1" s="1" t="s">
        <v>0</v>
      </c>
      <c r="B1" s="1" t="s">
        <v>1</v>
      </c>
      <c r="C1" s="1" t="s">
        <v>2</v>
      </c>
      <c r="D1" s="1" t="s">
        <v>3</v>
      </c>
      <c r="E1" s="1" t="s">
        <v>4</v>
      </c>
      <c r="F1" s="2" t="s">
        <v>5</v>
      </c>
      <c r="G1" s="1" t="s">
        <v>7</v>
      </c>
      <c r="H1" s="4" t="s">
        <v>6</v>
      </c>
      <c r="I1" s="2" t="s">
        <v>8</v>
      </c>
      <c r="J1" s="4" t="s">
        <v>9</v>
      </c>
      <c r="K1" s="1" t="s">
        <v>10</v>
      </c>
      <c r="L1" s="4" t="s">
        <v>178</v>
      </c>
      <c r="M1" s="1" t="s">
        <v>11</v>
      </c>
      <c r="N1" s="1" t="s">
        <v>12</v>
      </c>
      <c r="O1" s="1" t="s">
        <v>13</v>
      </c>
      <c r="P1" s="1" t="s">
        <v>14</v>
      </c>
      <c r="Q1" s="1" t="s">
        <v>15</v>
      </c>
      <c r="R1" s="1" t="s">
        <v>16</v>
      </c>
      <c r="S1" s="1" t="s">
        <v>17</v>
      </c>
      <c r="T1" s="1" t="s">
        <v>18</v>
      </c>
      <c r="U1" s="1" t="s">
        <v>19</v>
      </c>
      <c r="V1" s="1" t="s">
        <v>349</v>
      </c>
      <c r="W1" s="1" t="s">
        <v>350</v>
      </c>
    </row>
    <row r="2" spans="1:23" x14ac:dyDescent="0.35">
      <c r="A2" t="s">
        <v>188</v>
      </c>
      <c r="B2" t="s">
        <v>21</v>
      </c>
      <c r="C2" t="s">
        <v>28</v>
      </c>
      <c r="D2">
        <f>VLOOKUP(Table1[[#This Row],[Product_Category]],HSNTABLE,2,FALSE)</f>
        <v>9963</v>
      </c>
      <c r="E2">
        <v>700</v>
      </c>
      <c r="F2" s="3">
        <f>VLOOKUP(Table1[[#This Row],[Product_Category]],HSNTABLE,3,FALSE)</f>
        <v>0.18</v>
      </c>
      <c r="G2">
        <f>Table1[[#This Row],[Cost_Price]]*Table1[[#This Row],[GST%]]</f>
        <v>126</v>
      </c>
      <c r="H2" s="5">
        <f>ROUNDUP(Table1[[#This Row],[Cost_Price]]+Table1[[#This Row],[GST_AMT]],0)</f>
        <v>826</v>
      </c>
      <c r="I2" s="3">
        <f>VLOOKUP(Table1[[#This Row],[Product_Category]],HSNTABLE,4,FALSE)</f>
        <v>0.2</v>
      </c>
      <c r="J2" s="5">
        <f>Table1[[#This Row],[Total_CP]]*Table1[[#This Row],[Margin%]]</f>
        <v>165.20000000000002</v>
      </c>
      <c r="K2" s="5">
        <f>Table1[[#This Row],[Margin_amt]]*Table1[[#This Row],[GST%]]</f>
        <v>29.736000000000001</v>
      </c>
      <c r="L2" s="5">
        <f>ROUNDUP(Table1[[#This Row],[Total_CP]]+Table1[[#This Row],[Margin_amt]]+Table1[[#This Row],[Gst_on_Margin_amt]],0)</f>
        <v>1021</v>
      </c>
      <c r="M2" t="s">
        <v>183</v>
      </c>
      <c r="N2" t="str">
        <f>VLOOKUP(Table1[[#This Row],[Godown]],MasterSheet!$F$1:$G$5,2,FALSE)</f>
        <v>South</v>
      </c>
      <c r="O2" t="s">
        <v>342</v>
      </c>
      <c r="P2">
        <f>100</f>
        <v>100</v>
      </c>
      <c r="Q2">
        <v>45</v>
      </c>
      <c r="R2" s="5">
        <f>Table1[[#This Row],[Total_CP]]*Table1[[#This Row],[Qty_Purchased]]</f>
        <v>82600</v>
      </c>
      <c r="S2" s="5">
        <f>Table1[[#This Row],[Total_CP]]*Table1[[#This Row],[Qty_Sold]]</f>
        <v>37170</v>
      </c>
      <c r="T2" s="5">
        <f>Table1[[#This Row],[TotalSelling_Price]]*Table1[[#This Row],[Qty_Sold]]</f>
        <v>45945</v>
      </c>
      <c r="U2" s="5">
        <f>Table1[[#This Row],[SP_Qty_Sold]]-Table1[[#This Row],[CP_Qty_Sold]]</f>
        <v>8775</v>
      </c>
      <c r="V2" s="9">
        <v>44562</v>
      </c>
      <c r="W2" s="5" t="s">
        <v>351</v>
      </c>
    </row>
    <row r="3" spans="1:23" x14ac:dyDescent="0.35">
      <c r="A3" t="s">
        <v>189</v>
      </c>
      <c r="B3" t="s">
        <v>21</v>
      </c>
      <c r="C3" t="s">
        <v>29</v>
      </c>
      <c r="D3">
        <f>VLOOKUP(Table1[[#This Row],[Product_Category]],HSNTABLE,2,FALSE)</f>
        <v>9963</v>
      </c>
      <c r="E3">
        <v>369</v>
      </c>
      <c r="F3" s="3">
        <f>VLOOKUP(Table1[[#This Row],[Product_Category]],HSNTABLE,3,FALSE)</f>
        <v>0.18</v>
      </c>
      <c r="G3">
        <f>Table1[[#This Row],[Cost_Price]]*Table1[[#This Row],[GST%]]</f>
        <v>66.42</v>
      </c>
      <c r="H3" s="5">
        <f>ROUNDUP(Table1[[#This Row],[Cost_Price]]+Table1[[#This Row],[GST_AMT]],0)</f>
        <v>436</v>
      </c>
      <c r="I3" s="3">
        <f>VLOOKUP(Table1[[#This Row],[Product_Category]],HSNTABLE,4,FALSE)</f>
        <v>0.2</v>
      </c>
      <c r="J3" s="5">
        <f>Table1[[#This Row],[Total_CP]]*Table1[[#This Row],[Margin%]]</f>
        <v>87.2</v>
      </c>
      <c r="K3" s="5">
        <f>Table1[[#This Row],[Margin_amt]]*Table1[[#This Row],[GST%]]</f>
        <v>15.696</v>
      </c>
      <c r="L3" s="5">
        <f>ROUNDUP(Table1[[#This Row],[Total_CP]]+Table1[[#This Row],[Margin_amt]]+Table1[[#This Row],[Gst_on_Margin_amt]],0)</f>
        <v>539</v>
      </c>
      <c r="M3" t="s">
        <v>185</v>
      </c>
      <c r="N3" t="str">
        <f>VLOOKUP(Table1[[#This Row],[Godown]],MasterSheet!$F$1:$G$5,2,FALSE)</f>
        <v>West</v>
      </c>
      <c r="O3" t="s">
        <v>344</v>
      </c>
      <c r="P3">
        <f>100</f>
        <v>100</v>
      </c>
      <c r="Q3">
        <v>30</v>
      </c>
      <c r="R3" s="5">
        <f>Table1[[#This Row],[Total_CP]]*Table1[[#This Row],[Qty_Purchased]]</f>
        <v>43600</v>
      </c>
      <c r="S3" s="5">
        <f>Table1[[#This Row],[Total_CP]]*Table1[[#This Row],[Qty_Sold]]</f>
        <v>13080</v>
      </c>
      <c r="T3" s="5">
        <f>Table1[[#This Row],[TotalSelling_Price]]*Table1[[#This Row],[Qty_Sold]]</f>
        <v>16170</v>
      </c>
      <c r="U3" s="5">
        <f>Table1[[#This Row],[SP_Qty_Sold]]-Table1[[#This Row],[CP_Qty_Sold]]</f>
        <v>3090</v>
      </c>
      <c r="V3" s="9">
        <f>V2+5</f>
        <v>44567</v>
      </c>
      <c r="W3" s="5" t="s">
        <v>352</v>
      </c>
    </row>
    <row r="4" spans="1:23" x14ac:dyDescent="0.35">
      <c r="A4" t="s">
        <v>190</v>
      </c>
      <c r="B4" t="s">
        <v>21</v>
      </c>
      <c r="C4" t="s">
        <v>30</v>
      </c>
      <c r="D4">
        <f>VLOOKUP(Table1[[#This Row],[Product_Category]],HSNTABLE,2,FALSE)</f>
        <v>9963</v>
      </c>
      <c r="E4">
        <v>676</v>
      </c>
      <c r="F4" s="3">
        <f>VLOOKUP(Table1[[#This Row],[Product_Category]],HSNTABLE,3,FALSE)</f>
        <v>0.18</v>
      </c>
      <c r="G4">
        <f>Table1[[#This Row],[Cost_Price]]*Table1[[#This Row],[GST%]]</f>
        <v>121.67999999999999</v>
      </c>
      <c r="H4" s="5">
        <f>ROUNDUP(Table1[[#This Row],[Cost_Price]]+Table1[[#This Row],[GST_AMT]],0)</f>
        <v>798</v>
      </c>
      <c r="I4" s="3">
        <f>VLOOKUP(Table1[[#This Row],[Product_Category]],HSNTABLE,4,FALSE)</f>
        <v>0.2</v>
      </c>
      <c r="J4" s="5">
        <f>Table1[[#This Row],[Total_CP]]*Table1[[#This Row],[Margin%]]</f>
        <v>159.60000000000002</v>
      </c>
      <c r="K4" s="5">
        <f>Table1[[#This Row],[Margin_amt]]*Table1[[#This Row],[GST%]]</f>
        <v>28.728000000000002</v>
      </c>
      <c r="L4" s="5">
        <f>ROUNDUP(Table1[[#This Row],[Total_CP]]+Table1[[#This Row],[Margin_amt]]+Table1[[#This Row],[Gst_on_Margin_amt]],0)</f>
        <v>987</v>
      </c>
      <c r="M4" t="s">
        <v>184</v>
      </c>
      <c r="N4" t="str">
        <f>VLOOKUP(Table1[[#This Row],[Godown]],MasterSheet!$F$1:$G$5,2,FALSE)</f>
        <v>East</v>
      </c>
      <c r="O4" t="s">
        <v>343</v>
      </c>
      <c r="P4">
        <f>100</f>
        <v>100</v>
      </c>
      <c r="Q4">
        <v>29</v>
      </c>
      <c r="R4" s="5">
        <f>Table1[[#This Row],[Total_CP]]*Table1[[#This Row],[Qty_Purchased]]</f>
        <v>79800</v>
      </c>
      <c r="S4" s="5">
        <f>Table1[[#This Row],[Total_CP]]*Table1[[#This Row],[Qty_Sold]]</f>
        <v>23142</v>
      </c>
      <c r="T4" s="5">
        <f>Table1[[#This Row],[TotalSelling_Price]]*Table1[[#This Row],[Qty_Sold]]</f>
        <v>28623</v>
      </c>
      <c r="U4" s="5">
        <f>Table1[[#This Row],[SP_Qty_Sold]]-Table1[[#This Row],[CP_Qty_Sold]]</f>
        <v>5481</v>
      </c>
      <c r="V4" s="9">
        <f t="shared" ref="V4:V67" si="0">V3+5</f>
        <v>44572</v>
      </c>
      <c r="W4" s="5" t="s">
        <v>351</v>
      </c>
    </row>
    <row r="5" spans="1:23" x14ac:dyDescent="0.35">
      <c r="A5" t="s">
        <v>191</v>
      </c>
      <c r="B5" t="s">
        <v>21</v>
      </c>
      <c r="C5" t="s">
        <v>31</v>
      </c>
      <c r="D5">
        <f>VLOOKUP(Table1[[#This Row],[Product_Category]],HSNTABLE,2,FALSE)</f>
        <v>9963</v>
      </c>
      <c r="E5">
        <v>161</v>
      </c>
      <c r="F5" s="3">
        <f>VLOOKUP(Table1[[#This Row],[Product_Category]],HSNTABLE,3,FALSE)</f>
        <v>0.18</v>
      </c>
      <c r="G5">
        <f>Table1[[#This Row],[Cost_Price]]*Table1[[#This Row],[GST%]]</f>
        <v>28.98</v>
      </c>
      <c r="H5" s="5">
        <f>ROUNDUP(Table1[[#This Row],[Cost_Price]]+Table1[[#This Row],[GST_AMT]],0)</f>
        <v>190</v>
      </c>
      <c r="I5" s="3">
        <f>VLOOKUP(Table1[[#This Row],[Product_Category]],HSNTABLE,4,FALSE)</f>
        <v>0.2</v>
      </c>
      <c r="J5" s="5">
        <f>Table1[[#This Row],[Total_CP]]*Table1[[#This Row],[Margin%]]</f>
        <v>38</v>
      </c>
      <c r="K5" s="5">
        <f>Table1[[#This Row],[Margin_amt]]*Table1[[#This Row],[GST%]]</f>
        <v>6.84</v>
      </c>
      <c r="L5" s="5">
        <f>ROUNDUP(Table1[[#This Row],[Total_CP]]+Table1[[#This Row],[Margin_amt]]+Table1[[#This Row],[Gst_on_Margin_amt]],0)</f>
        <v>235</v>
      </c>
      <c r="M5" t="s">
        <v>184</v>
      </c>
      <c r="N5" t="str">
        <f>VLOOKUP(Table1[[#This Row],[Godown]],MasterSheet!$F$1:$G$5,2,FALSE)</f>
        <v>East</v>
      </c>
      <c r="O5" t="s">
        <v>340</v>
      </c>
      <c r="P5">
        <f>100</f>
        <v>100</v>
      </c>
      <c r="Q5">
        <v>41</v>
      </c>
      <c r="R5" s="5">
        <f>Table1[[#This Row],[Total_CP]]*Table1[[#This Row],[Qty_Purchased]]</f>
        <v>19000</v>
      </c>
      <c r="S5" s="5">
        <f>Table1[[#This Row],[Total_CP]]*Table1[[#This Row],[Qty_Sold]]</f>
        <v>7790</v>
      </c>
      <c r="T5" s="5">
        <f>Table1[[#This Row],[TotalSelling_Price]]*Table1[[#This Row],[Qty_Sold]]</f>
        <v>9635</v>
      </c>
      <c r="U5" s="5">
        <f>Table1[[#This Row],[SP_Qty_Sold]]-Table1[[#This Row],[CP_Qty_Sold]]</f>
        <v>1845</v>
      </c>
      <c r="V5" s="9">
        <f t="shared" si="0"/>
        <v>44577</v>
      </c>
      <c r="W5" s="5" t="s">
        <v>351</v>
      </c>
    </row>
    <row r="6" spans="1:23" x14ac:dyDescent="0.35">
      <c r="A6" t="s">
        <v>192</v>
      </c>
      <c r="B6" t="s">
        <v>21</v>
      </c>
      <c r="C6" t="s">
        <v>32</v>
      </c>
      <c r="D6">
        <f>VLOOKUP(Table1[[#This Row],[Product_Category]],HSNTABLE,2,FALSE)</f>
        <v>9963</v>
      </c>
      <c r="E6">
        <v>824</v>
      </c>
      <c r="F6" s="3">
        <f>VLOOKUP(Table1[[#This Row],[Product_Category]],HSNTABLE,3,FALSE)</f>
        <v>0.18</v>
      </c>
      <c r="G6">
        <f>Table1[[#This Row],[Cost_Price]]*Table1[[#This Row],[GST%]]</f>
        <v>148.32</v>
      </c>
      <c r="H6" s="5">
        <f>ROUNDUP(Table1[[#This Row],[Cost_Price]]+Table1[[#This Row],[GST_AMT]],0)</f>
        <v>973</v>
      </c>
      <c r="I6" s="3">
        <f>VLOOKUP(Table1[[#This Row],[Product_Category]],HSNTABLE,4,FALSE)</f>
        <v>0.2</v>
      </c>
      <c r="J6" s="5">
        <f>Table1[[#This Row],[Total_CP]]*Table1[[#This Row],[Margin%]]</f>
        <v>194.60000000000002</v>
      </c>
      <c r="K6" s="5">
        <f>Table1[[#This Row],[Margin_amt]]*Table1[[#This Row],[GST%]]</f>
        <v>35.028000000000006</v>
      </c>
      <c r="L6" s="5">
        <f>ROUNDUP(Table1[[#This Row],[Total_CP]]+Table1[[#This Row],[Margin_amt]]+Table1[[#This Row],[Gst_on_Margin_amt]],0)</f>
        <v>1203</v>
      </c>
      <c r="M6" t="s">
        <v>184</v>
      </c>
      <c r="N6" t="str">
        <f>VLOOKUP(Table1[[#This Row],[Godown]],MasterSheet!$F$1:$G$5,2,FALSE)</f>
        <v>East</v>
      </c>
      <c r="O6" t="s">
        <v>339</v>
      </c>
      <c r="P6">
        <f>100</f>
        <v>100</v>
      </c>
      <c r="Q6">
        <v>26</v>
      </c>
      <c r="R6" s="5">
        <f>Table1[[#This Row],[Total_CP]]*Table1[[#This Row],[Qty_Purchased]]</f>
        <v>97300</v>
      </c>
      <c r="S6" s="5">
        <f>Table1[[#This Row],[Total_CP]]*Table1[[#This Row],[Qty_Sold]]</f>
        <v>25298</v>
      </c>
      <c r="T6" s="5">
        <f>Table1[[#This Row],[TotalSelling_Price]]*Table1[[#This Row],[Qty_Sold]]</f>
        <v>31278</v>
      </c>
      <c r="U6" s="5">
        <f>Table1[[#This Row],[SP_Qty_Sold]]-Table1[[#This Row],[CP_Qty_Sold]]</f>
        <v>5980</v>
      </c>
      <c r="V6" s="9">
        <f t="shared" si="0"/>
        <v>44582</v>
      </c>
      <c r="W6" s="5" t="s">
        <v>352</v>
      </c>
    </row>
    <row r="7" spans="1:23" x14ac:dyDescent="0.35">
      <c r="A7" t="s">
        <v>193</v>
      </c>
      <c r="B7" t="s">
        <v>21</v>
      </c>
      <c r="C7" t="s">
        <v>33</v>
      </c>
      <c r="D7">
        <f>VLOOKUP(Table1[[#This Row],[Product_Category]],HSNTABLE,2,FALSE)</f>
        <v>9963</v>
      </c>
      <c r="E7">
        <v>388</v>
      </c>
      <c r="F7" s="3">
        <f>VLOOKUP(Table1[[#This Row],[Product_Category]],HSNTABLE,3,FALSE)</f>
        <v>0.18</v>
      </c>
      <c r="G7">
        <f>Table1[[#This Row],[Cost_Price]]*Table1[[#This Row],[GST%]]</f>
        <v>69.84</v>
      </c>
      <c r="H7" s="5">
        <f>ROUNDUP(Table1[[#This Row],[Cost_Price]]+Table1[[#This Row],[GST_AMT]],0)</f>
        <v>458</v>
      </c>
      <c r="I7" s="3">
        <f>VLOOKUP(Table1[[#This Row],[Product_Category]],HSNTABLE,4,FALSE)</f>
        <v>0.2</v>
      </c>
      <c r="J7" s="5">
        <f>Table1[[#This Row],[Total_CP]]*Table1[[#This Row],[Margin%]]</f>
        <v>91.600000000000009</v>
      </c>
      <c r="K7" s="5">
        <f>Table1[[#This Row],[Margin_amt]]*Table1[[#This Row],[GST%]]</f>
        <v>16.488</v>
      </c>
      <c r="L7" s="5">
        <f>ROUNDUP(Table1[[#This Row],[Total_CP]]+Table1[[#This Row],[Margin_amt]]+Table1[[#This Row],[Gst_on_Margin_amt]],0)</f>
        <v>567</v>
      </c>
      <c r="M7" t="s">
        <v>185</v>
      </c>
      <c r="N7" t="str">
        <f>VLOOKUP(Table1[[#This Row],[Godown]],MasterSheet!$F$1:$G$5,2,FALSE)</f>
        <v>West</v>
      </c>
      <c r="O7" t="s">
        <v>342</v>
      </c>
      <c r="P7">
        <f>100</f>
        <v>100</v>
      </c>
      <c r="Q7">
        <v>33</v>
      </c>
      <c r="R7" s="5">
        <f>Table1[[#This Row],[Total_CP]]*Table1[[#This Row],[Qty_Purchased]]</f>
        <v>45800</v>
      </c>
      <c r="S7" s="5">
        <f>Table1[[#This Row],[Total_CP]]*Table1[[#This Row],[Qty_Sold]]</f>
        <v>15114</v>
      </c>
      <c r="T7" s="5">
        <f>Table1[[#This Row],[TotalSelling_Price]]*Table1[[#This Row],[Qty_Sold]]</f>
        <v>18711</v>
      </c>
      <c r="U7" s="5">
        <f>Table1[[#This Row],[SP_Qty_Sold]]-Table1[[#This Row],[CP_Qty_Sold]]</f>
        <v>3597</v>
      </c>
      <c r="V7" s="9">
        <f t="shared" si="0"/>
        <v>44587</v>
      </c>
      <c r="W7" s="5" t="s">
        <v>351</v>
      </c>
    </row>
    <row r="8" spans="1:23" x14ac:dyDescent="0.35">
      <c r="A8" t="s">
        <v>194</v>
      </c>
      <c r="B8" t="s">
        <v>21</v>
      </c>
      <c r="C8" t="s">
        <v>34</v>
      </c>
      <c r="D8">
        <f>VLOOKUP(Table1[[#This Row],[Product_Category]],HSNTABLE,2,FALSE)</f>
        <v>9963</v>
      </c>
      <c r="E8">
        <v>697</v>
      </c>
      <c r="F8" s="3">
        <f>VLOOKUP(Table1[[#This Row],[Product_Category]],HSNTABLE,3,FALSE)</f>
        <v>0.18</v>
      </c>
      <c r="G8">
        <f>Table1[[#This Row],[Cost_Price]]*Table1[[#This Row],[GST%]]</f>
        <v>125.46</v>
      </c>
      <c r="H8" s="5">
        <f>ROUNDUP(Table1[[#This Row],[Cost_Price]]+Table1[[#This Row],[GST_AMT]],0)</f>
        <v>823</v>
      </c>
      <c r="I8" s="3">
        <f>VLOOKUP(Table1[[#This Row],[Product_Category]],HSNTABLE,4,FALSE)</f>
        <v>0.2</v>
      </c>
      <c r="J8" s="5">
        <f>Table1[[#This Row],[Total_CP]]*Table1[[#This Row],[Margin%]]</f>
        <v>164.60000000000002</v>
      </c>
      <c r="K8" s="5">
        <f>Table1[[#This Row],[Margin_amt]]*Table1[[#This Row],[GST%]]</f>
        <v>29.628000000000004</v>
      </c>
      <c r="L8" s="5">
        <f>ROUNDUP(Table1[[#This Row],[Total_CP]]+Table1[[#This Row],[Margin_amt]]+Table1[[#This Row],[Gst_on_Margin_amt]],0)</f>
        <v>1018</v>
      </c>
      <c r="M8" t="s">
        <v>185</v>
      </c>
      <c r="N8" t="str">
        <f>VLOOKUP(Table1[[#This Row],[Godown]],MasterSheet!$F$1:$G$5,2,FALSE)</f>
        <v>West</v>
      </c>
      <c r="O8" t="s">
        <v>343</v>
      </c>
      <c r="P8">
        <f>100</f>
        <v>100</v>
      </c>
      <c r="Q8">
        <v>37</v>
      </c>
      <c r="R8" s="5">
        <f>Table1[[#This Row],[Total_CP]]*Table1[[#This Row],[Qty_Purchased]]</f>
        <v>82300</v>
      </c>
      <c r="S8" s="5">
        <f>Table1[[#This Row],[Total_CP]]*Table1[[#This Row],[Qty_Sold]]</f>
        <v>30451</v>
      </c>
      <c r="T8" s="5">
        <f>Table1[[#This Row],[TotalSelling_Price]]*Table1[[#This Row],[Qty_Sold]]</f>
        <v>37666</v>
      </c>
      <c r="U8" s="5">
        <f>Table1[[#This Row],[SP_Qty_Sold]]-Table1[[#This Row],[CP_Qty_Sold]]</f>
        <v>7215</v>
      </c>
      <c r="V8" s="9">
        <f t="shared" si="0"/>
        <v>44592</v>
      </c>
      <c r="W8" s="5" t="s">
        <v>352</v>
      </c>
    </row>
    <row r="9" spans="1:23" x14ac:dyDescent="0.35">
      <c r="A9" t="s">
        <v>195</v>
      </c>
      <c r="B9" t="s">
        <v>21</v>
      </c>
      <c r="C9" t="s">
        <v>35</v>
      </c>
      <c r="D9">
        <f>VLOOKUP(Table1[[#This Row],[Product_Category]],HSNTABLE,2,FALSE)</f>
        <v>9963</v>
      </c>
      <c r="E9">
        <v>445</v>
      </c>
      <c r="F9" s="3">
        <f>VLOOKUP(Table1[[#This Row],[Product_Category]],HSNTABLE,3,FALSE)</f>
        <v>0.18</v>
      </c>
      <c r="G9">
        <f>Table1[[#This Row],[Cost_Price]]*Table1[[#This Row],[GST%]]</f>
        <v>80.099999999999994</v>
      </c>
      <c r="H9" s="5">
        <f>ROUNDUP(Table1[[#This Row],[Cost_Price]]+Table1[[#This Row],[GST_AMT]],0)</f>
        <v>526</v>
      </c>
      <c r="I9" s="3">
        <f>VLOOKUP(Table1[[#This Row],[Product_Category]],HSNTABLE,4,FALSE)</f>
        <v>0.2</v>
      </c>
      <c r="J9" s="5">
        <f>Table1[[#This Row],[Total_CP]]*Table1[[#This Row],[Margin%]]</f>
        <v>105.2</v>
      </c>
      <c r="K9" s="5">
        <f>Table1[[#This Row],[Margin_amt]]*Table1[[#This Row],[GST%]]</f>
        <v>18.936</v>
      </c>
      <c r="L9" s="5">
        <f>ROUNDUP(Table1[[#This Row],[Total_CP]]+Table1[[#This Row],[Margin_amt]]+Table1[[#This Row],[Gst_on_Margin_amt]],0)</f>
        <v>651</v>
      </c>
      <c r="M9" t="s">
        <v>185</v>
      </c>
      <c r="N9" t="str">
        <f>VLOOKUP(Table1[[#This Row],[Godown]],MasterSheet!$F$1:$G$5,2,FALSE)</f>
        <v>West</v>
      </c>
      <c r="O9" t="s">
        <v>342</v>
      </c>
      <c r="P9">
        <f>100</f>
        <v>100</v>
      </c>
      <c r="Q9">
        <v>38</v>
      </c>
      <c r="R9" s="5">
        <f>Table1[[#This Row],[Total_CP]]*Table1[[#This Row],[Qty_Purchased]]</f>
        <v>52600</v>
      </c>
      <c r="S9" s="5">
        <f>Table1[[#This Row],[Total_CP]]*Table1[[#This Row],[Qty_Sold]]</f>
        <v>19988</v>
      </c>
      <c r="T9" s="5">
        <f>Table1[[#This Row],[TotalSelling_Price]]*Table1[[#This Row],[Qty_Sold]]</f>
        <v>24738</v>
      </c>
      <c r="U9" s="5">
        <f>Table1[[#This Row],[SP_Qty_Sold]]-Table1[[#This Row],[CP_Qty_Sold]]</f>
        <v>4750</v>
      </c>
      <c r="V9" s="9">
        <f t="shared" si="0"/>
        <v>44597</v>
      </c>
      <c r="W9" s="5" t="s">
        <v>351</v>
      </c>
    </row>
    <row r="10" spans="1:23" x14ac:dyDescent="0.35">
      <c r="A10" t="s">
        <v>196</v>
      </c>
      <c r="B10" t="s">
        <v>21</v>
      </c>
      <c r="C10" t="s">
        <v>36</v>
      </c>
      <c r="D10">
        <f>VLOOKUP(Table1[[#This Row],[Product_Category]],HSNTABLE,2,FALSE)</f>
        <v>9963</v>
      </c>
      <c r="E10">
        <v>920</v>
      </c>
      <c r="F10" s="3">
        <f>VLOOKUP(Table1[[#This Row],[Product_Category]],HSNTABLE,3,FALSE)</f>
        <v>0.18</v>
      </c>
      <c r="G10">
        <f>Table1[[#This Row],[Cost_Price]]*Table1[[#This Row],[GST%]]</f>
        <v>165.6</v>
      </c>
      <c r="H10" s="5">
        <f>ROUNDUP(Table1[[#This Row],[Cost_Price]]+Table1[[#This Row],[GST_AMT]],0)</f>
        <v>1086</v>
      </c>
      <c r="I10" s="3">
        <f>VLOOKUP(Table1[[#This Row],[Product_Category]],HSNTABLE,4,FALSE)</f>
        <v>0.2</v>
      </c>
      <c r="J10" s="5">
        <f>Table1[[#This Row],[Total_CP]]*Table1[[#This Row],[Margin%]]</f>
        <v>217.20000000000002</v>
      </c>
      <c r="K10" s="5">
        <f>Table1[[#This Row],[Margin_amt]]*Table1[[#This Row],[GST%]]</f>
        <v>39.096000000000004</v>
      </c>
      <c r="L10" s="5">
        <f>ROUNDUP(Table1[[#This Row],[Total_CP]]+Table1[[#This Row],[Margin_amt]]+Table1[[#This Row],[Gst_on_Margin_amt]],0)</f>
        <v>1343</v>
      </c>
      <c r="M10" t="s">
        <v>185</v>
      </c>
      <c r="N10" t="str">
        <f>VLOOKUP(Table1[[#This Row],[Godown]],MasterSheet!$F$1:$G$5,2,FALSE)</f>
        <v>West</v>
      </c>
      <c r="O10" t="s">
        <v>343</v>
      </c>
      <c r="P10">
        <f>100</f>
        <v>100</v>
      </c>
      <c r="Q10">
        <v>26</v>
      </c>
      <c r="R10" s="5">
        <f>Table1[[#This Row],[Total_CP]]*Table1[[#This Row],[Qty_Purchased]]</f>
        <v>108600</v>
      </c>
      <c r="S10" s="5">
        <f>Table1[[#This Row],[Total_CP]]*Table1[[#This Row],[Qty_Sold]]</f>
        <v>28236</v>
      </c>
      <c r="T10" s="5">
        <f>Table1[[#This Row],[TotalSelling_Price]]*Table1[[#This Row],[Qty_Sold]]</f>
        <v>34918</v>
      </c>
      <c r="U10" s="5">
        <f>Table1[[#This Row],[SP_Qty_Sold]]-Table1[[#This Row],[CP_Qty_Sold]]</f>
        <v>6682</v>
      </c>
      <c r="V10" s="9">
        <f t="shared" si="0"/>
        <v>44602</v>
      </c>
      <c r="W10" s="5" t="s">
        <v>352</v>
      </c>
    </row>
    <row r="11" spans="1:23" x14ac:dyDescent="0.35">
      <c r="A11" t="s">
        <v>197</v>
      </c>
      <c r="B11" t="s">
        <v>21</v>
      </c>
      <c r="C11" t="s">
        <v>37</v>
      </c>
      <c r="D11">
        <f>VLOOKUP(Table1[[#This Row],[Product_Category]],HSNTABLE,2,FALSE)</f>
        <v>9963</v>
      </c>
      <c r="E11">
        <v>980</v>
      </c>
      <c r="F11" s="3">
        <f>VLOOKUP(Table1[[#This Row],[Product_Category]],HSNTABLE,3,FALSE)</f>
        <v>0.18</v>
      </c>
      <c r="G11">
        <f>Table1[[#This Row],[Cost_Price]]*Table1[[#This Row],[GST%]]</f>
        <v>176.4</v>
      </c>
      <c r="H11" s="5">
        <f>ROUNDUP(Table1[[#This Row],[Cost_Price]]+Table1[[#This Row],[GST_AMT]],0)</f>
        <v>1157</v>
      </c>
      <c r="I11" s="3">
        <f>VLOOKUP(Table1[[#This Row],[Product_Category]],HSNTABLE,4,FALSE)</f>
        <v>0.2</v>
      </c>
      <c r="J11" s="5">
        <f>Table1[[#This Row],[Total_CP]]*Table1[[#This Row],[Margin%]]</f>
        <v>231.4</v>
      </c>
      <c r="K11" s="5">
        <f>Table1[[#This Row],[Margin_amt]]*Table1[[#This Row],[GST%]]</f>
        <v>41.652000000000001</v>
      </c>
      <c r="L11" s="5">
        <f>ROUNDUP(Table1[[#This Row],[Total_CP]]+Table1[[#This Row],[Margin_amt]]+Table1[[#This Row],[Gst_on_Margin_amt]],0)</f>
        <v>1431</v>
      </c>
      <c r="M11" t="s">
        <v>184</v>
      </c>
      <c r="N11" t="str">
        <f>VLOOKUP(Table1[[#This Row],[Godown]],MasterSheet!$F$1:$G$5,2,FALSE)</f>
        <v>East</v>
      </c>
      <c r="O11" t="s">
        <v>341</v>
      </c>
      <c r="P11">
        <f>100</f>
        <v>100</v>
      </c>
      <c r="Q11">
        <v>41</v>
      </c>
      <c r="R11" s="5">
        <f>Table1[[#This Row],[Total_CP]]*Table1[[#This Row],[Qty_Purchased]]</f>
        <v>115700</v>
      </c>
      <c r="S11" s="5">
        <f>Table1[[#This Row],[Total_CP]]*Table1[[#This Row],[Qty_Sold]]</f>
        <v>47437</v>
      </c>
      <c r="T11" s="5">
        <f>Table1[[#This Row],[TotalSelling_Price]]*Table1[[#This Row],[Qty_Sold]]</f>
        <v>58671</v>
      </c>
      <c r="U11" s="5">
        <f>Table1[[#This Row],[SP_Qty_Sold]]-Table1[[#This Row],[CP_Qty_Sold]]</f>
        <v>11234</v>
      </c>
      <c r="V11" s="9">
        <f t="shared" si="0"/>
        <v>44607</v>
      </c>
      <c r="W11" s="5" t="s">
        <v>352</v>
      </c>
    </row>
    <row r="12" spans="1:23" x14ac:dyDescent="0.35">
      <c r="A12" t="s">
        <v>198</v>
      </c>
      <c r="B12" t="s">
        <v>21</v>
      </c>
      <c r="C12" t="s">
        <v>38</v>
      </c>
      <c r="D12">
        <f>VLOOKUP(Table1[[#This Row],[Product_Category]],HSNTABLE,2,FALSE)</f>
        <v>9963</v>
      </c>
      <c r="E12">
        <v>885</v>
      </c>
      <c r="F12" s="3">
        <f>VLOOKUP(Table1[[#This Row],[Product_Category]],HSNTABLE,3,FALSE)</f>
        <v>0.18</v>
      </c>
      <c r="G12">
        <f>Table1[[#This Row],[Cost_Price]]*Table1[[#This Row],[GST%]]</f>
        <v>159.29999999999998</v>
      </c>
      <c r="H12" s="5">
        <f>ROUNDUP(Table1[[#This Row],[Cost_Price]]+Table1[[#This Row],[GST_AMT]],0)</f>
        <v>1045</v>
      </c>
      <c r="I12" s="3">
        <f>VLOOKUP(Table1[[#This Row],[Product_Category]],HSNTABLE,4,FALSE)</f>
        <v>0.2</v>
      </c>
      <c r="J12" s="5">
        <f>Table1[[#This Row],[Total_CP]]*Table1[[#This Row],[Margin%]]</f>
        <v>209</v>
      </c>
      <c r="K12" s="5">
        <f>Table1[[#This Row],[Margin_amt]]*Table1[[#This Row],[GST%]]</f>
        <v>37.619999999999997</v>
      </c>
      <c r="L12" s="5">
        <f>ROUNDUP(Table1[[#This Row],[Total_CP]]+Table1[[#This Row],[Margin_amt]]+Table1[[#This Row],[Gst_on_Margin_amt]],0)</f>
        <v>1292</v>
      </c>
      <c r="M12" t="s">
        <v>185</v>
      </c>
      <c r="N12" t="str">
        <f>VLOOKUP(Table1[[#This Row],[Godown]],MasterSheet!$F$1:$G$5,2,FALSE)</f>
        <v>West</v>
      </c>
      <c r="O12" t="s">
        <v>340</v>
      </c>
      <c r="P12">
        <f>100</f>
        <v>100</v>
      </c>
      <c r="Q12">
        <v>20</v>
      </c>
      <c r="R12" s="5">
        <f>Table1[[#This Row],[Total_CP]]*Table1[[#This Row],[Qty_Purchased]]</f>
        <v>104500</v>
      </c>
      <c r="S12" s="5">
        <f>Table1[[#This Row],[Total_CP]]*Table1[[#This Row],[Qty_Sold]]</f>
        <v>20900</v>
      </c>
      <c r="T12" s="5">
        <f>Table1[[#This Row],[TotalSelling_Price]]*Table1[[#This Row],[Qty_Sold]]</f>
        <v>25840</v>
      </c>
      <c r="U12" s="5">
        <f>Table1[[#This Row],[SP_Qty_Sold]]-Table1[[#This Row],[CP_Qty_Sold]]</f>
        <v>4940</v>
      </c>
      <c r="V12" s="9">
        <f t="shared" si="0"/>
        <v>44612</v>
      </c>
      <c r="W12" s="5" t="s">
        <v>351</v>
      </c>
    </row>
    <row r="13" spans="1:23" x14ac:dyDescent="0.35">
      <c r="A13" t="s">
        <v>199</v>
      </c>
      <c r="B13" t="s">
        <v>21</v>
      </c>
      <c r="C13" t="s">
        <v>39</v>
      </c>
      <c r="D13">
        <f>VLOOKUP(Table1[[#This Row],[Product_Category]],HSNTABLE,2,FALSE)</f>
        <v>9963</v>
      </c>
      <c r="E13">
        <v>364</v>
      </c>
      <c r="F13" s="3">
        <f>VLOOKUP(Table1[[#This Row],[Product_Category]],HSNTABLE,3,FALSE)</f>
        <v>0.18</v>
      </c>
      <c r="G13">
        <f>Table1[[#This Row],[Cost_Price]]*Table1[[#This Row],[GST%]]</f>
        <v>65.52</v>
      </c>
      <c r="H13" s="5">
        <f>ROUNDUP(Table1[[#This Row],[Cost_Price]]+Table1[[#This Row],[GST_AMT]],0)</f>
        <v>430</v>
      </c>
      <c r="I13" s="3">
        <f>VLOOKUP(Table1[[#This Row],[Product_Category]],HSNTABLE,4,FALSE)</f>
        <v>0.2</v>
      </c>
      <c r="J13" s="5">
        <f>Table1[[#This Row],[Total_CP]]*Table1[[#This Row],[Margin%]]</f>
        <v>86</v>
      </c>
      <c r="K13" s="5">
        <f>Table1[[#This Row],[Margin_amt]]*Table1[[#This Row],[GST%]]</f>
        <v>15.479999999999999</v>
      </c>
      <c r="L13" s="5">
        <f>ROUNDUP(Table1[[#This Row],[Total_CP]]+Table1[[#This Row],[Margin_amt]]+Table1[[#This Row],[Gst_on_Margin_amt]],0)</f>
        <v>532</v>
      </c>
      <c r="M13" t="s">
        <v>185</v>
      </c>
      <c r="N13" t="str">
        <f>VLOOKUP(Table1[[#This Row],[Godown]],MasterSheet!$F$1:$G$5,2,FALSE)</f>
        <v>West</v>
      </c>
      <c r="O13" t="s">
        <v>340</v>
      </c>
      <c r="P13">
        <f>100</f>
        <v>100</v>
      </c>
      <c r="Q13">
        <v>38</v>
      </c>
      <c r="R13" s="5">
        <f>Table1[[#This Row],[Total_CP]]*Table1[[#This Row],[Qty_Purchased]]</f>
        <v>43000</v>
      </c>
      <c r="S13" s="5">
        <f>Table1[[#This Row],[Total_CP]]*Table1[[#This Row],[Qty_Sold]]</f>
        <v>16340</v>
      </c>
      <c r="T13" s="5">
        <f>Table1[[#This Row],[TotalSelling_Price]]*Table1[[#This Row],[Qty_Sold]]</f>
        <v>20216</v>
      </c>
      <c r="U13" s="5">
        <f>Table1[[#This Row],[SP_Qty_Sold]]-Table1[[#This Row],[CP_Qty_Sold]]</f>
        <v>3876</v>
      </c>
      <c r="V13" s="9">
        <f t="shared" si="0"/>
        <v>44617</v>
      </c>
      <c r="W13" s="5" t="s">
        <v>351</v>
      </c>
    </row>
    <row r="14" spans="1:23" x14ac:dyDescent="0.35">
      <c r="A14" t="s">
        <v>200</v>
      </c>
      <c r="B14" t="s">
        <v>22</v>
      </c>
      <c r="C14" t="s">
        <v>40</v>
      </c>
      <c r="D14">
        <f>VLOOKUP(Table1[[#This Row],[Product_Category]],HSNTABLE,2,FALSE)</f>
        <v>2202</v>
      </c>
      <c r="E14">
        <v>729</v>
      </c>
      <c r="F14" s="3">
        <f>VLOOKUP(Table1[[#This Row],[Product_Category]],HSNTABLE,3,FALSE)</f>
        <v>0.18</v>
      </c>
      <c r="G14">
        <f>Table1[[#This Row],[Cost_Price]]*Table1[[#This Row],[GST%]]</f>
        <v>131.22</v>
      </c>
      <c r="H14" s="5">
        <f>ROUNDUP(Table1[[#This Row],[Cost_Price]]+Table1[[#This Row],[GST_AMT]],0)</f>
        <v>861</v>
      </c>
      <c r="I14" s="3">
        <f>VLOOKUP(Table1[[#This Row],[Product_Category]],HSNTABLE,4,FALSE)</f>
        <v>0.25</v>
      </c>
      <c r="J14" s="5">
        <f>Table1[[#This Row],[Total_CP]]*Table1[[#This Row],[Margin%]]</f>
        <v>215.25</v>
      </c>
      <c r="K14" s="5">
        <f>Table1[[#This Row],[Margin_amt]]*Table1[[#This Row],[GST%]]</f>
        <v>38.744999999999997</v>
      </c>
      <c r="L14" s="5">
        <f>ROUNDUP(Table1[[#This Row],[Total_CP]]+Table1[[#This Row],[Margin_amt]]+Table1[[#This Row],[Gst_on_Margin_amt]],0)</f>
        <v>1115</v>
      </c>
      <c r="M14" t="s">
        <v>183</v>
      </c>
      <c r="N14" t="str">
        <f>VLOOKUP(Table1[[#This Row],[Godown]],MasterSheet!$F$1:$G$5,2,FALSE)</f>
        <v>South</v>
      </c>
      <c r="O14" t="s">
        <v>344</v>
      </c>
      <c r="P14">
        <f>100</f>
        <v>100</v>
      </c>
      <c r="Q14">
        <v>48</v>
      </c>
      <c r="R14" s="5">
        <f>Table1[[#This Row],[Total_CP]]*Table1[[#This Row],[Qty_Purchased]]</f>
        <v>86100</v>
      </c>
      <c r="S14" s="5">
        <f>Table1[[#This Row],[Total_CP]]*Table1[[#This Row],[Qty_Sold]]</f>
        <v>41328</v>
      </c>
      <c r="T14" s="5">
        <f>Table1[[#This Row],[TotalSelling_Price]]*Table1[[#This Row],[Qty_Sold]]</f>
        <v>53520</v>
      </c>
      <c r="U14" s="5">
        <f>Table1[[#This Row],[SP_Qty_Sold]]-Table1[[#This Row],[CP_Qty_Sold]]</f>
        <v>12192</v>
      </c>
      <c r="V14" s="9">
        <f t="shared" si="0"/>
        <v>44622</v>
      </c>
      <c r="W14" s="5" t="s">
        <v>352</v>
      </c>
    </row>
    <row r="15" spans="1:23" x14ac:dyDescent="0.35">
      <c r="A15" t="s">
        <v>201</v>
      </c>
      <c r="B15" t="s">
        <v>22</v>
      </c>
      <c r="C15" t="s">
        <v>41</v>
      </c>
      <c r="D15">
        <f>VLOOKUP(Table1[[#This Row],[Product_Category]],HSNTABLE,2,FALSE)</f>
        <v>2202</v>
      </c>
      <c r="E15">
        <v>678</v>
      </c>
      <c r="F15" s="3">
        <f>VLOOKUP(Table1[[#This Row],[Product_Category]],HSNTABLE,3,FALSE)</f>
        <v>0.18</v>
      </c>
      <c r="G15">
        <f>Table1[[#This Row],[Cost_Price]]*Table1[[#This Row],[GST%]]</f>
        <v>122.03999999999999</v>
      </c>
      <c r="H15" s="5">
        <f>ROUNDUP(Table1[[#This Row],[Cost_Price]]+Table1[[#This Row],[GST_AMT]],0)</f>
        <v>801</v>
      </c>
      <c r="I15" s="3">
        <f>VLOOKUP(Table1[[#This Row],[Product_Category]],HSNTABLE,4,FALSE)</f>
        <v>0.25</v>
      </c>
      <c r="J15" s="5">
        <f>Table1[[#This Row],[Total_CP]]*Table1[[#This Row],[Margin%]]</f>
        <v>200.25</v>
      </c>
      <c r="K15" s="5">
        <f>Table1[[#This Row],[Margin_amt]]*Table1[[#This Row],[GST%]]</f>
        <v>36.045000000000002</v>
      </c>
      <c r="L15" s="5">
        <f>ROUNDUP(Table1[[#This Row],[Total_CP]]+Table1[[#This Row],[Margin_amt]]+Table1[[#This Row],[Gst_on_Margin_amt]],0)</f>
        <v>1038</v>
      </c>
      <c r="M15" t="s">
        <v>183</v>
      </c>
      <c r="N15" t="str">
        <f>VLOOKUP(Table1[[#This Row],[Godown]],MasterSheet!$F$1:$G$5,2,FALSE)</f>
        <v>South</v>
      </c>
      <c r="O15" t="s">
        <v>343</v>
      </c>
      <c r="P15">
        <f>100</f>
        <v>100</v>
      </c>
      <c r="Q15">
        <v>30</v>
      </c>
      <c r="R15" s="5">
        <f>Table1[[#This Row],[Total_CP]]*Table1[[#This Row],[Qty_Purchased]]</f>
        <v>80100</v>
      </c>
      <c r="S15" s="5">
        <f>Table1[[#This Row],[Total_CP]]*Table1[[#This Row],[Qty_Sold]]</f>
        <v>24030</v>
      </c>
      <c r="T15" s="5">
        <f>Table1[[#This Row],[TotalSelling_Price]]*Table1[[#This Row],[Qty_Sold]]</f>
        <v>31140</v>
      </c>
      <c r="U15" s="5">
        <f>Table1[[#This Row],[SP_Qty_Sold]]-Table1[[#This Row],[CP_Qty_Sold]]</f>
        <v>7110</v>
      </c>
      <c r="V15" s="9">
        <f t="shared" si="0"/>
        <v>44627</v>
      </c>
      <c r="W15" s="5" t="s">
        <v>352</v>
      </c>
    </row>
    <row r="16" spans="1:23" x14ac:dyDescent="0.35">
      <c r="A16" t="s">
        <v>202</v>
      </c>
      <c r="B16" t="s">
        <v>22</v>
      </c>
      <c r="C16" t="s">
        <v>42</v>
      </c>
      <c r="D16">
        <f>VLOOKUP(Table1[[#This Row],[Product_Category]],HSNTABLE,2,FALSE)</f>
        <v>2202</v>
      </c>
      <c r="E16">
        <v>957</v>
      </c>
      <c r="F16" s="3">
        <f>VLOOKUP(Table1[[#This Row],[Product_Category]],HSNTABLE,3,FALSE)</f>
        <v>0.18</v>
      </c>
      <c r="G16">
        <f>Table1[[#This Row],[Cost_Price]]*Table1[[#This Row],[GST%]]</f>
        <v>172.26</v>
      </c>
      <c r="H16" s="5">
        <f>ROUNDUP(Table1[[#This Row],[Cost_Price]]+Table1[[#This Row],[GST_AMT]],0)</f>
        <v>1130</v>
      </c>
      <c r="I16" s="3">
        <f>VLOOKUP(Table1[[#This Row],[Product_Category]],HSNTABLE,4,FALSE)</f>
        <v>0.25</v>
      </c>
      <c r="J16" s="5">
        <f>Table1[[#This Row],[Total_CP]]*Table1[[#This Row],[Margin%]]</f>
        <v>282.5</v>
      </c>
      <c r="K16" s="5">
        <f>Table1[[#This Row],[Margin_amt]]*Table1[[#This Row],[GST%]]</f>
        <v>50.85</v>
      </c>
      <c r="L16" s="5">
        <f>ROUNDUP(Table1[[#This Row],[Total_CP]]+Table1[[#This Row],[Margin_amt]]+Table1[[#This Row],[Gst_on_Margin_amt]],0)</f>
        <v>1464</v>
      </c>
      <c r="M16" t="s">
        <v>183</v>
      </c>
      <c r="N16" t="str">
        <f>VLOOKUP(Table1[[#This Row],[Godown]],MasterSheet!$F$1:$G$5,2,FALSE)</f>
        <v>South</v>
      </c>
      <c r="O16" t="s">
        <v>339</v>
      </c>
      <c r="P16">
        <f>100</f>
        <v>100</v>
      </c>
      <c r="Q16">
        <v>37</v>
      </c>
      <c r="R16" s="5">
        <f>Table1[[#This Row],[Total_CP]]*Table1[[#This Row],[Qty_Purchased]]</f>
        <v>113000</v>
      </c>
      <c r="S16" s="5">
        <f>Table1[[#This Row],[Total_CP]]*Table1[[#This Row],[Qty_Sold]]</f>
        <v>41810</v>
      </c>
      <c r="T16" s="5">
        <f>Table1[[#This Row],[TotalSelling_Price]]*Table1[[#This Row],[Qty_Sold]]</f>
        <v>54168</v>
      </c>
      <c r="U16" s="5">
        <f>Table1[[#This Row],[SP_Qty_Sold]]-Table1[[#This Row],[CP_Qty_Sold]]</f>
        <v>12358</v>
      </c>
      <c r="V16" s="9">
        <f t="shared" si="0"/>
        <v>44632</v>
      </c>
      <c r="W16" s="5" t="s">
        <v>351</v>
      </c>
    </row>
    <row r="17" spans="1:23" x14ac:dyDescent="0.35">
      <c r="A17" t="s">
        <v>203</v>
      </c>
      <c r="B17" t="s">
        <v>22</v>
      </c>
      <c r="C17" t="s">
        <v>43</v>
      </c>
      <c r="D17">
        <f>VLOOKUP(Table1[[#This Row],[Product_Category]],HSNTABLE,2,FALSE)</f>
        <v>2202</v>
      </c>
      <c r="E17">
        <v>719</v>
      </c>
      <c r="F17" s="3">
        <f>VLOOKUP(Table1[[#This Row],[Product_Category]],HSNTABLE,3,FALSE)</f>
        <v>0.18</v>
      </c>
      <c r="G17">
        <f>Table1[[#This Row],[Cost_Price]]*Table1[[#This Row],[GST%]]</f>
        <v>129.41999999999999</v>
      </c>
      <c r="H17" s="5">
        <f>ROUNDUP(Table1[[#This Row],[Cost_Price]]+Table1[[#This Row],[GST_AMT]],0)</f>
        <v>849</v>
      </c>
      <c r="I17" s="3">
        <f>VLOOKUP(Table1[[#This Row],[Product_Category]],HSNTABLE,4,FALSE)</f>
        <v>0.25</v>
      </c>
      <c r="J17" s="5">
        <f>Table1[[#This Row],[Total_CP]]*Table1[[#This Row],[Margin%]]</f>
        <v>212.25</v>
      </c>
      <c r="K17" s="5">
        <f>Table1[[#This Row],[Margin_amt]]*Table1[[#This Row],[GST%]]</f>
        <v>38.204999999999998</v>
      </c>
      <c r="L17" s="5">
        <f>ROUNDUP(Table1[[#This Row],[Total_CP]]+Table1[[#This Row],[Margin_amt]]+Table1[[#This Row],[Gst_on_Margin_amt]],0)</f>
        <v>1100</v>
      </c>
      <c r="M17" t="s">
        <v>184</v>
      </c>
      <c r="N17" t="str">
        <f>VLOOKUP(Table1[[#This Row],[Godown]],MasterSheet!$F$1:$G$5,2,FALSE)</f>
        <v>East</v>
      </c>
      <c r="O17" t="s">
        <v>340</v>
      </c>
      <c r="P17">
        <f>100</f>
        <v>100</v>
      </c>
      <c r="Q17">
        <v>22</v>
      </c>
      <c r="R17" s="5">
        <f>Table1[[#This Row],[Total_CP]]*Table1[[#This Row],[Qty_Purchased]]</f>
        <v>84900</v>
      </c>
      <c r="S17" s="5">
        <f>Table1[[#This Row],[Total_CP]]*Table1[[#This Row],[Qty_Sold]]</f>
        <v>18678</v>
      </c>
      <c r="T17" s="5">
        <f>Table1[[#This Row],[TotalSelling_Price]]*Table1[[#This Row],[Qty_Sold]]</f>
        <v>24200</v>
      </c>
      <c r="U17" s="5">
        <f>Table1[[#This Row],[SP_Qty_Sold]]-Table1[[#This Row],[CP_Qty_Sold]]</f>
        <v>5522</v>
      </c>
      <c r="V17" s="9">
        <f t="shared" si="0"/>
        <v>44637</v>
      </c>
      <c r="W17" s="5" t="s">
        <v>351</v>
      </c>
    </row>
    <row r="18" spans="1:23" x14ac:dyDescent="0.35">
      <c r="A18" t="s">
        <v>204</v>
      </c>
      <c r="B18" t="s">
        <v>22</v>
      </c>
      <c r="C18" t="s">
        <v>44</v>
      </c>
      <c r="D18">
        <f>VLOOKUP(Table1[[#This Row],[Product_Category]],HSNTABLE,2,FALSE)</f>
        <v>2202</v>
      </c>
      <c r="E18">
        <v>310</v>
      </c>
      <c r="F18" s="3">
        <f>VLOOKUP(Table1[[#This Row],[Product_Category]],HSNTABLE,3,FALSE)</f>
        <v>0.18</v>
      </c>
      <c r="G18">
        <f>Table1[[#This Row],[Cost_Price]]*Table1[[#This Row],[GST%]]</f>
        <v>55.8</v>
      </c>
      <c r="H18" s="5">
        <f>ROUNDUP(Table1[[#This Row],[Cost_Price]]+Table1[[#This Row],[GST_AMT]],0)</f>
        <v>366</v>
      </c>
      <c r="I18" s="3">
        <f>VLOOKUP(Table1[[#This Row],[Product_Category]],HSNTABLE,4,FALSE)</f>
        <v>0.25</v>
      </c>
      <c r="J18" s="5">
        <f>Table1[[#This Row],[Total_CP]]*Table1[[#This Row],[Margin%]]</f>
        <v>91.5</v>
      </c>
      <c r="K18" s="5">
        <f>Table1[[#This Row],[Margin_amt]]*Table1[[#This Row],[GST%]]</f>
        <v>16.47</v>
      </c>
      <c r="L18" s="5">
        <f>ROUNDUP(Table1[[#This Row],[Total_CP]]+Table1[[#This Row],[Margin_amt]]+Table1[[#This Row],[Gst_on_Margin_amt]],0)</f>
        <v>474</v>
      </c>
      <c r="M18" t="s">
        <v>184</v>
      </c>
      <c r="N18" t="str">
        <f>VLOOKUP(Table1[[#This Row],[Godown]],MasterSheet!$F$1:$G$5,2,FALSE)</f>
        <v>East</v>
      </c>
      <c r="O18" t="s">
        <v>340</v>
      </c>
      <c r="P18">
        <f>100</f>
        <v>100</v>
      </c>
      <c r="Q18">
        <v>30</v>
      </c>
      <c r="R18" s="5">
        <f>Table1[[#This Row],[Total_CP]]*Table1[[#This Row],[Qty_Purchased]]</f>
        <v>36600</v>
      </c>
      <c r="S18" s="5">
        <f>Table1[[#This Row],[Total_CP]]*Table1[[#This Row],[Qty_Sold]]</f>
        <v>10980</v>
      </c>
      <c r="T18" s="5">
        <f>Table1[[#This Row],[TotalSelling_Price]]*Table1[[#This Row],[Qty_Sold]]</f>
        <v>14220</v>
      </c>
      <c r="U18" s="5">
        <f>Table1[[#This Row],[SP_Qty_Sold]]-Table1[[#This Row],[CP_Qty_Sold]]</f>
        <v>3240</v>
      </c>
      <c r="V18" s="9">
        <f t="shared" si="0"/>
        <v>44642</v>
      </c>
      <c r="W18" s="5" t="s">
        <v>351</v>
      </c>
    </row>
    <row r="19" spans="1:23" x14ac:dyDescent="0.35">
      <c r="A19" t="s">
        <v>205</v>
      </c>
      <c r="B19" t="s">
        <v>22</v>
      </c>
      <c r="C19" t="s">
        <v>45</v>
      </c>
      <c r="D19">
        <f>VLOOKUP(Table1[[#This Row],[Product_Category]],HSNTABLE,2,FALSE)</f>
        <v>2202</v>
      </c>
      <c r="E19">
        <v>744</v>
      </c>
      <c r="F19" s="3">
        <f>VLOOKUP(Table1[[#This Row],[Product_Category]],HSNTABLE,3,FALSE)</f>
        <v>0.18</v>
      </c>
      <c r="G19">
        <f>Table1[[#This Row],[Cost_Price]]*Table1[[#This Row],[GST%]]</f>
        <v>133.91999999999999</v>
      </c>
      <c r="H19" s="5">
        <f>ROUNDUP(Table1[[#This Row],[Cost_Price]]+Table1[[#This Row],[GST_AMT]],0)</f>
        <v>878</v>
      </c>
      <c r="I19" s="3">
        <f>VLOOKUP(Table1[[#This Row],[Product_Category]],HSNTABLE,4,FALSE)</f>
        <v>0.25</v>
      </c>
      <c r="J19" s="5">
        <f>Table1[[#This Row],[Total_CP]]*Table1[[#This Row],[Margin%]]</f>
        <v>219.5</v>
      </c>
      <c r="K19" s="5">
        <f>Table1[[#This Row],[Margin_amt]]*Table1[[#This Row],[GST%]]</f>
        <v>39.51</v>
      </c>
      <c r="L19" s="5">
        <f>ROUNDUP(Table1[[#This Row],[Total_CP]]+Table1[[#This Row],[Margin_amt]]+Table1[[#This Row],[Gst_on_Margin_amt]],0)</f>
        <v>1138</v>
      </c>
      <c r="M19" t="s">
        <v>185</v>
      </c>
      <c r="N19" t="str">
        <f>VLOOKUP(Table1[[#This Row],[Godown]],MasterSheet!$F$1:$G$5,2,FALSE)</f>
        <v>West</v>
      </c>
      <c r="O19" t="s">
        <v>343</v>
      </c>
      <c r="P19">
        <f>100</f>
        <v>100</v>
      </c>
      <c r="Q19">
        <v>49</v>
      </c>
      <c r="R19" s="5">
        <f>Table1[[#This Row],[Total_CP]]*Table1[[#This Row],[Qty_Purchased]]</f>
        <v>87800</v>
      </c>
      <c r="S19" s="5">
        <f>Table1[[#This Row],[Total_CP]]*Table1[[#This Row],[Qty_Sold]]</f>
        <v>43022</v>
      </c>
      <c r="T19" s="5">
        <f>Table1[[#This Row],[TotalSelling_Price]]*Table1[[#This Row],[Qty_Sold]]</f>
        <v>55762</v>
      </c>
      <c r="U19" s="5">
        <f>Table1[[#This Row],[SP_Qty_Sold]]-Table1[[#This Row],[CP_Qty_Sold]]</f>
        <v>12740</v>
      </c>
      <c r="V19" s="9">
        <f t="shared" si="0"/>
        <v>44647</v>
      </c>
      <c r="W19" s="5" t="s">
        <v>352</v>
      </c>
    </row>
    <row r="20" spans="1:23" x14ac:dyDescent="0.35">
      <c r="A20" t="s">
        <v>206</v>
      </c>
      <c r="B20" t="s">
        <v>22</v>
      </c>
      <c r="C20" t="s">
        <v>46</v>
      </c>
      <c r="D20">
        <f>VLOOKUP(Table1[[#This Row],[Product_Category]],HSNTABLE,2,FALSE)</f>
        <v>2202</v>
      </c>
      <c r="E20">
        <v>509</v>
      </c>
      <c r="F20" s="3">
        <f>VLOOKUP(Table1[[#This Row],[Product_Category]],HSNTABLE,3,FALSE)</f>
        <v>0.18</v>
      </c>
      <c r="G20">
        <f>Table1[[#This Row],[Cost_Price]]*Table1[[#This Row],[GST%]]</f>
        <v>91.61999999999999</v>
      </c>
      <c r="H20" s="5">
        <f>ROUNDUP(Table1[[#This Row],[Cost_Price]]+Table1[[#This Row],[GST_AMT]],0)</f>
        <v>601</v>
      </c>
      <c r="I20" s="3">
        <f>VLOOKUP(Table1[[#This Row],[Product_Category]],HSNTABLE,4,FALSE)</f>
        <v>0.25</v>
      </c>
      <c r="J20" s="5">
        <f>Table1[[#This Row],[Total_CP]]*Table1[[#This Row],[Margin%]]</f>
        <v>150.25</v>
      </c>
      <c r="K20" s="5">
        <f>Table1[[#This Row],[Margin_amt]]*Table1[[#This Row],[GST%]]</f>
        <v>27.044999999999998</v>
      </c>
      <c r="L20" s="5">
        <f>ROUNDUP(Table1[[#This Row],[Total_CP]]+Table1[[#This Row],[Margin_amt]]+Table1[[#This Row],[Gst_on_Margin_amt]],0)</f>
        <v>779</v>
      </c>
      <c r="M20" t="s">
        <v>183</v>
      </c>
      <c r="N20" t="str">
        <f>VLOOKUP(Table1[[#This Row],[Godown]],MasterSheet!$F$1:$G$5,2,FALSE)</f>
        <v>South</v>
      </c>
      <c r="O20" t="s">
        <v>341</v>
      </c>
      <c r="P20">
        <f>100</f>
        <v>100</v>
      </c>
      <c r="Q20">
        <v>36</v>
      </c>
      <c r="R20" s="5">
        <f>Table1[[#This Row],[Total_CP]]*Table1[[#This Row],[Qty_Purchased]]</f>
        <v>60100</v>
      </c>
      <c r="S20" s="5">
        <f>Table1[[#This Row],[Total_CP]]*Table1[[#This Row],[Qty_Sold]]</f>
        <v>21636</v>
      </c>
      <c r="T20" s="5">
        <f>Table1[[#This Row],[TotalSelling_Price]]*Table1[[#This Row],[Qty_Sold]]</f>
        <v>28044</v>
      </c>
      <c r="U20" s="5">
        <f>Table1[[#This Row],[SP_Qty_Sold]]-Table1[[#This Row],[CP_Qty_Sold]]</f>
        <v>6408</v>
      </c>
      <c r="V20" s="9">
        <f t="shared" si="0"/>
        <v>44652</v>
      </c>
      <c r="W20" s="5" t="s">
        <v>352</v>
      </c>
    </row>
    <row r="21" spans="1:23" x14ac:dyDescent="0.35">
      <c r="A21" t="s">
        <v>207</v>
      </c>
      <c r="B21" t="s">
        <v>22</v>
      </c>
      <c r="C21" t="s">
        <v>47</v>
      </c>
      <c r="D21">
        <f>VLOOKUP(Table1[[#This Row],[Product_Category]],HSNTABLE,2,FALSE)</f>
        <v>2202</v>
      </c>
      <c r="E21">
        <v>789</v>
      </c>
      <c r="F21" s="3">
        <f>VLOOKUP(Table1[[#This Row],[Product_Category]],HSNTABLE,3,FALSE)</f>
        <v>0.18</v>
      </c>
      <c r="G21">
        <f>Table1[[#This Row],[Cost_Price]]*Table1[[#This Row],[GST%]]</f>
        <v>142.01999999999998</v>
      </c>
      <c r="H21" s="5">
        <f>ROUNDUP(Table1[[#This Row],[Cost_Price]]+Table1[[#This Row],[GST_AMT]],0)</f>
        <v>932</v>
      </c>
      <c r="I21" s="3">
        <f>VLOOKUP(Table1[[#This Row],[Product_Category]],HSNTABLE,4,FALSE)</f>
        <v>0.25</v>
      </c>
      <c r="J21" s="5">
        <f>Table1[[#This Row],[Total_CP]]*Table1[[#This Row],[Margin%]]</f>
        <v>233</v>
      </c>
      <c r="K21" s="5">
        <f>Table1[[#This Row],[Margin_amt]]*Table1[[#This Row],[GST%]]</f>
        <v>41.94</v>
      </c>
      <c r="L21" s="5">
        <f>ROUNDUP(Table1[[#This Row],[Total_CP]]+Table1[[#This Row],[Margin_amt]]+Table1[[#This Row],[Gst_on_Margin_amt]],0)</f>
        <v>1207</v>
      </c>
      <c r="M21" t="s">
        <v>183</v>
      </c>
      <c r="N21" t="str">
        <f>VLOOKUP(Table1[[#This Row],[Godown]],MasterSheet!$F$1:$G$5,2,FALSE)</f>
        <v>South</v>
      </c>
      <c r="O21" t="s">
        <v>341</v>
      </c>
      <c r="P21">
        <f>100</f>
        <v>100</v>
      </c>
      <c r="Q21">
        <v>37</v>
      </c>
      <c r="R21" s="5">
        <f>Table1[[#This Row],[Total_CP]]*Table1[[#This Row],[Qty_Purchased]]</f>
        <v>93200</v>
      </c>
      <c r="S21" s="5">
        <f>Table1[[#This Row],[Total_CP]]*Table1[[#This Row],[Qty_Sold]]</f>
        <v>34484</v>
      </c>
      <c r="T21" s="5">
        <f>Table1[[#This Row],[TotalSelling_Price]]*Table1[[#This Row],[Qty_Sold]]</f>
        <v>44659</v>
      </c>
      <c r="U21" s="5">
        <f>Table1[[#This Row],[SP_Qty_Sold]]-Table1[[#This Row],[CP_Qty_Sold]]</f>
        <v>10175</v>
      </c>
      <c r="V21" s="9">
        <f t="shared" si="0"/>
        <v>44657</v>
      </c>
      <c r="W21" s="5" t="s">
        <v>351</v>
      </c>
    </row>
    <row r="22" spans="1:23" x14ac:dyDescent="0.35">
      <c r="A22" t="s">
        <v>208</v>
      </c>
      <c r="B22" t="s">
        <v>22</v>
      </c>
      <c r="C22" t="s">
        <v>48</v>
      </c>
      <c r="D22">
        <f>VLOOKUP(Table1[[#This Row],[Product_Category]],HSNTABLE,2,FALSE)</f>
        <v>2202</v>
      </c>
      <c r="E22">
        <v>594</v>
      </c>
      <c r="F22" s="3">
        <f>VLOOKUP(Table1[[#This Row],[Product_Category]],HSNTABLE,3,FALSE)</f>
        <v>0.18</v>
      </c>
      <c r="G22">
        <f>Table1[[#This Row],[Cost_Price]]*Table1[[#This Row],[GST%]]</f>
        <v>106.92</v>
      </c>
      <c r="H22" s="5">
        <f>ROUNDUP(Table1[[#This Row],[Cost_Price]]+Table1[[#This Row],[GST_AMT]],0)</f>
        <v>701</v>
      </c>
      <c r="I22" s="3">
        <f>VLOOKUP(Table1[[#This Row],[Product_Category]],HSNTABLE,4,FALSE)</f>
        <v>0.25</v>
      </c>
      <c r="J22" s="5">
        <f>Table1[[#This Row],[Total_CP]]*Table1[[#This Row],[Margin%]]</f>
        <v>175.25</v>
      </c>
      <c r="K22" s="5">
        <f>Table1[[#This Row],[Margin_amt]]*Table1[[#This Row],[GST%]]</f>
        <v>31.544999999999998</v>
      </c>
      <c r="L22" s="5">
        <f>ROUNDUP(Table1[[#This Row],[Total_CP]]+Table1[[#This Row],[Margin_amt]]+Table1[[#This Row],[Gst_on_Margin_amt]],0)</f>
        <v>908</v>
      </c>
      <c r="M22" t="s">
        <v>183</v>
      </c>
      <c r="N22" t="str">
        <f>VLOOKUP(Table1[[#This Row],[Godown]],MasterSheet!$F$1:$G$5,2,FALSE)</f>
        <v>South</v>
      </c>
      <c r="O22" t="s">
        <v>339</v>
      </c>
      <c r="P22">
        <f>100</f>
        <v>100</v>
      </c>
      <c r="Q22">
        <v>50</v>
      </c>
      <c r="R22" s="5">
        <f>Table1[[#This Row],[Total_CP]]*Table1[[#This Row],[Qty_Purchased]]</f>
        <v>70100</v>
      </c>
      <c r="S22" s="5">
        <f>Table1[[#This Row],[Total_CP]]*Table1[[#This Row],[Qty_Sold]]</f>
        <v>35050</v>
      </c>
      <c r="T22" s="5">
        <f>Table1[[#This Row],[TotalSelling_Price]]*Table1[[#This Row],[Qty_Sold]]</f>
        <v>45400</v>
      </c>
      <c r="U22" s="5">
        <f>Table1[[#This Row],[SP_Qty_Sold]]-Table1[[#This Row],[CP_Qty_Sold]]</f>
        <v>10350</v>
      </c>
      <c r="V22" s="9">
        <f t="shared" si="0"/>
        <v>44662</v>
      </c>
      <c r="W22" s="5" t="s">
        <v>351</v>
      </c>
    </row>
    <row r="23" spans="1:23" x14ac:dyDescent="0.35">
      <c r="A23" t="s">
        <v>209</v>
      </c>
      <c r="B23" t="s">
        <v>22</v>
      </c>
      <c r="C23" t="s">
        <v>49</v>
      </c>
      <c r="D23">
        <f>VLOOKUP(Table1[[#This Row],[Product_Category]],HSNTABLE,2,FALSE)</f>
        <v>2202</v>
      </c>
      <c r="E23">
        <v>988</v>
      </c>
      <c r="F23" s="3">
        <f>VLOOKUP(Table1[[#This Row],[Product_Category]],HSNTABLE,3,FALSE)</f>
        <v>0.18</v>
      </c>
      <c r="G23">
        <f>Table1[[#This Row],[Cost_Price]]*Table1[[#This Row],[GST%]]</f>
        <v>177.84</v>
      </c>
      <c r="H23" s="5">
        <f>ROUNDUP(Table1[[#This Row],[Cost_Price]]+Table1[[#This Row],[GST_AMT]],0)</f>
        <v>1166</v>
      </c>
      <c r="I23" s="3">
        <f>VLOOKUP(Table1[[#This Row],[Product_Category]],HSNTABLE,4,FALSE)</f>
        <v>0.25</v>
      </c>
      <c r="J23" s="5">
        <f>Table1[[#This Row],[Total_CP]]*Table1[[#This Row],[Margin%]]</f>
        <v>291.5</v>
      </c>
      <c r="K23" s="5">
        <f>Table1[[#This Row],[Margin_amt]]*Table1[[#This Row],[GST%]]</f>
        <v>52.47</v>
      </c>
      <c r="L23" s="5">
        <f>ROUNDUP(Table1[[#This Row],[Total_CP]]+Table1[[#This Row],[Margin_amt]]+Table1[[#This Row],[Gst_on_Margin_amt]],0)</f>
        <v>1510</v>
      </c>
      <c r="M23" t="s">
        <v>185</v>
      </c>
      <c r="N23" t="str">
        <f>VLOOKUP(Table1[[#This Row],[Godown]],MasterSheet!$F$1:$G$5,2,FALSE)</f>
        <v>West</v>
      </c>
      <c r="O23" t="s">
        <v>343</v>
      </c>
      <c r="P23">
        <f>100</f>
        <v>100</v>
      </c>
      <c r="Q23">
        <v>29</v>
      </c>
      <c r="R23" s="5">
        <f>Table1[[#This Row],[Total_CP]]*Table1[[#This Row],[Qty_Purchased]]</f>
        <v>116600</v>
      </c>
      <c r="S23" s="5">
        <f>Table1[[#This Row],[Total_CP]]*Table1[[#This Row],[Qty_Sold]]</f>
        <v>33814</v>
      </c>
      <c r="T23" s="5">
        <f>Table1[[#This Row],[TotalSelling_Price]]*Table1[[#This Row],[Qty_Sold]]</f>
        <v>43790</v>
      </c>
      <c r="U23" s="5">
        <f>Table1[[#This Row],[SP_Qty_Sold]]-Table1[[#This Row],[CP_Qty_Sold]]</f>
        <v>9976</v>
      </c>
      <c r="V23" s="9">
        <f t="shared" si="0"/>
        <v>44667</v>
      </c>
      <c r="W23" s="5" t="s">
        <v>352</v>
      </c>
    </row>
    <row r="24" spans="1:23" x14ac:dyDescent="0.35">
      <c r="A24" t="s">
        <v>210</v>
      </c>
      <c r="B24" t="s">
        <v>22</v>
      </c>
      <c r="C24" t="s">
        <v>50</v>
      </c>
      <c r="D24">
        <f>VLOOKUP(Table1[[#This Row],[Product_Category]],HSNTABLE,2,FALSE)</f>
        <v>2202</v>
      </c>
      <c r="E24">
        <v>781</v>
      </c>
      <c r="F24" s="3">
        <f>VLOOKUP(Table1[[#This Row],[Product_Category]],HSNTABLE,3,FALSE)</f>
        <v>0.18</v>
      </c>
      <c r="G24">
        <f>Table1[[#This Row],[Cost_Price]]*Table1[[#This Row],[GST%]]</f>
        <v>140.57999999999998</v>
      </c>
      <c r="H24" s="5">
        <f>ROUNDUP(Table1[[#This Row],[Cost_Price]]+Table1[[#This Row],[GST_AMT]],0)</f>
        <v>922</v>
      </c>
      <c r="I24" s="3">
        <f>VLOOKUP(Table1[[#This Row],[Product_Category]],HSNTABLE,4,FALSE)</f>
        <v>0.25</v>
      </c>
      <c r="J24" s="5">
        <f>Table1[[#This Row],[Total_CP]]*Table1[[#This Row],[Margin%]]</f>
        <v>230.5</v>
      </c>
      <c r="K24" s="5">
        <f>Table1[[#This Row],[Margin_amt]]*Table1[[#This Row],[GST%]]</f>
        <v>41.49</v>
      </c>
      <c r="L24" s="5">
        <f>ROUNDUP(Table1[[#This Row],[Total_CP]]+Table1[[#This Row],[Margin_amt]]+Table1[[#This Row],[Gst_on_Margin_amt]],0)</f>
        <v>1194</v>
      </c>
      <c r="M24" t="s">
        <v>185</v>
      </c>
      <c r="N24" t="str">
        <f>VLOOKUP(Table1[[#This Row],[Godown]],MasterSheet!$F$1:$G$5,2,FALSE)</f>
        <v>West</v>
      </c>
      <c r="O24" t="s">
        <v>343</v>
      </c>
      <c r="P24">
        <f>100</f>
        <v>100</v>
      </c>
      <c r="Q24">
        <v>23</v>
      </c>
      <c r="R24" s="5">
        <f>Table1[[#This Row],[Total_CP]]*Table1[[#This Row],[Qty_Purchased]]</f>
        <v>92200</v>
      </c>
      <c r="S24" s="5">
        <f>Table1[[#This Row],[Total_CP]]*Table1[[#This Row],[Qty_Sold]]</f>
        <v>21206</v>
      </c>
      <c r="T24" s="5">
        <f>Table1[[#This Row],[TotalSelling_Price]]*Table1[[#This Row],[Qty_Sold]]</f>
        <v>27462</v>
      </c>
      <c r="U24" s="5">
        <f>Table1[[#This Row],[SP_Qty_Sold]]-Table1[[#This Row],[CP_Qty_Sold]]</f>
        <v>6256</v>
      </c>
      <c r="V24" s="9">
        <f t="shared" si="0"/>
        <v>44672</v>
      </c>
      <c r="W24" s="5" t="s">
        <v>351</v>
      </c>
    </row>
    <row r="25" spans="1:23" x14ac:dyDescent="0.35">
      <c r="A25" t="s">
        <v>211</v>
      </c>
      <c r="B25" t="s">
        <v>22</v>
      </c>
      <c r="C25" t="s">
        <v>51</v>
      </c>
      <c r="D25">
        <f>VLOOKUP(Table1[[#This Row],[Product_Category]],HSNTABLE,2,FALSE)</f>
        <v>2202</v>
      </c>
      <c r="E25">
        <v>933</v>
      </c>
      <c r="F25" s="3">
        <f>VLOOKUP(Table1[[#This Row],[Product_Category]],HSNTABLE,3,FALSE)</f>
        <v>0.18</v>
      </c>
      <c r="G25">
        <f>Table1[[#This Row],[Cost_Price]]*Table1[[#This Row],[GST%]]</f>
        <v>167.94</v>
      </c>
      <c r="H25" s="5">
        <f>ROUNDUP(Table1[[#This Row],[Cost_Price]]+Table1[[#This Row],[GST_AMT]],0)</f>
        <v>1101</v>
      </c>
      <c r="I25" s="3">
        <f>VLOOKUP(Table1[[#This Row],[Product_Category]],HSNTABLE,4,FALSE)</f>
        <v>0.25</v>
      </c>
      <c r="J25" s="5">
        <f>Table1[[#This Row],[Total_CP]]*Table1[[#This Row],[Margin%]]</f>
        <v>275.25</v>
      </c>
      <c r="K25" s="5">
        <f>Table1[[#This Row],[Margin_amt]]*Table1[[#This Row],[GST%]]</f>
        <v>49.545000000000002</v>
      </c>
      <c r="L25" s="5">
        <f>ROUNDUP(Table1[[#This Row],[Total_CP]]+Table1[[#This Row],[Margin_amt]]+Table1[[#This Row],[Gst_on_Margin_amt]],0)</f>
        <v>1426</v>
      </c>
      <c r="M25" t="s">
        <v>184</v>
      </c>
      <c r="N25" t="str">
        <f>VLOOKUP(Table1[[#This Row],[Godown]],MasterSheet!$F$1:$G$5,2,FALSE)</f>
        <v>East</v>
      </c>
      <c r="O25" t="s">
        <v>344</v>
      </c>
      <c r="P25">
        <f>100</f>
        <v>100</v>
      </c>
      <c r="Q25">
        <v>28</v>
      </c>
      <c r="R25" s="5">
        <f>Table1[[#This Row],[Total_CP]]*Table1[[#This Row],[Qty_Purchased]]</f>
        <v>110100</v>
      </c>
      <c r="S25" s="5">
        <f>Table1[[#This Row],[Total_CP]]*Table1[[#This Row],[Qty_Sold]]</f>
        <v>30828</v>
      </c>
      <c r="T25" s="5">
        <f>Table1[[#This Row],[TotalSelling_Price]]*Table1[[#This Row],[Qty_Sold]]</f>
        <v>39928</v>
      </c>
      <c r="U25" s="5">
        <f>Table1[[#This Row],[SP_Qty_Sold]]-Table1[[#This Row],[CP_Qty_Sold]]</f>
        <v>9100</v>
      </c>
      <c r="V25" s="9">
        <f t="shared" si="0"/>
        <v>44677</v>
      </c>
      <c r="W25" s="5" t="s">
        <v>351</v>
      </c>
    </row>
    <row r="26" spans="1:23" x14ac:dyDescent="0.35">
      <c r="A26" t="s">
        <v>212</v>
      </c>
      <c r="B26" t="s">
        <v>22</v>
      </c>
      <c r="C26" t="s">
        <v>52</v>
      </c>
      <c r="D26">
        <f>VLOOKUP(Table1[[#This Row],[Product_Category]],HSNTABLE,2,FALSE)</f>
        <v>2202</v>
      </c>
      <c r="E26">
        <v>405</v>
      </c>
      <c r="F26" s="3">
        <f>VLOOKUP(Table1[[#This Row],[Product_Category]],HSNTABLE,3,FALSE)</f>
        <v>0.18</v>
      </c>
      <c r="G26">
        <f>Table1[[#This Row],[Cost_Price]]*Table1[[#This Row],[GST%]]</f>
        <v>72.899999999999991</v>
      </c>
      <c r="H26" s="5">
        <f>ROUNDUP(Table1[[#This Row],[Cost_Price]]+Table1[[#This Row],[GST_AMT]],0)</f>
        <v>478</v>
      </c>
      <c r="I26" s="3">
        <f>VLOOKUP(Table1[[#This Row],[Product_Category]],HSNTABLE,4,FALSE)</f>
        <v>0.25</v>
      </c>
      <c r="J26" s="5">
        <f>Table1[[#This Row],[Total_CP]]*Table1[[#This Row],[Margin%]]</f>
        <v>119.5</v>
      </c>
      <c r="K26" s="5">
        <f>Table1[[#This Row],[Margin_amt]]*Table1[[#This Row],[GST%]]</f>
        <v>21.509999999999998</v>
      </c>
      <c r="L26" s="5">
        <f>ROUNDUP(Table1[[#This Row],[Total_CP]]+Table1[[#This Row],[Margin_amt]]+Table1[[#This Row],[Gst_on_Margin_amt]],0)</f>
        <v>620</v>
      </c>
      <c r="M26" t="s">
        <v>185</v>
      </c>
      <c r="N26" t="str">
        <f>VLOOKUP(Table1[[#This Row],[Godown]],MasterSheet!$F$1:$G$5,2,FALSE)</f>
        <v>West</v>
      </c>
      <c r="O26" t="s">
        <v>343</v>
      </c>
      <c r="P26">
        <f>100</f>
        <v>100</v>
      </c>
      <c r="Q26">
        <v>49</v>
      </c>
      <c r="R26" s="5">
        <f>Table1[[#This Row],[Total_CP]]*Table1[[#This Row],[Qty_Purchased]]</f>
        <v>47800</v>
      </c>
      <c r="S26" s="5">
        <f>Table1[[#This Row],[Total_CP]]*Table1[[#This Row],[Qty_Sold]]</f>
        <v>23422</v>
      </c>
      <c r="T26" s="5">
        <f>Table1[[#This Row],[TotalSelling_Price]]*Table1[[#This Row],[Qty_Sold]]</f>
        <v>30380</v>
      </c>
      <c r="U26" s="5">
        <f>Table1[[#This Row],[SP_Qty_Sold]]-Table1[[#This Row],[CP_Qty_Sold]]</f>
        <v>6958</v>
      </c>
      <c r="V26" s="9">
        <f t="shared" si="0"/>
        <v>44682</v>
      </c>
      <c r="W26" s="5" t="s">
        <v>352</v>
      </c>
    </row>
    <row r="27" spans="1:23" x14ac:dyDescent="0.35">
      <c r="A27" t="s">
        <v>213</v>
      </c>
      <c r="B27" t="s">
        <v>22</v>
      </c>
      <c r="C27" t="s">
        <v>53</v>
      </c>
      <c r="D27">
        <f>VLOOKUP(Table1[[#This Row],[Product_Category]],HSNTABLE,2,FALSE)</f>
        <v>2202</v>
      </c>
      <c r="E27">
        <v>331</v>
      </c>
      <c r="F27" s="3">
        <f>VLOOKUP(Table1[[#This Row],[Product_Category]],HSNTABLE,3,FALSE)</f>
        <v>0.18</v>
      </c>
      <c r="G27">
        <f>Table1[[#This Row],[Cost_Price]]*Table1[[#This Row],[GST%]]</f>
        <v>59.58</v>
      </c>
      <c r="H27" s="5">
        <f>ROUNDUP(Table1[[#This Row],[Cost_Price]]+Table1[[#This Row],[GST_AMT]],0)</f>
        <v>391</v>
      </c>
      <c r="I27" s="3">
        <f>VLOOKUP(Table1[[#This Row],[Product_Category]],HSNTABLE,4,FALSE)</f>
        <v>0.25</v>
      </c>
      <c r="J27" s="5">
        <f>Table1[[#This Row],[Total_CP]]*Table1[[#This Row],[Margin%]]</f>
        <v>97.75</v>
      </c>
      <c r="K27" s="5">
        <f>Table1[[#This Row],[Margin_amt]]*Table1[[#This Row],[GST%]]</f>
        <v>17.594999999999999</v>
      </c>
      <c r="L27" s="5">
        <f>ROUNDUP(Table1[[#This Row],[Total_CP]]+Table1[[#This Row],[Margin_amt]]+Table1[[#This Row],[Gst_on_Margin_amt]],0)</f>
        <v>507</v>
      </c>
      <c r="M27" t="s">
        <v>185</v>
      </c>
      <c r="N27" t="str">
        <f>VLOOKUP(Table1[[#This Row],[Godown]],MasterSheet!$F$1:$G$5,2,FALSE)</f>
        <v>West</v>
      </c>
      <c r="O27" t="s">
        <v>339</v>
      </c>
      <c r="P27">
        <f>100</f>
        <v>100</v>
      </c>
      <c r="Q27">
        <v>50</v>
      </c>
      <c r="R27" s="5">
        <f>Table1[[#This Row],[Total_CP]]*Table1[[#This Row],[Qty_Purchased]]</f>
        <v>39100</v>
      </c>
      <c r="S27" s="5">
        <f>Table1[[#This Row],[Total_CP]]*Table1[[#This Row],[Qty_Sold]]</f>
        <v>19550</v>
      </c>
      <c r="T27" s="5">
        <f>Table1[[#This Row],[TotalSelling_Price]]*Table1[[#This Row],[Qty_Sold]]</f>
        <v>25350</v>
      </c>
      <c r="U27" s="5">
        <f>Table1[[#This Row],[SP_Qty_Sold]]-Table1[[#This Row],[CP_Qty_Sold]]</f>
        <v>5800</v>
      </c>
      <c r="V27" s="9">
        <f t="shared" si="0"/>
        <v>44687</v>
      </c>
      <c r="W27" s="5" t="s">
        <v>351</v>
      </c>
    </row>
    <row r="28" spans="1:23" x14ac:dyDescent="0.35">
      <c r="A28" t="s">
        <v>214</v>
      </c>
      <c r="B28" t="s">
        <v>22</v>
      </c>
      <c r="C28" t="s">
        <v>54</v>
      </c>
      <c r="D28">
        <f>VLOOKUP(Table1[[#This Row],[Product_Category]],HSNTABLE,2,FALSE)</f>
        <v>2202</v>
      </c>
      <c r="E28">
        <v>923</v>
      </c>
      <c r="F28" s="3">
        <f>VLOOKUP(Table1[[#This Row],[Product_Category]],HSNTABLE,3,FALSE)</f>
        <v>0.18</v>
      </c>
      <c r="G28">
        <f>Table1[[#This Row],[Cost_Price]]*Table1[[#This Row],[GST%]]</f>
        <v>166.14</v>
      </c>
      <c r="H28" s="5">
        <f>ROUNDUP(Table1[[#This Row],[Cost_Price]]+Table1[[#This Row],[GST_AMT]],0)</f>
        <v>1090</v>
      </c>
      <c r="I28" s="3">
        <f>VLOOKUP(Table1[[#This Row],[Product_Category]],HSNTABLE,4,FALSE)</f>
        <v>0.25</v>
      </c>
      <c r="J28" s="5">
        <f>Table1[[#This Row],[Total_CP]]*Table1[[#This Row],[Margin%]]</f>
        <v>272.5</v>
      </c>
      <c r="K28" s="5">
        <f>Table1[[#This Row],[Margin_amt]]*Table1[[#This Row],[GST%]]</f>
        <v>49.05</v>
      </c>
      <c r="L28" s="5">
        <f>ROUNDUP(Table1[[#This Row],[Total_CP]]+Table1[[#This Row],[Margin_amt]]+Table1[[#This Row],[Gst_on_Margin_amt]],0)</f>
        <v>1412</v>
      </c>
      <c r="M28" t="s">
        <v>183</v>
      </c>
      <c r="N28" t="str">
        <f>VLOOKUP(Table1[[#This Row],[Godown]],MasterSheet!$F$1:$G$5,2,FALSE)</f>
        <v>South</v>
      </c>
      <c r="O28" t="s">
        <v>343</v>
      </c>
      <c r="P28">
        <f>100</f>
        <v>100</v>
      </c>
      <c r="Q28">
        <v>45</v>
      </c>
      <c r="R28" s="5">
        <f>Table1[[#This Row],[Total_CP]]*Table1[[#This Row],[Qty_Purchased]]</f>
        <v>109000</v>
      </c>
      <c r="S28" s="5">
        <f>Table1[[#This Row],[Total_CP]]*Table1[[#This Row],[Qty_Sold]]</f>
        <v>49050</v>
      </c>
      <c r="T28" s="5">
        <f>Table1[[#This Row],[TotalSelling_Price]]*Table1[[#This Row],[Qty_Sold]]</f>
        <v>63540</v>
      </c>
      <c r="U28" s="5">
        <f>Table1[[#This Row],[SP_Qty_Sold]]-Table1[[#This Row],[CP_Qty_Sold]]</f>
        <v>14490</v>
      </c>
      <c r="V28" s="9">
        <f t="shared" si="0"/>
        <v>44692</v>
      </c>
      <c r="W28" s="5" t="s">
        <v>351</v>
      </c>
    </row>
    <row r="29" spans="1:23" x14ac:dyDescent="0.35">
      <c r="A29" t="s">
        <v>215</v>
      </c>
      <c r="B29" t="s">
        <v>24</v>
      </c>
      <c r="C29" t="s">
        <v>55</v>
      </c>
      <c r="D29">
        <f>VLOOKUP(Table1[[#This Row],[Product_Category]],HSNTABLE,2,FALSE)</f>
        <v>9967</v>
      </c>
      <c r="E29">
        <v>571</v>
      </c>
      <c r="F29" s="3">
        <f>VLOOKUP(Table1[[#This Row],[Product_Category]],HSNTABLE,3,FALSE)</f>
        <v>0.12</v>
      </c>
      <c r="G29">
        <f>Table1[[#This Row],[Cost_Price]]*Table1[[#This Row],[GST%]]</f>
        <v>68.52</v>
      </c>
      <c r="H29" s="5">
        <f>ROUNDUP(Table1[[#This Row],[Cost_Price]]+Table1[[#This Row],[GST_AMT]],0)</f>
        <v>640</v>
      </c>
      <c r="I29" s="3">
        <f>VLOOKUP(Table1[[#This Row],[Product_Category]],HSNTABLE,4,FALSE)</f>
        <v>0.15</v>
      </c>
      <c r="J29" s="5">
        <f>Table1[[#This Row],[Total_CP]]*Table1[[#This Row],[Margin%]]</f>
        <v>96</v>
      </c>
      <c r="K29" s="5">
        <f>Table1[[#This Row],[Margin_amt]]*Table1[[#This Row],[GST%]]</f>
        <v>11.52</v>
      </c>
      <c r="L29" s="5">
        <f>ROUNDUP(Table1[[#This Row],[Total_CP]]+Table1[[#This Row],[Margin_amt]]+Table1[[#This Row],[Gst_on_Margin_amt]],0)</f>
        <v>748</v>
      </c>
      <c r="M29" t="s">
        <v>184</v>
      </c>
      <c r="N29" t="str">
        <f>VLOOKUP(Table1[[#This Row],[Godown]],MasterSheet!$F$1:$G$5,2,FALSE)</f>
        <v>East</v>
      </c>
      <c r="O29" t="s">
        <v>340</v>
      </c>
      <c r="P29">
        <f>100</f>
        <v>100</v>
      </c>
      <c r="Q29">
        <v>25</v>
      </c>
      <c r="R29" s="5">
        <f>Table1[[#This Row],[Total_CP]]*Table1[[#This Row],[Qty_Purchased]]</f>
        <v>64000</v>
      </c>
      <c r="S29" s="5">
        <f>Table1[[#This Row],[Total_CP]]*Table1[[#This Row],[Qty_Sold]]</f>
        <v>16000</v>
      </c>
      <c r="T29" s="5">
        <f>Table1[[#This Row],[TotalSelling_Price]]*Table1[[#This Row],[Qty_Sold]]</f>
        <v>18700</v>
      </c>
      <c r="U29" s="5">
        <f>Table1[[#This Row],[SP_Qty_Sold]]-Table1[[#This Row],[CP_Qty_Sold]]</f>
        <v>2700</v>
      </c>
      <c r="V29" s="9">
        <f t="shared" si="0"/>
        <v>44697</v>
      </c>
      <c r="W29" s="5" t="s">
        <v>351</v>
      </c>
    </row>
    <row r="30" spans="1:23" x14ac:dyDescent="0.35">
      <c r="A30" t="s">
        <v>216</v>
      </c>
      <c r="B30" t="s">
        <v>24</v>
      </c>
      <c r="C30" t="s">
        <v>56</v>
      </c>
      <c r="D30">
        <f>VLOOKUP(Table1[[#This Row],[Product_Category]],HSNTABLE,2,FALSE)</f>
        <v>9967</v>
      </c>
      <c r="E30">
        <v>440</v>
      </c>
      <c r="F30" s="3">
        <f>VLOOKUP(Table1[[#This Row],[Product_Category]],HSNTABLE,3,FALSE)</f>
        <v>0.12</v>
      </c>
      <c r="G30">
        <f>Table1[[#This Row],[Cost_Price]]*Table1[[#This Row],[GST%]]</f>
        <v>52.8</v>
      </c>
      <c r="H30" s="5">
        <f>ROUNDUP(Table1[[#This Row],[Cost_Price]]+Table1[[#This Row],[GST_AMT]],0)</f>
        <v>493</v>
      </c>
      <c r="I30" s="3">
        <f>VLOOKUP(Table1[[#This Row],[Product_Category]],HSNTABLE,4,FALSE)</f>
        <v>0.15</v>
      </c>
      <c r="J30" s="5">
        <f>Table1[[#This Row],[Total_CP]]*Table1[[#This Row],[Margin%]]</f>
        <v>73.95</v>
      </c>
      <c r="K30" s="5">
        <f>Table1[[#This Row],[Margin_amt]]*Table1[[#This Row],[GST%]]</f>
        <v>8.8740000000000006</v>
      </c>
      <c r="L30" s="5">
        <f>ROUNDUP(Table1[[#This Row],[Total_CP]]+Table1[[#This Row],[Margin_amt]]+Table1[[#This Row],[Gst_on_Margin_amt]],0)</f>
        <v>576</v>
      </c>
      <c r="M30" t="s">
        <v>185</v>
      </c>
      <c r="N30" t="str">
        <f>VLOOKUP(Table1[[#This Row],[Godown]],MasterSheet!$F$1:$G$5,2,FALSE)</f>
        <v>West</v>
      </c>
      <c r="O30" t="s">
        <v>342</v>
      </c>
      <c r="P30">
        <f>100</f>
        <v>100</v>
      </c>
      <c r="Q30">
        <v>30</v>
      </c>
      <c r="R30" s="5">
        <f>Table1[[#This Row],[Total_CP]]*Table1[[#This Row],[Qty_Purchased]]</f>
        <v>49300</v>
      </c>
      <c r="S30" s="5">
        <f>Table1[[#This Row],[Total_CP]]*Table1[[#This Row],[Qty_Sold]]</f>
        <v>14790</v>
      </c>
      <c r="T30" s="5">
        <f>Table1[[#This Row],[TotalSelling_Price]]*Table1[[#This Row],[Qty_Sold]]</f>
        <v>17280</v>
      </c>
      <c r="U30" s="5">
        <f>Table1[[#This Row],[SP_Qty_Sold]]-Table1[[#This Row],[CP_Qty_Sold]]</f>
        <v>2490</v>
      </c>
      <c r="V30" s="9">
        <f t="shared" si="0"/>
        <v>44702</v>
      </c>
      <c r="W30" s="5" t="s">
        <v>351</v>
      </c>
    </row>
    <row r="31" spans="1:23" x14ac:dyDescent="0.35">
      <c r="A31" t="s">
        <v>217</v>
      </c>
      <c r="B31" t="s">
        <v>24</v>
      </c>
      <c r="C31" t="s">
        <v>57</v>
      </c>
      <c r="D31">
        <f>VLOOKUP(Table1[[#This Row],[Product_Category]],HSNTABLE,2,FALSE)</f>
        <v>9967</v>
      </c>
      <c r="E31">
        <v>296</v>
      </c>
      <c r="F31" s="3">
        <f>VLOOKUP(Table1[[#This Row],[Product_Category]],HSNTABLE,3,FALSE)</f>
        <v>0.12</v>
      </c>
      <c r="G31">
        <f>Table1[[#This Row],[Cost_Price]]*Table1[[#This Row],[GST%]]</f>
        <v>35.519999999999996</v>
      </c>
      <c r="H31" s="5">
        <f>ROUNDUP(Table1[[#This Row],[Cost_Price]]+Table1[[#This Row],[GST_AMT]],0)</f>
        <v>332</v>
      </c>
      <c r="I31" s="3">
        <f>VLOOKUP(Table1[[#This Row],[Product_Category]],HSNTABLE,4,FALSE)</f>
        <v>0.15</v>
      </c>
      <c r="J31" s="5">
        <f>Table1[[#This Row],[Total_CP]]*Table1[[#This Row],[Margin%]]</f>
        <v>49.8</v>
      </c>
      <c r="K31" s="5">
        <f>Table1[[#This Row],[Margin_amt]]*Table1[[#This Row],[GST%]]</f>
        <v>5.9759999999999991</v>
      </c>
      <c r="L31" s="5">
        <f>ROUNDUP(Table1[[#This Row],[Total_CP]]+Table1[[#This Row],[Margin_amt]]+Table1[[#This Row],[Gst_on_Margin_amt]],0)</f>
        <v>388</v>
      </c>
      <c r="M31" t="s">
        <v>184</v>
      </c>
      <c r="N31" t="str">
        <f>VLOOKUP(Table1[[#This Row],[Godown]],MasterSheet!$F$1:$G$5,2,FALSE)</f>
        <v>East</v>
      </c>
      <c r="O31" t="s">
        <v>344</v>
      </c>
      <c r="P31">
        <f>100</f>
        <v>100</v>
      </c>
      <c r="Q31">
        <v>25</v>
      </c>
      <c r="R31" s="5">
        <f>Table1[[#This Row],[Total_CP]]*Table1[[#This Row],[Qty_Purchased]]</f>
        <v>33200</v>
      </c>
      <c r="S31" s="5">
        <f>Table1[[#This Row],[Total_CP]]*Table1[[#This Row],[Qty_Sold]]</f>
        <v>8300</v>
      </c>
      <c r="T31" s="5">
        <f>Table1[[#This Row],[TotalSelling_Price]]*Table1[[#This Row],[Qty_Sold]]</f>
        <v>9700</v>
      </c>
      <c r="U31" s="5">
        <f>Table1[[#This Row],[SP_Qty_Sold]]-Table1[[#This Row],[CP_Qty_Sold]]</f>
        <v>1400</v>
      </c>
      <c r="V31" s="9">
        <f t="shared" si="0"/>
        <v>44707</v>
      </c>
      <c r="W31" s="5" t="s">
        <v>352</v>
      </c>
    </row>
    <row r="32" spans="1:23" x14ac:dyDescent="0.35">
      <c r="A32" t="s">
        <v>218</v>
      </c>
      <c r="B32" t="s">
        <v>24</v>
      </c>
      <c r="C32" t="s">
        <v>58</v>
      </c>
      <c r="D32">
        <f>VLOOKUP(Table1[[#This Row],[Product_Category]],HSNTABLE,2,FALSE)</f>
        <v>9967</v>
      </c>
      <c r="E32">
        <v>484</v>
      </c>
      <c r="F32" s="3">
        <f>VLOOKUP(Table1[[#This Row],[Product_Category]],HSNTABLE,3,FALSE)</f>
        <v>0.12</v>
      </c>
      <c r="G32">
        <f>Table1[[#This Row],[Cost_Price]]*Table1[[#This Row],[GST%]]</f>
        <v>58.08</v>
      </c>
      <c r="H32" s="5">
        <f>ROUNDUP(Table1[[#This Row],[Cost_Price]]+Table1[[#This Row],[GST_AMT]],0)</f>
        <v>543</v>
      </c>
      <c r="I32" s="3">
        <f>VLOOKUP(Table1[[#This Row],[Product_Category]],HSNTABLE,4,FALSE)</f>
        <v>0.15</v>
      </c>
      <c r="J32" s="5">
        <f>Table1[[#This Row],[Total_CP]]*Table1[[#This Row],[Margin%]]</f>
        <v>81.45</v>
      </c>
      <c r="K32" s="5">
        <f>Table1[[#This Row],[Margin_amt]]*Table1[[#This Row],[GST%]]</f>
        <v>9.7739999999999991</v>
      </c>
      <c r="L32" s="5">
        <f>ROUNDUP(Table1[[#This Row],[Total_CP]]+Table1[[#This Row],[Margin_amt]]+Table1[[#This Row],[Gst_on_Margin_amt]],0)</f>
        <v>635</v>
      </c>
      <c r="M32" t="s">
        <v>183</v>
      </c>
      <c r="N32" t="str">
        <f>VLOOKUP(Table1[[#This Row],[Godown]],MasterSheet!$F$1:$G$5,2,FALSE)</f>
        <v>South</v>
      </c>
      <c r="O32" t="s">
        <v>344</v>
      </c>
      <c r="P32">
        <f>100</f>
        <v>100</v>
      </c>
      <c r="Q32">
        <v>21</v>
      </c>
      <c r="R32" s="5">
        <f>Table1[[#This Row],[Total_CP]]*Table1[[#This Row],[Qty_Purchased]]</f>
        <v>54300</v>
      </c>
      <c r="S32" s="5">
        <f>Table1[[#This Row],[Total_CP]]*Table1[[#This Row],[Qty_Sold]]</f>
        <v>11403</v>
      </c>
      <c r="T32" s="5">
        <f>Table1[[#This Row],[TotalSelling_Price]]*Table1[[#This Row],[Qty_Sold]]</f>
        <v>13335</v>
      </c>
      <c r="U32" s="5">
        <f>Table1[[#This Row],[SP_Qty_Sold]]-Table1[[#This Row],[CP_Qty_Sold]]</f>
        <v>1932</v>
      </c>
      <c r="V32" s="9">
        <f t="shared" si="0"/>
        <v>44712</v>
      </c>
      <c r="W32" s="5" t="s">
        <v>351</v>
      </c>
    </row>
    <row r="33" spans="1:23" x14ac:dyDescent="0.35">
      <c r="A33" t="s">
        <v>219</v>
      </c>
      <c r="B33" t="s">
        <v>24</v>
      </c>
      <c r="C33" t="s">
        <v>59</v>
      </c>
      <c r="D33">
        <f>VLOOKUP(Table1[[#This Row],[Product_Category]],HSNTABLE,2,FALSE)</f>
        <v>9967</v>
      </c>
      <c r="E33">
        <v>832</v>
      </c>
      <c r="F33" s="3">
        <f>VLOOKUP(Table1[[#This Row],[Product_Category]],HSNTABLE,3,FALSE)</f>
        <v>0.12</v>
      </c>
      <c r="G33">
        <f>Table1[[#This Row],[Cost_Price]]*Table1[[#This Row],[GST%]]</f>
        <v>99.84</v>
      </c>
      <c r="H33" s="5">
        <f>ROUNDUP(Table1[[#This Row],[Cost_Price]]+Table1[[#This Row],[GST_AMT]],0)</f>
        <v>932</v>
      </c>
      <c r="I33" s="3">
        <f>VLOOKUP(Table1[[#This Row],[Product_Category]],HSNTABLE,4,FALSE)</f>
        <v>0.15</v>
      </c>
      <c r="J33" s="5">
        <f>Table1[[#This Row],[Total_CP]]*Table1[[#This Row],[Margin%]]</f>
        <v>139.79999999999998</v>
      </c>
      <c r="K33" s="5">
        <f>Table1[[#This Row],[Margin_amt]]*Table1[[#This Row],[GST%]]</f>
        <v>16.775999999999996</v>
      </c>
      <c r="L33" s="5">
        <f>ROUNDUP(Table1[[#This Row],[Total_CP]]+Table1[[#This Row],[Margin_amt]]+Table1[[#This Row],[Gst_on_Margin_amt]],0)</f>
        <v>1089</v>
      </c>
      <c r="M33" t="s">
        <v>184</v>
      </c>
      <c r="N33" t="str">
        <f>VLOOKUP(Table1[[#This Row],[Godown]],MasterSheet!$F$1:$G$5,2,FALSE)</f>
        <v>East</v>
      </c>
      <c r="O33" t="s">
        <v>340</v>
      </c>
      <c r="P33">
        <f>100</f>
        <v>100</v>
      </c>
      <c r="Q33">
        <v>22</v>
      </c>
      <c r="R33" s="5">
        <f>Table1[[#This Row],[Total_CP]]*Table1[[#This Row],[Qty_Purchased]]</f>
        <v>93200</v>
      </c>
      <c r="S33" s="5">
        <f>Table1[[#This Row],[Total_CP]]*Table1[[#This Row],[Qty_Sold]]</f>
        <v>20504</v>
      </c>
      <c r="T33" s="5">
        <f>Table1[[#This Row],[TotalSelling_Price]]*Table1[[#This Row],[Qty_Sold]]</f>
        <v>23958</v>
      </c>
      <c r="U33" s="5">
        <f>Table1[[#This Row],[SP_Qty_Sold]]-Table1[[#This Row],[CP_Qty_Sold]]</f>
        <v>3454</v>
      </c>
      <c r="V33" s="9">
        <f t="shared" si="0"/>
        <v>44717</v>
      </c>
      <c r="W33" s="5" t="s">
        <v>352</v>
      </c>
    </row>
    <row r="34" spans="1:23" x14ac:dyDescent="0.35">
      <c r="A34" t="s">
        <v>220</v>
      </c>
      <c r="B34" t="s">
        <v>24</v>
      </c>
      <c r="C34" t="s">
        <v>60</v>
      </c>
      <c r="D34">
        <f>VLOOKUP(Table1[[#This Row],[Product_Category]],HSNTABLE,2,FALSE)</f>
        <v>9967</v>
      </c>
      <c r="E34">
        <v>108</v>
      </c>
      <c r="F34" s="3">
        <f>VLOOKUP(Table1[[#This Row],[Product_Category]],HSNTABLE,3,FALSE)</f>
        <v>0.12</v>
      </c>
      <c r="G34">
        <f>Table1[[#This Row],[Cost_Price]]*Table1[[#This Row],[GST%]]</f>
        <v>12.959999999999999</v>
      </c>
      <c r="H34" s="5">
        <f>ROUNDUP(Table1[[#This Row],[Cost_Price]]+Table1[[#This Row],[GST_AMT]],0)</f>
        <v>121</v>
      </c>
      <c r="I34" s="3">
        <f>VLOOKUP(Table1[[#This Row],[Product_Category]],HSNTABLE,4,FALSE)</f>
        <v>0.15</v>
      </c>
      <c r="J34" s="5">
        <f>Table1[[#This Row],[Total_CP]]*Table1[[#This Row],[Margin%]]</f>
        <v>18.149999999999999</v>
      </c>
      <c r="K34" s="5">
        <f>Table1[[#This Row],[Margin_amt]]*Table1[[#This Row],[GST%]]</f>
        <v>2.1779999999999999</v>
      </c>
      <c r="L34" s="5">
        <f>ROUNDUP(Table1[[#This Row],[Total_CP]]+Table1[[#This Row],[Margin_amt]]+Table1[[#This Row],[Gst_on_Margin_amt]],0)</f>
        <v>142</v>
      </c>
      <c r="M34" t="s">
        <v>183</v>
      </c>
      <c r="N34" t="str">
        <f>VLOOKUP(Table1[[#This Row],[Godown]],MasterSheet!$F$1:$G$5,2,FALSE)</f>
        <v>South</v>
      </c>
      <c r="O34" t="s">
        <v>344</v>
      </c>
      <c r="P34">
        <f>100</f>
        <v>100</v>
      </c>
      <c r="Q34">
        <v>32</v>
      </c>
      <c r="R34" s="5">
        <f>Table1[[#This Row],[Total_CP]]*Table1[[#This Row],[Qty_Purchased]]</f>
        <v>12100</v>
      </c>
      <c r="S34" s="5">
        <f>Table1[[#This Row],[Total_CP]]*Table1[[#This Row],[Qty_Sold]]</f>
        <v>3872</v>
      </c>
      <c r="T34" s="5">
        <f>Table1[[#This Row],[TotalSelling_Price]]*Table1[[#This Row],[Qty_Sold]]</f>
        <v>4544</v>
      </c>
      <c r="U34" s="5">
        <f>Table1[[#This Row],[SP_Qty_Sold]]-Table1[[#This Row],[CP_Qty_Sold]]</f>
        <v>672</v>
      </c>
      <c r="V34" s="9">
        <f t="shared" si="0"/>
        <v>44722</v>
      </c>
      <c r="W34" s="5" t="s">
        <v>351</v>
      </c>
    </row>
    <row r="35" spans="1:23" x14ac:dyDescent="0.35">
      <c r="A35" t="s">
        <v>221</v>
      </c>
      <c r="B35" t="s">
        <v>24</v>
      </c>
      <c r="C35" t="s">
        <v>61</v>
      </c>
      <c r="D35">
        <f>VLOOKUP(Table1[[#This Row],[Product_Category]],HSNTABLE,2,FALSE)</f>
        <v>9967</v>
      </c>
      <c r="E35">
        <v>890</v>
      </c>
      <c r="F35" s="3">
        <f>VLOOKUP(Table1[[#This Row],[Product_Category]],HSNTABLE,3,FALSE)</f>
        <v>0.12</v>
      </c>
      <c r="G35">
        <f>Table1[[#This Row],[Cost_Price]]*Table1[[#This Row],[GST%]]</f>
        <v>106.8</v>
      </c>
      <c r="H35" s="5">
        <f>ROUNDUP(Table1[[#This Row],[Cost_Price]]+Table1[[#This Row],[GST_AMT]],0)</f>
        <v>997</v>
      </c>
      <c r="I35" s="3">
        <f>VLOOKUP(Table1[[#This Row],[Product_Category]],HSNTABLE,4,FALSE)</f>
        <v>0.15</v>
      </c>
      <c r="J35" s="5">
        <f>Table1[[#This Row],[Total_CP]]*Table1[[#This Row],[Margin%]]</f>
        <v>149.54999999999998</v>
      </c>
      <c r="K35" s="5">
        <f>Table1[[#This Row],[Margin_amt]]*Table1[[#This Row],[GST%]]</f>
        <v>17.945999999999998</v>
      </c>
      <c r="L35" s="5">
        <f>ROUNDUP(Table1[[#This Row],[Total_CP]]+Table1[[#This Row],[Margin_amt]]+Table1[[#This Row],[Gst_on_Margin_amt]],0)</f>
        <v>1165</v>
      </c>
      <c r="M35" t="s">
        <v>183</v>
      </c>
      <c r="N35" t="str">
        <f>VLOOKUP(Table1[[#This Row],[Godown]],MasterSheet!$F$1:$G$5,2,FALSE)</f>
        <v>South</v>
      </c>
      <c r="O35" t="s">
        <v>341</v>
      </c>
      <c r="P35">
        <f>100</f>
        <v>100</v>
      </c>
      <c r="Q35">
        <v>20</v>
      </c>
      <c r="R35" s="5">
        <f>Table1[[#This Row],[Total_CP]]*Table1[[#This Row],[Qty_Purchased]]</f>
        <v>99700</v>
      </c>
      <c r="S35" s="5">
        <f>Table1[[#This Row],[Total_CP]]*Table1[[#This Row],[Qty_Sold]]</f>
        <v>19940</v>
      </c>
      <c r="T35" s="5">
        <f>Table1[[#This Row],[TotalSelling_Price]]*Table1[[#This Row],[Qty_Sold]]</f>
        <v>23300</v>
      </c>
      <c r="U35" s="5">
        <f>Table1[[#This Row],[SP_Qty_Sold]]-Table1[[#This Row],[CP_Qty_Sold]]</f>
        <v>3360</v>
      </c>
      <c r="V35" s="9">
        <f t="shared" si="0"/>
        <v>44727</v>
      </c>
      <c r="W35" s="5" t="s">
        <v>352</v>
      </c>
    </row>
    <row r="36" spans="1:23" x14ac:dyDescent="0.35">
      <c r="A36" t="s">
        <v>222</v>
      </c>
      <c r="B36" t="s">
        <v>24</v>
      </c>
      <c r="C36" t="s">
        <v>62</v>
      </c>
      <c r="D36">
        <f>VLOOKUP(Table1[[#This Row],[Product_Category]],HSNTABLE,2,FALSE)</f>
        <v>9967</v>
      </c>
      <c r="E36">
        <v>742</v>
      </c>
      <c r="F36" s="3">
        <f>VLOOKUP(Table1[[#This Row],[Product_Category]],HSNTABLE,3,FALSE)</f>
        <v>0.12</v>
      </c>
      <c r="G36">
        <f>Table1[[#This Row],[Cost_Price]]*Table1[[#This Row],[GST%]]</f>
        <v>89.039999999999992</v>
      </c>
      <c r="H36" s="5">
        <f>ROUNDUP(Table1[[#This Row],[Cost_Price]]+Table1[[#This Row],[GST_AMT]],0)</f>
        <v>832</v>
      </c>
      <c r="I36" s="3">
        <f>VLOOKUP(Table1[[#This Row],[Product_Category]],HSNTABLE,4,FALSE)</f>
        <v>0.15</v>
      </c>
      <c r="J36" s="5">
        <f>Table1[[#This Row],[Total_CP]]*Table1[[#This Row],[Margin%]]</f>
        <v>124.8</v>
      </c>
      <c r="K36" s="5">
        <f>Table1[[#This Row],[Margin_amt]]*Table1[[#This Row],[GST%]]</f>
        <v>14.975999999999999</v>
      </c>
      <c r="L36" s="5">
        <f>ROUNDUP(Table1[[#This Row],[Total_CP]]+Table1[[#This Row],[Margin_amt]]+Table1[[#This Row],[Gst_on_Margin_amt]],0)</f>
        <v>972</v>
      </c>
      <c r="M36" t="s">
        <v>183</v>
      </c>
      <c r="N36" t="str">
        <f>VLOOKUP(Table1[[#This Row],[Godown]],MasterSheet!$F$1:$G$5,2,FALSE)</f>
        <v>South</v>
      </c>
      <c r="O36" t="s">
        <v>341</v>
      </c>
      <c r="P36">
        <f>100</f>
        <v>100</v>
      </c>
      <c r="Q36">
        <v>45</v>
      </c>
      <c r="R36" s="5">
        <f>Table1[[#This Row],[Total_CP]]*Table1[[#This Row],[Qty_Purchased]]</f>
        <v>83200</v>
      </c>
      <c r="S36" s="5">
        <f>Table1[[#This Row],[Total_CP]]*Table1[[#This Row],[Qty_Sold]]</f>
        <v>37440</v>
      </c>
      <c r="T36" s="5">
        <f>Table1[[#This Row],[TotalSelling_Price]]*Table1[[#This Row],[Qty_Sold]]</f>
        <v>43740</v>
      </c>
      <c r="U36" s="5">
        <f>Table1[[#This Row],[SP_Qty_Sold]]-Table1[[#This Row],[CP_Qty_Sold]]</f>
        <v>6300</v>
      </c>
      <c r="V36" s="9">
        <f t="shared" si="0"/>
        <v>44732</v>
      </c>
      <c r="W36" s="5" t="s">
        <v>352</v>
      </c>
    </row>
    <row r="37" spans="1:23" x14ac:dyDescent="0.35">
      <c r="A37" t="s">
        <v>223</v>
      </c>
      <c r="B37" t="s">
        <v>24</v>
      </c>
      <c r="C37" t="s">
        <v>63</v>
      </c>
      <c r="D37">
        <f>VLOOKUP(Table1[[#This Row],[Product_Category]],HSNTABLE,2,FALSE)</f>
        <v>9967</v>
      </c>
      <c r="E37">
        <v>636</v>
      </c>
      <c r="F37" s="3">
        <f>VLOOKUP(Table1[[#This Row],[Product_Category]],HSNTABLE,3,FALSE)</f>
        <v>0.12</v>
      </c>
      <c r="G37">
        <f>Table1[[#This Row],[Cost_Price]]*Table1[[#This Row],[GST%]]</f>
        <v>76.319999999999993</v>
      </c>
      <c r="H37" s="5">
        <f>ROUNDUP(Table1[[#This Row],[Cost_Price]]+Table1[[#This Row],[GST_AMT]],0)</f>
        <v>713</v>
      </c>
      <c r="I37" s="3">
        <f>VLOOKUP(Table1[[#This Row],[Product_Category]],HSNTABLE,4,FALSE)</f>
        <v>0.15</v>
      </c>
      <c r="J37" s="5">
        <f>Table1[[#This Row],[Total_CP]]*Table1[[#This Row],[Margin%]]</f>
        <v>106.95</v>
      </c>
      <c r="K37" s="5">
        <f>Table1[[#This Row],[Margin_amt]]*Table1[[#This Row],[GST%]]</f>
        <v>12.834</v>
      </c>
      <c r="L37" s="5">
        <f>ROUNDUP(Table1[[#This Row],[Total_CP]]+Table1[[#This Row],[Margin_amt]]+Table1[[#This Row],[Gst_on_Margin_amt]],0)</f>
        <v>833</v>
      </c>
      <c r="M37" t="s">
        <v>184</v>
      </c>
      <c r="N37" t="str">
        <f>VLOOKUP(Table1[[#This Row],[Godown]],MasterSheet!$F$1:$G$5,2,FALSE)</f>
        <v>East</v>
      </c>
      <c r="O37" t="s">
        <v>339</v>
      </c>
      <c r="P37">
        <f>100</f>
        <v>100</v>
      </c>
      <c r="Q37">
        <v>25</v>
      </c>
      <c r="R37" s="5">
        <f>Table1[[#This Row],[Total_CP]]*Table1[[#This Row],[Qty_Purchased]]</f>
        <v>71300</v>
      </c>
      <c r="S37" s="5">
        <f>Table1[[#This Row],[Total_CP]]*Table1[[#This Row],[Qty_Sold]]</f>
        <v>17825</v>
      </c>
      <c r="T37" s="5">
        <f>Table1[[#This Row],[TotalSelling_Price]]*Table1[[#This Row],[Qty_Sold]]</f>
        <v>20825</v>
      </c>
      <c r="U37" s="5">
        <f>Table1[[#This Row],[SP_Qty_Sold]]-Table1[[#This Row],[CP_Qty_Sold]]</f>
        <v>3000</v>
      </c>
      <c r="V37" s="9">
        <f t="shared" si="0"/>
        <v>44737</v>
      </c>
      <c r="W37" s="5" t="s">
        <v>352</v>
      </c>
    </row>
    <row r="38" spans="1:23" x14ac:dyDescent="0.35">
      <c r="A38" t="s">
        <v>224</v>
      </c>
      <c r="B38" t="s">
        <v>24</v>
      </c>
      <c r="C38" t="s">
        <v>64</v>
      </c>
      <c r="D38">
        <f>VLOOKUP(Table1[[#This Row],[Product_Category]],HSNTABLE,2,FALSE)</f>
        <v>9967</v>
      </c>
      <c r="E38">
        <v>561</v>
      </c>
      <c r="F38" s="3">
        <f>VLOOKUP(Table1[[#This Row],[Product_Category]],HSNTABLE,3,FALSE)</f>
        <v>0.12</v>
      </c>
      <c r="G38">
        <f>Table1[[#This Row],[Cost_Price]]*Table1[[#This Row],[GST%]]</f>
        <v>67.319999999999993</v>
      </c>
      <c r="H38" s="5">
        <f>ROUNDUP(Table1[[#This Row],[Cost_Price]]+Table1[[#This Row],[GST_AMT]],0)</f>
        <v>629</v>
      </c>
      <c r="I38" s="3">
        <f>VLOOKUP(Table1[[#This Row],[Product_Category]],HSNTABLE,4,FALSE)</f>
        <v>0.15</v>
      </c>
      <c r="J38" s="5">
        <f>Table1[[#This Row],[Total_CP]]*Table1[[#This Row],[Margin%]]</f>
        <v>94.35</v>
      </c>
      <c r="K38" s="5">
        <f>Table1[[#This Row],[Margin_amt]]*Table1[[#This Row],[GST%]]</f>
        <v>11.321999999999999</v>
      </c>
      <c r="L38" s="5">
        <f>ROUNDUP(Table1[[#This Row],[Total_CP]]+Table1[[#This Row],[Margin_amt]]+Table1[[#This Row],[Gst_on_Margin_amt]],0)</f>
        <v>735</v>
      </c>
      <c r="M38" t="s">
        <v>183</v>
      </c>
      <c r="N38" t="str">
        <f>VLOOKUP(Table1[[#This Row],[Godown]],MasterSheet!$F$1:$G$5,2,FALSE)</f>
        <v>South</v>
      </c>
      <c r="O38" t="s">
        <v>341</v>
      </c>
      <c r="P38">
        <f>100</f>
        <v>100</v>
      </c>
      <c r="Q38">
        <v>33</v>
      </c>
      <c r="R38" s="5">
        <f>Table1[[#This Row],[Total_CP]]*Table1[[#This Row],[Qty_Purchased]]</f>
        <v>62900</v>
      </c>
      <c r="S38" s="5">
        <f>Table1[[#This Row],[Total_CP]]*Table1[[#This Row],[Qty_Sold]]</f>
        <v>20757</v>
      </c>
      <c r="T38" s="5">
        <f>Table1[[#This Row],[TotalSelling_Price]]*Table1[[#This Row],[Qty_Sold]]</f>
        <v>24255</v>
      </c>
      <c r="U38" s="5">
        <f>Table1[[#This Row],[SP_Qty_Sold]]-Table1[[#This Row],[CP_Qty_Sold]]</f>
        <v>3498</v>
      </c>
      <c r="V38" s="9">
        <f t="shared" si="0"/>
        <v>44742</v>
      </c>
      <c r="W38" s="5" t="s">
        <v>352</v>
      </c>
    </row>
    <row r="39" spans="1:23" x14ac:dyDescent="0.35">
      <c r="A39" t="s">
        <v>225</v>
      </c>
      <c r="B39" t="s">
        <v>24</v>
      </c>
      <c r="C39" t="s">
        <v>65</v>
      </c>
      <c r="D39">
        <f>VLOOKUP(Table1[[#This Row],[Product_Category]],HSNTABLE,2,FALSE)</f>
        <v>9967</v>
      </c>
      <c r="E39">
        <v>395</v>
      </c>
      <c r="F39" s="3">
        <f>VLOOKUP(Table1[[#This Row],[Product_Category]],HSNTABLE,3,FALSE)</f>
        <v>0.12</v>
      </c>
      <c r="G39">
        <f>Table1[[#This Row],[Cost_Price]]*Table1[[#This Row],[GST%]]</f>
        <v>47.4</v>
      </c>
      <c r="H39" s="5">
        <f>ROUNDUP(Table1[[#This Row],[Cost_Price]]+Table1[[#This Row],[GST_AMT]],0)</f>
        <v>443</v>
      </c>
      <c r="I39" s="3">
        <f>VLOOKUP(Table1[[#This Row],[Product_Category]],HSNTABLE,4,FALSE)</f>
        <v>0.15</v>
      </c>
      <c r="J39" s="5">
        <f>Table1[[#This Row],[Total_CP]]*Table1[[#This Row],[Margin%]]</f>
        <v>66.45</v>
      </c>
      <c r="K39" s="5">
        <f>Table1[[#This Row],[Margin_amt]]*Table1[[#This Row],[GST%]]</f>
        <v>7.9740000000000002</v>
      </c>
      <c r="L39" s="5">
        <f>ROUNDUP(Table1[[#This Row],[Total_CP]]+Table1[[#This Row],[Margin_amt]]+Table1[[#This Row],[Gst_on_Margin_amt]],0)</f>
        <v>518</v>
      </c>
      <c r="M39" t="s">
        <v>184</v>
      </c>
      <c r="N39" t="str">
        <f>VLOOKUP(Table1[[#This Row],[Godown]],MasterSheet!$F$1:$G$5,2,FALSE)</f>
        <v>East</v>
      </c>
      <c r="O39" t="s">
        <v>340</v>
      </c>
      <c r="P39">
        <f>100</f>
        <v>100</v>
      </c>
      <c r="Q39">
        <v>37</v>
      </c>
      <c r="R39" s="5">
        <f>Table1[[#This Row],[Total_CP]]*Table1[[#This Row],[Qty_Purchased]]</f>
        <v>44300</v>
      </c>
      <c r="S39" s="5">
        <f>Table1[[#This Row],[Total_CP]]*Table1[[#This Row],[Qty_Sold]]</f>
        <v>16391</v>
      </c>
      <c r="T39" s="5">
        <f>Table1[[#This Row],[TotalSelling_Price]]*Table1[[#This Row],[Qty_Sold]]</f>
        <v>19166</v>
      </c>
      <c r="U39" s="5">
        <f>Table1[[#This Row],[SP_Qty_Sold]]-Table1[[#This Row],[CP_Qty_Sold]]</f>
        <v>2775</v>
      </c>
      <c r="V39" s="9">
        <f t="shared" si="0"/>
        <v>44747</v>
      </c>
      <c r="W39" s="5" t="s">
        <v>352</v>
      </c>
    </row>
    <row r="40" spans="1:23" x14ac:dyDescent="0.35">
      <c r="A40" t="s">
        <v>226</v>
      </c>
      <c r="B40" t="s">
        <v>24</v>
      </c>
      <c r="C40" t="s">
        <v>66</v>
      </c>
      <c r="D40">
        <f>VLOOKUP(Table1[[#This Row],[Product_Category]],HSNTABLE,2,FALSE)</f>
        <v>9967</v>
      </c>
      <c r="E40">
        <v>991</v>
      </c>
      <c r="F40" s="3">
        <f>VLOOKUP(Table1[[#This Row],[Product_Category]],HSNTABLE,3,FALSE)</f>
        <v>0.12</v>
      </c>
      <c r="G40">
        <f>Table1[[#This Row],[Cost_Price]]*Table1[[#This Row],[GST%]]</f>
        <v>118.92</v>
      </c>
      <c r="H40" s="5">
        <f>ROUNDUP(Table1[[#This Row],[Cost_Price]]+Table1[[#This Row],[GST_AMT]],0)</f>
        <v>1110</v>
      </c>
      <c r="I40" s="3">
        <f>VLOOKUP(Table1[[#This Row],[Product_Category]],HSNTABLE,4,FALSE)</f>
        <v>0.15</v>
      </c>
      <c r="J40" s="5">
        <f>Table1[[#This Row],[Total_CP]]*Table1[[#This Row],[Margin%]]</f>
        <v>166.5</v>
      </c>
      <c r="K40" s="5">
        <f>Table1[[#This Row],[Margin_amt]]*Table1[[#This Row],[GST%]]</f>
        <v>19.98</v>
      </c>
      <c r="L40" s="5">
        <f>ROUNDUP(Table1[[#This Row],[Total_CP]]+Table1[[#This Row],[Margin_amt]]+Table1[[#This Row],[Gst_on_Margin_amt]],0)</f>
        <v>1297</v>
      </c>
      <c r="M40" t="s">
        <v>185</v>
      </c>
      <c r="N40" t="str">
        <f>VLOOKUP(Table1[[#This Row],[Godown]],MasterSheet!$F$1:$G$5,2,FALSE)</f>
        <v>West</v>
      </c>
      <c r="O40" t="s">
        <v>343</v>
      </c>
      <c r="P40">
        <f>100</f>
        <v>100</v>
      </c>
      <c r="Q40">
        <v>32</v>
      </c>
      <c r="R40" s="5">
        <f>Table1[[#This Row],[Total_CP]]*Table1[[#This Row],[Qty_Purchased]]</f>
        <v>111000</v>
      </c>
      <c r="S40" s="5">
        <f>Table1[[#This Row],[Total_CP]]*Table1[[#This Row],[Qty_Sold]]</f>
        <v>35520</v>
      </c>
      <c r="T40" s="5">
        <f>Table1[[#This Row],[TotalSelling_Price]]*Table1[[#This Row],[Qty_Sold]]</f>
        <v>41504</v>
      </c>
      <c r="U40" s="5">
        <f>Table1[[#This Row],[SP_Qty_Sold]]-Table1[[#This Row],[CP_Qty_Sold]]</f>
        <v>5984</v>
      </c>
      <c r="V40" s="9">
        <f t="shared" si="0"/>
        <v>44752</v>
      </c>
      <c r="W40" s="5" t="s">
        <v>352</v>
      </c>
    </row>
    <row r="41" spans="1:23" x14ac:dyDescent="0.35">
      <c r="A41" t="s">
        <v>227</v>
      </c>
      <c r="B41" t="s">
        <v>24</v>
      </c>
      <c r="C41" t="s">
        <v>67</v>
      </c>
      <c r="D41">
        <f>VLOOKUP(Table1[[#This Row],[Product_Category]],HSNTABLE,2,FALSE)</f>
        <v>9967</v>
      </c>
      <c r="E41">
        <v>904</v>
      </c>
      <c r="F41" s="3">
        <f>VLOOKUP(Table1[[#This Row],[Product_Category]],HSNTABLE,3,FALSE)</f>
        <v>0.12</v>
      </c>
      <c r="G41">
        <f>Table1[[#This Row],[Cost_Price]]*Table1[[#This Row],[GST%]]</f>
        <v>108.47999999999999</v>
      </c>
      <c r="H41" s="5">
        <f>ROUNDUP(Table1[[#This Row],[Cost_Price]]+Table1[[#This Row],[GST_AMT]],0)</f>
        <v>1013</v>
      </c>
      <c r="I41" s="3">
        <f>VLOOKUP(Table1[[#This Row],[Product_Category]],HSNTABLE,4,FALSE)</f>
        <v>0.15</v>
      </c>
      <c r="J41" s="5">
        <f>Table1[[#This Row],[Total_CP]]*Table1[[#This Row],[Margin%]]</f>
        <v>151.94999999999999</v>
      </c>
      <c r="K41" s="5">
        <f>Table1[[#This Row],[Margin_amt]]*Table1[[#This Row],[GST%]]</f>
        <v>18.233999999999998</v>
      </c>
      <c r="L41" s="5">
        <f>ROUNDUP(Table1[[#This Row],[Total_CP]]+Table1[[#This Row],[Margin_amt]]+Table1[[#This Row],[Gst_on_Margin_amt]],0)</f>
        <v>1184</v>
      </c>
      <c r="M41" t="s">
        <v>183</v>
      </c>
      <c r="N41" t="str">
        <f>VLOOKUP(Table1[[#This Row],[Godown]],MasterSheet!$F$1:$G$5,2,FALSE)</f>
        <v>South</v>
      </c>
      <c r="O41" t="s">
        <v>339</v>
      </c>
      <c r="P41">
        <f>100</f>
        <v>100</v>
      </c>
      <c r="Q41">
        <v>42</v>
      </c>
      <c r="R41" s="5">
        <f>Table1[[#This Row],[Total_CP]]*Table1[[#This Row],[Qty_Purchased]]</f>
        <v>101300</v>
      </c>
      <c r="S41" s="5">
        <f>Table1[[#This Row],[Total_CP]]*Table1[[#This Row],[Qty_Sold]]</f>
        <v>42546</v>
      </c>
      <c r="T41" s="5">
        <f>Table1[[#This Row],[TotalSelling_Price]]*Table1[[#This Row],[Qty_Sold]]</f>
        <v>49728</v>
      </c>
      <c r="U41" s="5">
        <f>Table1[[#This Row],[SP_Qty_Sold]]-Table1[[#This Row],[CP_Qty_Sold]]</f>
        <v>7182</v>
      </c>
      <c r="V41" s="9">
        <f t="shared" si="0"/>
        <v>44757</v>
      </c>
      <c r="W41" s="5" t="s">
        <v>352</v>
      </c>
    </row>
    <row r="42" spans="1:23" x14ac:dyDescent="0.35">
      <c r="A42" t="s">
        <v>228</v>
      </c>
      <c r="B42" t="s">
        <v>24</v>
      </c>
      <c r="C42" t="s">
        <v>68</v>
      </c>
      <c r="D42">
        <f>VLOOKUP(Table1[[#This Row],[Product_Category]],HSNTABLE,2,FALSE)</f>
        <v>9967</v>
      </c>
      <c r="E42">
        <v>463</v>
      </c>
      <c r="F42" s="3">
        <f>VLOOKUP(Table1[[#This Row],[Product_Category]],HSNTABLE,3,FALSE)</f>
        <v>0.12</v>
      </c>
      <c r="G42">
        <f>Table1[[#This Row],[Cost_Price]]*Table1[[#This Row],[GST%]]</f>
        <v>55.559999999999995</v>
      </c>
      <c r="H42" s="5">
        <f>ROUNDUP(Table1[[#This Row],[Cost_Price]]+Table1[[#This Row],[GST_AMT]],0)</f>
        <v>519</v>
      </c>
      <c r="I42" s="3">
        <f>VLOOKUP(Table1[[#This Row],[Product_Category]],HSNTABLE,4,FALSE)</f>
        <v>0.15</v>
      </c>
      <c r="J42" s="5">
        <f>Table1[[#This Row],[Total_CP]]*Table1[[#This Row],[Margin%]]</f>
        <v>77.849999999999994</v>
      </c>
      <c r="K42" s="5">
        <f>Table1[[#This Row],[Margin_amt]]*Table1[[#This Row],[GST%]]</f>
        <v>9.3419999999999987</v>
      </c>
      <c r="L42" s="5">
        <f>ROUNDUP(Table1[[#This Row],[Total_CP]]+Table1[[#This Row],[Margin_amt]]+Table1[[#This Row],[Gst_on_Margin_amt]],0)</f>
        <v>607</v>
      </c>
      <c r="M42" t="s">
        <v>183</v>
      </c>
      <c r="N42" t="str">
        <f>VLOOKUP(Table1[[#This Row],[Godown]],MasterSheet!$F$1:$G$5,2,FALSE)</f>
        <v>South</v>
      </c>
      <c r="O42" t="s">
        <v>341</v>
      </c>
      <c r="P42">
        <f>100</f>
        <v>100</v>
      </c>
      <c r="Q42">
        <v>25</v>
      </c>
      <c r="R42" s="5">
        <f>Table1[[#This Row],[Total_CP]]*Table1[[#This Row],[Qty_Purchased]]</f>
        <v>51900</v>
      </c>
      <c r="S42" s="5">
        <f>Table1[[#This Row],[Total_CP]]*Table1[[#This Row],[Qty_Sold]]</f>
        <v>12975</v>
      </c>
      <c r="T42" s="5">
        <f>Table1[[#This Row],[TotalSelling_Price]]*Table1[[#This Row],[Qty_Sold]]</f>
        <v>15175</v>
      </c>
      <c r="U42" s="5">
        <f>Table1[[#This Row],[SP_Qty_Sold]]-Table1[[#This Row],[CP_Qty_Sold]]</f>
        <v>2200</v>
      </c>
      <c r="V42" s="9">
        <f t="shared" si="0"/>
        <v>44762</v>
      </c>
      <c r="W42" s="5" t="s">
        <v>351</v>
      </c>
    </row>
    <row r="43" spans="1:23" x14ac:dyDescent="0.35">
      <c r="A43" t="s">
        <v>229</v>
      </c>
      <c r="B43" t="s">
        <v>24</v>
      </c>
      <c r="C43" t="s">
        <v>69</v>
      </c>
      <c r="D43">
        <f>VLOOKUP(Table1[[#This Row],[Product_Category]],HSNTABLE,2,FALSE)</f>
        <v>9967</v>
      </c>
      <c r="E43">
        <v>359</v>
      </c>
      <c r="F43" s="3">
        <f>VLOOKUP(Table1[[#This Row],[Product_Category]],HSNTABLE,3,FALSE)</f>
        <v>0.12</v>
      </c>
      <c r="G43">
        <f>Table1[[#This Row],[Cost_Price]]*Table1[[#This Row],[GST%]]</f>
        <v>43.08</v>
      </c>
      <c r="H43" s="5">
        <f>ROUNDUP(Table1[[#This Row],[Cost_Price]]+Table1[[#This Row],[GST_AMT]],0)</f>
        <v>403</v>
      </c>
      <c r="I43" s="3">
        <f>VLOOKUP(Table1[[#This Row],[Product_Category]],HSNTABLE,4,FALSE)</f>
        <v>0.15</v>
      </c>
      <c r="J43" s="5">
        <f>Table1[[#This Row],[Total_CP]]*Table1[[#This Row],[Margin%]]</f>
        <v>60.449999999999996</v>
      </c>
      <c r="K43" s="5">
        <f>Table1[[#This Row],[Margin_amt]]*Table1[[#This Row],[GST%]]</f>
        <v>7.2539999999999996</v>
      </c>
      <c r="L43" s="5">
        <f>ROUNDUP(Table1[[#This Row],[Total_CP]]+Table1[[#This Row],[Margin_amt]]+Table1[[#This Row],[Gst_on_Margin_amt]],0)</f>
        <v>471</v>
      </c>
      <c r="M43" t="s">
        <v>185</v>
      </c>
      <c r="N43" t="str">
        <f>VLOOKUP(Table1[[#This Row],[Godown]],MasterSheet!$F$1:$G$5,2,FALSE)</f>
        <v>West</v>
      </c>
      <c r="O43" t="s">
        <v>342</v>
      </c>
      <c r="P43">
        <f>100</f>
        <v>100</v>
      </c>
      <c r="Q43">
        <v>48</v>
      </c>
      <c r="R43" s="5">
        <f>Table1[[#This Row],[Total_CP]]*Table1[[#This Row],[Qty_Purchased]]</f>
        <v>40300</v>
      </c>
      <c r="S43" s="5">
        <f>Table1[[#This Row],[Total_CP]]*Table1[[#This Row],[Qty_Sold]]</f>
        <v>19344</v>
      </c>
      <c r="T43" s="5">
        <f>Table1[[#This Row],[TotalSelling_Price]]*Table1[[#This Row],[Qty_Sold]]</f>
        <v>22608</v>
      </c>
      <c r="U43" s="5">
        <f>Table1[[#This Row],[SP_Qty_Sold]]-Table1[[#This Row],[CP_Qty_Sold]]</f>
        <v>3264</v>
      </c>
      <c r="V43" s="9">
        <f t="shared" si="0"/>
        <v>44767</v>
      </c>
      <c r="W43" s="5" t="s">
        <v>351</v>
      </c>
    </row>
    <row r="44" spans="1:23" x14ac:dyDescent="0.35">
      <c r="A44" t="s">
        <v>230</v>
      </c>
      <c r="B44" t="s">
        <v>24</v>
      </c>
      <c r="C44" t="s">
        <v>70</v>
      </c>
      <c r="D44">
        <f>VLOOKUP(Table1[[#This Row],[Product_Category]],HSNTABLE,2,FALSE)</f>
        <v>9967</v>
      </c>
      <c r="E44">
        <v>815</v>
      </c>
      <c r="F44" s="3">
        <f>VLOOKUP(Table1[[#This Row],[Product_Category]],HSNTABLE,3,FALSE)</f>
        <v>0.12</v>
      </c>
      <c r="G44">
        <f>Table1[[#This Row],[Cost_Price]]*Table1[[#This Row],[GST%]]</f>
        <v>97.8</v>
      </c>
      <c r="H44" s="5">
        <f>ROUNDUP(Table1[[#This Row],[Cost_Price]]+Table1[[#This Row],[GST_AMT]],0)</f>
        <v>913</v>
      </c>
      <c r="I44" s="3">
        <f>VLOOKUP(Table1[[#This Row],[Product_Category]],HSNTABLE,4,FALSE)</f>
        <v>0.15</v>
      </c>
      <c r="J44" s="5">
        <f>Table1[[#This Row],[Total_CP]]*Table1[[#This Row],[Margin%]]</f>
        <v>136.94999999999999</v>
      </c>
      <c r="K44" s="5">
        <f>Table1[[#This Row],[Margin_amt]]*Table1[[#This Row],[GST%]]</f>
        <v>16.433999999999997</v>
      </c>
      <c r="L44" s="5">
        <f>ROUNDUP(Table1[[#This Row],[Total_CP]]+Table1[[#This Row],[Margin_amt]]+Table1[[#This Row],[Gst_on_Margin_amt]],0)</f>
        <v>1067</v>
      </c>
      <c r="M44" t="s">
        <v>184</v>
      </c>
      <c r="N44" t="str">
        <f>VLOOKUP(Table1[[#This Row],[Godown]],MasterSheet!$F$1:$G$5,2,FALSE)</f>
        <v>East</v>
      </c>
      <c r="O44" t="s">
        <v>340</v>
      </c>
      <c r="P44">
        <f>100</f>
        <v>100</v>
      </c>
      <c r="Q44">
        <v>29</v>
      </c>
      <c r="R44" s="5">
        <f>Table1[[#This Row],[Total_CP]]*Table1[[#This Row],[Qty_Purchased]]</f>
        <v>91300</v>
      </c>
      <c r="S44" s="5">
        <f>Table1[[#This Row],[Total_CP]]*Table1[[#This Row],[Qty_Sold]]</f>
        <v>26477</v>
      </c>
      <c r="T44" s="5">
        <f>Table1[[#This Row],[TotalSelling_Price]]*Table1[[#This Row],[Qty_Sold]]</f>
        <v>30943</v>
      </c>
      <c r="U44" s="5">
        <f>Table1[[#This Row],[SP_Qty_Sold]]-Table1[[#This Row],[CP_Qty_Sold]]</f>
        <v>4466</v>
      </c>
      <c r="V44" s="9">
        <f t="shared" si="0"/>
        <v>44772</v>
      </c>
      <c r="W44" s="5" t="s">
        <v>352</v>
      </c>
    </row>
    <row r="45" spans="1:23" x14ac:dyDescent="0.35">
      <c r="A45" t="s">
        <v>231</v>
      </c>
      <c r="B45" t="s">
        <v>24</v>
      </c>
      <c r="C45" t="s">
        <v>71</v>
      </c>
      <c r="D45">
        <f>VLOOKUP(Table1[[#This Row],[Product_Category]],HSNTABLE,2,FALSE)</f>
        <v>9967</v>
      </c>
      <c r="E45">
        <v>837</v>
      </c>
      <c r="F45" s="3">
        <f>VLOOKUP(Table1[[#This Row],[Product_Category]],HSNTABLE,3,FALSE)</f>
        <v>0.12</v>
      </c>
      <c r="G45">
        <f>Table1[[#This Row],[Cost_Price]]*Table1[[#This Row],[GST%]]</f>
        <v>100.44</v>
      </c>
      <c r="H45" s="5">
        <f>ROUNDUP(Table1[[#This Row],[Cost_Price]]+Table1[[#This Row],[GST_AMT]],0)</f>
        <v>938</v>
      </c>
      <c r="I45" s="3">
        <f>VLOOKUP(Table1[[#This Row],[Product_Category]],HSNTABLE,4,FALSE)</f>
        <v>0.15</v>
      </c>
      <c r="J45" s="5">
        <f>Table1[[#This Row],[Total_CP]]*Table1[[#This Row],[Margin%]]</f>
        <v>140.69999999999999</v>
      </c>
      <c r="K45" s="5">
        <f>Table1[[#This Row],[Margin_amt]]*Table1[[#This Row],[GST%]]</f>
        <v>16.883999999999997</v>
      </c>
      <c r="L45" s="5">
        <f>ROUNDUP(Table1[[#This Row],[Total_CP]]+Table1[[#This Row],[Margin_amt]]+Table1[[#This Row],[Gst_on_Margin_amt]],0)</f>
        <v>1096</v>
      </c>
      <c r="M45" t="s">
        <v>183</v>
      </c>
      <c r="N45" t="str">
        <f>VLOOKUP(Table1[[#This Row],[Godown]],MasterSheet!$F$1:$G$5,2,FALSE)</f>
        <v>South</v>
      </c>
      <c r="O45" t="s">
        <v>342</v>
      </c>
      <c r="P45">
        <f>100</f>
        <v>100</v>
      </c>
      <c r="Q45">
        <v>26</v>
      </c>
      <c r="R45" s="5">
        <f>Table1[[#This Row],[Total_CP]]*Table1[[#This Row],[Qty_Purchased]]</f>
        <v>93800</v>
      </c>
      <c r="S45" s="5">
        <f>Table1[[#This Row],[Total_CP]]*Table1[[#This Row],[Qty_Sold]]</f>
        <v>24388</v>
      </c>
      <c r="T45" s="5">
        <f>Table1[[#This Row],[TotalSelling_Price]]*Table1[[#This Row],[Qty_Sold]]</f>
        <v>28496</v>
      </c>
      <c r="U45" s="5">
        <f>Table1[[#This Row],[SP_Qty_Sold]]-Table1[[#This Row],[CP_Qty_Sold]]</f>
        <v>4108</v>
      </c>
      <c r="V45" s="9">
        <f t="shared" si="0"/>
        <v>44777</v>
      </c>
      <c r="W45" s="5" t="s">
        <v>351</v>
      </c>
    </row>
    <row r="46" spans="1:23" x14ac:dyDescent="0.35">
      <c r="A46" t="s">
        <v>232</v>
      </c>
      <c r="B46" t="s">
        <v>24</v>
      </c>
      <c r="C46" t="s">
        <v>72</v>
      </c>
      <c r="D46">
        <f>VLOOKUP(Table1[[#This Row],[Product_Category]],HSNTABLE,2,FALSE)</f>
        <v>9967</v>
      </c>
      <c r="E46">
        <v>354</v>
      </c>
      <c r="F46" s="3">
        <f>VLOOKUP(Table1[[#This Row],[Product_Category]],HSNTABLE,3,FALSE)</f>
        <v>0.12</v>
      </c>
      <c r="G46">
        <f>Table1[[#This Row],[Cost_Price]]*Table1[[#This Row],[GST%]]</f>
        <v>42.48</v>
      </c>
      <c r="H46" s="5">
        <f>ROUNDUP(Table1[[#This Row],[Cost_Price]]+Table1[[#This Row],[GST_AMT]],0)</f>
        <v>397</v>
      </c>
      <c r="I46" s="3">
        <f>VLOOKUP(Table1[[#This Row],[Product_Category]],HSNTABLE,4,FALSE)</f>
        <v>0.15</v>
      </c>
      <c r="J46" s="5">
        <f>Table1[[#This Row],[Total_CP]]*Table1[[#This Row],[Margin%]]</f>
        <v>59.55</v>
      </c>
      <c r="K46" s="5">
        <f>Table1[[#This Row],[Margin_amt]]*Table1[[#This Row],[GST%]]</f>
        <v>7.145999999999999</v>
      </c>
      <c r="L46" s="5">
        <f>ROUNDUP(Table1[[#This Row],[Total_CP]]+Table1[[#This Row],[Margin_amt]]+Table1[[#This Row],[Gst_on_Margin_amt]],0)</f>
        <v>464</v>
      </c>
      <c r="M46" t="s">
        <v>183</v>
      </c>
      <c r="N46" t="str">
        <f>VLOOKUP(Table1[[#This Row],[Godown]],MasterSheet!$F$1:$G$5,2,FALSE)</f>
        <v>South</v>
      </c>
      <c r="O46" t="s">
        <v>341</v>
      </c>
      <c r="P46">
        <f>100</f>
        <v>100</v>
      </c>
      <c r="Q46">
        <v>22</v>
      </c>
      <c r="R46" s="5">
        <f>Table1[[#This Row],[Total_CP]]*Table1[[#This Row],[Qty_Purchased]]</f>
        <v>39700</v>
      </c>
      <c r="S46" s="5">
        <f>Table1[[#This Row],[Total_CP]]*Table1[[#This Row],[Qty_Sold]]</f>
        <v>8734</v>
      </c>
      <c r="T46" s="5">
        <f>Table1[[#This Row],[TotalSelling_Price]]*Table1[[#This Row],[Qty_Sold]]</f>
        <v>10208</v>
      </c>
      <c r="U46" s="5">
        <f>Table1[[#This Row],[SP_Qty_Sold]]-Table1[[#This Row],[CP_Qty_Sold]]</f>
        <v>1474</v>
      </c>
      <c r="V46" s="9">
        <f t="shared" si="0"/>
        <v>44782</v>
      </c>
      <c r="W46" s="5" t="s">
        <v>351</v>
      </c>
    </row>
    <row r="47" spans="1:23" x14ac:dyDescent="0.35">
      <c r="A47" t="s">
        <v>233</v>
      </c>
      <c r="B47" t="s">
        <v>25</v>
      </c>
      <c r="C47" t="s">
        <v>73</v>
      </c>
      <c r="D47">
        <f>VLOOKUP(Table1[[#This Row],[Product_Category]],HSNTABLE,2,FALSE)</f>
        <v>2552</v>
      </c>
      <c r="E47">
        <v>812</v>
      </c>
      <c r="F47" s="3">
        <f>VLOOKUP(Table1[[#This Row],[Product_Category]],HSNTABLE,3,FALSE)</f>
        <v>0.05</v>
      </c>
      <c r="G47">
        <f>Table1[[#This Row],[Cost_Price]]*Table1[[#This Row],[GST%]]</f>
        <v>40.6</v>
      </c>
      <c r="H47" s="5">
        <f>ROUNDUP(Table1[[#This Row],[Cost_Price]]+Table1[[#This Row],[GST_AMT]],0)</f>
        <v>853</v>
      </c>
      <c r="I47" s="3">
        <f>VLOOKUP(Table1[[#This Row],[Product_Category]],HSNTABLE,4,FALSE)</f>
        <v>0.25</v>
      </c>
      <c r="J47" s="5">
        <f>Table1[[#This Row],[Total_CP]]*Table1[[#This Row],[Margin%]]</f>
        <v>213.25</v>
      </c>
      <c r="K47" s="5">
        <f>Table1[[#This Row],[Margin_amt]]*Table1[[#This Row],[GST%]]</f>
        <v>10.662500000000001</v>
      </c>
      <c r="L47" s="5">
        <f>ROUNDUP(Table1[[#This Row],[Total_CP]]+Table1[[#This Row],[Margin_amt]]+Table1[[#This Row],[Gst_on_Margin_amt]],0)</f>
        <v>1077</v>
      </c>
      <c r="M47" t="s">
        <v>184</v>
      </c>
      <c r="N47" t="str">
        <f>VLOOKUP(Table1[[#This Row],[Godown]],MasterSheet!$F$1:$G$5,2,FALSE)</f>
        <v>East</v>
      </c>
      <c r="O47" t="s">
        <v>342</v>
      </c>
      <c r="P47">
        <f>100</f>
        <v>100</v>
      </c>
      <c r="Q47">
        <v>25</v>
      </c>
      <c r="R47" s="5">
        <f>Table1[[#This Row],[Total_CP]]*Table1[[#This Row],[Qty_Purchased]]</f>
        <v>85300</v>
      </c>
      <c r="S47" s="5">
        <f>Table1[[#This Row],[Total_CP]]*Table1[[#This Row],[Qty_Sold]]</f>
        <v>21325</v>
      </c>
      <c r="T47" s="5">
        <f>Table1[[#This Row],[TotalSelling_Price]]*Table1[[#This Row],[Qty_Sold]]</f>
        <v>26925</v>
      </c>
      <c r="U47" s="5">
        <f>Table1[[#This Row],[SP_Qty_Sold]]-Table1[[#This Row],[CP_Qty_Sold]]</f>
        <v>5600</v>
      </c>
      <c r="V47" s="9">
        <f t="shared" si="0"/>
        <v>44787</v>
      </c>
      <c r="W47" s="5" t="s">
        <v>351</v>
      </c>
    </row>
    <row r="48" spans="1:23" x14ac:dyDescent="0.35">
      <c r="A48" t="s">
        <v>234</v>
      </c>
      <c r="B48" t="s">
        <v>25</v>
      </c>
      <c r="C48" t="s">
        <v>74</v>
      </c>
      <c r="D48">
        <f>VLOOKUP(Table1[[#This Row],[Product_Category]],HSNTABLE,2,FALSE)</f>
        <v>2552</v>
      </c>
      <c r="E48">
        <v>978</v>
      </c>
      <c r="F48" s="3">
        <f>VLOOKUP(Table1[[#This Row],[Product_Category]],HSNTABLE,3,FALSE)</f>
        <v>0.05</v>
      </c>
      <c r="G48">
        <f>Table1[[#This Row],[Cost_Price]]*Table1[[#This Row],[GST%]]</f>
        <v>48.900000000000006</v>
      </c>
      <c r="H48" s="5">
        <f>ROUNDUP(Table1[[#This Row],[Cost_Price]]+Table1[[#This Row],[GST_AMT]],0)</f>
        <v>1027</v>
      </c>
      <c r="I48" s="3">
        <f>VLOOKUP(Table1[[#This Row],[Product_Category]],HSNTABLE,4,FALSE)</f>
        <v>0.25</v>
      </c>
      <c r="J48" s="5">
        <f>Table1[[#This Row],[Total_CP]]*Table1[[#This Row],[Margin%]]</f>
        <v>256.75</v>
      </c>
      <c r="K48" s="5">
        <f>Table1[[#This Row],[Margin_amt]]*Table1[[#This Row],[GST%]]</f>
        <v>12.8375</v>
      </c>
      <c r="L48" s="5">
        <f>ROUNDUP(Table1[[#This Row],[Total_CP]]+Table1[[#This Row],[Margin_amt]]+Table1[[#This Row],[Gst_on_Margin_amt]],0)</f>
        <v>1297</v>
      </c>
      <c r="M48" t="s">
        <v>183</v>
      </c>
      <c r="N48" t="str">
        <f>VLOOKUP(Table1[[#This Row],[Godown]],MasterSheet!$F$1:$G$5,2,FALSE)</f>
        <v>South</v>
      </c>
      <c r="O48" t="s">
        <v>341</v>
      </c>
      <c r="P48">
        <f>100</f>
        <v>100</v>
      </c>
      <c r="Q48">
        <v>35</v>
      </c>
      <c r="R48" s="5">
        <f>Table1[[#This Row],[Total_CP]]*Table1[[#This Row],[Qty_Purchased]]</f>
        <v>102700</v>
      </c>
      <c r="S48" s="5">
        <f>Table1[[#This Row],[Total_CP]]*Table1[[#This Row],[Qty_Sold]]</f>
        <v>35945</v>
      </c>
      <c r="T48" s="5">
        <f>Table1[[#This Row],[TotalSelling_Price]]*Table1[[#This Row],[Qty_Sold]]</f>
        <v>45395</v>
      </c>
      <c r="U48" s="5">
        <f>Table1[[#This Row],[SP_Qty_Sold]]-Table1[[#This Row],[CP_Qty_Sold]]</f>
        <v>9450</v>
      </c>
      <c r="V48" s="9">
        <f t="shared" si="0"/>
        <v>44792</v>
      </c>
      <c r="W48" s="5" t="s">
        <v>351</v>
      </c>
    </row>
    <row r="49" spans="1:23" x14ac:dyDescent="0.35">
      <c r="A49" t="s">
        <v>235</v>
      </c>
      <c r="B49" t="s">
        <v>25</v>
      </c>
      <c r="C49" t="s">
        <v>75</v>
      </c>
      <c r="D49">
        <f>VLOOKUP(Table1[[#This Row],[Product_Category]],HSNTABLE,2,FALSE)</f>
        <v>2552</v>
      </c>
      <c r="E49">
        <v>473</v>
      </c>
      <c r="F49" s="3">
        <f>VLOOKUP(Table1[[#This Row],[Product_Category]],HSNTABLE,3,FALSE)</f>
        <v>0.05</v>
      </c>
      <c r="G49">
        <f>Table1[[#This Row],[Cost_Price]]*Table1[[#This Row],[GST%]]</f>
        <v>23.650000000000002</v>
      </c>
      <c r="H49" s="5">
        <f>ROUNDUP(Table1[[#This Row],[Cost_Price]]+Table1[[#This Row],[GST_AMT]],0)</f>
        <v>497</v>
      </c>
      <c r="I49" s="3">
        <f>VLOOKUP(Table1[[#This Row],[Product_Category]],HSNTABLE,4,FALSE)</f>
        <v>0.25</v>
      </c>
      <c r="J49" s="5">
        <f>Table1[[#This Row],[Total_CP]]*Table1[[#This Row],[Margin%]]</f>
        <v>124.25</v>
      </c>
      <c r="K49" s="5">
        <f>Table1[[#This Row],[Margin_amt]]*Table1[[#This Row],[GST%]]</f>
        <v>6.2125000000000004</v>
      </c>
      <c r="L49" s="5">
        <f>ROUNDUP(Table1[[#This Row],[Total_CP]]+Table1[[#This Row],[Margin_amt]]+Table1[[#This Row],[Gst_on_Margin_amt]],0)</f>
        <v>628</v>
      </c>
      <c r="M49" t="s">
        <v>185</v>
      </c>
      <c r="N49" t="str">
        <f>VLOOKUP(Table1[[#This Row],[Godown]],MasterSheet!$F$1:$G$5,2,FALSE)</f>
        <v>West</v>
      </c>
      <c r="O49" t="s">
        <v>342</v>
      </c>
      <c r="P49">
        <f>100</f>
        <v>100</v>
      </c>
      <c r="Q49">
        <v>44</v>
      </c>
      <c r="R49" s="5">
        <f>Table1[[#This Row],[Total_CP]]*Table1[[#This Row],[Qty_Purchased]]</f>
        <v>49700</v>
      </c>
      <c r="S49" s="5">
        <f>Table1[[#This Row],[Total_CP]]*Table1[[#This Row],[Qty_Sold]]</f>
        <v>21868</v>
      </c>
      <c r="T49" s="5">
        <f>Table1[[#This Row],[TotalSelling_Price]]*Table1[[#This Row],[Qty_Sold]]</f>
        <v>27632</v>
      </c>
      <c r="U49" s="5">
        <f>Table1[[#This Row],[SP_Qty_Sold]]-Table1[[#This Row],[CP_Qty_Sold]]</f>
        <v>5764</v>
      </c>
      <c r="V49" s="9">
        <f t="shared" si="0"/>
        <v>44797</v>
      </c>
      <c r="W49" s="5" t="s">
        <v>351</v>
      </c>
    </row>
    <row r="50" spans="1:23" x14ac:dyDescent="0.35">
      <c r="A50" t="s">
        <v>236</v>
      </c>
      <c r="B50" t="s">
        <v>25</v>
      </c>
      <c r="C50" t="s">
        <v>76</v>
      </c>
      <c r="D50">
        <f>VLOOKUP(Table1[[#This Row],[Product_Category]],HSNTABLE,2,FALSE)</f>
        <v>2552</v>
      </c>
      <c r="E50">
        <v>257</v>
      </c>
      <c r="F50" s="3">
        <f>VLOOKUP(Table1[[#This Row],[Product_Category]],HSNTABLE,3,FALSE)</f>
        <v>0.05</v>
      </c>
      <c r="G50">
        <f>Table1[[#This Row],[Cost_Price]]*Table1[[#This Row],[GST%]]</f>
        <v>12.850000000000001</v>
      </c>
      <c r="H50" s="5">
        <f>ROUNDUP(Table1[[#This Row],[Cost_Price]]+Table1[[#This Row],[GST_AMT]],0)</f>
        <v>270</v>
      </c>
      <c r="I50" s="3">
        <f>VLOOKUP(Table1[[#This Row],[Product_Category]],HSNTABLE,4,FALSE)</f>
        <v>0.25</v>
      </c>
      <c r="J50" s="5">
        <f>Table1[[#This Row],[Total_CP]]*Table1[[#This Row],[Margin%]]</f>
        <v>67.5</v>
      </c>
      <c r="K50" s="5">
        <f>Table1[[#This Row],[Margin_amt]]*Table1[[#This Row],[GST%]]</f>
        <v>3.375</v>
      </c>
      <c r="L50" s="5">
        <f>ROUNDUP(Table1[[#This Row],[Total_CP]]+Table1[[#This Row],[Margin_amt]]+Table1[[#This Row],[Gst_on_Margin_amt]],0)</f>
        <v>341</v>
      </c>
      <c r="M50" t="s">
        <v>184</v>
      </c>
      <c r="N50" t="str">
        <f>VLOOKUP(Table1[[#This Row],[Godown]],MasterSheet!$F$1:$G$5,2,FALSE)</f>
        <v>East</v>
      </c>
      <c r="O50" t="s">
        <v>344</v>
      </c>
      <c r="P50">
        <f>100</f>
        <v>100</v>
      </c>
      <c r="Q50">
        <v>25</v>
      </c>
      <c r="R50" s="5">
        <f>Table1[[#This Row],[Total_CP]]*Table1[[#This Row],[Qty_Purchased]]</f>
        <v>27000</v>
      </c>
      <c r="S50" s="5">
        <f>Table1[[#This Row],[Total_CP]]*Table1[[#This Row],[Qty_Sold]]</f>
        <v>6750</v>
      </c>
      <c r="T50" s="5">
        <f>Table1[[#This Row],[TotalSelling_Price]]*Table1[[#This Row],[Qty_Sold]]</f>
        <v>8525</v>
      </c>
      <c r="U50" s="5">
        <f>Table1[[#This Row],[SP_Qty_Sold]]-Table1[[#This Row],[CP_Qty_Sold]]</f>
        <v>1775</v>
      </c>
      <c r="V50" s="9">
        <f t="shared" si="0"/>
        <v>44802</v>
      </c>
      <c r="W50" s="5" t="s">
        <v>352</v>
      </c>
    </row>
    <row r="51" spans="1:23" x14ac:dyDescent="0.35">
      <c r="A51" t="s">
        <v>237</v>
      </c>
      <c r="B51" t="s">
        <v>25</v>
      </c>
      <c r="C51" t="s">
        <v>77</v>
      </c>
      <c r="D51">
        <f>VLOOKUP(Table1[[#This Row],[Product_Category]],HSNTABLE,2,FALSE)</f>
        <v>2552</v>
      </c>
      <c r="E51">
        <v>842</v>
      </c>
      <c r="F51" s="3">
        <f>VLOOKUP(Table1[[#This Row],[Product_Category]],HSNTABLE,3,FALSE)</f>
        <v>0.05</v>
      </c>
      <c r="G51">
        <f>Table1[[#This Row],[Cost_Price]]*Table1[[#This Row],[GST%]]</f>
        <v>42.1</v>
      </c>
      <c r="H51" s="5">
        <f>ROUNDUP(Table1[[#This Row],[Cost_Price]]+Table1[[#This Row],[GST_AMT]],0)</f>
        <v>885</v>
      </c>
      <c r="I51" s="3">
        <f>VLOOKUP(Table1[[#This Row],[Product_Category]],HSNTABLE,4,FALSE)</f>
        <v>0.25</v>
      </c>
      <c r="J51" s="5">
        <f>Table1[[#This Row],[Total_CP]]*Table1[[#This Row],[Margin%]]</f>
        <v>221.25</v>
      </c>
      <c r="K51" s="5">
        <f>Table1[[#This Row],[Margin_amt]]*Table1[[#This Row],[GST%]]</f>
        <v>11.0625</v>
      </c>
      <c r="L51" s="5">
        <f>ROUNDUP(Table1[[#This Row],[Total_CP]]+Table1[[#This Row],[Margin_amt]]+Table1[[#This Row],[Gst_on_Margin_amt]],0)</f>
        <v>1118</v>
      </c>
      <c r="M51" t="s">
        <v>185</v>
      </c>
      <c r="N51" t="str">
        <f>VLOOKUP(Table1[[#This Row],[Godown]],MasterSheet!$F$1:$G$5,2,FALSE)</f>
        <v>West</v>
      </c>
      <c r="O51" t="s">
        <v>340</v>
      </c>
      <c r="P51">
        <f>100</f>
        <v>100</v>
      </c>
      <c r="Q51">
        <v>37</v>
      </c>
      <c r="R51" s="5">
        <f>Table1[[#This Row],[Total_CP]]*Table1[[#This Row],[Qty_Purchased]]</f>
        <v>88500</v>
      </c>
      <c r="S51" s="5">
        <f>Table1[[#This Row],[Total_CP]]*Table1[[#This Row],[Qty_Sold]]</f>
        <v>32745</v>
      </c>
      <c r="T51" s="5">
        <f>Table1[[#This Row],[TotalSelling_Price]]*Table1[[#This Row],[Qty_Sold]]</f>
        <v>41366</v>
      </c>
      <c r="U51" s="5">
        <f>Table1[[#This Row],[SP_Qty_Sold]]-Table1[[#This Row],[CP_Qty_Sold]]</f>
        <v>8621</v>
      </c>
      <c r="V51" s="9">
        <f t="shared" si="0"/>
        <v>44807</v>
      </c>
      <c r="W51" s="5" t="s">
        <v>351</v>
      </c>
    </row>
    <row r="52" spans="1:23" x14ac:dyDescent="0.35">
      <c r="A52" t="s">
        <v>238</v>
      </c>
      <c r="B52" t="s">
        <v>25</v>
      </c>
      <c r="C52" t="s">
        <v>78</v>
      </c>
      <c r="D52">
        <f>VLOOKUP(Table1[[#This Row],[Product_Category]],HSNTABLE,2,FALSE)</f>
        <v>2552</v>
      </c>
      <c r="E52">
        <v>336</v>
      </c>
      <c r="F52" s="3">
        <f>VLOOKUP(Table1[[#This Row],[Product_Category]],HSNTABLE,3,FALSE)</f>
        <v>0.05</v>
      </c>
      <c r="G52">
        <f>Table1[[#This Row],[Cost_Price]]*Table1[[#This Row],[GST%]]</f>
        <v>16.8</v>
      </c>
      <c r="H52" s="5">
        <f>ROUNDUP(Table1[[#This Row],[Cost_Price]]+Table1[[#This Row],[GST_AMT]],0)</f>
        <v>353</v>
      </c>
      <c r="I52" s="3">
        <f>VLOOKUP(Table1[[#This Row],[Product_Category]],HSNTABLE,4,FALSE)</f>
        <v>0.25</v>
      </c>
      <c r="J52" s="5">
        <f>Table1[[#This Row],[Total_CP]]*Table1[[#This Row],[Margin%]]</f>
        <v>88.25</v>
      </c>
      <c r="K52" s="5">
        <f>Table1[[#This Row],[Margin_amt]]*Table1[[#This Row],[GST%]]</f>
        <v>4.4125000000000005</v>
      </c>
      <c r="L52" s="5">
        <f>ROUNDUP(Table1[[#This Row],[Total_CP]]+Table1[[#This Row],[Margin_amt]]+Table1[[#This Row],[Gst_on_Margin_amt]],0)</f>
        <v>446</v>
      </c>
      <c r="M52" t="s">
        <v>185</v>
      </c>
      <c r="N52" t="str">
        <f>VLOOKUP(Table1[[#This Row],[Godown]],MasterSheet!$F$1:$G$5,2,FALSE)</f>
        <v>West</v>
      </c>
      <c r="O52" t="s">
        <v>343</v>
      </c>
      <c r="P52">
        <f>100</f>
        <v>100</v>
      </c>
      <c r="Q52">
        <v>31</v>
      </c>
      <c r="R52" s="5">
        <f>Table1[[#This Row],[Total_CP]]*Table1[[#This Row],[Qty_Purchased]]</f>
        <v>35300</v>
      </c>
      <c r="S52" s="5">
        <f>Table1[[#This Row],[Total_CP]]*Table1[[#This Row],[Qty_Sold]]</f>
        <v>10943</v>
      </c>
      <c r="T52" s="5">
        <f>Table1[[#This Row],[TotalSelling_Price]]*Table1[[#This Row],[Qty_Sold]]</f>
        <v>13826</v>
      </c>
      <c r="U52" s="5">
        <f>Table1[[#This Row],[SP_Qty_Sold]]-Table1[[#This Row],[CP_Qty_Sold]]</f>
        <v>2883</v>
      </c>
      <c r="V52" s="9">
        <f t="shared" si="0"/>
        <v>44812</v>
      </c>
      <c r="W52" s="5" t="s">
        <v>351</v>
      </c>
    </row>
    <row r="53" spans="1:23" x14ac:dyDescent="0.35">
      <c r="A53" t="s">
        <v>239</v>
      </c>
      <c r="B53" t="s">
        <v>25</v>
      </c>
      <c r="C53" t="s">
        <v>79</v>
      </c>
      <c r="D53">
        <f>VLOOKUP(Table1[[#This Row],[Product_Category]],HSNTABLE,2,FALSE)</f>
        <v>2552</v>
      </c>
      <c r="E53">
        <v>342</v>
      </c>
      <c r="F53" s="3">
        <f>VLOOKUP(Table1[[#This Row],[Product_Category]],HSNTABLE,3,FALSE)</f>
        <v>0.05</v>
      </c>
      <c r="G53">
        <f>Table1[[#This Row],[Cost_Price]]*Table1[[#This Row],[GST%]]</f>
        <v>17.100000000000001</v>
      </c>
      <c r="H53" s="5">
        <f>ROUNDUP(Table1[[#This Row],[Cost_Price]]+Table1[[#This Row],[GST_AMT]],0)</f>
        <v>360</v>
      </c>
      <c r="I53" s="3">
        <f>VLOOKUP(Table1[[#This Row],[Product_Category]],HSNTABLE,4,FALSE)</f>
        <v>0.25</v>
      </c>
      <c r="J53" s="5">
        <f>Table1[[#This Row],[Total_CP]]*Table1[[#This Row],[Margin%]]</f>
        <v>90</v>
      </c>
      <c r="K53" s="5">
        <f>Table1[[#This Row],[Margin_amt]]*Table1[[#This Row],[GST%]]</f>
        <v>4.5</v>
      </c>
      <c r="L53" s="5">
        <f>ROUNDUP(Table1[[#This Row],[Total_CP]]+Table1[[#This Row],[Margin_amt]]+Table1[[#This Row],[Gst_on_Margin_amt]],0)</f>
        <v>455</v>
      </c>
      <c r="M53" t="s">
        <v>183</v>
      </c>
      <c r="N53" t="str">
        <f>VLOOKUP(Table1[[#This Row],[Godown]],MasterSheet!$F$1:$G$5,2,FALSE)</f>
        <v>South</v>
      </c>
      <c r="O53" t="s">
        <v>344</v>
      </c>
      <c r="P53">
        <f>100</f>
        <v>100</v>
      </c>
      <c r="Q53">
        <v>41</v>
      </c>
      <c r="R53" s="5">
        <f>Table1[[#This Row],[Total_CP]]*Table1[[#This Row],[Qty_Purchased]]</f>
        <v>36000</v>
      </c>
      <c r="S53" s="5">
        <f>Table1[[#This Row],[Total_CP]]*Table1[[#This Row],[Qty_Sold]]</f>
        <v>14760</v>
      </c>
      <c r="T53" s="5">
        <f>Table1[[#This Row],[TotalSelling_Price]]*Table1[[#This Row],[Qty_Sold]]</f>
        <v>18655</v>
      </c>
      <c r="U53" s="5">
        <f>Table1[[#This Row],[SP_Qty_Sold]]-Table1[[#This Row],[CP_Qty_Sold]]</f>
        <v>3895</v>
      </c>
      <c r="V53" s="9">
        <f t="shared" si="0"/>
        <v>44817</v>
      </c>
      <c r="W53" s="5" t="s">
        <v>352</v>
      </c>
    </row>
    <row r="54" spans="1:23" x14ac:dyDescent="0.35">
      <c r="A54" t="s">
        <v>240</v>
      </c>
      <c r="B54" t="s">
        <v>25</v>
      </c>
      <c r="C54" t="s">
        <v>80</v>
      </c>
      <c r="D54">
        <f>VLOOKUP(Table1[[#This Row],[Product_Category]],HSNTABLE,2,FALSE)</f>
        <v>2552</v>
      </c>
      <c r="E54">
        <v>639</v>
      </c>
      <c r="F54" s="3">
        <f>VLOOKUP(Table1[[#This Row],[Product_Category]],HSNTABLE,3,FALSE)</f>
        <v>0.05</v>
      </c>
      <c r="G54">
        <f>Table1[[#This Row],[Cost_Price]]*Table1[[#This Row],[GST%]]</f>
        <v>31.950000000000003</v>
      </c>
      <c r="H54" s="5">
        <f>ROUNDUP(Table1[[#This Row],[Cost_Price]]+Table1[[#This Row],[GST_AMT]],0)</f>
        <v>671</v>
      </c>
      <c r="I54" s="3">
        <f>VLOOKUP(Table1[[#This Row],[Product_Category]],HSNTABLE,4,FALSE)</f>
        <v>0.25</v>
      </c>
      <c r="J54" s="5">
        <f>Table1[[#This Row],[Total_CP]]*Table1[[#This Row],[Margin%]]</f>
        <v>167.75</v>
      </c>
      <c r="K54" s="5">
        <f>Table1[[#This Row],[Margin_amt]]*Table1[[#This Row],[GST%]]</f>
        <v>8.3875000000000011</v>
      </c>
      <c r="L54" s="5">
        <f>ROUNDUP(Table1[[#This Row],[Total_CP]]+Table1[[#This Row],[Margin_amt]]+Table1[[#This Row],[Gst_on_Margin_amt]],0)</f>
        <v>848</v>
      </c>
      <c r="M54" t="s">
        <v>185</v>
      </c>
      <c r="N54" t="str">
        <f>VLOOKUP(Table1[[#This Row],[Godown]],MasterSheet!$F$1:$G$5,2,FALSE)</f>
        <v>West</v>
      </c>
      <c r="O54" t="s">
        <v>343</v>
      </c>
      <c r="P54">
        <f>100</f>
        <v>100</v>
      </c>
      <c r="Q54">
        <v>22</v>
      </c>
      <c r="R54" s="5">
        <f>Table1[[#This Row],[Total_CP]]*Table1[[#This Row],[Qty_Purchased]]</f>
        <v>67100</v>
      </c>
      <c r="S54" s="5">
        <f>Table1[[#This Row],[Total_CP]]*Table1[[#This Row],[Qty_Sold]]</f>
        <v>14762</v>
      </c>
      <c r="T54" s="5">
        <f>Table1[[#This Row],[TotalSelling_Price]]*Table1[[#This Row],[Qty_Sold]]</f>
        <v>18656</v>
      </c>
      <c r="U54" s="5">
        <f>Table1[[#This Row],[SP_Qty_Sold]]-Table1[[#This Row],[CP_Qty_Sold]]</f>
        <v>3894</v>
      </c>
      <c r="V54" s="9">
        <f t="shared" si="0"/>
        <v>44822</v>
      </c>
      <c r="W54" s="5" t="s">
        <v>352</v>
      </c>
    </row>
    <row r="55" spans="1:23" x14ac:dyDescent="0.35">
      <c r="A55" t="s">
        <v>241</v>
      </c>
      <c r="B55" t="s">
        <v>25</v>
      </c>
      <c r="C55" t="s">
        <v>81</v>
      </c>
      <c r="D55">
        <f>VLOOKUP(Table1[[#This Row],[Product_Category]],HSNTABLE,2,FALSE)</f>
        <v>2552</v>
      </c>
      <c r="E55">
        <v>680</v>
      </c>
      <c r="F55" s="3">
        <f>VLOOKUP(Table1[[#This Row],[Product_Category]],HSNTABLE,3,FALSE)</f>
        <v>0.05</v>
      </c>
      <c r="G55">
        <f>Table1[[#This Row],[Cost_Price]]*Table1[[#This Row],[GST%]]</f>
        <v>34</v>
      </c>
      <c r="H55" s="5">
        <f>ROUNDUP(Table1[[#This Row],[Cost_Price]]+Table1[[#This Row],[GST_AMT]],0)</f>
        <v>714</v>
      </c>
      <c r="I55" s="3">
        <f>VLOOKUP(Table1[[#This Row],[Product_Category]],HSNTABLE,4,FALSE)</f>
        <v>0.25</v>
      </c>
      <c r="J55" s="5">
        <f>Table1[[#This Row],[Total_CP]]*Table1[[#This Row],[Margin%]]</f>
        <v>178.5</v>
      </c>
      <c r="K55" s="5">
        <f>Table1[[#This Row],[Margin_amt]]*Table1[[#This Row],[GST%]]</f>
        <v>8.9250000000000007</v>
      </c>
      <c r="L55" s="5">
        <f>ROUNDUP(Table1[[#This Row],[Total_CP]]+Table1[[#This Row],[Margin_amt]]+Table1[[#This Row],[Gst_on_Margin_amt]],0)</f>
        <v>902</v>
      </c>
      <c r="M55" t="s">
        <v>183</v>
      </c>
      <c r="N55" t="str">
        <f>VLOOKUP(Table1[[#This Row],[Godown]],MasterSheet!$F$1:$G$5,2,FALSE)</f>
        <v>South</v>
      </c>
      <c r="O55" t="s">
        <v>343</v>
      </c>
      <c r="P55">
        <f>100</f>
        <v>100</v>
      </c>
      <c r="Q55">
        <v>26</v>
      </c>
      <c r="R55" s="5">
        <f>Table1[[#This Row],[Total_CP]]*Table1[[#This Row],[Qty_Purchased]]</f>
        <v>71400</v>
      </c>
      <c r="S55" s="5">
        <f>Table1[[#This Row],[Total_CP]]*Table1[[#This Row],[Qty_Sold]]</f>
        <v>18564</v>
      </c>
      <c r="T55" s="5">
        <f>Table1[[#This Row],[TotalSelling_Price]]*Table1[[#This Row],[Qty_Sold]]</f>
        <v>23452</v>
      </c>
      <c r="U55" s="5">
        <f>Table1[[#This Row],[SP_Qty_Sold]]-Table1[[#This Row],[CP_Qty_Sold]]</f>
        <v>4888</v>
      </c>
      <c r="V55" s="9">
        <f t="shared" si="0"/>
        <v>44827</v>
      </c>
      <c r="W55" s="5" t="s">
        <v>352</v>
      </c>
    </row>
    <row r="56" spans="1:23" x14ac:dyDescent="0.35">
      <c r="A56" t="s">
        <v>242</v>
      </c>
      <c r="B56" t="s">
        <v>25</v>
      </c>
      <c r="C56" t="s">
        <v>82</v>
      </c>
      <c r="D56">
        <f>VLOOKUP(Table1[[#This Row],[Product_Category]],HSNTABLE,2,FALSE)</f>
        <v>2552</v>
      </c>
      <c r="E56">
        <v>834</v>
      </c>
      <c r="F56" s="3">
        <f>VLOOKUP(Table1[[#This Row],[Product_Category]],HSNTABLE,3,FALSE)</f>
        <v>0.05</v>
      </c>
      <c r="G56">
        <f>Table1[[#This Row],[Cost_Price]]*Table1[[#This Row],[GST%]]</f>
        <v>41.7</v>
      </c>
      <c r="H56" s="5">
        <f>ROUNDUP(Table1[[#This Row],[Cost_Price]]+Table1[[#This Row],[GST_AMT]],0)</f>
        <v>876</v>
      </c>
      <c r="I56" s="3">
        <f>VLOOKUP(Table1[[#This Row],[Product_Category]],HSNTABLE,4,FALSE)</f>
        <v>0.25</v>
      </c>
      <c r="J56" s="5">
        <f>Table1[[#This Row],[Total_CP]]*Table1[[#This Row],[Margin%]]</f>
        <v>219</v>
      </c>
      <c r="K56" s="5">
        <f>Table1[[#This Row],[Margin_amt]]*Table1[[#This Row],[GST%]]</f>
        <v>10.950000000000001</v>
      </c>
      <c r="L56" s="5">
        <f>ROUNDUP(Table1[[#This Row],[Total_CP]]+Table1[[#This Row],[Margin_amt]]+Table1[[#This Row],[Gst_on_Margin_amt]],0)</f>
        <v>1106</v>
      </c>
      <c r="M56" t="s">
        <v>185</v>
      </c>
      <c r="N56" t="str">
        <f>VLOOKUP(Table1[[#This Row],[Godown]],MasterSheet!$F$1:$G$5,2,FALSE)</f>
        <v>West</v>
      </c>
      <c r="O56" t="s">
        <v>342</v>
      </c>
      <c r="P56">
        <f>100</f>
        <v>100</v>
      </c>
      <c r="Q56">
        <v>35</v>
      </c>
      <c r="R56" s="5">
        <f>Table1[[#This Row],[Total_CP]]*Table1[[#This Row],[Qty_Purchased]]</f>
        <v>87600</v>
      </c>
      <c r="S56" s="5">
        <f>Table1[[#This Row],[Total_CP]]*Table1[[#This Row],[Qty_Sold]]</f>
        <v>30660</v>
      </c>
      <c r="T56" s="5">
        <f>Table1[[#This Row],[TotalSelling_Price]]*Table1[[#This Row],[Qty_Sold]]</f>
        <v>38710</v>
      </c>
      <c r="U56" s="5">
        <f>Table1[[#This Row],[SP_Qty_Sold]]-Table1[[#This Row],[CP_Qty_Sold]]</f>
        <v>8050</v>
      </c>
      <c r="V56" s="9">
        <f t="shared" si="0"/>
        <v>44832</v>
      </c>
      <c r="W56" s="5" t="s">
        <v>351</v>
      </c>
    </row>
    <row r="57" spans="1:23" x14ac:dyDescent="0.35">
      <c r="A57" t="s">
        <v>243</v>
      </c>
      <c r="B57" t="s">
        <v>25</v>
      </c>
      <c r="C57" t="s">
        <v>83</v>
      </c>
      <c r="D57">
        <f>VLOOKUP(Table1[[#This Row],[Product_Category]],HSNTABLE,2,FALSE)</f>
        <v>2552</v>
      </c>
      <c r="E57">
        <v>421</v>
      </c>
      <c r="F57" s="3">
        <f>VLOOKUP(Table1[[#This Row],[Product_Category]],HSNTABLE,3,FALSE)</f>
        <v>0.05</v>
      </c>
      <c r="G57">
        <f>Table1[[#This Row],[Cost_Price]]*Table1[[#This Row],[GST%]]</f>
        <v>21.05</v>
      </c>
      <c r="H57" s="5">
        <f>ROUNDUP(Table1[[#This Row],[Cost_Price]]+Table1[[#This Row],[GST_AMT]],0)</f>
        <v>443</v>
      </c>
      <c r="I57" s="3">
        <f>VLOOKUP(Table1[[#This Row],[Product_Category]],HSNTABLE,4,FALSE)</f>
        <v>0.25</v>
      </c>
      <c r="J57" s="5">
        <f>Table1[[#This Row],[Total_CP]]*Table1[[#This Row],[Margin%]]</f>
        <v>110.75</v>
      </c>
      <c r="K57" s="5">
        <f>Table1[[#This Row],[Margin_amt]]*Table1[[#This Row],[GST%]]</f>
        <v>5.5375000000000005</v>
      </c>
      <c r="L57" s="5">
        <f>ROUNDUP(Table1[[#This Row],[Total_CP]]+Table1[[#This Row],[Margin_amt]]+Table1[[#This Row],[Gst_on_Margin_amt]],0)</f>
        <v>560</v>
      </c>
      <c r="M57" t="s">
        <v>184</v>
      </c>
      <c r="N57" t="str">
        <f>VLOOKUP(Table1[[#This Row],[Godown]],MasterSheet!$F$1:$G$5,2,FALSE)</f>
        <v>East</v>
      </c>
      <c r="O57" t="s">
        <v>340</v>
      </c>
      <c r="P57">
        <f>100</f>
        <v>100</v>
      </c>
      <c r="Q57">
        <v>22</v>
      </c>
      <c r="R57" s="5">
        <f>Table1[[#This Row],[Total_CP]]*Table1[[#This Row],[Qty_Purchased]]</f>
        <v>44300</v>
      </c>
      <c r="S57" s="5">
        <f>Table1[[#This Row],[Total_CP]]*Table1[[#This Row],[Qty_Sold]]</f>
        <v>9746</v>
      </c>
      <c r="T57" s="5">
        <f>Table1[[#This Row],[TotalSelling_Price]]*Table1[[#This Row],[Qty_Sold]]</f>
        <v>12320</v>
      </c>
      <c r="U57" s="5">
        <f>Table1[[#This Row],[SP_Qty_Sold]]-Table1[[#This Row],[CP_Qty_Sold]]</f>
        <v>2574</v>
      </c>
      <c r="V57" s="9">
        <f t="shared" si="0"/>
        <v>44837</v>
      </c>
      <c r="W57" s="5" t="s">
        <v>352</v>
      </c>
    </row>
    <row r="58" spans="1:23" x14ac:dyDescent="0.35">
      <c r="A58" t="s">
        <v>244</v>
      </c>
      <c r="B58" t="s">
        <v>25</v>
      </c>
      <c r="C58" t="s">
        <v>84</v>
      </c>
      <c r="D58">
        <f>VLOOKUP(Table1[[#This Row],[Product_Category]],HSNTABLE,2,FALSE)</f>
        <v>2552</v>
      </c>
      <c r="E58">
        <v>588</v>
      </c>
      <c r="F58" s="3">
        <f>VLOOKUP(Table1[[#This Row],[Product_Category]],HSNTABLE,3,FALSE)</f>
        <v>0.05</v>
      </c>
      <c r="G58">
        <f>Table1[[#This Row],[Cost_Price]]*Table1[[#This Row],[GST%]]</f>
        <v>29.400000000000002</v>
      </c>
      <c r="H58" s="5">
        <f>ROUNDUP(Table1[[#This Row],[Cost_Price]]+Table1[[#This Row],[GST_AMT]],0)</f>
        <v>618</v>
      </c>
      <c r="I58" s="3">
        <f>VLOOKUP(Table1[[#This Row],[Product_Category]],HSNTABLE,4,FALSE)</f>
        <v>0.25</v>
      </c>
      <c r="J58" s="5">
        <f>Table1[[#This Row],[Total_CP]]*Table1[[#This Row],[Margin%]]</f>
        <v>154.5</v>
      </c>
      <c r="K58" s="5">
        <f>Table1[[#This Row],[Margin_amt]]*Table1[[#This Row],[GST%]]</f>
        <v>7.7250000000000005</v>
      </c>
      <c r="L58" s="5">
        <f>ROUNDUP(Table1[[#This Row],[Total_CP]]+Table1[[#This Row],[Margin_amt]]+Table1[[#This Row],[Gst_on_Margin_amt]],0)</f>
        <v>781</v>
      </c>
      <c r="M58" t="s">
        <v>184</v>
      </c>
      <c r="N58" t="str">
        <f>VLOOKUP(Table1[[#This Row],[Godown]],MasterSheet!$F$1:$G$5,2,FALSE)</f>
        <v>East</v>
      </c>
      <c r="O58" t="s">
        <v>340</v>
      </c>
      <c r="P58">
        <f>100</f>
        <v>100</v>
      </c>
      <c r="Q58">
        <v>46</v>
      </c>
      <c r="R58" s="5">
        <f>Table1[[#This Row],[Total_CP]]*Table1[[#This Row],[Qty_Purchased]]</f>
        <v>61800</v>
      </c>
      <c r="S58" s="5">
        <f>Table1[[#This Row],[Total_CP]]*Table1[[#This Row],[Qty_Sold]]</f>
        <v>28428</v>
      </c>
      <c r="T58" s="5">
        <f>Table1[[#This Row],[TotalSelling_Price]]*Table1[[#This Row],[Qty_Sold]]</f>
        <v>35926</v>
      </c>
      <c r="U58" s="5">
        <f>Table1[[#This Row],[SP_Qty_Sold]]-Table1[[#This Row],[CP_Qty_Sold]]</f>
        <v>7498</v>
      </c>
      <c r="V58" s="9">
        <f t="shared" si="0"/>
        <v>44842</v>
      </c>
      <c r="W58" s="5" t="s">
        <v>352</v>
      </c>
    </row>
    <row r="59" spans="1:23" x14ac:dyDescent="0.35">
      <c r="A59" t="s">
        <v>245</v>
      </c>
      <c r="B59" t="s">
        <v>25</v>
      </c>
      <c r="C59" t="s">
        <v>85</v>
      </c>
      <c r="D59">
        <f>VLOOKUP(Table1[[#This Row],[Product_Category]],HSNTABLE,2,FALSE)</f>
        <v>2552</v>
      </c>
      <c r="E59">
        <v>621</v>
      </c>
      <c r="F59" s="3">
        <f>VLOOKUP(Table1[[#This Row],[Product_Category]],HSNTABLE,3,FALSE)</f>
        <v>0.05</v>
      </c>
      <c r="G59">
        <f>Table1[[#This Row],[Cost_Price]]*Table1[[#This Row],[GST%]]</f>
        <v>31.05</v>
      </c>
      <c r="H59" s="5">
        <f>ROUNDUP(Table1[[#This Row],[Cost_Price]]+Table1[[#This Row],[GST_AMT]],0)</f>
        <v>653</v>
      </c>
      <c r="I59" s="3">
        <f>VLOOKUP(Table1[[#This Row],[Product_Category]],HSNTABLE,4,FALSE)</f>
        <v>0.25</v>
      </c>
      <c r="J59" s="5">
        <f>Table1[[#This Row],[Total_CP]]*Table1[[#This Row],[Margin%]]</f>
        <v>163.25</v>
      </c>
      <c r="K59" s="5">
        <f>Table1[[#This Row],[Margin_amt]]*Table1[[#This Row],[GST%]]</f>
        <v>8.1624999999999996</v>
      </c>
      <c r="L59" s="5">
        <f>ROUNDUP(Table1[[#This Row],[Total_CP]]+Table1[[#This Row],[Margin_amt]]+Table1[[#This Row],[Gst_on_Margin_amt]],0)</f>
        <v>825</v>
      </c>
      <c r="M59" t="s">
        <v>184</v>
      </c>
      <c r="N59" t="str">
        <f>VLOOKUP(Table1[[#This Row],[Godown]],MasterSheet!$F$1:$G$5,2,FALSE)</f>
        <v>East</v>
      </c>
      <c r="O59" t="s">
        <v>341</v>
      </c>
      <c r="P59">
        <f>100</f>
        <v>100</v>
      </c>
      <c r="Q59">
        <v>36</v>
      </c>
      <c r="R59" s="5">
        <f>Table1[[#This Row],[Total_CP]]*Table1[[#This Row],[Qty_Purchased]]</f>
        <v>65300</v>
      </c>
      <c r="S59" s="5">
        <f>Table1[[#This Row],[Total_CP]]*Table1[[#This Row],[Qty_Sold]]</f>
        <v>23508</v>
      </c>
      <c r="T59" s="5">
        <f>Table1[[#This Row],[TotalSelling_Price]]*Table1[[#This Row],[Qty_Sold]]</f>
        <v>29700</v>
      </c>
      <c r="U59" s="5">
        <f>Table1[[#This Row],[SP_Qty_Sold]]-Table1[[#This Row],[CP_Qty_Sold]]</f>
        <v>6192</v>
      </c>
      <c r="V59" s="9">
        <f t="shared" si="0"/>
        <v>44847</v>
      </c>
      <c r="W59" s="5" t="s">
        <v>352</v>
      </c>
    </row>
    <row r="60" spans="1:23" x14ac:dyDescent="0.35">
      <c r="A60" t="s">
        <v>246</v>
      </c>
      <c r="B60" t="s">
        <v>25</v>
      </c>
      <c r="C60" t="s">
        <v>86</v>
      </c>
      <c r="D60">
        <f>VLOOKUP(Table1[[#This Row],[Product_Category]],HSNTABLE,2,FALSE)</f>
        <v>2552</v>
      </c>
      <c r="E60">
        <v>450</v>
      </c>
      <c r="F60" s="3">
        <f>VLOOKUP(Table1[[#This Row],[Product_Category]],HSNTABLE,3,FALSE)</f>
        <v>0.05</v>
      </c>
      <c r="G60">
        <f>Table1[[#This Row],[Cost_Price]]*Table1[[#This Row],[GST%]]</f>
        <v>22.5</v>
      </c>
      <c r="H60" s="5">
        <f>ROUNDUP(Table1[[#This Row],[Cost_Price]]+Table1[[#This Row],[GST_AMT]],0)</f>
        <v>473</v>
      </c>
      <c r="I60" s="3">
        <f>VLOOKUP(Table1[[#This Row],[Product_Category]],HSNTABLE,4,FALSE)</f>
        <v>0.25</v>
      </c>
      <c r="J60" s="5">
        <f>Table1[[#This Row],[Total_CP]]*Table1[[#This Row],[Margin%]]</f>
        <v>118.25</v>
      </c>
      <c r="K60" s="5">
        <f>Table1[[#This Row],[Margin_amt]]*Table1[[#This Row],[GST%]]</f>
        <v>5.9125000000000005</v>
      </c>
      <c r="L60" s="5">
        <f>ROUNDUP(Table1[[#This Row],[Total_CP]]+Table1[[#This Row],[Margin_amt]]+Table1[[#This Row],[Gst_on_Margin_amt]],0)</f>
        <v>598</v>
      </c>
      <c r="M60" t="s">
        <v>183</v>
      </c>
      <c r="N60" t="str">
        <f>VLOOKUP(Table1[[#This Row],[Godown]],MasterSheet!$F$1:$G$5,2,FALSE)</f>
        <v>South</v>
      </c>
      <c r="O60" t="s">
        <v>340</v>
      </c>
      <c r="P60">
        <f>100</f>
        <v>100</v>
      </c>
      <c r="Q60">
        <v>22</v>
      </c>
      <c r="R60" s="5">
        <f>Table1[[#This Row],[Total_CP]]*Table1[[#This Row],[Qty_Purchased]]</f>
        <v>47300</v>
      </c>
      <c r="S60" s="5">
        <f>Table1[[#This Row],[Total_CP]]*Table1[[#This Row],[Qty_Sold]]</f>
        <v>10406</v>
      </c>
      <c r="T60" s="5">
        <f>Table1[[#This Row],[TotalSelling_Price]]*Table1[[#This Row],[Qty_Sold]]</f>
        <v>13156</v>
      </c>
      <c r="U60" s="5">
        <f>Table1[[#This Row],[SP_Qty_Sold]]-Table1[[#This Row],[CP_Qty_Sold]]</f>
        <v>2750</v>
      </c>
      <c r="V60" s="9">
        <f t="shared" si="0"/>
        <v>44852</v>
      </c>
      <c r="W60" s="5" t="s">
        <v>351</v>
      </c>
    </row>
    <row r="61" spans="1:23" x14ac:dyDescent="0.35">
      <c r="A61" t="s">
        <v>247</v>
      </c>
      <c r="B61" t="s">
        <v>25</v>
      </c>
      <c r="C61" t="s">
        <v>87</v>
      </c>
      <c r="D61">
        <f>VLOOKUP(Table1[[#This Row],[Product_Category]],HSNTABLE,2,FALSE)</f>
        <v>2552</v>
      </c>
      <c r="E61">
        <v>217</v>
      </c>
      <c r="F61" s="3">
        <f>VLOOKUP(Table1[[#This Row],[Product_Category]],HSNTABLE,3,FALSE)</f>
        <v>0.05</v>
      </c>
      <c r="G61">
        <f>Table1[[#This Row],[Cost_Price]]*Table1[[#This Row],[GST%]]</f>
        <v>10.850000000000001</v>
      </c>
      <c r="H61" s="5">
        <f>ROUNDUP(Table1[[#This Row],[Cost_Price]]+Table1[[#This Row],[GST_AMT]],0)</f>
        <v>228</v>
      </c>
      <c r="I61" s="3">
        <f>VLOOKUP(Table1[[#This Row],[Product_Category]],HSNTABLE,4,FALSE)</f>
        <v>0.25</v>
      </c>
      <c r="J61" s="5">
        <f>Table1[[#This Row],[Total_CP]]*Table1[[#This Row],[Margin%]]</f>
        <v>57</v>
      </c>
      <c r="K61" s="5">
        <f>Table1[[#This Row],[Margin_amt]]*Table1[[#This Row],[GST%]]</f>
        <v>2.85</v>
      </c>
      <c r="L61" s="5">
        <f>ROUNDUP(Table1[[#This Row],[Total_CP]]+Table1[[#This Row],[Margin_amt]]+Table1[[#This Row],[Gst_on_Margin_amt]],0)</f>
        <v>288</v>
      </c>
      <c r="M61" t="s">
        <v>185</v>
      </c>
      <c r="N61" t="str">
        <f>VLOOKUP(Table1[[#This Row],[Godown]],MasterSheet!$F$1:$G$5,2,FALSE)</f>
        <v>West</v>
      </c>
      <c r="O61" t="s">
        <v>344</v>
      </c>
      <c r="P61">
        <f>100</f>
        <v>100</v>
      </c>
      <c r="Q61">
        <v>46</v>
      </c>
      <c r="R61" s="5">
        <f>Table1[[#This Row],[Total_CP]]*Table1[[#This Row],[Qty_Purchased]]</f>
        <v>22800</v>
      </c>
      <c r="S61" s="5">
        <f>Table1[[#This Row],[Total_CP]]*Table1[[#This Row],[Qty_Sold]]</f>
        <v>10488</v>
      </c>
      <c r="T61" s="5">
        <f>Table1[[#This Row],[TotalSelling_Price]]*Table1[[#This Row],[Qty_Sold]]</f>
        <v>13248</v>
      </c>
      <c r="U61" s="5">
        <f>Table1[[#This Row],[SP_Qty_Sold]]-Table1[[#This Row],[CP_Qty_Sold]]</f>
        <v>2760</v>
      </c>
      <c r="V61" s="9">
        <f t="shared" si="0"/>
        <v>44857</v>
      </c>
      <c r="W61" s="5" t="s">
        <v>352</v>
      </c>
    </row>
    <row r="62" spans="1:23" x14ac:dyDescent="0.35">
      <c r="A62" t="s">
        <v>248</v>
      </c>
      <c r="B62" t="s">
        <v>23</v>
      </c>
      <c r="C62" t="s">
        <v>88</v>
      </c>
      <c r="D62">
        <f>VLOOKUP(Table1[[#This Row],[Product_Category]],HSNTABLE,2,FALSE)</f>
        <v>2204</v>
      </c>
      <c r="E62">
        <v>644</v>
      </c>
      <c r="F62" s="3">
        <f>VLOOKUP(Table1[[#This Row],[Product_Category]],HSNTABLE,3,FALSE)</f>
        <v>0.18</v>
      </c>
      <c r="G62">
        <f>Table1[[#This Row],[Cost_Price]]*Table1[[#This Row],[GST%]]</f>
        <v>115.92</v>
      </c>
      <c r="H62" s="5">
        <f>ROUNDUP(Table1[[#This Row],[Cost_Price]]+Table1[[#This Row],[GST_AMT]],0)</f>
        <v>760</v>
      </c>
      <c r="I62" s="3">
        <f>VLOOKUP(Table1[[#This Row],[Product_Category]],HSNTABLE,4,FALSE)</f>
        <v>0.2</v>
      </c>
      <c r="J62" s="5">
        <f>Table1[[#This Row],[Total_CP]]*Table1[[#This Row],[Margin%]]</f>
        <v>152</v>
      </c>
      <c r="K62" s="5">
        <f>Table1[[#This Row],[Margin_amt]]*Table1[[#This Row],[GST%]]</f>
        <v>27.36</v>
      </c>
      <c r="L62" s="5">
        <f>ROUNDUP(Table1[[#This Row],[Total_CP]]+Table1[[#This Row],[Margin_amt]]+Table1[[#This Row],[Gst_on_Margin_amt]],0)</f>
        <v>940</v>
      </c>
      <c r="M62" t="s">
        <v>183</v>
      </c>
      <c r="N62" t="str">
        <f>VLOOKUP(Table1[[#This Row],[Godown]],MasterSheet!$F$1:$G$5,2,FALSE)</f>
        <v>South</v>
      </c>
      <c r="O62" t="s">
        <v>342</v>
      </c>
      <c r="P62">
        <f>100</f>
        <v>100</v>
      </c>
      <c r="Q62">
        <v>40</v>
      </c>
      <c r="R62" s="5">
        <f>Table1[[#This Row],[Total_CP]]*Table1[[#This Row],[Qty_Purchased]]</f>
        <v>76000</v>
      </c>
      <c r="S62" s="5">
        <f>Table1[[#This Row],[Total_CP]]*Table1[[#This Row],[Qty_Sold]]</f>
        <v>30400</v>
      </c>
      <c r="T62" s="5">
        <f>Table1[[#This Row],[TotalSelling_Price]]*Table1[[#This Row],[Qty_Sold]]</f>
        <v>37600</v>
      </c>
      <c r="U62" s="5">
        <f>Table1[[#This Row],[SP_Qty_Sold]]-Table1[[#This Row],[CP_Qty_Sold]]</f>
        <v>7200</v>
      </c>
      <c r="V62" s="9">
        <f t="shared" si="0"/>
        <v>44862</v>
      </c>
      <c r="W62" s="5" t="s">
        <v>351</v>
      </c>
    </row>
    <row r="63" spans="1:23" x14ac:dyDescent="0.35">
      <c r="A63" t="s">
        <v>249</v>
      </c>
      <c r="B63" t="s">
        <v>23</v>
      </c>
      <c r="C63" t="s">
        <v>89</v>
      </c>
      <c r="D63">
        <f>VLOOKUP(Table1[[#This Row],[Product_Category]],HSNTABLE,2,FALSE)</f>
        <v>2204</v>
      </c>
      <c r="E63">
        <v>799</v>
      </c>
      <c r="F63" s="3">
        <f>VLOOKUP(Table1[[#This Row],[Product_Category]],HSNTABLE,3,FALSE)</f>
        <v>0.18</v>
      </c>
      <c r="G63">
        <f>Table1[[#This Row],[Cost_Price]]*Table1[[#This Row],[GST%]]</f>
        <v>143.82</v>
      </c>
      <c r="H63" s="5">
        <f>ROUNDUP(Table1[[#This Row],[Cost_Price]]+Table1[[#This Row],[GST_AMT]],0)</f>
        <v>943</v>
      </c>
      <c r="I63" s="3">
        <f>VLOOKUP(Table1[[#This Row],[Product_Category]],HSNTABLE,4,FALSE)</f>
        <v>0.2</v>
      </c>
      <c r="J63" s="5">
        <f>Table1[[#This Row],[Total_CP]]*Table1[[#This Row],[Margin%]]</f>
        <v>188.60000000000002</v>
      </c>
      <c r="K63" s="5">
        <f>Table1[[#This Row],[Margin_amt]]*Table1[[#This Row],[GST%]]</f>
        <v>33.948</v>
      </c>
      <c r="L63" s="5">
        <f>ROUNDUP(Table1[[#This Row],[Total_CP]]+Table1[[#This Row],[Margin_amt]]+Table1[[#This Row],[Gst_on_Margin_amt]],0)</f>
        <v>1166</v>
      </c>
      <c r="M63" t="s">
        <v>185</v>
      </c>
      <c r="N63" t="str">
        <f>VLOOKUP(Table1[[#This Row],[Godown]],MasterSheet!$F$1:$G$5,2,FALSE)</f>
        <v>West</v>
      </c>
      <c r="O63" t="s">
        <v>343</v>
      </c>
      <c r="P63">
        <f>100</f>
        <v>100</v>
      </c>
      <c r="Q63">
        <v>38</v>
      </c>
      <c r="R63" s="5">
        <f>Table1[[#This Row],[Total_CP]]*Table1[[#This Row],[Qty_Purchased]]</f>
        <v>94300</v>
      </c>
      <c r="S63" s="5">
        <f>Table1[[#This Row],[Total_CP]]*Table1[[#This Row],[Qty_Sold]]</f>
        <v>35834</v>
      </c>
      <c r="T63" s="5">
        <f>Table1[[#This Row],[TotalSelling_Price]]*Table1[[#This Row],[Qty_Sold]]</f>
        <v>44308</v>
      </c>
      <c r="U63" s="5">
        <f>Table1[[#This Row],[SP_Qty_Sold]]-Table1[[#This Row],[CP_Qty_Sold]]</f>
        <v>8474</v>
      </c>
      <c r="V63" s="9">
        <f t="shared" si="0"/>
        <v>44867</v>
      </c>
      <c r="W63" s="5" t="s">
        <v>351</v>
      </c>
    </row>
    <row r="64" spans="1:23" x14ac:dyDescent="0.35">
      <c r="A64" t="s">
        <v>250</v>
      </c>
      <c r="B64" t="s">
        <v>23</v>
      </c>
      <c r="C64" t="s">
        <v>90</v>
      </c>
      <c r="D64">
        <f>VLOOKUP(Table1[[#This Row],[Product_Category]],HSNTABLE,2,FALSE)</f>
        <v>2204</v>
      </c>
      <c r="E64">
        <v>993</v>
      </c>
      <c r="F64" s="3">
        <f>VLOOKUP(Table1[[#This Row],[Product_Category]],HSNTABLE,3,FALSE)</f>
        <v>0.18</v>
      </c>
      <c r="G64">
        <f>Table1[[#This Row],[Cost_Price]]*Table1[[#This Row],[GST%]]</f>
        <v>178.73999999999998</v>
      </c>
      <c r="H64" s="5">
        <f>ROUNDUP(Table1[[#This Row],[Cost_Price]]+Table1[[#This Row],[GST_AMT]],0)</f>
        <v>1172</v>
      </c>
      <c r="I64" s="3">
        <f>VLOOKUP(Table1[[#This Row],[Product_Category]],HSNTABLE,4,FALSE)</f>
        <v>0.2</v>
      </c>
      <c r="J64" s="5">
        <f>Table1[[#This Row],[Total_CP]]*Table1[[#This Row],[Margin%]]</f>
        <v>234.4</v>
      </c>
      <c r="K64" s="5">
        <f>Table1[[#This Row],[Margin_amt]]*Table1[[#This Row],[GST%]]</f>
        <v>42.192</v>
      </c>
      <c r="L64" s="5">
        <f>ROUNDUP(Table1[[#This Row],[Total_CP]]+Table1[[#This Row],[Margin_amt]]+Table1[[#This Row],[Gst_on_Margin_amt]],0)</f>
        <v>1449</v>
      </c>
      <c r="M64" t="s">
        <v>185</v>
      </c>
      <c r="N64" t="str">
        <f>VLOOKUP(Table1[[#This Row],[Godown]],MasterSheet!$F$1:$G$5,2,FALSE)</f>
        <v>West</v>
      </c>
      <c r="O64" t="s">
        <v>342</v>
      </c>
      <c r="P64">
        <f>100</f>
        <v>100</v>
      </c>
      <c r="Q64">
        <v>21</v>
      </c>
      <c r="R64" s="5">
        <f>Table1[[#This Row],[Total_CP]]*Table1[[#This Row],[Qty_Purchased]]</f>
        <v>117200</v>
      </c>
      <c r="S64" s="5">
        <f>Table1[[#This Row],[Total_CP]]*Table1[[#This Row],[Qty_Sold]]</f>
        <v>24612</v>
      </c>
      <c r="T64" s="5">
        <f>Table1[[#This Row],[TotalSelling_Price]]*Table1[[#This Row],[Qty_Sold]]</f>
        <v>30429</v>
      </c>
      <c r="U64" s="5">
        <f>Table1[[#This Row],[SP_Qty_Sold]]-Table1[[#This Row],[CP_Qty_Sold]]</f>
        <v>5817</v>
      </c>
      <c r="V64" s="9">
        <f t="shared" si="0"/>
        <v>44872</v>
      </c>
      <c r="W64" s="5" t="s">
        <v>352</v>
      </c>
    </row>
    <row r="65" spans="1:23" x14ac:dyDescent="0.35">
      <c r="A65" t="s">
        <v>251</v>
      </c>
      <c r="B65" t="s">
        <v>23</v>
      </c>
      <c r="C65" t="s">
        <v>91</v>
      </c>
      <c r="D65">
        <f>VLOOKUP(Table1[[#This Row],[Product_Category]],HSNTABLE,2,FALSE)</f>
        <v>2204</v>
      </c>
      <c r="E65">
        <v>717</v>
      </c>
      <c r="F65" s="3">
        <f>VLOOKUP(Table1[[#This Row],[Product_Category]],HSNTABLE,3,FALSE)</f>
        <v>0.18</v>
      </c>
      <c r="G65">
        <f>Table1[[#This Row],[Cost_Price]]*Table1[[#This Row],[GST%]]</f>
        <v>129.06</v>
      </c>
      <c r="H65" s="5">
        <f>ROUNDUP(Table1[[#This Row],[Cost_Price]]+Table1[[#This Row],[GST_AMT]],0)</f>
        <v>847</v>
      </c>
      <c r="I65" s="3">
        <f>VLOOKUP(Table1[[#This Row],[Product_Category]],HSNTABLE,4,FALSE)</f>
        <v>0.2</v>
      </c>
      <c r="J65" s="5">
        <f>Table1[[#This Row],[Total_CP]]*Table1[[#This Row],[Margin%]]</f>
        <v>169.4</v>
      </c>
      <c r="K65" s="5">
        <f>Table1[[#This Row],[Margin_amt]]*Table1[[#This Row],[GST%]]</f>
        <v>30.492000000000001</v>
      </c>
      <c r="L65" s="5">
        <f>ROUNDUP(Table1[[#This Row],[Total_CP]]+Table1[[#This Row],[Margin_amt]]+Table1[[#This Row],[Gst_on_Margin_amt]],0)</f>
        <v>1047</v>
      </c>
      <c r="M65" t="s">
        <v>184</v>
      </c>
      <c r="N65" t="str">
        <f>VLOOKUP(Table1[[#This Row],[Godown]],MasterSheet!$F$1:$G$5,2,FALSE)</f>
        <v>East</v>
      </c>
      <c r="O65" t="s">
        <v>342</v>
      </c>
      <c r="P65">
        <f>100</f>
        <v>100</v>
      </c>
      <c r="Q65">
        <v>35</v>
      </c>
      <c r="R65" s="5">
        <f>Table1[[#This Row],[Total_CP]]*Table1[[#This Row],[Qty_Purchased]]</f>
        <v>84700</v>
      </c>
      <c r="S65" s="5">
        <f>Table1[[#This Row],[Total_CP]]*Table1[[#This Row],[Qty_Sold]]</f>
        <v>29645</v>
      </c>
      <c r="T65" s="5">
        <f>Table1[[#This Row],[TotalSelling_Price]]*Table1[[#This Row],[Qty_Sold]]</f>
        <v>36645</v>
      </c>
      <c r="U65" s="5">
        <f>Table1[[#This Row],[SP_Qty_Sold]]-Table1[[#This Row],[CP_Qty_Sold]]</f>
        <v>7000</v>
      </c>
      <c r="V65" s="9">
        <f t="shared" si="0"/>
        <v>44877</v>
      </c>
      <c r="W65" s="5" t="s">
        <v>351</v>
      </c>
    </row>
    <row r="66" spans="1:23" x14ac:dyDescent="0.35">
      <c r="A66" t="s">
        <v>252</v>
      </c>
      <c r="B66" t="s">
        <v>23</v>
      </c>
      <c r="C66" t="s">
        <v>92</v>
      </c>
      <c r="D66">
        <f>VLOOKUP(Table1[[#This Row],[Product_Category]],HSNTABLE,2,FALSE)</f>
        <v>2204</v>
      </c>
      <c r="E66">
        <v>557</v>
      </c>
      <c r="F66" s="3">
        <f>VLOOKUP(Table1[[#This Row],[Product_Category]],HSNTABLE,3,FALSE)</f>
        <v>0.18</v>
      </c>
      <c r="G66">
        <f>Table1[[#This Row],[Cost_Price]]*Table1[[#This Row],[GST%]]</f>
        <v>100.25999999999999</v>
      </c>
      <c r="H66" s="5">
        <f>ROUNDUP(Table1[[#This Row],[Cost_Price]]+Table1[[#This Row],[GST_AMT]],0)</f>
        <v>658</v>
      </c>
      <c r="I66" s="3">
        <f>VLOOKUP(Table1[[#This Row],[Product_Category]],HSNTABLE,4,FALSE)</f>
        <v>0.2</v>
      </c>
      <c r="J66" s="5">
        <f>Table1[[#This Row],[Total_CP]]*Table1[[#This Row],[Margin%]]</f>
        <v>131.6</v>
      </c>
      <c r="K66" s="5">
        <f>Table1[[#This Row],[Margin_amt]]*Table1[[#This Row],[GST%]]</f>
        <v>23.687999999999999</v>
      </c>
      <c r="L66" s="5">
        <f>ROUNDUP(Table1[[#This Row],[Total_CP]]+Table1[[#This Row],[Margin_amt]]+Table1[[#This Row],[Gst_on_Margin_amt]],0)</f>
        <v>814</v>
      </c>
      <c r="M66" t="s">
        <v>185</v>
      </c>
      <c r="N66" t="str">
        <f>VLOOKUP(Table1[[#This Row],[Godown]],MasterSheet!$F$1:$G$5,2,FALSE)</f>
        <v>West</v>
      </c>
      <c r="O66" t="s">
        <v>343</v>
      </c>
      <c r="P66">
        <f>100</f>
        <v>100</v>
      </c>
      <c r="Q66">
        <v>25</v>
      </c>
      <c r="R66" s="5">
        <f>Table1[[#This Row],[Total_CP]]*Table1[[#This Row],[Qty_Purchased]]</f>
        <v>65800</v>
      </c>
      <c r="S66" s="5">
        <f>Table1[[#This Row],[Total_CP]]*Table1[[#This Row],[Qty_Sold]]</f>
        <v>16450</v>
      </c>
      <c r="T66" s="5">
        <f>Table1[[#This Row],[TotalSelling_Price]]*Table1[[#This Row],[Qty_Sold]]</f>
        <v>20350</v>
      </c>
      <c r="U66" s="5">
        <f>Table1[[#This Row],[SP_Qty_Sold]]-Table1[[#This Row],[CP_Qty_Sold]]</f>
        <v>3900</v>
      </c>
      <c r="V66" s="9">
        <f t="shared" si="0"/>
        <v>44882</v>
      </c>
      <c r="W66" s="5" t="s">
        <v>352</v>
      </c>
    </row>
    <row r="67" spans="1:23" x14ac:dyDescent="0.35">
      <c r="A67" t="s">
        <v>253</v>
      </c>
      <c r="B67" t="s">
        <v>23</v>
      </c>
      <c r="C67" t="s">
        <v>93</v>
      </c>
      <c r="D67">
        <f>VLOOKUP(Table1[[#This Row],[Product_Category]],HSNTABLE,2,FALSE)</f>
        <v>2204</v>
      </c>
      <c r="E67">
        <v>150</v>
      </c>
      <c r="F67" s="3">
        <f>VLOOKUP(Table1[[#This Row],[Product_Category]],HSNTABLE,3,FALSE)</f>
        <v>0.18</v>
      </c>
      <c r="G67">
        <f>Table1[[#This Row],[Cost_Price]]*Table1[[#This Row],[GST%]]</f>
        <v>27</v>
      </c>
      <c r="H67" s="5">
        <f>ROUNDUP(Table1[[#This Row],[Cost_Price]]+Table1[[#This Row],[GST_AMT]],0)</f>
        <v>177</v>
      </c>
      <c r="I67" s="3">
        <f>VLOOKUP(Table1[[#This Row],[Product_Category]],HSNTABLE,4,FALSE)</f>
        <v>0.2</v>
      </c>
      <c r="J67" s="5">
        <f>Table1[[#This Row],[Total_CP]]*Table1[[#This Row],[Margin%]]</f>
        <v>35.4</v>
      </c>
      <c r="K67" s="5">
        <f>Table1[[#This Row],[Margin_amt]]*Table1[[#This Row],[GST%]]</f>
        <v>6.3719999999999999</v>
      </c>
      <c r="L67" s="5">
        <f>ROUNDUP(Table1[[#This Row],[Total_CP]]+Table1[[#This Row],[Margin_amt]]+Table1[[#This Row],[Gst_on_Margin_amt]],0)</f>
        <v>219</v>
      </c>
      <c r="M67" t="s">
        <v>185</v>
      </c>
      <c r="N67" t="str">
        <f>VLOOKUP(Table1[[#This Row],[Godown]],MasterSheet!$F$1:$G$5,2,FALSE)</f>
        <v>West</v>
      </c>
      <c r="O67" t="s">
        <v>344</v>
      </c>
      <c r="P67">
        <f>100</f>
        <v>100</v>
      </c>
      <c r="Q67">
        <v>25</v>
      </c>
      <c r="R67" s="5">
        <f>Table1[[#This Row],[Total_CP]]*Table1[[#This Row],[Qty_Purchased]]</f>
        <v>17700</v>
      </c>
      <c r="S67" s="5">
        <f>Table1[[#This Row],[Total_CP]]*Table1[[#This Row],[Qty_Sold]]</f>
        <v>4425</v>
      </c>
      <c r="T67" s="5">
        <f>Table1[[#This Row],[TotalSelling_Price]]*Table1[[#This Row],[Qty_Sold]]</f>
        <v>5475</v>
      </c>
      <c r="U67" s="5">
        <f>Table1[[#This Row],[SP_Qty_Sold]]-Table1[[#This Row],[CP_Qty_Sold]]</f>
        <v>1050</v>
      </c>
      <c r="V67" s="9">
        <f t="shared" si="0"/>
        <v>44887</v>
      </c>
      <c r="W67" s="5" t="s">
        <v>352</v>
      </c>
    </row>
    <row r="68" spans="1:23" x14ac:dyDescent="0.35">
      <c r="A68" t="s">
        <v>254</v>
      </c>
      <c r="B68" t="s">
        <v>23</v>
      </c>
      <c r="C68" t="s">
        <v>94</v>
      </c>
      <c r="D68">
        <f>VLOOKUP(Table1[[#This Row],[Product_Category]],HSNTABLE,2,FALSE)</f>
        <v>2204</v>
      </c>
      <c r="E68">
        <v>731</v>
      </c>
      <c r="F68" s="3">
        <f>VLOOKUP(Table1[[#This Row],[Product_Category]],HSNTABLE,3,FALSE)</f>
        <v>0.18</v>
      </c>
      <c r="G68">
        <f>Table1[[#This Row],[Cost_Price]]*Table1[[#This Row],[GST%]]</f>
        <v>131.57999999999998</v>
      </c>
      <c r="H68" s="5">
        <f>ROUNDUP(Table1[[#This Row],[Cost_Price]]+Table1[[#This Row],[GST_AMT]],0)</f>
        <v>863</v>
      </c>
      <c r="I68" s="3">
        <f>VLOOKUP(Table1[[#This Row],[Product_Category]],HSNTABLE,4,FALSE)</f>
        <v>0.2</v>
      </c>
      <c r="J68" s="5">
        <f>Table1[[#This Row],[Total_CP]]*Table1[[#This Row],[Margin%]]</f>
        <v>172.60000000000002</v>
      </c>
      <c r="K68" s="5">
        <f>Table1[[#This Row],[Margin_amt]]*Table1[[#This Row],[GST%]]</f>
        <v>31.068000000000001</v>
      </c>
      <c r="L68" s="5">
        <f>ROUNDUP(Table1[[#This Row],[Total_CP]]+Table1[[#This Row],[Margin_amt]]+Table1[[#This Row],[Gst_on_Margin_amt]],0)</f>
        <v>1067</v>
      </c>
      <c r="M68" t="s">
        <v>183</v>
      </c>
      <c r="N68" t="str">
        <f>VLOOKUP(Table1[[#This Row],[Godown]],MasterSheet!$F$1:$G$5,2,FALSE)</f>
        <v>South</v>
      </c>
      <c r="O68" t="s">
        <v>339</v>
      </c>
      <c r="P68">
        <f>100</f>
        <v>100</v>
      </c>
      <c r="Q68">
        <v>26</v>
      </c>
      <c r="R68" s="5">
        <f>Table1[[#This Row],[Total_CP]]*Table1[[#This Row],[Qty_Purchased]]</f>
        <v>86300</v>
      </c>
      <c r="S68" s="5">
        <f>Table1[[#This Row],[Total_CP]]*Table1[[#This Row],[Qty_Sold]]</f>
        <v>22438</v>
      </c>
      <c r="T68" s="5">
        <f>Table1[[#This Row],[TotalSelling_Price]]*Table1[[#This Row],[Qty_Sold]]</f>
        <v>27742</v>
      </c>
      <c r="U68" s="5">
        <f>Table1[[#This Row],[SP_Qty_Sold]]-Table1[[#This Row],[CP_Qty_Sold]]</f>
        <v>5304</v>
      </c>
      <c r="V68" s="9">
        <f t="shared" ref="V68:V131" si="1">V67+5</f>
        <v>44892</v>
      </c>
      <c r="W68" s="5" t="s">
        <v>351</v>
      </c>
    </row>
    <row r="69" spans="1:23" x14ac:dyDescent="0.35">
      <c r="A69" t="s">
        <v>255</v>
      </c>
      <c r="B69" t="s">
        <v>23</v>
      </c>
      <c r="C69" t="s">
        <v>95</v>
      </c>
      <c r="D69">
        <f>VLOOKUP(Table1[[#This Row],[Product_Category]],HSNTABLE,2,FALSE)</f>
        <v>2204</v>
      </c>
      <c r="E69">
        <v>384</v>
      </c>
      <c r="F69" s="3">
        <f>VLOOKUP(Table1[[#This Row],[Product_Category]],HSNTABLE,3,FALSE)</f>
        <v>0.18</v>
      </c>
      <c r="G69">
        <f>Table1[[#This Row],[Cost_Price]]*Table1[[#This Row],[GST%]]</f>
        <v>69.12</v>
      </c>
      <c r="H69" s="5">
        <f>ROUNDUP(Table1[[#This Row],[Cost_Price]]+Table1[[#This Row],[GST_AMT]],0)</f>
        <v>454</v>
      </c>
      <c r="I69" s="3">
        <f>VLOOKUP(Table1[[#This Row],[Product_Category]],HSNTABLE,4,FALSE)</f>
        <v>0.2</v>
      </c>
      <c r="J69" s="5">
        <f>Table1[[#This Row],[Total_CP]]*Table1[[#This Row],[Margin%]]</f>
        <v>90.800000000000011</v>
      </c>
      <c r="K69" s="5">
        <f>Table1[[#This Row],[Margin_amt]]*Table1[[#This Row],[GST%]]</f>
        <v>16.344000000000001</v>
      </c>
      <c r="L69" s="5">
        <f>ROUNDUP(Table1[[#This Row],[Total_CP]]+Table1[[#This Row],[Margin_amt]]+Table1[[#This Row],[Gst_on_Margin_amt]],0)</f>
        <v>562</v>
      </c>
      <c r="M69" t="s">
        <v>185</v>
      </c>
      <c r="N69" t="str">
        <f>VLOOKUP(Table1[[#This Row],[Godown]],MasterSheet!$F$1:$G$5,2,FALSE)</f>
        <v>West</v>
      </c>
      <c r="O69" t="s">
        <v>339</v>
      </c>
      <c r="P69">
        <f>100</f>
        <v>100</v>
      </c>
      <c r="Q69">
        <v>21</v>
      </c>
      <c r="R69" s="5">
        <f>Table1[[#This Row],[Total_CP]]*Table1[[#This Row],[Qty_Purchased]]</f>
        <v>45400</v>
      </c>
      <c r="S69" s="5">
        <f>Table1[[#This Row],[Total_CP]]*Table1[[#This Row],[Qty_Sold]]</f>
        <v>9534</v>
      </c>
      <c r="T69" s="5">
        <f>Table1[[#This Row],[TotalSelling_Price]]*Table1[[#This Row],[Qty_Sold]]</f>
        <v>11802</v>
      </c>
      <c r="U69" s="5">
        <f>Table1[[#This Row],[SP_Qty_Sold]]-Table1[[#This Row],[CP_Qty_Sold]]</f>
        <v>2268</v>
      </c>
      <c r="V69" s="9">
        <f t="shared" si="1"/>
        <v>44897</v>
      </c>
      <c r="W69" s="5" t="s">
        <v>352</v>
      </c>
    </row>
    <row r="70" spans="1:23" x14ac:dyDescent="0.35">
      <c r="A70" t="s">
        <v>256</v>
      </c>
      <c r="B70" t="s">
        <v>23</v>
      </c>
      <c r="C70" t="s">
        <v>96</v>
      </c>
      <c r="D70">
        <f>VLOOKUP(Table1[[#This Row],[Product_Category]],HSNTABLE,2,FALSE)</f>
        <v>2204</v>
      </c>
      <c r="E70">
        <v>375</v>
      </c>
      <c r="F70" s="3">
        <f>VLOOKUP(Table1[[#This Row],[Product_Category]],HSNTABLE,3,FALSE)</f>
        <v>0.18</v>
      </c>
      <c r="G70">
        <f>Table1[[#This Row],[Cost_Price]]*Table1[[#This Row],[GST%]]</f>
        <v>67.5</v>
      </c>
      <c r="H70" s="5">
        <f>ROUNDUP(Table1[[#This Row],[Cost_Price]]+Table1[[#This Row],[GST_AMT]],0)</f>
        <v>443</v>
      </c>
      <c r="I70" s="3">
        <f>VLOOKUP(Table1[[#This Row],[Product_Category]],HSNTABLE,4,FALSE)</f>
        <v>0.2</v>
      </c>
      <c r="J70" s="5">
        <f>Table1[[#This Row],[Total_CP]]*Table1[[#This Row],[Margin%]]</f>
        <v>88.600000000000009</v>
      </c>
      <c r="K70" s="5">
        <f>Table1[[#This Row],[Margin_amt]]*Table1[[#This Row],[GST%]]</f>
        <v>15.948</v>
      </c>
      <c r="L70" s="5">
        <f>ROUNDUP(Table1[[#This Row],[Total_CP]]+Table1[[#This Row],[Margin_amt]]+Table1[[#This Row],[Gst_on_Margin_amt]],0)</f>
        <v>548</v>
      </c>
      <c r="M70" t="s">
        <v>183</v>
      </c>
      <c r="N70" t="str">
        <f>VLOOKUP(Table1[[#This Row],[Godown]],MasterSheet!$F$1:$G$5,2,FALSE)</f>
        <v>South</v>
      </c>
      <c r="O70" t="s">
        <v>344</v>
      </c>
      <c r="P70">
        <f>100</f>
        <v>100</v>
      </c>
      <c r="Q70">
        <v>35</v>
      </c>
      <c r="R70" s="5">
        <f>Table1[[#This Row],[Total_CP]]*Table1[[#This Row],[Qty_Purchased]]</f>
        <v>44300</v>
      </c>
      <c r="S70" s="5">
        <f>Table1[[#This Row],[Total_CP]]*Table1[[#This Row],[Qty_Sold]]</f>
        <v>15505</v>
      </c>
      <c r="T70" s="5">
        <f>Table1[[#This Row],[TotalSelling_Price]]*Table1[[#This Row],[Qty_Sold]]</f>
        <v>19180</v>
      </c>
      <c r="U70" s="5">
        <f>Table1[[#This Row],[SP_Qty_Sold]]-Table1[[#This Row],[CP_Qty_Sold]]</f>
        <v>3675</v>
      </c>
      <c r="V70" s="9">
        <f t="shared" si="1"/>
        <v>44902</v>
      </c>
      <c r="W70" s="5" t="s">
        <v>351</v>
      </c>
    </row>
    <row r="71" spans="1:23" x14ac:dyDescent="0.35">
      <c r="A71" t="s">
        <v>257</v>
      </c>
      <c r="B71" t="s">
        <v>23</v>
      </c>
      <c r="C71" t="s">
        <v>97</v>
      </c>
      <c r="D71">
        <f>VLOOKUP(Table1[[#This Row],[Product_Category]],HSNTABLE,2,FALSE)</f>
        <v>2204</v>
      </c>
      <c r="E71">
        <v>105</v>
      </c>
      <c r="F71" s="3">
        <f>VLOOKUP(Table1[[#This Row],[Product_Category]],HSNTABLE,3,FALSE)</f>
        <v>0.18</v>
      </c>
      <c r="G71">
        <f>Table1[[#This Row],[Cost_Price]]*Table1[[#This Row],[GST%]]</f>
        <v>18.899999999999999</v>
      </c>
      <c r="H71" s="5">
        <f>ROUNDUP(Table1[[#This Row],[Cost_Price]]+Table1[[#This Row],[GST_AMT]],0)</f>
        <v>124</v>
      </c>
      <c r="I71" s="3">
        <f>VLOOKUP(Table1[[#This Row],[Product_Category]],HSNTABLE,4,FALSE)</f>
        <v>0.2</v>
      </c>
      <c r="J71" s="5">
        <f>Table1[[#This Row],[Total_CP]]*Table1[[#This Row],[Margin%]]</f>
        <v>24.8</v>
      </c>
      <c r="K71" s="5">
        <f>Table1[[#This Row],[Margin_amt]]*Table1[[#This Row],[GST%]]</f>
        <v>4.4639999999999995</v>
      </c>
      <c r="L71" s="5">
        <f>ROUNDUP(Table1[[#This Row],[Total_CP]]+Table1[[#This Row],[Margin_amt]]+Table1[[#This Row],[Gst_on_Margin_amt]],0)</f>
        <v>154</v>
      </c>
      <c r="M71" t="s">
        <v>185</v>
      </c>
      <c r="N71" t="str">
        <f>VLOOKUP(Table1[[#This Row],[Godown]],MasterSheet!$F$1:$G$5,2,FALSE)</f>
        <v>West</v>
      </c>
      <c r="O71" t="s">
        <v>344</v>
      </c>
      <c r="P71">
        <f>100</f>
        <v>100</v>
      </c>
      <c r="Q71">
        <v>21</v>
      </c>
      <c r="R71" s="5">
        <f>Table1[[#This Row],[Total_CP]]*Table1[[#This Row],[Qty_Purchased]]</f>
        <v>12400</v>
      </c>
      <c r="S71" s="5">
        <f>Table1[[#This Row],[Total_CP]]*Table1[[#This Row],[Qty_Sold]]</f>
        <v>2604</v>
      </c>
      <c r="T71" s="5">
        <f>Table1[[#This Row],[TotalSelling_Price]]*Table1[[#This Row],[Qty_Sold]]</f>
        <v>3234</v>
      </c>
      <c r="U71" s="5">
        <f>Table1[[#This Row],[SP_Qty_Sold]]-Table1[[#This Row],[CP_Qty_Sold]]</f>
        <v>630</v>
      </c>
      <c r="V71" s="9">
        <f t="shared" si="1"/>
        <v>44907</v>
      </c>
      <c r="W71" s="5" t="s">
        <v>352</v>
      </c>
    </row>
    <row r="72" spans="1:23" x14ac:dyDescent="0.35">
      <c r="A72" t="s">
        <v>258</v>
      </c>
      <c r="B72" t="s">
        <v>23</v>
      </c>
      <c r="C72" t="s">
        <v>98</v>
      </c>
      <c r="D72">
        <f>VLOOKUP(Table1[[#This Row],[Product_Category]],HSNTABLE,2,FALSE)</f>
        <v>2204</v>
      </c>
      <c r="E72">
        <v>381</v>
      </c>
      <c r="F72" s="3">
        <f>VLOOKUP(Table1[[#This Row],[Product_Category]],HSNTABLE,3,FALSE)</f>
        <v>0.18</v>
      </c>
      <c r="G72">
        <f>Table1[[#This Row],[Cost_Price]]*Table1[[#This Row],[GST%]]</f>
        <v>68.58</v>
      </c>
      <c r="H72" s="5">
        <f>ROUNDUP(Table1[[#This Row],[Cost_Price]]+Table1[[#This Row],[GST_AMT]],0)</f>
        <v>450</v>
      </c>
      <c r="I72" s="3">
        <f>VLOOKUP(Table1[[#This Row],[Product_Category]],HSNTABLE,4,FALSE)</f>
        <v>0.2</v>
      </c>
      <c r="J72" s="5">
        <f>Table1[[#This Row],[Total_CP]]*Table1[[#This Row],[Margin%]]</f>
        <v>90</v>
      </c>
      <c r="K72" s="5">
        <f>Table1[[#This Row],[Margin_amt]]*Table1[[#This Row],[GST%]]</f>
        <v>16.2</v>
      </c>
      <c r="L72" s="5">
        <f>ROUNDUP(Table1[[#This Row],[Total_CP]]+Table1[[#This Row],[Margin_amt]]+Table1[[#This Row],[Gst_on_Margin_amt]],0)</f>
        <v>557</v>
      </c>
      <c r="M72" t="s">
        <v>184</v>
      </c>
      <c r="N72" t="str">
        <f>VLOOKUP(Table1[[#This Row],[Godown]],MasterSheet!$F$1:$G$5,2,FALSE)</f>
        <v>East</v>
      </c>
      <c r="O72" t="s">
        <v>340</v>
      </c>
      <c r="P72">
        <f>100</f>
        <v>100</v>
      </c>
      <c r="Q72">
        <v>34</v>
      </c>
      <c r="R72" s="5">
        <f>Table1[[#This Row],[Total_CP]]*Table1[[#This Row],[Qty_Purchased]]</f>
        <v>45000</v>
      </c>
      <c r="S72" s="5">
        <f>Table1[[#This Row],[Total_CP]]*Table1[[#This Row],[Qty_Sold]]</f>
        <v>15300</v>
      </c>
      <c r="T72" s="5">
        <f>Table1[[#This Row],[TotalSelling_Price]]*Table1[[#This Row],[Qty_Sold]]</f>
        <v>18938</v>
      </c>
      <c r="U72" s="5">
        <f>Table1[[#This Row],[SP_Qty_Sold]]-Table1[[#This Row],[CP_Qty_Sold]]</f>
        <v>3638</v>
      </c>
      <c r="V72" s="9">
        <f t="shared" si="1"/>
        <v>44912</v>
      </c>
      <c r="W72" s="5" t="s">
        <v>351</v>
      </c>
    </row>
    <row r="73" spans="1:23" x14ac:dyDescent="0.35">
      <c r="A73" t="s">
        <v>259</v>
      </c>
      <c r="B73" t="s">
        <v>23</v>
      </c>
      <c r="C73" t="s">
        <v>99</v>
      </c>
      <c r="D73">
        <f>VLOOKUP(Table1[[#This Row],[Product_Category]],HSNTABLE,2,FALSE)</f>
        <v>2204</v>
      </c>
      <c r="E73">
        <v>692</v>
      </c>
      <c r="F73" s="3">
        <f>VLOOKUP(Table1[[#This Row],[Product_Category]],HSNTABLE,3,FALSE)</f>
        <v>0.18</v>
      </c>
      <c r="G73">
        <f>Table1[[#This Row],[Cost_Price]]*Table1[[#This Row],[GST%]]</f>
        <v>124.56</v>
      </c>
      <c r="H73" s="5">
        <f>ROUNDUP(Table1[[#This Row],[Cost_Price]]+Table1[[#This Row],[GST_AMT]],0)</f>
        <v>817</v>
      </c>
      <c r="I73" s="3">
        <f>VLOOKUP(Table1[[#This Row],[Product_Category]],HSNTABLE,4,FALSE)</f>
        <v>0.2</v>
      </c>
      <c r="J73" s="5">
        <f>Table1[[#This Row],[Total_CP]]*Table1[[#This Row],[Margin%]]</f>
        <v>163.4</v>
      </c>
      <c r="K73" s="5">
        <f>Table1[[#This Row],[Margin_amt]]*Table1[[#This Row],[GST%]]</f>
        <v>29.411999999999999</v>
      </c>
      <c r="L73" s="5">
        <f>ROUNDUP(Table1[[#This Row],[Total_CP]]+Table1[[#This Row],[Margin_amt]]+Table1[[#This Row],[Gst_on_Margin_amt]],0)</f>
        <v>1010</v>
      </c>
      <c r="M73" t="s">
        <v>185</v>
      </c>
      <c r="N73" t="str">
        <f>VLOOKUP(Table1[[#This Row],[Godown]],MasterSheet!$F$1:$G$5,2,FALSE)</f>
        <v>West</v>
      </c>
      <c r="O73" t="s">
        <v>340</v>
      </c>
      <c r="P73">
        <f>100</f>
        <v>100</v>
      </c>
      <c r="Q73">
        <v>45</v>
      </c>
      <c r="R73" s="5">
        <f>Table1[[#This Row],[Total_CP]]*Table1[[#This Row],[Qty_Purchased]]</f>
        <v>81700</v>
      </c>
      <c r="S73" s="5">
        <f>Table1[[#This Row],[Total_CP]]*Table1[[#This Row],[Qty_Sold]]</f>
        <v>36765</v>
      </c>
      <c r="T73" s="5">
        <f>Table1[[#This Row],[TotalSelling_Price]]*Table1[[#This Row],[Qty_Sold]]</f>
        <v>45450</v>
      </c>
      <c r="U73" s="5">
        <f>Table1[[#This Row],[SP_Qty_Sold]]-Table1[[#This Row],[CP_Qty_Sold]]</f>
        <v>8685</v>
      </c>
      <c r="V73" s="9">
        <f t="shared" si="1"/>
        <v>44917</v>
      </c>
      <c r="W73" s="5" t="s">
        <v>351</v>
      </c>
    </row>
    <row r="74" spans="1:23" x14ac:dyDescent="0.35">
      <c r="A74" t="s">
        <v>260</v>
      </c>
      <c r="B74" t="s">
        <v>23</v>
      </c>
      <c r="C74" t="s">
        <v>100</v>
      </c>
      <c r="D74">
        <f>VLOOKUP(Table1[[#This Row],[Product_Category]],HSNTABLE,2,FALSE)</f>
        <v>2204</v>
      </c>
      <c r="E74">
        <v>850</v>
      </c>
      <c r="F74" s="3">
        <f>VLOOKUP(Table1[[#This Row],[Product_Category]],HSNTABLE,3,FALSE)</f>
        <v>0.18</v>
      </c>
      <c r="G74">
        <f>Table1[[#This Row],[Cost_Price]]*Table1[[#This Row],[GST%]]</f>
        <v>153</v>
      </c>
      <c r="H74" s="5">
        <f>ROUNDUP(Table1[[#This Row],[Cost_Price]]+Table1[[#This Row],[GST_AMT]],0)</f>
        <v>1003</v>
      </c>
      <c r="I74" s="3">
        <f>VLOOKUP(Table1[[#This Row],[Product_Category]],HSNTABLE,4,FALSE)</f>
        <v>0.2</v>
      </c>
      <c r="J74" s="5">
        <f>Table1[[#This Row],[Total_CP]]*Table1[[#This Row],[Margin%]]</f>
        <v>200.60000000000002</v>
      </c>
      <c r="K74" s="5">
        <f>Table1[[#This Row],[Margin_amt]]*Table1[[#This Row],[GST%]]</f>
        <v>36.108000000000004</v>
      </c>
      <c r="L74" s="5">
        <f>ROUNDUP(Table1[[#This Row],[Total_CP]]+Table1[[#This Row],[Margin_amt]]+Table1[[#This Row],[Gst_on_Margin_amt]],0)</f>
        <v>1240</v>
      </c>
      <c r="M74" t="s">
        <v>183</v>
      </c>
      <c r="N74" t="str">
        <f>VLOOKUP(Table1[[#This Row],[Godown]],MasterSheet!$F$1:$G$5,2,FALSE)</f>
        <v>South</v>
      </c>
      <c r="O74" t="s">
        <v>340</v>
      </c>
      <c r="P74">
        <f>100</f>
        <v>100</v>
      </c>
      <c r="Q74">
        <v>24</v>
      </c>
      <c r="R74" s="5">
        <f>Table1[[#This Row],[Total_CP]]*Table1[[#This Row],[Qty_Purchased]]</f>
        <v>100300</v>
      </c>
      <c r="S74" s="5">
        <f>Table1[[#This Row],[Total_CP]]*Table1[[#This Row],[Qty_Sold]]</f>
        <v>24072</v>
      </c>
      <c r="T74" s="5">
        <f>Table1[[#This Row],[TotalSelling_Price]]*Table1[[#This Row],[Qty_Sold]]</f>
        <v>29760</v>
      </c>
      <c r="U74" s="5">
        <f>Table1[[#This Row],[SP_Qty_Sold]]-Table1[[#This Row],[CP_Qty_Sold]]</f>
        <v>5688</v>
      </c>
      <c r="V74" s="9">
        <f t="shared" si="1"/>
        <v>44922</v>
      </c>
      <c r="W74" s="5" t="s">
        <v>351</v>
      </c>
    </row>
    <row r="75" spans="1:23" x14ac:dyDescent="0.35">
      <c r="A75" t="s">
        <v>261</v>
      </c>
      <c r="B75" t="s">
        <v>23</v>
      </c>
      <c r="C75" t="s">
        <v>101</v>
      </c>
      <c r="D75">
        <f>VLOOKUP(Table1[[#This Row],[Product_Category]],HSNTABLE,2,FALSE)</f>
        <v>2204</v>
      </c>
      <c r="E75">
        <v>290</v>
      </c>
      <c r="F75" s="3">
        <f>VLOOKUP(Table1[[#This Row],[Product_Category]],HSNTABLE,3,FALSE)</f>
        <v>0.18</v>
      </c>
      <c r="G75">
        <f>Table1[[#This Row],[Cost_Price]]*Table1[[#This Row],[GST%]]</f>
        <v>52.199999999999996</v>
      </c>
      <c r="H75" s="5">
        <f>ROUNDUP(Table1[[#This Row],[Cost_Price]]+Table1[[#This Row],[GST_AMT]],0)</f>
        <v>343</v>
      </c>
      <c r="I75" s="3">
        <f>VLOOKUP(Table1[[#This Row],[Product_Category]],HSNTABLE,4,FALSE)</f>
        <v>0.2</v>
      </c>
      <c r="J75" s="5">
        <f>Table1[[#This Row],[Total_CP]]*Table1[[#This Row],[Margin%]]</f>
        <v>68.600000000000009</v>
      </c>
      <c r="K75" s="5">
        <f>Table1[[#This Row],[Margin_amt]]*Table1[[#This Row],[GST%]]</f>
        <v>12.348000000000001</v>
      </c>
      <c r="L75" s="5">
        <f>ROUNDUP(Table1[[#This Row],[Total_CP]]+Table1[[#This Row],[Margin_amt]]+Table1[[#This Row],[Gst_on_Margin_amt]],0)</f>
        <v>424</v>
      </c>
      <c r="M75" t="s">
        <v>184</v>
      </c>
      <c r="N75" t="str">
        <f>VLOOKUP(Table1[[#This Row],[Godown]],MasterSheet!$F$1:$G$5,2,FALSE)</f>
        <v>East</v>
      </c>
      <c r="O75" t="s">
        <v>344</v>
      </c>
      <c r="P75">
        <f>100</f>
        <v>100</v>
      </c>
      <c r="Q75">
        <v>45</v>
      </c>
      <c r="R75" s="5">
        <f>Table1[[#This Row],[Total_CP]]*Table1[[#This Row],[Qty_Purchased]]</f>
        <v>34300</v>
      </c>
      <c r="S75" s="5">
        <f>Table1[[#This Row],[Total_CP]]*Table1[[#This Row],[Qty_Sold]]</f>
        <v>15435</v>
      </c>
      <c r="T75" s="5">
        <f>Table1[[#This Row],[TotalSelling_Price]]*Table1[[#This Row],[Qty_Sold]]</f>
        <v>19080</v>
      </c>
      <c r="U75" s="5">
        <f>Table1[[#This Row],[SP_Qty_Sold]]-Table1[[#This Row],[CP_Qty_Sold]]</f>
        <v>3645</v>
      </c>
      <c r="V75" s="9">
        <f t="shared" si="1"/>
        <v>44927</v>
      </c>
      <c r="W75" s="5" t="s">
        <v>352</v>
      </c>
    </row>
    <row r="76" spans="1:23" x14ac:dyDescent="0.35">
      <c r="A76" t="s">
        <v>262</v>
      </c>
      <c r="B76" t="s">
        <v>26</v>
      </c>
      <c r="C76" t="s">
        <v>102</v>
      </c>
      <c r="D76">
        <f>VLOOKUP(Table1[[#This Row],[Product_Category]],HSNTABLE,2,FALSE)</f>
        <v>3543</v>
      </c>
      <c r="E76">
        <v>196</v>
      </c>
      <c r="F76" s="3">
        <f>VLOOKUP(Table1[[#This Row],[Product_Category]],HSNTABLE,3,FALSE)</f>
        <v>0.18</v>
      </c>
      <c r="G76">
        <f>Table1[[#This Row],[Cost_Price]]*Table1[[#This Row],[GST%]]</f>
        <v>35.28</v>
      </c>
      <c r="H76" s="5">
        <f>ROUNDUP(Table1[[#This Row],[Cost_Price]]+Table1[[#This Row],[GST_AMT]],0)</f>
        <v>232</v>
      </c>
      <c r="I76" s="3">
        <f>VLOOKUP(Table1[[#This Row],[Product_Category]],HSNTABLE,4,FALSE)</f>
        <v>0.3</v>
      </c>
      <c r="J76" s="5">
        <f>Table1[[#This Row],[Total_CP]]*Table1[[#This Row],[Margin%]]</f>
        <v>69.599999999999994</v>
      </c>
      <c r="K76" s="5">
        <f>Table1[[#This Row],[Margin_amt]]*Table1[[#This Row],[GST%]]</f>
        <v>12.527999999999999</v>
      </c>
      <c r="L76" s="5">
        <f>ROUNDUP(Table1[[#This Row],[Total_CP]]+Table1[[#This Row],[Margin_amt]]+Table1[[#This Row],[Gst_on_Margin_amt]],0)</f>
        <v>315</v>
      </c>
      <c r="M76" t="s">
        <v>183</v>
      </c>
      <c r="N76" t="str">
        <f>VLOOKUP(Table1[[#This Row],[Godown]],MasterSheet!$F$1:$G$5,2,FALSE)</f>
        <v>South</v>
      </c>
      <c r="O76" t="s">
        <v>339</v>
      </c>
      <c r="P76">
        <f>100</f>
        <v>100</v>
      </c>
      <c r="Q76">
        <v>46</v>
      </c>
      <c r="R76" s="5">
        <f>Table1[[#This Row],[Total_CP]]*Table1[[#This Row],[Qty_Purchased]]</f>
        <v>23200</v>
      </c>
      <c r="S76" s="5">
        <f>Table1[[#This Row],[Total_CP]]*Table1[[#This Row],[Qty_Sold]]</f>
        <v>10672</v>
      </c>
      <c r="T76" s="5">
        <f>Table1[[#This Row],[TotalSelling_Price]]*Table1[[#This Row],[Qty_Sold]]</f>
        <v>14490</v>
      </c>
      <c r="U76" s="5">
        <f>Table1[[#This Row],[SP_Qty_Sold]]-Table1[[#This Row],[CP_Qty_Sold]]</f>
        <v>3818</v>
      </c>
      <c r="V76" s="9">
        <f t="shared" si="1"/>
        <v>44932</v>
      </c>
      <c r="W76" s="5" t="s">
        <v>351</v>
      </c>
    </row>
    <row r="77" spans="1:23" x14ac:dyDescent="0.35">
      <c r="A77" t="s">
        <v>263</v>
      </c>
      <c r="B77" t="s">
        <v>26</v>
      </c>
      <c r="C77" t="s">
        <v>103</v>
      </c>
      <c r="D77">
        <f>VLOOKUP(Table1[[#This Row],[Product_Category]],HSNTABLE,2,FALSE)</f>
        <v>3543</v>
      </c>
      <c r="E77">
        <v>668</v>
      </c>
      <c r="F77" s="3">
        <f>VLOOKUP(Table1[[#This Row],[Product_Category]],HSNTABLE,3,FALSE)</f>
        <v>0.18</v>
      </c>
      <c r="G77">
        <f>Table1[[#This Row],[Cost_Price]]*Table1[[#This Row],[GST%]]</f>
        <v>120.24</v>
      </c>
      <c r="H77" s="5">
        <f>ROUNDUP(Table1[[#This Row],[Cost_Price]]+Table1[[#This Row],[GST_AMT]],0)</f>
        <v>789</v>
      </c>
      <c r="I77" s="3">
        <f>VLOOKUP(Table1[[#This Row],[Product_Category]],HSNTABLE,4,FALSE)</f>
        <v>0.3</v>
      </c>
      <c r="J77" s="5">
        <f>Table1[[#This Row],[Total_CP]]*Table1[[#This Row],[Margin%]]</f>
        <v>236.7</v>
      </c>
      <c r="K77" s="5">
        <f>Table1[[#This Row],[Margin_amt]]*Table1[[#This Row],[GST%]]</f>
        <v>42.605999999999995</v>
      </c>
      <c r="L77" s="5">
        <f>ROUNDUP(Table1[[#This Row],[Total_CP]]+Table1[[#This Row],[Margin_amt]]+Table1[[#This Row],[Gst_on_Margin_amt]],0)</f>
        <v>1069</v>
      </c>
      <c r="M77" t="s">
        <v>184</v>
      </c>
      <c r="N77" t="str">
        <f>VLOOKUP(Table1[[#This Row],[Godown]],MasterSheet!$F$1:$G$5,2,FALSE)</f>
        <v>East</v>
      </c>
      <c r="O77" t="s">
        <v>339</v>
      </c>
      <c r="P77">
        <f>100</f>
        <v>100</v>
      </c>
      <c r="Q77">
        <v>38</v>
      </c>
      <c r="R77" s="5">
        <f>Table1[[#This Row],[Total_CP]]*Table1[[#This Row],[Qty_Purchased]]</f>
        <v>78900</v>
      </c>
      <c r="S77" s="5">
        <f>Table1[[#This Row],[Total_CP]]*Table1[[#This Row],[Qty_Sold]]</f>
        <v>29982</v>
      </c>
      <c r="T77" s="5">
        <f>Table1[[#This Row],[TotalSelling_Price]]*Table1[[#This Row],[Qty_Sold]]</f>
        <v>40622</v>
      </c>
      <c r="U77" s="5">
        <f>Table1[[#This Row],[SP_Qty_Sold]]-Table1[[#This Row],[CP_Qty_Sold]]</f>
        <v>10640</v>
      </c>
      <c r="V77" s="9">
        <f t="shared" si="1"/>
        <v>44937</v>
      </c>
      <c r="W77" s="5" t="s">
        <v>351</v>
      </c>
    </row>
    <row r="78" spans="1:23" x14ac:dyDescent="0.35">
      <c r="A78" t="s">
        <v>264</v>
      </c>
      <c r="B78" t="s">
        <v>26</v>
      </c>
      <c r="C78" t="s">
        <v>104</v>
      </c>
      <c r="D78">
        <f>VLOOKUP(Table1[[#This Row],[Product_Category]],HSNTABLE,2,FALSE)</f>
        <v>3543</v>
      </c>
      <c r="E78">
        <v>822</v>
      </c>
      <c r="F78" s="3">
        <f>VLOOKUP(Table1[[#This Row],[Product_Category]],HSNTABLE,3,FALSE)</f>
        <v>0.18</v>
      </c>
      <c r="G78">
        <f>Table1[[#This Row],[Cost_Price]]*Table1[[#This Row],[GST%]]</f>
        <v>147.96</v>
      </c>
      <c r="H78" s="5">
        <f>ROUNDUP(Table1[[#This Row],[Cost_Price]]+Table1[[#This Row],[GST_AMT]],0)</f>
        <v>970</v>
      </c>
      <c r="I78" s="3">
        <f>VLOOKUP(Table1[[#This Row],[Product_Category]],HSNTABLE,4,FALSE)</f>
        <v>0.3</v>
      </c>
      <c r="J78" s="5">
        <f>Table1[[#This Row],[Total_CP]]*Table1[[#This Row],[Margin%]]</f>
        <v>291</v>
      </c>
      <c r="K78" s="5">
        <f>Table1[[#This Row],[Margin_amt]]*Table1[[#This Row],[GST%]]</f>
        <v>52.379999999999995</v>
      </c>
      <c r="L78" s="5">
        <f>ROUNDUP(Table1[[#This Row],[Total_CP]]+Table1[[#This Row],[Margin_amt]]+Table1[[#This Row],[Gst_on_Margin_amt]],0)</f>
        <v>1314</v>
      </c>
      <c r="M78" t="s">
        <v>185</v>
      </c>
      <c r="N78" t="str">
        <f>VLOOKUP(Table1[[#This Row],[Godown]],MasterSheet!$F$1:$G$5,2,FALSE)</f>
        <v>West</v>
      </c>
      <c r="O78" t="s">
        <v>343</v>
      </c>
      <c r="P78">
        <f>100</f>
        <v>100</v>
      </c>
      <c r="Q78">
        <v>36</v>
      </c>
      <c r="R78" s="5">
        <f>Table1[[#This Row],[Total_CP]]*Table1[[#This Row],[Qty_Purchased]]</f>
        <v>97000</v>
      </c>
      <c r="S78" s="5">
        <f>Table1[[#This Row],[Total_CP]]*Table1[[#This Row],[Qty_Sold]]</f>
        <v>34920</v>
      </c>
      <c r="T78" s="5">
        <f>Table1[[#This Row],[TotalSelling_Price]]*Table1[[#This Row],[Qty_Sold]]</f>
        <v>47304</v>
      </c>
      <c r="U78" s="5">
        <f>Table1[[#This Row],[SP_Qty_Sold]]-Table1[[#This Row],[CP_Qty_Sold]]</f>
        <v>12384</v>
      </c>
      <c r="V78" s="9">
        <f t="shared" si="1"/>
        <v>44942</v>
      </c>
      <c r="W78" s="5" t="s">
        <v>352</v>
      </c>
    </row>
    <row r="79" spans="1:23" x14ac:dyDescent="0.35">
      <c r="A79" t="s">
        <v>265</v>
      </c>
      <c r="B79" t="s">
        <v>26</v>
      </c>
      <c r="C79" t="s">
        <v>105</v>
      </c>
      <c r="D79">
        <f>VLOOKUP(Table1[[#This Row],[Product_Category]],HSNTABLE,2,FALSE)</f>
        <v>3543</v>
      </c>
      <c r="E79">
        <v>848</v>
      </c>
      <c r="F79" s="3">
        <f>VLOOKUP(Table1[[#This Row],[Product_Category]],HSNTABLE,3,FALSE)</f>
        <v>0.18</v>
      </c>
      <c r="G79">
        <f>Table1[[#This Row],[Cost_Price]]*Table1[[#This Row],[GST%]]</f>
        <v>152.63999999999999</v>
      </c>
      <c r="H79" s="5">
        <f>ROUNDUP(Table1[[#This Row],[Cost_Price]]+Table1[[#This Row],[GST_AMT]],0)</f>
        <v>1001</v>
      </c>
      <c r="I79" s="3">
        <f>VLOOKUP(Table1[[#This Row],[Product_Category]],HSNTABLE,4,FALSE)</f>
        <v>0.3</v>
      </c>
      <c r="J79" s="5">
        <f>Table1[[#This Row],[Total_CP]]*Table1[[#This Row],[Margin%]]</f>
        <v>300.3</v>
      </c>
      <c r="K79" s="5">
        <f>Table1[[#This Row],[Margin_amt]]*Table1[[#This Row],[GST%]]</f>
        <v>54.054000000000002</v>
      </c>
      <c r="L79" s="5">
        <f>ROUNDUP(Table1[[#This Row],[Total_CP]]+Table1[[#This Row],[Margin_amt]]+Table1[[#This Row],[Gst_on_Margin_amt]],0)</f>
        <v>1356</v>
      </c>
      <c r="M79" t="s">
        <v>185</v>
      </c>
      <c r="N79" t="str">
        <f>VLOOKUP(Table1[[#This Row],[Godown]],MasterSheet!$F$1:$G$5,2,FALSE)</f>
        <v>West</v>
      </c>
      <c r="O79" t="s">
        <v>342</v>
      </c>
      <c r="P79">
        <f>100</f>
        <v>100</v>
      </c>
      <c r="Q79">
        <v>39</v>
      </c>
      <c r="R79" s="5">
        <f>Table1[[#This Row],[Total_CP]]*Table1[[#This Row],[Qty_Purchased]]</f>
        <v>100100</v>
      </c>
      <c r="S79" s="5">
        <f>Table1[[#This Row],[Total_CP]]*Table1[[#This Row],[Qty_Sold]]</f>
        <v>39039</v>
      </c>
      <c r="T79" s="5">
        <f>Table1[[#This Row],[TotalSelling_Price]]*Table1[[#This Row],[Qty_Sold]]</f>
        <v>52884</v>
      </c>
      <c r="U79" s="5">
        <f>Table1[[#This Row],[SP_Qty_Sold]]-Table1[[#This Row],[CP_Qty_Sold]]</f>
        <v>13845</v>
      </c>
      <c r="V79" s="9">
        <f t="shared" si="1"/>
        <v>44947</v>
      </c>
      <c r="W79" s="5" t="s">
        <v>351</v>
      </c>
    </row>
    <row r="80" spans="1:23" x14ac:dyDescent="0.35">
      <c r="A80" t="s">
        <v>266</v>
      </c>
      <c r="B80" t="s">
        <v>26</v>
      </c>
      <c r="C80" t="s">
        <v>106</v>
      </c>
      <c r="D80">
        <f>VLOOKUP(Table1[[#This Row],[Product_Category]],HSNTABLE,2,FALSE)</f>
        <v>3543</v>
      </c>
      <c r="E80">
        <v>340</v>
      </c>
      <c r="F80" s="3">
        <f>VLOOKUP(Table1[[#This Row],[Product_Category]],HSNTABLE,3,FALSE)</f>
        <v>0.18</v>
      </c>
      <c r="G80">
        <f>Table1[[#This Row],[Cost_Price]]*Table1[[#This Row],[GST%]]</f>
        <v>61.199999999999996</v>
      </c>
      <c r="H80" s="5">
        <f>ROUNDUP(Table1[[#This Row],[Cost_Price]]+Table1[[#This Row],[GST_AMT]],0)</f>
        <v>402</v>
      </c>
      <c r="I80" s="3">
        <f>VLOOKUP(Table1[[#This Row],[Product_Category]],HSNTABLE,4,FALSE)</f>
        <v>0.3</v>
      </c>
      <c r="J80" s="5">
        <f>Table1[[#This Row],[Total_CP]]*Table1[[#This Row],[Margin%]]</f>
        <v>120.6</v>
      </c>
      <c r="K80" s="5">
        <f>Table1[[#This Row],[Margin_amt]]*Table1[[#This Row],[GST%]]</f>
        <v>21.707999999999998</v>
      </c>
      <c r="L80" s="5">
        <f>ROUNDUP(Table1[[#This Row],[Total_CP]]+Table1[[#This Row],[Margin_amt]]+Table1[[#This Row],[Gst_on_Margin_amt]],0)</f>
        <v>545</v>
      </c>
      <c r="M80" t="s">
        <v>184</v>
      </c>
      <c r="N80" t="str">
        <f>VLOOKUP(Table1[[#This Row],[Godown]],MasterSheet!$F$1:$G$5,2,FALSE)</f>
        <v>East</v>
      </c>
      <c r="O80" t="s">
        <v>342</v>
      </c>
      <c r="P80">
        <f>100</f>
        <v>100</v>
      </c>
      <c r="Q80">
        <v>31</v>
      </c>
      <c r="R80" s="5">
        <f>Table1[[#This Row],[Total_CP]]*Table1[[#This Row],[Qty_Purchased]]</f>
        <v>40200</v>
      </c>
      <c r="S80" s="5">
        <f>Table1[[#This Row],[Total_CP]]*Table1[[#This Row],[Qty_Sold]]</f>
        <v>12462</v>
      </c>
      <c r="T80" s="5">
        <f>Table1[[#This Row],[TotalSelling_Price]]*Table1[[#This Row],[Qty_Sold]]</f>
        <v>16895</v>
      </c>
      <c r="U80" s="5">
        <f>Table1[[#This Row],[SP_Qty_Sold]]-Table1[[#This Row],[CP_Qty_Sold]]</f>
        <v>4433</v>
      </c>
      <c r="V80" s="9">
        <f t="shared" si="1"/>
        <v>44952</v>
      </c>
      <c r="W80" s="5" t="s">
        <v>352</v>
      </c>
    </row>
    <row r="81" spans="1:23" x14ac:dyDescent="0.35">
      <c r="A81" t="s">
        <v>267</v>
      </c>
      <c r="B81" t="s">
        <v>26</v>
      </c>
      <c r="C81" t="s">
        <v>107</v>
      </c>
      <c r="D81">
        <f>VLOOKUP(Table1[[#This Row],[Product_Category]],HSNTABLE,2,FALSE)</f>
        <v>3543</v>
      </c>
      <c r="E81">
        <v>274</v>
      </c>
      <c r="F81" s="3">
        <f>VLOOKUP(Table1[[#This Row],[Product_Category]],HSNTABLE,3,FALSE)</f>
        <v>0.18</v>
      </c>
      <c r="G81">
        <f>Table1[[#This Row],[Cost_Price]]*Table1[[#This Row],[GST%]]</f>
        <v>49.32</v>
      </c>
      <c r="H81" s="5">
        <f>ROUNDUP(Table1[[#This Row],[Cost_Price]]+Table1[[#This Row],[GST_AMT]],0)</f>
        <v>324</v>
      </c>
      <c r="I81" s="3">
        <f>VLOOKUP(Table1[[#This Row],[Product_Category]],HSNTABLE,4,FALSE)</f>
        <v>0.3</v>
      </c>
      <c r="J81" s="5">
        <f>Table1[[#This Row],[Total_CP]]*Table1[[#This Row],[Margin%]]</f>
        <v>97.2</v>
      </c>
      <c r="K81" s="5">
        <f>Table1[[#This Row],[Margin_amt]]*Table1[[#This Row],[GST%]]</f>
        <v>17.495999999999999</v>
      </c>
      <c r="L81" s="5">
        <f>ROUNDUP(Table1[[#This Row],[Total_CP]]+Table1[[#This Row],[Margin_amt]]+Table1[[#This Row],[Gst_on_Margin_amt]],0)</f>
        <v>439</v>
      </c>
      <c r="M81" t="s">
        <v>184</v>
      </c>
      <c r="N81" t="str">
        <f>VLOOKUP(Table1[[#This Row],[Godown]],MasterSheet!$F$1:$G$5,2,FALSE)</f>
        <v>East</v>
      </c>
      <c r="O81" t="s">
        <v>342</v>
      </c>
      <c r="P81">
        <f>100</f>
        <v>100</v>
      </c>
      <c r="Q81">
        <v>26</v>
      </c>
      <c r="R81" s="5">
        <f>Table1[[#This Row],[Total_CP]]*Table1[[#This Row],[Qty_Purchased]]</f>
        <v>32400</v>
      </c>
      <c r="S81" s="5">
        <f>Table1[[#This Row],[Total_CP]]*Table1[[#This Row],[Qty_Sold]]</f>
        <v>8424</v>
      </c>
      <c r="T81" s="5">
        <f>Table1[[#This Row],[TotalSelling_Price]]*Table1[[#This Row],[Qty_Sold]]</f>
        <v>11414</v>
      </c>
      <c r="U81" s="5">
        <f>Table1[[#This Row],[SP_Qty_Sold]]-Table1[[#This Row],[CP_Qty_Sold]]</f>
        <v>2990</v>
      </c>
      <c r="V81" s="9">
        <f t="shared" si="1"/>
        <v>44957</v>
      </c>
      <c r="W81" s="5" t="s">
        <v>351</v>
      </c>
    </row>
    <row r="82" spans="1:23" x14ac:dyDescent="0.35">
      <c r="A82" t="s">
        <v>268</v>
      </c>
      <c r="B82" t="s">
        <v>26</v>
      </c>
      <c r="C82" t="s">
        <v>108</v>
      </c>
      <c r="D82">
        <f>VLOOKUP(Table1[[#This Row],[Product_Category]],HSNTABLE,2,FALSE)</f>
        <v>3543</v>
      </c>
      <c r="E82">
        <v>792</v>
      </c>
      <c r="F82" s="3">
        <f>VLOOKUP(Table1[[#This Row],[Product_Category]],HSNTABLE,3,FALSE)</f>
        <v>0.18</v>
      </c>
      <c r="G82">
        <f>Table1[[#This Row],[Cost_Price]]*Table1[[#This Row],[GST%]]</f>
        <v>142.56</v>
      </c>
      <c r="H82" s="5">
        <f>ROUNDUP(Table1[[#This Row],[Cost_Price]]+Table1[[#This Row],[GST_AMT]],0)</f>
        <v>935</v>
      </c>
      <c r="I82" s="3">
        <f>VLOOKUP(Table1[[#This Row],[Product_Category]],HSNTABLE,4,FALSE)</f>
        <v>0.3</v>
      </c>
      <c r="J82" s="5">
        <f>Table1[[#This Row],[Total_CP]]*Table1[[#This Row],[Margin%]]</f>
        <v>280.5</v>
      </c>
      <c r="K82" s="5">
        <f>Table1[[#This Row],[Margin_amt]]*Table1[[#This Row],[GST%]]</f>
        <v>50.489999999999995</v>
      </c>
      <c r="L82" s="5">
        <f>ROUNDUP(Table1[[#This Row],[Total_CP]]+Table1[[#This Row],[Margin_amt]]+Table1[[#This Row],[Gst_on_Margin_amt]],0)</f>
        <v>1266</v>
      </c>
      <c r="M82" t="s">
        <v>184</v>
      </c>
      <c r="N82" t="str">
        <f>VLOOKUP(Table1[[#This Row],[Godown]],MasterSheet!$F$1:$G$5,2,FALSE)</f>
        <v>East</v>
      </c>
      <c r="O82" t="s">
        <v>341</v>
      </c>
      <c r="P82">
        <f>100</f>
        <v>100</v>
      </c>
      <c r="Q82">
        <v>38</v>
      </c>
      <c r="R82" s="5">
        <f>Table1[[#This Row],[Total_CP]]*Table1[[#This Row],[Qty_Purchased]]</f>
        <v>93500</v>
      </c>
      <c r="S82" s="5">
        <f>Table1[[#This Row],[Total_CP]]*Table1[[#This Row],[Qty_Sold]]</f>
        <v>35530</v>
      </c>
      <c r="T82" s="5">
        <f>Table1[[#This Row],[TotalSelling_Price]]*Table1[[#This Row],[Qty_Sold]]</f>
        <v>48108</v>
      </c>
      <c r="U82" s="5">
        <f>Table1[[#This Row],[SP_Qty_Sold]]-Table1[[#This Row],[CP_Qty_Sold]]</f>
        <v>12578</v>
      </c>
      <c r="V82" s="9">
        <f t="shared" si="1"/>
        <v>44962</v>
      </c>
      <c r="W82" s="5" t="s">
        <v>352</v>
      </c>
    </row>
    <row r="83" spans="1:23" x14ac:dyDescent="0.35">
      <c r="A83" t="s">
        <v>269</v>
      </c>
      <c r="B83" t="s">
        <v>26</v>
      </c>
      <c r="C83" t="s">
        <v>109</v>
      </c>
      <c r="D83">
        <f>VLOOKUP(Table1[[#This Row],[Product_Category]],HSNTABLE,2,FALSE)</f>
        <v>3543</v>
      </c>
      <c r="E83">
        <v>758</v>
      </c>
      <c r="F83" s="3">
        <f>VLOOKUP(Table1[[#This Row],[Product_Category]],HSNTABLE,3,FALSE)</f>
        <v>0.18</v>
      </c>
      <c r="G83">
        <f>Table1[[#This Row],[Cost_Price]]*Table1[[#This Row],[GST%]]</f>
        <v>136.44</v>
      </c>
      <c r="H83" s="5">
        <f>ROUNDUP(Table1[[#This Row],[Cost_Price]]+Table1[[#This Row],[GST_AMT]],0)</f>
        <v>895</v>
      </c>
      <c r="I83" s="3">
        <f>VLOOKUP(Table1[[#This Row],[Product_Category]],HSNTABLE,4,FALSE)</f>
        <v>0.3</v>
      </c>
      <c r="J83" s="5">
        <f>Table1[[#This Row],[Total_CP]]*Table1[[#This Row],[Margin%]]</f>
        <v>268.5</v>
      </c>
      <c r="K83" s="5">
        <f>Table1[[#This Row],[Margin_amt]]*Table1[[#This Row],[GST%]]</f>
        <v>48.33</v>
      </c>
      <c r="L83" s="5">
        <f>ROUNDUP(Table1[[#This Row],[Total_CP]]+Table1[[#This Row],[Margin_amt]]+Table1[[#This Row],[Gst_on_Margin_amt]],0)</f>
        <v>1212</v>
      </c>
      <c r="M83" t="s">
        <v>184</v>
      </c>
      <c r="N83" t="str">
        <f>VLOOKUP(Table1[[#This Row],[Godown]],MasterSheet!$F$1:$G$5,2,FALSE)</f>
        <v>East</v>
      </c>
      <c r="O83" t="s">
        <v>341</v>
      </c>
      <c r="P83">
        <f>100</f>
        <v>100</v>
      </c>
      <c r="Q83">
        <v>44</v>
      </c>
      <c r="R83" s="5">
        <f>Table1[[#This Row],[Total_CP]]*Table1[[#This Row],[Qty_Purchased]]</f>
        <v>89500</v>
      </c>
      <c r="S83" s="5">
        <f>Table1[[#This Row],[Total_CP]]*Table1[[#This Row],[Qty_Sold]]</f>
        <v>39380</v>
      </c>
      <c r="T83" s="5">
        <f>Table1[[#This Row],[TotalSelling_Price]]*Table1[[#This Row],[Qty_Sold]]</f>
        <v>53328</v>
      </c>
      <c r="U83" s="5">
        <f>Table1[[#This Row],[SP_Qty_Sold]]-Table1[[#This Row],[CP_Qty_Sold]]</f>
        <v>13948</v>
      </c>
      <c r="V83" s="9">
        <f t="shared" si="1"/>
        <v>44967</v>
      </c>
      <c r="W83" s="5" t="s">
        <v>352</v>
      </c>
    </row>
    <row r="84" spans="1:23" x14ac:dyDescent="0.35">
      <c r="A84" t="s">
        <v>270</v>
      </c>
      <c r="B84" t="s">
        <v>26</v>
      </c>
      <c r="C84" t="s">
        <v>110</v>
      </c>
      <c r="D84">
        <f>VLOOKUP(Table1[[#This Row],[Product_Category]],HSNTABLE,2,FALSE)</f>
        <v>3543</v>
      </c>
      <c r="E84">
        <v>443</v>
      </c>
      <c r="F84" s="3">
        <f>VLOOKUP(Table1[[#This Row],[Product_Category]],HSNTABLE,3,FALSE)</f>
        <v>0.18</v>
      </c>
      <c r="G84">
        <f>Table1[[#This Row],[Cost_Price]]*Table1[[#This Row],[GST%]]</f>
        <v>79.739999999999995</v>
      </c>
      <c r="H84" s="5">
        <f>ROUNDUP(Table1[[#This Row],[Cost_Price]]+Table1[[#This Row],[GST_AMT]],0)</f>
        <v>523</v>
      </c>
      <c r="I84" s="3">
        <f>VLOOKUP(Table1[[#This Row],[Product_Category]],HSNTABLE,4,FALSE)</f>
        <v>0.3</v>
      </c>
      <c r="J84" s="5">
        <f>Table1[[#This Row],[Total_CP]]*Table1[[#This Row],[Margin%]]</f>
        <v>156.9</v>
      </c>
      <c r="K84" s="5">
        <f>Table1[[#This Row],[Margin_amt]]*Table1[[#This Row],[GST%]]</f>
        <v>28.242000000000001</v>
      </c>
      <c r="L84" s="5">
        <f>ROUNDUP(Table1[[#This Row],[Total_CP]]+Table1[[#This Row],[Margin_amt]]+Table1[[#This Row],[Gst_on_Margin_amt]],0)</f>
        <v>709</v>
      </c>
      <c r="M84" t="s">
        <v>184</v>
      </c>
      <c r="N84" t="str">
        <f>VLOOKUP(Table1[[#This Row],[Godown]],MasterSheet!$F$1:$G$5,2,FALSE)</f>
        <v>East</v>
      </c>
      <c r="O84" t="s">
        <v>340</v>
      </c>
      <c r="P84">
        <f>100</f>
        <v>100</v>
      </c>
      <c r="Q84">
        <v>28</v>
      </c>
      <c r="R84" s="5">
        <f>Table1[[#This Row],[Total_CP]]*Table1[[#This Row],[Qty_Purchased]]</f>
        <v>52300</v>
      </c>
      <c r="S84" s="5">
        <f>Table1[[#This Row],[Total_CP]]*Table1[[#This Row],[Qty_Sold]]</f>
        <v>14644</v>
      </c>
      <c r="T84" s="5">
        <f>Table1[[#This Row],[TotalSelling_Price]]*Table1[[#This Row],[Qty_Sold]]</f>
        <v>19852</v>
      </c>
      <c r="U84" s="5">
        <f>Table1[[#This Row],[SP_Qty_Sold]]-Table1[[#This Row],[CP_Qty_Sold]]</f>
        <v>5208</v>
      </c>
      <c r="V84" s="9">
        <f t="shared" si="1"/>
        <v>44972</v>
      </c>
      <c r="W84" s="5" t="s">
        <v>352</v>
      </c>
    </row>
    <row r="85" spans="1:23" x14ac:dyDescent="0.35">
      <c r="A85" t="s">
        <v>271</v>
      </c>
      <c r="B85" t="s">
        <v>26</v>
      </c>
      <c r="C85" t="s">
        <v>111</v>
      </c>
      <c r="D85">
        <f>VLOOKUP(Table1[[#This Row],[Product_Category]],HSNTABLE,2,FALSE)</f>
        <v>3543</v>
      </c>
      <c r="E85">
        <v>135</v>
      </c>
      <c r="F85" s="3">
        <f>VLOOKUP(Table1[[#This Row],[Product_Category]],HSNTABLE,3,FALSE)</f>
        <v>0.18</v>
      </c>
      <c r="G85">
        <f>Table1[[#This Row],[Cost_Price]]*Table1[[#This Row],[GST%]]</f>
        <v>24.3</v>
      </c>
      <c r="H85" s="5">
        <f>ROUNDUP(Table1[[#This Row],[Cost_Price]]+Table1[[#This Row],[GST_AMT]],0)</f>
        <v>160</v>
      </c>
      <c r="I85" s="3">
        <f>VLOOKUP(Table1[[#This Row],[Product_Category]],HSNTABLE,4,FALSE)</f>
        <v>0.3</v>
      </c>
      <c r="J85" s="5">
        <f>Table1[[#This Row],[Total_CP]]*Table1[[#This Row],[Margin%]]</f>
        <v>48</v>
      </c>
      <c r="K85" s="5">
        <f>Table1[[#This Row],[Margin_amt]]*Table1[[#This Row],[GST%]]</f>
        <v>8.64</v>
      </c>
      <c r="L85" s="5">
        <f>ROUNDUP(Table1[[#This Row],[Total_CP]]+Table1[[#This Row],[Margin_amt]]+Table1[[#This Row],[Gst_on_Margin_amt]],0)</f>
        <v>217</v>
      </c>
      <c r="M85" t="s">
        <v>183</v>
      </c>
      <c r="N85" t="str">
        <f>VLOOKUP(Table1[[#This Row],[Godown]],MasterSheet!$F$1:$G$5,2,FALSE)</f>
        <v>South</v>
      </c>
      <c r="O85" t="s">
        <v>342</v>
      </c>
      <c r="P85">
        <f>100</f>
        <v>100</v>
      </c>
      <c r="Q85">
        <v>35</v>
      </c>
      <c r="R85" s="5">
        <f>Table1[[#This Row],[Total_CP]]*Table1[[#This Row],[Qty_Purchased]]</f>
        <v>16000</v>
      </c>
      <c r="S85" s="5">
        <f>Table1[[#This Row],[Total_CP]]*Table1[[#This Row],[Qty_Sold]]</f>
        <v>5600</v>
      </c>
      <c r="T85" s="5">
        <f>Table1[[#This Row],[TotalSelling_Price]]*Table1[[#This Row],[Qty_Sold]]</f>
        <v>7595</v>
      </c>
      <c r="U85" s="5">
        <f>Table1[[#This Row],[SP_Qty_Sold]]-Table1[[#This Row],[CP_Qty_Sold]]</f>
        <v>1995</v>
      </c>
      <c r="V85" s="9">
        <f t="shared" si="1"/>
        <v>44977</v>
      </c>
      <c r="W85" s="5" t="s">
        <v>352</v>
      </c>
    </row>
    <row r="86" spans="1:23" x14ac:dyDescent="0.35">
      <c r="A86" t="s">
        <v>272</v>
      </c>
      <c r="B86" t="s">
        <v>26</v>
      </c>
      <c r="C86" t="s">
        <v>112</v>
      </c>
      <c r="D86">
        <f>VLOOKUP(Table1[[#This Row],[Product_Category]],HSNTABLE,2,FALSE)</f>
        <v>3543</v>
      </c>
      <c r="E86">
        <v>708</v>
      </c>
      <c r="F86" s="3">
        <f>VLOOKUP(Table1[[#This Row],[Product_Category]],HSNTABLE,3,FALSE)</f>
        <v>0.18</v>
      </c>
      <c r="G86">
        <f>Table1[[#This Row],[Cost_Price]]*Table1[[#This Row],[GST%]]</f>
        <v>127.44</v>
      </c>
      <c r="H86" s="5">
        <f>ROUNDUP(Table1[[#This Row],[Cost_Price]]+Table1[[#This Row],[GST_AMT]],0)</f>
        <v>836</v>
      </c>
      <c r="I86" s="3">
        <f>VLOOKUP(Table1[[#This Row],[Product_Category]],HSNTABLE,4,FALSE)</f>
        <v>0.3</v>
      </c>
      <c r="J86" s="5">
        <f>Table1[[#This Row],[Total_CP]]*Table1[[#This Row],[Margin%]]</f>
        <v>250.79999999999998</v>
      </c>
      <c r="K86" s="5">
        <f>Table1[[#This Row],[Margin_amt]]*Table1[[#This Row],[GST%]]</f>
        <v>45.143999999999998</v>
      </c>
      <c r="L86" s="5">
        <f>ROUNDUP(Table1[[#This Row],[Total_CP]]+Table1[[#This Row],[Margin_amt]]+Table1[[#This Row],[Gst_on_Margin_amt]],0)</f>
        <v>1132</v>
      </c>
      <c r="M86" t="s">
        <v>185</v>
      </c>
      <c r="N86" t="str">
        <f>VLOOKUP(Table1[[#This Row],[Godown]],MasterSheet!$F$1:$G$5,2,FALSE)</f>
        <v>West</v>
      </c>
      <c r="O86" t="s">
        <v>340</v>
      </c>
      <c r="P86">
        <f>100</f>
        <v>100</v>
      </c>
      <c r="Q86">
        <v>27</v>
      </c>
      <c r="R86" s="5">
        <f>Table1[[#This Row],[Total_CP]]*Table1[[#This Row],[Qty_Purchased]]</f>
        <v>83600</v>
      </c>
      <c r="S86" s="5">
        <f>Table1[[#This Row],[Total_CP]]*Table1[[#This Row],[Qty_Sold]]</f>
        <v>22572</v>
      </c>
      <c r="T86" s="5">
        <f>Table1[[#This Row],[TotalSelling_Price]]*Table1[[#This Row],[Qty_Sold]]</f>
        <v>30564</v>
      </c>
      <c r="U86" s="5">
        <f>Table1[[#This Row],[SP_Qty_Sold]]-Table1[[#This Row],[CP_Qty_Sold]]</f>
        <v>7992</v>
      </c>
      <c r="V86" s="9">
        <f t="shared" si="1"/>
        <v>44982</v>
      </c>
      <c r="W86" s="5" t="s">
        <v>352</v>
      </c>
    </row>
    <row r="87" spans="1:23" x14ac:dyDescent="0.35">
      <c r="A87" t="s">
        <v>273</v>
      </c>
      <c r="B87" t="s">
        <v>26</v>
      </c>
      <c r="C87" t="s">
        <v>113</v>
      </c>
      <c r="D87">
        <f>VLOOKUP(Table1[[#This Row],[Product_Category]],HSNTABLE,2,FALSE)</f>
        <v>3543</v>
      </c>
      <c r="E87">
        <v>381</v>
      </c>
      <c r="F87" s="3">
        <f>VLOOKUP(Table1[[#This Row],[Product_Category]],HSNTABLE,3,FALSE)</f>
        <v>0.18</v>
      </c>
      <c r="G87">
        <f>Table1[[#This Row],[Cost_Price]]*Table1[[#This Row],[GST%]]</f>
        <v>68.58</v>
      </c>
      <c r="H87" s="5">
        <f>ROUNDUP(Table1[[#This Row],[Cost_Price]]+Table1[[#This Row],[GST_AMT]],0)</f>
        <v>450</v>
      </c>
      <c r="I87" s="3">
        <f>VLOOKUP(Table1[[#This Row],[Product_Category]],HSNTABLE,4,FALSE)</f>
        <v>0.3</v>
      </c>
      <c r="J87" s="5">
        <f>Table1[[#This Row],[Total_CP]]*Table1[[#This Row],[Margin%]]</f>
        <v>135</v>
      </c>
      <c r="K87" s="5">
        <f>Table1[[#This Row],[Margin_amt]]*Table1[[#This Row],[GST%]]</f>
        <v>24.3</v>
      </c>
      <c r="L87" s="5">
        <f>ROUNDUP(Table1[[#This Row],[Total_CP]]+Table1[[#This Row],[Margin_amt]]+Table1[[#This Row],[Gst_on_Margin_amt]],0)</f>
        <v>610</v>
      </c>
      <c r="M87" t="s">
        <v>183</v>
      </c>
      <c r="N87" t="str">
        <f>VLOOKUP(Table1[[#This Row],[Godown]],MasterSheet!$F$1:$G$5,2,FALSE)</f>
        <v>South</v>
      </c>
      <c r="O87" t="s">
        <v>342</v>
      </c>
      <c r="P87">
        <f>100</f>
        <v>100</v>
      </c>
      <c r="Q87">
        <v>42</v>
      </c>
      <c r="R87" s="5">
        <f>Table1[[#This Row],[Total_CP]]*Table1[[#This Row],[Qty_Purchased]]</f>
        <v>45000</v>
      </c>
      <c r="S87" s="5">
        <f>Table1[[#This Row],[Total_CP]]*Table1[[#This Row],[Qty_Sold]]</f>
        <v>18900</v>
      </c>
      <c r="T87" s="5">
        <f>Table1[[#This Row],[TotalSelling_Price]]*Table1[[#This Row],[Qty_Sold]]</f>
        <v>25620</v>
      </c>
      <c r="U87" s="5">
        <f>Table1[[#This Row],[SP_Qty_Sold]]-Table1[[#This Row],[CP_Qty_Sold]]</f>
        <v>6720</v>
      </c>
      <c r="V87" s="9">
        <f t="shared" si="1"/>
        <v>44987</v>
      </c>
      <c r="W87" s="5" t="s">
        <v>352</v>
      </c>
    </row>
    <row r="88" spans="1:23" x14ac:dyDescent="0.35">
      <c r="A88" t="s">
        <v>274</v>
      </c>
      <c r="B88" t="s">
        <v>26</v>
      </c>
      <c r="C88" t="s">
        <v>114</v>
      </c>
      <c r="D88">
        <f>VLOOKUP(Table1[[#This Row],[Product_Category]],HSNTABLE,2,FALSE)</f>
        <v>3543</v>
      </c>
      <c r="E88">
        <v>949</v>
      </c>
      <c r="F88" s="3">
        <f>VLOOKUP(Table1[[#This Row],[Product_Category]],HSNTABLE,3,FALSE)</f>
        <v>0.18</v>
      </c>
      <c r="G88">
        <f>Table1[[#This Row],[Cost_Price]]*Table1[[#This Row],[GST%]]</f>
        <v>170.82</v>
      </c>
      <c r="H88" s="5">
        <f>ROUNDUP(Table1[[#This Row],[Cost_Price]]+Table1[[#This Row],[GST_AMT]],0)</f>
        <v>1120</v>
      </c>
      <c r="I88" s="3">
        <f>VLOOKUP(Table1[[#This Row],[Product_Category]],HSNTABLE,4,FALSE)</f>
        <v>0.3</v>
      </c>
      <c r="J88" s="5">
        <f>Table1[[#This Row],[Total_CP]]*Table1[[#This Row],[Margin%]]</f>
        <v>336</v>
      </c>
      <c r="K88" s="5">
        <f>Table1[[#This Row],[Margin_amt]]*Table1[[#This Row],[GST%]]</f>
        <v>60.48</v>
      </c>
      <c r="L88" s="5">
        <f>ROUNDUP(Table1[[#This Row],[Total_CP]]+Table1[[#This Row],[Margin_amt]]+Table1[[#This Row],[Gst_on_Margin_amt]],0)</f>
        <v>1517</v>
      </c>
      <c r="M88" t="s">
        <v>185</v>
      </c>
      <c r="N88" t="str">
        <f>VLOOKUP(Table1[[#This Row],[Godown]],MasterSheet!$F$1:$G$5,2,FALSE)</f>
        <v>West</v>
      </c>
      <c r="O88" t="s">
        <v>342</v>
      </c>
      <c r="P88">
        <f>100</f>
        <v>100</v>
      </c>
      <c r="Q88">
        <v>47</v>
      </c>
      <c r="R88" s="5">
        <f>Table1[[#This Row],[Total_CP]]*Table1[[#This Row],[Qty_Purchased]]</f>
        <v>112000</v>
      </c>
      <c r="S88" s="5">
        <f>Table1[[#This Row],[Total_CP]]*Table1[[#This Row],[Qty_Sold]]</f>
        <v>52640</v>
      </c>
      <c r="T88" s="5">
        <f>Table1[[#This Row],[TotalSelling_Price]]*Table1[[#This Row],[Qty_Sold]]</f>
        <v>71299</v>
      </c>
      <c r="U88" s="5">
        <f>Table1[[#This Row],[SP_Qty_Sold]]-Table1[[#This Row],[CP_Qty_Sold]]</f>
        <v>18659</v>
      </c>
      <c r="V88" s="9">
        <f t="shared" si="1"/>
        <v>44992</v>
      </c>
      <c r="W88" s="5" t="s">
        <v>352</v>
      </c>
    </row>
    <row r="89" spans="1:23" x14ac:dyDescent="0.35">
      <c r="A89" t="s">
        <v>275</v>
      </c>
      <c r="B89" t="s">
        <v>26</v>
      </c>
      <c r="C89" t="s">
        <v>115</v>
      </c>
      <c r="D89">
        <f>VLOOKUP(Table1[[#This Row],[Product_Category]],HSNTABLE,2,FALSE)</f>
        <v>3543</v>
      </c>
      <c r="E89">
        <v>274</v>
      </c>
      <c r="F89" s="3">
        <f>VLOOKUP(Table1[[#This Row],[Product_Category]],HSNTABLE,3,FALSE)</f>
        <v>0.18</v>
      </c>
      <c r="G89">
        <f>Table1[[#This Row],[Cost_Price]]*Table1[[#This Row],[GST%]]</f>
        <v>49.32</v>
      </c>
      <c r="H89" s="5">
        <f>ROUNDUP(Table1[[#This Row],[Cost_Price]]+Table1[[#This Row],[GST_AMT]],0)</f>
        <v>324</v>
      </c>
      <c r="I89" s="3">
        <f>VLOOKUP(Table1[[#This Row],[Product_Category]],HSNTABLE,4,FALSE)</f>
        <v>0.3</v>
      </c>
      <c r="J89" s="5">
        <f>Table1[[#This Row],[Total_CP]]*Table1[[#This Row],[Margin%]]</f>
        <v>97.2</v>
      </c>
      <c r="K89" s="5">
        <f>Table1[[#This Row],[Margin_amt]]*Table1[[#This Row],[GST%]]</f>
        <v>17.495999999999999</v>
      </c>
      <c r="L89" s="5">
        <f>ROUNDUP(Table1[[#This Row],[Total_CP]]+Table1[[#This Row],[Margin_amt]]+Table1[[#This Row],[Gst_on_Margin_amt]],0)</f>
        <v>439</v>
      </c>
      <c r="M89" t="s">
        <v>185</v>
      </c>
      <c r="N89" t="str">
        <f>VLOOKUP(Table1[[#This Row],[Godown]],MasterSheet!$F$1:$G$5,2,FALSE)</f>
        <v>West</v>
      </c>
      <c r="O89" t="s">
        <v>344</v>
      </c>
      <c r="P89">
        <f>100</f>
        <v>100</v>
      </c>
      <c r="Q89">
        <v>31</v>
      </c>
      <c r="R89" s="5">
        <f>Table1[[#This Row],[Total_CP]]*Table1[[#This Row],[Qty_Purchased]]</f>
        <v>32400</v>
      </c>
      <c r="S89" s="5">
        <f>Table1[[#This Row],[Total_CP]]*Table1[[#This Row],[Qty_Sold]]</f>
        <v>10044</v>
      </c>
      <c r="T89" s="5">
        <f>Table1[[#This Row],[TotalSelling_Price]]*Table1[[#This Row],[Qty_Sold]]</f>
        <v>13609</v>
      </c>
      <c r="U89" s="5">
        <f>Table1[[#This Row],[SP_Qty_Sold]]-Table1[[#This Row],[CP_Qty_Sold]]</f>
        <v>3565</v>
      </c>
      <c r="V89" s="9">
        <f t="shared" si="1"/>
        <v>44997</v>
      </c>
      <c r="W89" s="5" t="s">
        <v>351</v>
      </c>
    </row>
    <row r="90" spans="1:23" x14ac:dyDescent="0.35">
      <c r="A90" t="s">
        <v>276</v>
      </c>
      <c r="B90" t="s">
        <v>26</v>
      </c>
      <c r="C90" t="s">
        <v>116</v>
      </c>
      <c r="D90">
        <f>VLOOKUP(Table1[[#This Row],[Product_Category]],HSNTABLE,2,FALSE)</f>
        <v>3543</v>
      </c>
      <c r="E90">
        <v>264</v>
      </c>
      <c r="F90" s="3">
        <f>VLOOKUP(Table1[[#This Row],[Product_Category]],HSNTABLE,3,FALSE)</f>
        <v>0.18</v>
      </c>
      <c r="G90">
        <f>Table1[[#This Row],[Cost_Price]]*Table1[[#This Row],[GST%]]</f>
        <v>47.519999999999996</v>
      </c>
      <c r="H90" s="5">
        <f>ROUNDUP(Table1[[#This Row],[Cost_Price]]+Table1[[#This Row],[GST_AMT]],0)</f>
        <v>312</v>
      </c>
      <c r="I90" s="3">
        <f>VLOOKUP(Table1[[#This Row],[Product_Category]],HSNTABLE,4,FALSE)</f>
        <v>0.3</v>
      </c>
      <c r="J90" s="5">
        <f>Table1[[#This Row],[Total_CP]]*Table1[[#This Row],[Margin%]]</f>
        <v>93.6</v>
      </c>
      <c r="K90" s="5">
        <f>Table1[[#This Row],[Margin_amt]]*Table1[[#This Row],[GST%]]</f>
        <v>16.847999999999999</v>
      </c>
      <c r="L90" s="5">
        <f>ROUNDUP(Table1[[#This Row],[Total_CP]]+Table1[[#This Row],[Margin_amt]]+Table1[[#This Row],[Gst_on_Margin_amt]],0)</f>
        <v>423</v>
      </c>
      <c r="M90" t="s">
        <v>185</v>
      </c>
      <c r="N90" t="str">
        <f>VLOOKUP(Table1[[#This Row],[Godown]],MasterSheet!$F$1:$G$5,2,FALSE)</f>
        <v>West</v>
      </c>
      <c r="O90" t="s">
        <v>342</v>
      </c>
      <c r="P90">
        <f>100</f>
        <v>100</v>
      </c>
      <c r="Q90">
        <v>46</v>
      </c>
      <c r="R90" s="5">
        <f>Table1[[#This Row],[Total_CP]]*Table1[[#This Row],[Qty_Purchased]]</f>
        <v>31200</v>
      </c>
      <c r="S90" s="5">
        <f>Table1[[#This Row],[Total_CP]]*Table1[[#This Row],[Qty_Sold]]</f>
        <v>14352</v>
      </c>
      <c r="T90" s="5">
        <f>Table1[[#This Row],[TotalSelling_Price]]*Table1[[#This Row],[Qty_Sold]]</f>
        <v>19458</v>
      </c>
      <c r="U90" s="5">
        <f>Table1[[#This Row],[SP_Qty_Sold]]-Table1[[#This Row],[CP_Qty_Sold]]</f>
        <v>5106</v>
      </c>
      <c r="V90" s="9">
        <f t="shared" si="1"/>
        <v>45002</v>
      </c>
      <c r="W90" s="5" t="s">
        <v>351</v>
      </c>
    </row>
    <row r="91" spans="1:23" x14ac:dyDescent="0.35">
      <c r="A91" t="s">
        <v>277</v>
      </c>
      <c r="B91" t="s">
        <v>26</v>
      </c>
      <c r="C91" t="s">
        <v>117</v>
      </c>
      <c r="D91">
        <f>VLOOKUP(Table1[[#This Row],[Product_Category]],HSNTABLE,2,FALSE)</f>
        <v>3543</v>
      </c>
      <c r="E91">
        <v>992</v>
      </c>
      <c r="F91" s="3">
        <f>VLOOKUP(Table1[[#This Row],[Product_Category]],HSNTABLE,3,FALSE)</f>
        <v>0.18</v>
      </c>
      <c r="G91">
        <f>Table1[[#This Row],[Cost_Price]]*Table1[[#This Row],[GST%]]</f>
        <v>178.56</v>
      </c>
      <c r="H91" s="5">
        <f>ROUNDUP(Table1[[#This Row],[Cost_Price]]+Table1[[#This Row],[GST_AMT]],0)</f>
        <v>1171</v>
      </c>
      <c r="I91" s="3">
        <f>VLOOKUP(Table1[[#This Row],[Product_Category]],HSNTABLE,4,FALSE)</f>
        <v>0.3</v>
      </c>
      <c r="J91" s="5">
        <f>Table1[[#This Row],[Total_CP]]*Table1[[#This Row],[Margin%]]</f>
        <v>351.3</v>
      </c>
      <c r="K91" s="5">
        <f>Table1[[#This Row],[Margin_amt]]*Table1[[#This Row],[GST%]]</f>
        <v>63.234000000000002</v>
      </c>
      <c r="L91" s="5">
        <f>ROUNDUP(Table1[[#This Row],[Total_CP]]+Table1[[#This Row],[Margin_amt]]+Table1[[#This Row],[Gst_on_Margin_amt]],0)</f>
        <v>1586</v>
      </c>
      <c r="M91" t="s">
        <v>184</v>
      </c>
      <c r="N91" t="str">
        <f>VLOOKUP(Table1[[#This Row],[Godown]],MasterSheet!$F$1:$G$5,2,FALSE)</f>
        <v>East</v>
      </c>
      <c r="O91" t="s">
        <v>339</v>
      </c>
      <c r="P91">
        <f>100</f>
        <v>100</v>
      </c>
      <c r="Q91">
        <v>41</v>
      </c>
      <c r="R91" s="5">
        <f>Table1[[#This Row],[Total_CP]]*Table1[[#This Row],[Qty_Purchased]]</f>
        <v>117100</v>
      </c>
      <c r="S91" s="5">
        <f>Table1[[#This Row],[Total_CP]]*Table1[[#This Row],[Qty_Sold]]</f>
        <v>48011</v>
      </c>
      <c r="T91" s="5">
        <f>Table1[[#This Row],[TotalSelling_Price]]*Table1[[#This Row],[Qty_Sold]]</f>
        <v>65026</v>
      </c>
      <c r="U91" s="5">
        <f>Table1[[#This Row],[SP_Qty_Sold]]-Table1[[#This Row],[CP_Qty_Sold]]</f>
        <v>17015</v>
      </c>
      <c r="V91" s="9">
        <f t="shared" si="1"/>
        <v>45007</v>
      </c>
      <c r="W91" s="5" t="s">
        <v>351</v>
      </c>
    </row>
    <row r="92" spans="1:23" x14ac:dyDescent="0.35">
      <c r="A92" t="s">
        <v>278</v>
      </c>
      <c r="B92" t="s">
        <v>26</v>
      </c>
      <c r="C92" t="s">
        <v>118</v>
      </c>
      <c r="D92">
        <f>VLOOKUP(Table1[[#This Row],[Product_Category]],HSNTABLE,2,FALSE)</f>
        <v>3543</v>
      </c>
      <c r="E92">
        <v>761</v>
      </c>
      <c r="F92" s="3">
        <f>VLOOKUP(Table1[[#This Row],[Product_Category]],HSNTABLE,3,FALSE)</f>
        <v>0.18</v>
      </c>
      <c r="G92">
        <f>Table1[[#This Row],[Cost_Price]]*Table1[[#This Row],[GST%]]</f>
        <v>136.97999999999999</v>
      </c>
      <c r="H92" s="5">
        <f>ROUNDUP(Table1[[#This Row],[Cost_Price]]+Table1[[#This Row],[GST_AMT]],0)</f>
        <v>898</v>
      </c>
      <c r="I92" s="3">
        <f>VLOOKUP(Table1[[#This Row],[Product_Category]],HSNTABLE,4,FALSE)</f>
        <v>0.3</v>
      </c>
      <c r="J92" s="5">
        <f>Table1[[#This Row],[Total_CP]]*Table1[[#This Row],[Margin%]]</f>
        <v>269.39999999999998</v>
      </c>
      <c r="K92" s="5">
        <f>Table1[[#This Row],[Margin_amt]]*Table1[[#This Row],[GST%]]</f>
        <v>48.491999999999997</v>
      </c>
      <c r="L92" s="5">
        <f>ROUNDUP(Table1[[#This Row],[Total_CP]]+Table1[[#This Row],[Margin_amt]]+Table1[[#This Row],[Gst_on_Margin_amt]],0)</f>
        <v>1216</v>
      </c>
      <c r="M92" t="s">
        <v>183</v>
      </c>
      <c r="N92" t="str">
        <f>VLOOKUP(Table1[[#This Row],[Godown]],MasterSheet!$F$1:$G$5,2,FALSE)</f>
        <v>South</v>
      </c>
      <c r="O92" t="s">
        <v>342</v>
      </c>
      <c r="P92">
        <f>100</f>
        <v>100</v>
      </c>
      <c r="Q92">
        <v>38</v>
      </c>
      <c r="R92" s="5">
        <f>Table1[[#This Row],[Total_CP]]*Table1[[#This Row],[Qty_Purchased]]</f>
        <v>89800</v>
      </c>
      <c r="S92" s="5">
        <f>Table1[[#This Row],[Total_CP]]*Table1[[#This Row],[Qty_Sold]]</f>
        <v>34124</v>
      </c>
      <c r="T92" s="5">
        <f>Table1[[#This Row],[TotalSelling_Price]]*Table1[[#This Row],[Qty_Sold]]</f>
        <v>46208</v>
      </c>
      <c r="U92" s="5">
        <f>Table1[[#This Row],[SP_Qty_Sold]]-Table1[[#This Row],[CP_Qty_Sold]]</f>
        <v>12084</v>
      </c>
      <c r="V92" s="9">
        <f t="shared" si="1"/>
        <v>45012</v>
      </c>
      <c r="W92" s="5" t="s">
        <v>351</v>
      </c>
    </row>
    <row r="93" spans="1:23" x14ac:dyDescent="0.35">
      <c r="A93" t="s">
        <v>279</v>
      </c>
      <c r="B93" t="s">
        <v>26</v>
      </c>
      <c r="C93" t="s">
        <v>119</v>
      </c>
      <c r="D93">
        <f>VLOOKUP(Table1[[#This Row],[Product_Category]],HSNTABLE,2,FALSE)</f>
        <v>3543</v>
      </c>
      <c r="E93">
        <v>281</v>
      </c>
      <c r="F93" s="3">
        <f>VLOOKUP(Table1[[#This Row],[Product_Category]],HSNTABLE,3,FALSE)</f>
        <v>0.18</v>
      </c>
      <c r="G93">
        <f>Table1[[#This Row],[Cost_Price]]*Table1[[#This Row],[GST%]]</f>
        <v>50.58</v>
      </c>
      <c r="H93" s="5">
        <f>ROUNDUP(Table1[[#This Row],[Cost_Price]]+Table1[[#This Row],[GST_AMT]],0)</f>
        <v>332</v>
      </c>
      <c r="I93" s="3">
        <f>VLOOKUP(Table1[[#This Row],[Product_Category]],HSNTABLE,4,FALSE)</f>
        <v>0.3</v>
      </c>
      <c r="J93" s="5">
        <f>Table1[[#This Row],[Total_CP]]*Table1[[#This Row],[Margin%]]</f>
        <v>99.6</v>
      </c>
      <c r="K93" s="5">
        <f>Table1[[#This Row],[Margin_amt]]*Table1[[#This Row],[GST%]]</f>
        <v>17.927999999999997</v>
      </c>
      <c r="L93" s="5">
        <f>ROUNDUP(Table1[[#This Row],[Total_CP]]+Table1[[#This Row],[Margin_amt]]+Table1[[#This Row],[Gst_on_Margin_amt]],0)</f>
        <v>450</v>
      </c>
      <c r="M93" t="s">
        <v>185</v>
      </c>
      <c r="N93" t="str">
        <f>VLOOKUP(Table1[[#This Row],[Godown]],MasterSheet!$F$1:$G$5,2,FALSE)</f>
        <v>West</v>
      </c>
      <c r="O93" t="s">
        <v>342</v>
      </c>
      <c r="P93">
        <f>100</f>
        <v>100</v>
      </c>
      <c r="Q93">
        <v>50</v>
      </c>
      <c r="R93" s="5">
        <f>Table1[[#This Row],[Total_CP]]*Table1[[#This Row],[Qty_Purchased]]</f>
        <v>33200</v>
      </c>
      <c r="S93" s="5">
        <f>Table1[[#This Row],[Total_CP]]*Table1[[#This Row],[Qty_Sold]]</f>
        <v>16600</v>
      </c>
      <c r="T93" s="5">
        <f>Table1[[#This Row],[TotalSelling_Price]]*Table1[[#This Row],[Qty_Sold]]</f>
        <v>22500</v>
      </c>
      <c r="U93" s="5">
        <f>Table1[[#This Row],[SP_Qty_Sold]]-Table1[[#This Row],[CP_Qty_Sold]]</f>
        <v>5900</v>
      </c>
      <c r="V93" s="9">
        <f t="shared" si="1"/>
        <v>45017</v>
      </c>
      <c r="W93" s="5" t="s">
        <v>352</v>
      </c>
    </row>
    <row r="94" spans="1:23" x14ac:dyDescent="0.35">
      <c r="A94" t="s">
        <v>280</v>
      </c>
      <c r="B94" t="s">
        <v>26</v>
      </c>
      <c r="C94" t="s">
        <v>120</v>
      </c>
      <c r="D94">
        <f>VLOOKUP(Table1[[#This Row],[Product_Category]],HSNTABLE,2,FALSE)</f>
        <v>3543</v>
      </c>
      <c r="E94">
        <v>354</v>
      </c>
      <c r="F94" s="3">
        <f>VLOOKUP(Table1[[#This Row],[Product_Category]],HSNTABLE,3,FALSE)</f>
        <v>0.18</v>
      </c>
      <c r="G94">
        <f>Table1[[#This Row],[Cost_Price]]*Table1[[#This Row],[GST%]]</f>
        <v>63.72</v>
      </c>
      <c r="H94" s="5">
        <f>ROUNDUP(Table1[[#This Row],[Cost_Price]]+Table1[[#This Row],[GST_AMT]],0)</f>
        <v>418</v>
      </c>
      <c r="I94" s="3">
        <f>VLOOKUP(Table1[[#This Row],[Product_Category]],HSNTABLE,4,FALSE)</f>
        <v>0.3</v>
      </c>
      <c r="J94" s="5">
        <f>Table1[[#This Row],[Total_CP]]*Table1[[#This Row],[Margin%]]</f>
        <v>125.39999999999999</v>
      </c>
      <c r="K94" s="5">
        <f>Table1[[#This Row],[Margin_amt]]*Table1[[#This Row],[GST%]]</f>
        <v>22.571999999999999</v>
      </c>
      <c r="L94" s="5">
        <f>ROUNDUP(Table1[[#This Row],[Total_CP]]+Table1[[#This Row],[Margin_amt]]+Table1[[#This Row],[Gst_on_Margin_amt]],0)</f>
        <v>566</v>
      </c>
      <c r="M94" t="s">
        <v>184</v>
      </c>
      <c r="N94" t="str">
        <f>VLOOKUP(Table1[[#This Row],[Godown]],MasterSheet!$F$1:$G$5,2,FALSE)</f>
        <v>East</v>
      </c>
      <c r="O94" t="s">
        <v>343</v>
      </c>
      <c r="P94">
        <f>100</f>
        <v>100</v>
      </c>
      <c r="Q94">
        <v>48</v>
      </c>
      <c r="R94" s="5">
        <f>Table1[[#This Row],[Total_CP]]*Table1[[#This Row],[Qty_Purchased]]</f>
        <v>41800</v>
      </c>
      <c r="S94" s="5">
        <f>Table1[[#This Row],[Total_CP]]*Table1[[#This Row],[Qty_Sold]]</f>
        <v>20064</v>
      </c>
      <c r="T94" s="5">
        <f>Table1[[#This Row],[TotalSelling_Price]]*Table1[[#This Row],[Qty_Sold]]</f>
        <v>27168</v>
      </c>
      <c r="U94" s="5">
        <f>Table1[[#This Row],[SP_Qty_Sold]]-Table1[[#This Row],[CP_Qty_Sold]]</f>
        <v>7104</v>
      </c>
      <c r="V94" s="9">
        <f t="shared" si="1"/>
        <v>45022</v>
      </c>
      <c r="W94" s="5" t="s">
        <v>352</v>
      </c>
    </row>
    <row r="95" spans="1:23" x14ac:dyDescent="0.35">
      <c r="A95" t="s">
        <v>281</v>
      </c>
      <c r="B95" t="s">
        <v>26</v>
      </c>
      <c r="C95" t="s">
        <v>121</v>
      </c>
      <c r="D95">
        <f>VLOOKUP(Table1[[#This Row],[Product_Category]],HSNTABLE,2,FALSE)</f>
        <v>3543</v>
      </c>
      <c r="E95">
        <v>992</v>
      </c>
      <c r="F95" s="3">
        <f>VLOOKUP(Table1[[#This Row],[Product_Category]],HSNTABLE,3,FALSE)</f>
        <v>0.18</v>
      </c>
      <c r="G95">
        <f>Table1[[#This Row],[Cost_Price]]*Table1[[#This Row],[GST%]]</f>
        <v>178.56</v>
      </c>
      <c r="H95" s="5">
        <f>ROUNDUP(Table1[[#This Row],[Cost_Price]]+Table1[[#This Row],[GST_AMT]],0)</f>
        <v>1171</v>
      </c>
      <c r="I95" s="3">
        <f>VLOOKUP(Table1[[#This Row],[Product_Category]],HSNTABLE,4,FALSE)</f>
        <v>0.3</v>
      </c>
      <c r="J95" s="5">
        <f>Table1[[#This Row],[Total_CP]]*Table1[[#This Row],[Margin%]]</f>
        <v>351.3</v>
      </c>
      <c r="K95" s="5">
        <f>Table1[[#This Row],[Margin_amt]]*Table1[[#This Row],[GST%]]</f>
        <v>63.234000000000002</v>
      </c>
      <c r="L95" s="5">
        <f>ROUNDUP(Table1[[#This Row],[Total_CP]]+Table1[[#This Row],[Margin_amt]]+Table1[[#This Row],[Gst_on_Margin_amt]],0)</f>
        <v>1586</v>
      </c>
      <c r="M95" t="s">
        <v>185</v>
      </c>
      <c r="N95" t="str">
        <f>VLOOKUP(Table1[[#This Row],[Godown]],MasterSheet!$F$1:$G$5,2,FALSE)</f>
        <v>West</v>
      </c>
      <c r="O95" t="s">
        <v>339</v>
      </c>
      <c r="P95">
        <f>100</f>
        <v>100</v>
      </c>
      <c r="Q95">
        <v>37</v>
      </c>
      <c r="R95" s="5">
        <f>Table1[[#This Row],[Total_CP]]*Table1[[#This Row],[Qty_Purchased]]</f>
        <v>117100</v>
      </c>
      <c r="S95" s="5">
        <f>Table1[[#This Row],[Total_CP]]*Table1[[#This Row],[Qty_Sold]]</f>
        <v>43327</v>
      </c>
      <c r="T95" s="5">
        <f>Table1[[#This Row],[TotalSelling_Price]]*Table1[[#This Row],[Qty_Sold]]</f>
        <v>58682</v>
      </c>
      <c r="U95" s="5">
        <f>Table1[[#This Row],[SP_Qty_Sold]]-Table1[[#This Row],[CP_Qty_Sold]]</f>
        <v>15355</v>
      </c>
      <c r="V95" s="9">
        <f t="shared" si="1"/>
        <v>45027</v>
      </c>
      <c r="W95" s="5" t="s">
        <v>351</v>
      </c>
    </row>
    <row r="96" spans="1:23" x14ac:dyDescent="0.35">
      <c r="A96" t="s">
        <v>282</v>
      </c>
      <c r="B96" t="s">
        <v>26</v>
      </c>
      <c r="C96" t="s">
        <v>122</v>
      </c>
      <c r="D96">
        <f>VLOOKUP(Table1[[#This Row],[Product_Category]],HSNTABLE,2,FALSE)</f>
        <v>3543</v>
      </c>
      <c r="E96">
        <v>349</v>
      </c>
      <c r="F96" s="3">
        <f>VLOOKUP(Table1[[#This Row],[Product_Category]],HSNTABLE,3,FALSE)</f>
        <v>0.18</v>
      </c>
      <c r="G96">
        <f>Table1[[#This Row],[Cost_Price]]*Table1[[#This Row],[GST%]]</f>
        <v>62.82</v>
      </c>
      <c r="H96" s="5">
        <f>ROUNDUP(Table1[[#This Row],[Cost_Price]]+Table1[[#This Row],[GST_AMT]],0)</f>
        <v>412</v>
      </c>
      <c r="I96" s="3">
        <f>VLOOKUP(Table1[[#This Row],[Product_Category]],HSNTABLE,4,FALSE)</f>
        <v>0.3</v>
      </c>
      <c r="J96" s="5">
        <f>Table1[[#This Row],[Total_CP]]*Table1[[#This Row],[Margin%]]</f>
        <v>123.6</v>
      </c>
      <c r="K96" s="5">
        <f>Table1[[#This Row],[Margin_amt]]*Table1[[#This Row],[GST%]]</f>
        <v>22.247999999999998</v>
      </c>
      <c r="L96" s="5">
        <f>ROUNDUP(Table1[[#This Row],[Total_CP]]+Table1[[#This Row],[Margin_amt]]+Table1[[#This Row],[Gst_on_Margin_amt]],0)</f>
        <v>558</v>
      </c>
      <c r="M96" t="s">
        <v>184</v>
      </c>
      <c r="N96" t="str">
        <f>VLOOKUP(Table1[[#This Row],[Godown]],MasterSheet!$F$1:$G$5,2,FALSE)</f>
        <v>East</v>
      </c>
      <c r="O96" t="s">
        <v>343</v>
      </c>
      <c r="P96">
        <f>100</f>
        <v>100</v>
      </c>
      <c r="Q96">
        <v>32</v>
      </c>
      <c r="R96" s="5">
        <f>Table1[[#This Row],[Total_CP]]*Table1[[#This Row],[Qty_Purchased]]</f>
        <v>41200</v>
      </c>
      <c r="S96" s="5">
        <f>Table1[[#This Row],[Total_CP]]*Table1[[#This Row],[Qty_Sold]]</f>
        <v>13184</v>
      </c>
      <c r="T96" s="5">
        <f>Table1[[#This Row],[TotalSelling_Price]]*Table1[[#This Row],[Qty_Sold]]</f>
        <v>17856</v>
      </c>
      <c r="U96" s="5">
        <f>Table1[[#This Row],[SP_Qty_Sold]]-Table1[[#This Row],[CP_Qty_Sold]]</f>
        <v>4672</v>
      </c>
      <c r="V96" s="9">
        <f t="shared" si="1"/>
        <v>45032</v>
      </c>
      <c r="W96" s="5" t="s">
        <v>352</v>
      </c>
    </row>
    <row r="97" spans="1:23" x14ac:dyDescent="0.35">
      <c r="A97" t="s">
        <v>283</v>
      </c>
      <c r="B97" t="s">
        <v>26</v>
      </c>
      <c r="C97" t="s">
        <v>123</v>
      </c>
      <c r="D97">
        <f>VLOOKUP(Table1[[#This Row],[Product_Category]],HSNTABLE,2,FALSE)</f>
        <v>3543</v>
      </c>
      <c r="E97">
        <v>168</v>
      </c>
      <c r="F97" s="3">
        <f>VLOOKUP(Table1[[#This Row],[Product_Category]],HSNTABLE,3,FALSE)</f>
        <v>0.18</v>
      </c>
      <c r="G97">
        <f>Table1[[#This Row],[Cost_Price]]*Table1[[#This Row],[GST%]]</f>
        <v>30.24</v>
      </c>
      <c r="H97" s="5">
        <f>ROUNDUP(Table1[[#This Row],[Cost_Price]]+Table1[[#This Row],[GST_AMT]],0)</f>
        <v>199</v>
      </c>
      <c r="I97" s="3">
        <f>VLOOKUP(Table1[[#This Row],[Product_Category]],HSNTABLE,4,FALSE)</f>
        <v>0.3</v>
      </c>
      <c r="J97" s="5">
        <f>Table1[[#This Row],[Total_CP]]*Table1[[#This Row],[Margin%]]</f>
        <v>59.699999999999996</v>
      </c>
      <c r="K97" s="5">
        <f>Table1[[#This Row],[Margin_amt]]*Table1[[#This Row],[GST%]]</f>
        <v>10.745999999999999</v>
      </c>
      <c r="L97" s="5">
        <f>ROUNDUP(Table1[[#This Row],[Total_CP]]+Table1[[#This Row],[Margin_amt]]+Table1[[#This Row],[Gst_on_Margin_amt]],0)</f>
        <v>270</v>
      </c>
      <c r="M97" t="s">
        <v>183</v>
      </c>
      <c r="N97" t="str">
        <f>VLOOKUP(Table1[[#This Row],[Godown]],MasterSheet!$F$1:$G$5,2,FALSE)</f>
        <v>South</v>
      </c>
      <c r="O97" t="s">
        <v>341</v>
      </c>
      <c r="P97">
        <f>100</f>
        <v>100</v>
      </c>
      <c r="Q97">
        <v>30</v>
      </c>
      <c r="R97" s="5">
        <f>Table1[[#This Row],[Total_CP]]*Table1[[#This Row],[Qty_Purchased]]</f>
        <v>19900</v>
      </c>
      <c r="S97" s="5">
        <f>Table1[[#This Row],[Total_CP]]*Table1[[#This Row],[Qty_Sold]]</f>
        <v>5970</v>
      </c>
      <c r="T97" s="5">
        <f>Table1[[#This Row],[TotalSelling_Price]]*Table1[[#This Row],[Qty_Sold]]</f>
        <v>8100</v>
      </c>
      <c r="U97" s="5">
        <f>Table1[[#This Row],[SP_Qty_Sold]]-Table1[[#This Row],[CP_Qty_Sold]]</f>
        <v>2130</v>
      </c>
      <c r="V97" s="9">
        <f t="shared" si="1"/>
        <v>45037</v>
      </c>
      <c r="W97" s="5" t="s">
        <v>352</v>
      </c>
    </row>
    <row r="98" spans="1:23" x14ac:dyDescent="0.35">
      <c r="A98" t="s">
        <v>284</v>
      </c>
      <c r="B98" t="s">
        <v>26</v>
      </c>
      <c r="C98" t="s">
        <v>124</v>
      </c>
      <c r="D98">
        <f>VLOOKUP(Table1[[#This Row],[Product_Category]],HSNTABLE,2,FALSE)</f>
        <v>3543</v>
      </c>
      <c r="E98">
        <v>895</v>
      </c>
      <c r="F98" s="3">
        <f>VLOOKUP(Table1[[#This Row],[Product_Category]],HSNTABLE,3,FALSE)</f>
        <v>0.18</v>
      </c>
      <c r="G98">
        <f>Table1[[#This Row],[Cost_Price]]*Table1[[#This Row],[GST%]]</f>
        <v>161.1</v>
      </c>
      <c r="H98" s="5">
        <f>ROUNDUP(Table1[[#This Row],[Cost_Price]]+Table1[[#This Row],[GST_AMT]],0)</f>
        <v>1057</v>
      </c>
      <c r="I98" s="3">
        <f>VLOOKUP(Table1[[#This Row],[Product_Category]],HSNTABLE,4,FALSE)</f>
        <v>0.3</v>
      </c>
      <c r="J98" s="5">
        <f>Table1[[#This Row],[Total_CP]]*Table1[[#This Row],[Margin%]]</f>
        <v>317.09999999999997</v>
      </c>
      <c r="K98" s="5">
        <f>Table1[[#This Row],[Margin_amt]]*Table1[[#This Row],[GST%]]</f>
        <v>57.077999999999989</v>
      </c>
      <c r="L98" s="5">
        <f>ROUNDUP(Table1[[#This Row],[Total_CP]]+Table1[[#This Row],[Margin_amt]]+Table1[[#This Row],[Gst_on_Margin_amt]],0)</f>
        <v>1432</v>
      </c>
      <c r="M98" t="s">
        <v>183</v>
      </c>
      <c r="N98" t="str">
        <f>VLOOKUP(Table1[[#This Row],[Godown]],MasterSheet!$F$1:$G$5,2,FALSE)</f>
        <v>South</v>
      </c>
      <c r="O98" t="s">
        <v>342</v>
      </c>
      <c r="P98">
        <f>100</f>
        <v>100</v>
      </c>
      <c r="Q98">
        <v>33</v>
      </c>
      <c r="R98" s="5">
        <f>Table1[[#This Row],[Total_CP]]*Table1[[#This Row],[Qty_Purchased]]</f>
        <v>105700</v>
      </c>
      <c r="S98" s="5">
        <f>Table1[[#This Row],[Total_CP]]*Table1[[#This Row],[Qty_Sold]]</f>
        <v>34881</v>
      </c>
      <c r="T98" s="5">
        <f>Table1[[#This Row],[TotalSelling_Price]]*Table1[[#This Row],[Qty_Sold]]</f>
        <v>47256</v>
      </c>
      <c r="U98" s="5">
        <f>Table1[[#This Row],[SP_Qty_Sold]]-Table1[[#This Row],[CP_Qty_Sold]]</f>
        <v>12375</v>
      </c>
      <c r="V98" s="9">
        <f t="shared" si="1"/>
        <v>45042</v>
      </c>
      <c r="W98" s="5" t="s">
        <v>352</v>
      </c>
    </row>
    <row r="99" spans="1:23" x14ac:dyDescent="0.35">
      <c r="A99" t="s">
        <v>285</v>
      </c>
      <c r="B99" t="s">
        <v>26</v>
      </c>
      <c r="C99" t="s">
        <v>125</v>
      </c>
      <c r="D99">
        <f>VLOOKUP(Table1[[#This Row],[Product_Category]],HSNTABLE,2,FALSE)</f>
        <v>3543</v>
      </c>
      <c r="E99">
        <v>761</v>
      </c>
      <c r="F99" s="3">
        <f>VLOOKUP(Table1[[#This Row],[Product_Category]],HSNTABLE,3,FALSE)</f>
        <v>0.18</v>
      </c>
      <c r="G99">
        <f>Table1[[#This Row],[Cost_Price]]*Table1[[#This Row],[GST%]]</f>
        <v>136.97999999999999</v>
      </c>
      <c r="H99" s="5">
        <f>ROUNDUP(Table1[[#This Row],[Cost_Price]]+Table1[[#This Row],[GST_AMT]],0)</f>
        <v>898</v>
      </c>
      <c r="I99" s="3">
        <f>VLOOKUP(Table1[[#This Row],[Product_Category]],HSNTABLE,4,FALSE)</f>
        <v>0.3</v>
      </c>
      <c r="J99" s="5">
        <f>Table1[[#This Row],[Total_CP]]*Table1[[#This Row],[Margin%]]</f>
        <v>269.39999999999998</v>
      </c>
      <c r="K99" s="5">
        <f>Table1[[#This Row],[Margin_amt]]*Table1[[#This Row],[GST%]]</f>
        <v>48.491999999999997</v>
      </c>
      <c r="L99" s="5">
        <f>ROUNDUP(Table1[[#This Row],[Total_CP]]+Table1[[#This Row],[Margin_amt]]+Table1[[#This Row],[Gst_on_Margin_amt]],0)</f>
        <v>1216</v>
      </c>
      <c r="M99" t="s">
        <v>183</v>
      </c>
      <c r="N99" t="str">
        <f>VLOOKUP(Table1[[#This Row],[Godown]],MasterSheet!$F$1:$G$5,2,FALSE)</f>
        <v>South</v>
      </c>
      <c r="O99" t="s">
        <v>339</v>
      </c>
      <c r="P99">
        <f>100</f>
        <v>100</v>
      </c>
      <c r="Q99">
        <v>39</v>
      </c>
      <c r="R99" s="5">
        <f>Table1[[#This Row],[Total_CP]]*Table1[[#This Row],[Qty_Purchased]]</f>
        <v>89800</v>
      </c>
      <c r="S99" s="5">
        <f>Table1[[#This Row],[Total_CP]]*Table1[[#This Row],[Qty_Sold]]</f>
        <v>35022</v>
      </c>
      <c r="T99" s="5">
        <f>Table1[[#This Row],[TotalSelling_Price]]*Table1[[#This Row],[Qty_Sold]]</f>
        <v>47424</v>
      </c>
      <c r="U99" s="5">
        <f>Table1[[#This Row],[SP_Qty_Sold]]-Table1[[#This Row],[CP_Qty_Sold]]</f>
        <v>12402</v>
      </c>
      <c r="V99" s="9">
        <f t="shared" si="1"/>
        <v>45047</v>
      </c>
      <c r="W99" s="5" t="s">
        <v>351</v>
      </c>
    </row>
    <row r="100" spans="1:23" x14ac:dyDescent="0.35">
      <c r="A100" t="s">
        <v>286</v>
      </c>
      <c r="B100" t="s">
        <v>26</v>
      </c>
      <c r="C100" t="s">
        <v>126</v>
      </c>
      <c r="D100">
        <f>VLOOKUP(Table1[[#This Row],[Product_Category]],HSNTABLE,2,FALSE)</f>
        <v>3543</v>
      </c>
      <c r="E100">
        <v>814</v>
      </c>
      <c r="F100" s="3">
        <f>VLOOKUP(Table1[[#This Row],[Product_Category]],HSNTABLE,3,FALSE)</f>
        <v>0.18</v>
      </c>
      <c r="G100">
        <f>Table1[[#This Row],[Cost_Price]]*Table1[[#This Row],[GST%]]</f>
        <v>146.51999999999998</v>
      </c>
      <c r="H100" s="5">
        <f>ROUNDUP(Table1[[#This Row],[Cost_Price]]+Table1[[#This Row],[GST_AMT]],0)</f>
        <v>961</v>
      </c>
      <c r="I100" s="3">
        <f>VLOOKUP(Table1[[#This Row],[Product_Category]],HSNTABLE,4,FALSE)</f>
        <v>0.3</v>
      </c>
      <c r="J100" s="5">
        <f>Table1[[#This Row],[Total_CP]]*Table1[[#This Row],[Margin%]]</f>
        <v>288.3</v>
      </c>
      <c r="K100" s="5">
        <f>Table1[[#This Row],[Margin_amt]]*Table1[[#This Row],[GST%]]</f>
        <v>51.893999999999998</v>
      </c>
      <c r="L100" s="5">
        <f>ROUNDUP(Table1[[#This Row],[Total_CP]]+Table1[[#This Row],[Margin_amt]]+Table1[[#This Row],[Gst_on_Margin_amt]],0)</f>
        <v>1302</v>
      </c>
      <c r="M100" t="s">
        <v>184</v>
      </c>
      <c r="N100" t="str">
        <f>VLOOKUP(Table1[[#This Row],[Godown]],MasterSheet!$F$1:$G$5,2,FALSE)</f>
        <v>East</v>
      </c>
      <c r="O100" t="s">
        <v>341</v>
      </c>
      <c r="P100">
        <f>100</f>
        <v>100</v>
      </c>
      <c r="Q100">
        <v>27</v>
      </c>
      <c r="R100" s="5">
        <f>Table1[[#This Row],[Total_CP]]*Table1[[#This Row],[Qty_Purchased]]</f>
        <v>96100</v>
      </c>
      <c r="S100" s="5">
        <f>Table1[[#This Row],[Total_CP]]*Table1[[#This Row],[Qty_Sold]]</f>
        <v>25947</v>
      </c>
      <c r="T100" s="5">
        <f>Table1[[#This Row],[TotalSelling_Price]]*Table1[[#This Row],[Qty_Sold]]</f>
        <v>35154</v>
      </c>
      <c r="U100" s="5">
        <f>Table1[[#This Row],[SP_Qty_Sold]]-Table1[[#This Row],[CP_Qty_Sold]]</f>
        <v>9207</v>
      </c>
      <c r="V100" s="9">
        <f t="shared" si="1"/>
        <v>45052</v>
      </c>
      <c r="W100" s="5" t="s">
        <v>351</v>
      </c>
    </row>
    <row r="101" spans="1:23" x14ac:dyDescent="0.35">
      <c r="A101" t="s">
        <v>287</v>
      </c>
      <c r="B101" t="s">
        <v>26</v>
      </c>
      <c r="C101" t="s">
        <v>127</v>
      </c>
      <c r="D101">
        <f>VLOOKUP(Table1[[#This Row],[Product_Category]],HSNTABLE,2,FALSE)</f>
        <v>3543</v>
      </c>
      <c r="E101">
        <v>474</v>
      </c>
      <c r="F101" s="3">
        <f>VLOOKUP(Table1[[#This Row],[Product_Category]],HSNTABLE,3,FALSE)</f>
        <v>0.18</v>
      </c>
      <c r="G101">
        <f>Table1[[#This Row],[Cost_Price]]*Table1[[#This Row],[GST%]]</f>
        <v>85.32</v>
      </c>
      <c r="H101" s="5">
        <f>ROUNDUP(Table1[[#This Row],[Cost_Price]]+Table1[[#This Row],[GST_AMT]],0)</f>
        <v>560</v>
      </c>
      <c r="I101" s="3">
        <f>VLOOKUP(Table1[[#This Row],[Product_Category]],HSNTABLE,4,FALSE)</f>
        <v>0.3</v>
      </c>
      <c r="J101" s="5">
        <f>Table1[[#This Row],[Total_CP]]*Table1[[#This Row],[Margin%]]</f>
        <v>168</v>
      </c>
      <c r="K101" s="5">
        <f>Table1[[#This Row],[Margin_amt]]*Table1[[#This Row],[GST%]]</f>
        <v>30.24</v>
      </c>
      <c r="L101" s="5">
        <f>ROUNDUP(Table1[[#This Row],[Total_CP]]+Table1[[#This Row],[Margin_amt]]+Table1[[#This Row],[Gst_on_Margin_amt]],0)</f>
        <v>759</v>
      </c>
      <c r="M101" t="s">
        <v>185</v>
      </c>
      <c r="N101" t="str">
        <f>VLOOKUP(Table1[[#This Row],[Godown]],MasterSheet!$F$1:$G$5,2,FALSE)</f>
        <v>West</v>
      </c>
      <c r="O101" t="s">
        <v>340</v>
      </c>
      <c r="P101">
        <f>100</f>
        <v>100</v>
      </c>
      <c r="Q101">
        <v>26</v>
      </c>
      <c r="R101" s="5">
        <f>Table1[[#This Row],[Total_CP]]*Table1[[#This Row],[Qty_Purchased]]</f>
        <v>56000</v>
      </c>
      <c r="S101" s="5">
        <f>Table1[[#This Row],[Total_CP]]*Table1[[#This Row],[Qty_Sold]]</f>
        <v>14560</v>
      </c>
      <c r="T101" s="5">
        <f>Table1[[#This Row],[TotalSelling_Price]]*Table1[[#This Row],[Qty_Sold]]</f>
        <v>19734</v>
      </c>
      <c r="U101" s="5">
        <f>Table1[[#This Row],[SP_Qty_Sold]]-Table1[[#This Row],[CP_Qty_Sold]]</f>
        <v>5174</v>
      </c>
      <c r="V101" s="9">
        <f t="shared" si="1"/>
        <v>45057</v>
      </c>
      <c r="W101" s="5" t="s">
        <v>352</v>
      </c>
    </row>
    <row r="102" spans="1:23" x14ac:dyDescent="0.35">
      <c r="A102" t="s">
        <v>288</v>
      </c>
      <c r="B102" t="s">
        <v>26</v>
      </c>
      <c r="C102" t="s">
        <v>128</v>
      </c>
      <c r="D102">
        <f>VLOOKUP(Table1[[#This Row],[Product_Category]],HSNTABLE,2,FALSE)</f>
        <v>3543</v>
      </c>
      <c r="E102">
        <v>512</v>
      </c>
      <c r="F102" s="3">
        <f>VLOOKUP(Table1[[#This Row],[Product_Category]],HSNTABLE,3,FALSE)</f>
        <v>0.18</v>
      </c>
      <c r="G102">
        <f>Table1[[#This Row],[Cost_Price]]*Table1[[#This Row],[GST%]]</f>
        <v>92.16</v>
      </c>
      <c r="H102" s="5">
        <f>ROUNDUP(Table1[[#This Row],[Cost_Price]]+Table1[[#This Row],[GST_AMT]],0)</f>
        <v>605</v>
      </c>
      <c r="I102" s="3">
        <f>VLOOKUP(Table1[[#This Row],[Product_Category]],HSNTABLE,4,FALSE)</f>
        <v>0.3</v>
      </c>
      <c r="J102" s="5">
        <f>Table1[[#This Row],[Total_CP]]*Table1[[#This Row],[Margin%]]</f>
        <v>181.5</v>
      </c>
      <c r="K102" s="5">
        <f>Table1[[#This Row],[Margin_amt]]*Table1[[#This Row],[GST%]]</f>
        <v>32.67</v>
      </c>
      <c r="L102" s="5">
        <f>ROUNDUP(Table1[[#This Row],[Total_CP]]+Table1[[#This Row],[Margin_amt]]+Table1[[#This Row],[Gst_on_Margin_amt]],0)</f>
        <v>820</v>
      </c>
      <c r="M102" t="s">
        <v>183</v>
      </c>
      <c r="N102" t="str">
        <f>VLOOKUP(Table1[[#This Row],[Godown]],MasterSheet!$F$1:$G$5,2,FALSE)</f>
        <v>South</v>
      </c>
      <c r="O102" t="s">
        <v>344</v>
      </c>
      <c r="P102">
        <f>100</f>
        <v>100</v>
      </c>
      <c r="Q102">
        <v>33</v>
      </c>
      <c r="R102" s="5">
        <f>Table1[[#This Row],[Total_CP]]*Table1[[#This Row],[Qty_Purchased]]</f>
        <v>60500</v>
      </c>
      <c r="S102" s="5">
        <f>Table1[[#This Row],[Total_CP]]*Table1[[#This Row],[Qty_Sold]]</f>
        <v>19965</v>
      </c>
      <c r="T102" s="5">
        <f>Table1[[#This Row],[TotalSelling_Price]]*Table1[[#This Row],[Qty_Sold]]</f>
        <v>27060</v>
      </c>
      <c r="U102" s="5">
        <f>Table1[[#This Row],[SP_Qty_Sold]]-Table1[[#This Row],[CP_Qty_Sold]]</f>
        <v>7095</v>
      </c>
      <c r="V102" s="9">
        <f t="shared" si="1"/>
        <v>45062</v>
      </c>
      <c r="W102" s="5" t="s">
        <v>352</v>
      </c>
    </row>
    <row r="103" spans="1:23" x14ac:dyDescent="0.35">
      <c r="A103" t="s">
        <v>289</v>
      </c>
      <c r="B103" t="s">
        <v>26</v>
      </c>
      <c r="C103" t="s">
        <v>129</v>
      </c>
      <c r="D103">
        <f>VLOOKUP(Table1[[#This Row],[Product_Category]],HSNTABLE,2,FALSE)</f>
        <v>3543</v>
      </c>
      <c r="E103">
        <v>108</v>
      </c>
      <c r="F103" s="3">
        <f>VLOOKUP(Table1[[#This Row],[Product_Category]],HSNTABLE,3,FALSE)</f>
        <v>0.18</v>
      </c>
      <c r="G103">
        <f>Table1[[#This Row],[Cost_Price]]*Table1[[#This Row],[GST%]]</f>
        <v>19.439999999999998</v>
      </c>
      <c r="H103" s="5">
        <f>ROUNDUP(Table1[[#This Row],[Cost_Price]]+Table1[[#This Row],[GST_AMT]],0)</f>
        <v>128</v>
      </c>
      <c r="I103" s="3">
        <f>VLOOKUP(Table1[[#This Row],[Product_Category]],HSNTABLE,4,FALSE)</f>
        <v>0.3</v>
      </c>
      <c r="J103" s="5">
        <f>Table1[[#This Row],[Total_CP]]*Table1[[#This Row],[Margin%]]</f>
        <v>38.4</v>
      </c>
      <c r="K103" s="5">
        <f>Table1[[#This Row],[Margin_amt]]*Table1[[#This Row],[GST%]]</f>
        <v>6.9119999999999999</v>
      </c>
      <c r="L103" s="5">
        <f>ROUNDUP(Table1[[#This Row],[Total_CP]]+Table1[[#This Row],[Margin_amt]]+Table1[[#This Row],[Gst_on_Margin_amt]],0)</f>
        <v>174</v>
      </c>
      <c r="M103" t="s">
        <v>185</v>
      </c>
      <c r="N103" t="str">
        <f>VLOOKUP(Table1[[#This Row],[Godown]],MasterSheet!$F$1:$G$5,2,FALSE)</f>
        <v>West</v>
      </c>
      <c r="O103" t="s">
        <v>342</v>
      </c>
      <c r="P103">
        <f>100</f>
        <v>100</v>
      </c>
      <c r="Q103">
        <v>29</v>
      </c>
      <c r="R103" s="5">
        <f>Table1[[#This Row],[Total_CP]]*Table1[[#This Row],[Qty_Purchased]]</f>
        <v>12800</v>
      </c>
      <c r="S103" s="5">
        <f>Table1[[#This Row],[Total_CP]]*Table1[[#This Row],[Qty_Sold]]</f>
        <v>3712</v>
      </c>
      <c r="T103" s="5">
        <f>Table1[[#This Row],[TotalSelling_Price]]*Table1[[#This Row],[Qty_Sold]]</f>
        <v>5046</v>
      </c>
      <c r="U103" s="5">
        <f>Table1[[#This Row],[SP_Qty_Sold]]-Table1[[#This Row],[CP_Qty_Sold]]</f>
        <v>1334</v>
      </c>
      <c r="V103" s="9">
        <f t="shared" si="1"/>
        <v>45067</v>
      </c>
      <c r="W103" s="5" t="s">
        <v>352</v>
      </c>
    </row>
    <row r="104" spans="1:23" x14ac:dyDescent="0.35">
      <c r="A104" t="s">
        <v>290</v>
      </c>
      <c r="B104" t="s">
        <v>26</v>
      </c>
      <c r="C104" t="s">
        <v>130</v>
      </c>
      <c r="D104">
        <f>VLOOKUP(Table1[[#This Row],[Product_Category]],HSNTABLE,2,FALSE)</f>
        <v>3543</v>
      </c>
      <c r="E104">
        <v>586</v>
      </c>
      <c r="F104" s="3">
        <f>VLOOKUP(Table1[[#This Row],[Product_Category]],HSNTABLE,3,FALSE)</f>
        <v>0.18</v>
      </c>
      <c r="G104">
        <f>Table1[[#This Row],[Cost_Price]]*Table1[[#This Row],[GST%]]</f>
        <v>105.47999999999999</v>
      </c>
      <c r="H104" s="5">
        <f>ROUNDUP(Table1[[#This Row],[Cost_Price]]+Table1[[#This Row],[GST_AMT]],0)</f>
        <v>692</v>
      </c>
      <c r="I104" s="3">
        <f>VLOOKUP(Table1[[#This Row],[Product_Category]],HSNTABLE,4,FALSE)</f>
        <v>0.3</v>
      </c>
      <c r="J104" s="5">
        <f>Table1[[#This Row],[Total_CP]]*Table1[[#This Row],[Margin%]]</f>
        <v>207.6</v>
      </c>
      <c r="K104" s="5">
        <f>Table1[[#This Row],[Margin_amt]]*Table1[[#This Row],[GST%]]</f>
        <v>37.367999999999995</v>
      </c>
      <c r="L104" s="5">
        <f>ROUNDUP(Table1[[#This Row],[Total_CP]]+Table1[[#This Row],[Margin_amt]]+Table1[[#This Row],[Gst_on_Margin_amt]],0)</f>
        <v>937</v>
      </c>
      <c r="M104" t="s">
        <v>184</v>
      </c>
      <c r="N104" t="str">
        <f>VLOOKUP(Table1[[#This Row],[Godown]],MasterSheet!$F$1:$G$5,2,FALSE)</f>
        <v>East</v>
      </c>
      <c r="O104" t="s">
        <v>339</v>
      </c>
      <c r="P104">
        <f>100</f>
        <v>100</v>
      </c>
      <c r="Q104">
        <v>23</v>
      </c>
      <c r="R104" s="5">
        <f>Table1[[#This Row],[Total_CP]]*Table1[[#This Row],[Qty_Purchased]]</f>
        <v>69200</v>
      </c>
      <c r="S104" s="5">
        <f>Table1[[#This Row],[Total_CP]]*Table1[[#This Row],[Qty_Sold]]</f>
        <v>15916</v>
      </c>
      <c r="T104" s="5">
        <f>Table1[[#This Row],[TotalSelling_Price]]*Table1[[#This Row],[Qty_Sold]]</f>
        <v>21551</v>
      </c>
      <c r="U104" s="5">
        <f>Table1[[#This Row],[SP_Qty_Sold]]-Table1[[#This Row],[CP_Qty_Sold]]</f>
        <v>5635</v>
      </c>
      <c r="V104" s="9">
        <f t="shared" si="1"/>
        <v>45072</v>
      </c>
      <c r="W104" s="5" t="s">
        <v>351</v>
      </c>
    </row>
    <row r="105" spans="1:23" x14ac:dyDescent="0.35">
      <c r="A105" t="s">
        <v>291</v>
      </c>
      <c r="B105" t="s">
        <v>27</v>
      </c>
      <c r="C105" t="s">
        <v>131</v>
      </c>
      <c r="D105">
        <f>VLOOKUP(Table1[[#This Row],[Product_Category]],HSNTABLE,2,FALSE)</f>
        <v>2552</v>
      </c>
      <c r="E105">
        <v>978</v>
      </c>
      <c r="F105" s="3">
        <f>VLOOKUP(Table1[[#This Row],[Product_Category]],HSNTABLE,3,FALSE)</f>
        <v>0.18</v>
      </c>
      <c r="G105">
        <f>Table1[[#This Row],[Cost_Price]]*Table1[[#This Row],[GST%]]</f>
        <v>176.04</v>
      </c>
      <c r="H105" s="5">
        <f>ROUNDUP(Table1[[#This Row],[Cost_Price]]+Table1[[#This Row],[GST_AMT]],0)</f>
        <v>1155</v>
      </c>
      <c r="I105" s="3">
        <f>VLOOKUP(Table1[[#This Row],[Product_Category]],HSNTABLE,4,FALSE)</f>
        <v>0.25</v>
      </c>
      <c r="J105" s="5">
        <f>Table1[[#This Row],[Total_CP]]*Table1[[#This Row],[Margin%]]</f>
        <v>288.75</v>
      </c>
      <c r="K105" s="5">
        <f>Table1[[#This Row],[Margin_amt]]*Table1[[#This Row],[GST%]]</f>
        <v>51.975000000000001</v>
      </c>
      <c r="L105" s="5">
        <f>ROUNDUP(Table1[[#This Row],[Total_CP]]+Table1[[#This Row],[Margin_amt]]+Table1[[#This Row],[Gst_on_Margin_amt]],0)</f>
        <v>1496</v>
      </c>
      <c r="M105" t="s">
        <v>184</v>
      </c>
      <c r="N105" t="str">
        <f>VLOOKUP(Table1[[#This Row],[Godown]],MasterSheet!$F$1:$G$5,2,FALSE)</f>
        <v>East</v>
      </c>
      <c r="O105" t="s">
        <v>339</v>
      </c>
      <c r="P105">
        <f>100</f>
        <v>100</v>
      </c>
      <c r="Q105">
        <v>45</v>
      </c>
      <c r="R105" s="5">
        <f>Table1[[#This Row],[Total_CP]]*Table1[[#This Row],[Qty_Purchased]]</f>
        <v>115500</v>
      </c>
      <c r="S105" s="5">
        <f>Table1[[#This Row],[Total_CP]]*Table1[[#This Row],[Qty_Sold]]</f>
        <v>51975</v>
      </c>
      <c r="T105" s="5">
        <f>Table1[[#This Row],[TotalSelling_Price]]*Table1[[#This Row],[Qty_Sold]]</f>
        <v>67320</v>
      </c>
      <c r="U105" s="5">
        <f>Table1[[#This Row],[SP_Qty_Sold]]-Table1[[#This Row],[CP_Qty_Sold]]</f>
        <v>15345</v>
      </c>
      <c r="V105" s="9">
        <f t="shared" si="1"/>
        <v>45077</v>
      </c>
      <c r="W105" s="5" t="s">
        <v>352</v>
      </c>
    </row>
    <row r="106" spans="1:23" x14ac:dyDescent="0.35">
      <c r="A106" t="s">
        <v>292</v>
      </c>
      <c r="B106" t="s">
        <v>27</v>
      </c>
      <c r="C106" t="s">
        <v>132</v>
      </c>
      <c r="D106">
        <f>VLOOKUP(Table1[[#This Row],[Product_Category]],HSNTABLE,2,FALSE)</f>
        <v>2552</v>
      </c>
      <c r="E106">
        <v>396</v>
      </c>
      <c r="F106" s="3">
        <f>VLOOKUP(Table1[[#This Row],[Product_Category]],HSNTABLE,3,FALSE)</f>
        <v>0.18</v>
      </c>
      <c r="G106">
        <f>Table1[[#This Row],[Cost_Price]]*Table1[[#This Row],[GST%]]</f>
        <v>71.28</v>
      </c>
      <c r="H106" s="5">
        <f>ROUNDUP(Table1[[#This Row],[Cost_Price]]+Table1[[#This Row],[GST_AMT]],0)</f>
        <v>468</v>
      </c>
      <c r="I106" s="3">
        <f>VLOOKUP(Table1[[#This Row],[Product_Category]],HSNTABLE,4,FALSE)</f>
        <v>0.25</v>
      </c>
      <c r="J106" s="5">
        <f>Table1[[#This Row],[Total_CP]]*Table1[[#This Row],[Margin%]]</f>
        <v>117</v>
      </c>
      <c r="K106" s="5">
        <f>Table1[[#This Row],[Margin_amt]]*Table1[[#This Row],[GST%]]</f>
        <v>21.06</v>
      </c>
      <c r="L106" s="5">
        <f>ROUNDUP(Table1[[#This Row],[Total_CP]]+Table1[[#This Row],[Margin_amt]]+Table1[[#This Row],[Gst_on_Margin_amt]],0)</f>
        <v>607</v>
      </c>
      <c r="M106" t="s">
        <v>185</v>
      </c>
      <c r="N106" t="str">
        <f>VLOOKUP(Table1[[#This Row],[Godown]],MasterSheet!$F$1:$G$5,2,FALSE)</f>
        <v>West</v>
      </c>
      <c r="O106" t="s">
        <v>342</v>
      </c>
      <c r="P106">
        <f>100</f>
        <v>100</v>
      </c>
      <c r="Q106">
        <v>42</v>
      </c>
      <c r="R106" s="5">
        <f>Table1[[#This Row],[Total_CP]]*Table1[[#This Row],[Qty_Purchased]]</f>
        <v>46800</v>
      </c>
      <c r="S106" s="5">
        <f>Table1[[#This Row],[Total_CP]]*Table1[[#This Row],[Qty_Sold]]</f>
        <v>19656</v>
      </c>
      <c r="T106" s="5">
        <f>Table1[[#This Row],[TotalSelling_Price]]*Table1[[#This Row],[Qty_Sold]]</f>
        <v>25494</v>
      </c>
      <c r="U106" s="5">
        <f>Table1[[#This Row],[SP_Qty_Sold]]-Table1[[#This Row],[CP_Qty_Sold]]</f>
        <v>5838</v>
      </c>
      <c r="V106" s="9">
        <f t="shared" si="1"/>
        <v>45082</v>
      </c>
      <c r="W106" s="5" t="s">
        <v>352</v>
      </c>
    </row>
    <row r="107" spans="1:23" x14ac:dyDescent="0.35">
      <c r="A107" t="s">
        <v>293</v>
      </c>
      <c r="B107" t="s">
        <v>27</v>
      </c>
      <c r="C107" t="s">
        <v>133</v>
      </c>
      <c r="D107">
        <f>VLOOKUP(Table1[[#This Row],[Product_Category]],HSNTABLE,2,FALSE)</f>
        <v>2552</v>
      </c>
      <c r="E107">
        <v>627</v>
      </c>
      <c r="F107" s="3">
        <f>VLOOKUP(Table1[[#This Row],[Product_Category]],HSNTABLE,3,FALSE)</f>
        <v>0.18</v>
      </c>
      <c r="G107">
        <f>Table1[[#This Row],[Cost_Price]]*Table1[[#This Row],[GST%]]</f>
        <v>112.86</v>
      </c>
      <c r="H107" s="5">
        <f>ROUNDUP(Table1[[#This Row],[Cost_Price]]+Table1[[#This Row],[GST_AMT]],0)</f>
        <v>740</v>
      </c>
      <c r="I107" s="3">
        <f>VLOOKUP(Table1[[#This Row],[Product_Category]],HSNTABLE,4,FALSE)</f>
        <v>0.25</v>
      </c>
      <c r="J107" s="5">
        <f>Table1[[#This Row],[Total_CP]]*Table1[[#This Row],[Margin%]]</f>
        <v>185</v>
      </c>
      <c r="K107" s="5">
        <f>Table1[[#This Row],[Margin_amt]]*Table1[[#This Row],[GST%]]</f>
        <v>33.299999999999997</v>
      </c>
      <c r="L107" s="5">
        <f>ROUNDUP(Table1[[#This Row],[Total_CP]]+Table1[[#This Row],[Margin_amt]]+Table1[[#This Row],[Gst_on_Margin_amt]],0)</f>
        <v>959</v>
      </c>
      <c r="M107" t="s">
        <v>185</v>
      </c>
      <c r="N107" t="str">
        <f>VLOOKUP(Table1[[#This Row],[Godown]],MasterSheet!$F$1:$G$5,2,FALSE)</f>
        <v>West</v>
      </c>
      <c r="O107" t="s">
        <v>340</v>
      </c>
      <c r="P107">
        <f>100</f>
        <v>100</v>
      </c>
      <c r="Q107">
        <v>40</v>
      </c>
      <c r="R107" s="5">
        <f>Table1[[#This Row],[Total_CP]]*Table1[[#This Row],[Qty_Purchased]]</f>
        <v>74000</v>
      </c>
      <c r="S107" s="5">
        <f>Table1[[#This Row],[Total_CP]]*Table1[[#This Row],[Qty_Sold]]</f>
        <v>29600</v>
      </c>
      <c r="T107" s="5">
        <f>Table1[[#This Row],[TotalSelling_Price]]*Table1[[#This Row],[Qty_Sold]]</f>
        <v>38360</v>
      </c>
      <c r="U107" s="5">
        <f>Table1[[#This Row],[SP_Qty_Sold]]-Table1[[#This Row],[CP_Qty_Sold]]</f>
        <v>8760</v>
      </c>
      <c r="V107" s="9">
        <f t="shared" si="1"/>
        <v>45087</v>
      </c>
      <c r="W107" s="5" t="s">
        <v>352</v>
      </c>
    </row>
    <row r="108" spans="1:23" x14ac:dyDescent="0.35">
      <c r="A108" t="s">
        <v>294</v>
      </c>
      <c r="B108" t="s">
        <v>27</v>
      </c>
      <c r="C108" t="s">
        <v>134</v>
      </c>
      <c r="D108">
        <f>VLOOKUP(Table1[[#This Row],[Product_Category]],HSNTABLE,2,FALSE)</f>
        <v>2552</v>
      </c>
      <c r="E108">
        <v>962</v>
      </c>
      <c r="F108" s="3">
        <f>VLOOKUP(Table1[[#This Row],[Product_Category]],HSNTABLE,3,FALSE)</f>
        <v>0.18</v>
      </c>
      <c r="G108">
        <f>Table1[[#This Row],[Cost_Price]]*Table1[[#This Row],[GST%]]</f>
        <v>173.16</v>
      </c>
      <c r="H108" s="5">
        <f>ROUNDUP(Table1[[#This Row],[Cost_Price]]+Table1[[#This Row],[GST_AMT]],0)</f>
        <v>1136</v>
      </c>
      <c r="I108" s="3">
        <f>VLOOKUP(Table1[[#This Row],[Product_Category]],HSNTABLE,4,FALSE)</f>
        <v>0.25</v>
      </c>
      <c r="J108" s="5">
        <f>Table1[[#This Row],[Total_CP]]*Table1[[#This Row],[Margin%]]</f>
        <v>284</v>
      </c>
      <c r="K108" s="5">
        <f>Table1[[#This Row],[Margin_amt]]*Table1[[#This Row],[GST%]]</f>
        <v>51.12</v>
      </c>
      <c r="L108" s="5">
        <f>ROUNDUP(Table1[[#This Row],[Total_CP]]+Table1[[#This Row],[Margin_amt]]+Table1[[#This Row],[Gst_on_Margin_amt]],0)</f>
        <v>1472</v>
      </c>
      <c r="M108" t="s">
        <v>184</v>
      </c>
      <c r="N108" t="str">
        <f>VLOOKUP(Table1[[#This Row],[Godown]],MasterSheet!$F$1:$G$5,2,FALSE)</f>
        <v>East</v>
      </c>
      <c r="O108" t="s">
        <v>341</v>
      </c>
      <c r="P108">
        <f>100</f>
        <v>100</v>
      </c>
      <c r="Q108">
        <v>29</v>
      </c>
      <c r="R108" s="5">
        <f>Table1[[#This Row],[Total_CP]]*Table1[[#This Row],[Qty_Purchased]]</f>
        <v>113600</v>
      </c>
      <c r="S108" s="5">
        <f>Table1[[#This Row],[Total_CP]]*Table1[[#This Row],[Qty_Sold]]</f>
        <v>32944</v>
      </c>
      <c r="T108" s="5">
        <f>Table1[[#This Row],[TotalSelling_Price]]*Table1[[#This Row],[Qty_Sold]]</f>
        <v>42688</v>
      </c>
      <c r="U108" s="5">
        <f>Table1[[#This Row],[SP_Qty_Sold]]-Table1[[#This Row],[CP_Qty_Sold]]</f>
        <v>9744</v>
      </c>
      <c r="V108" s="9">
        <f t="shared" si="1"/>
        <v>45092</v>
      </c>
      <c r="W108" s="5" t="s">
        <v>352</v>
      </c>
    </row>
    <row r="109" spans="1:23" x14ac:dyDescent="0.35">
      <c r="A109" t="s">
        <v>295</v>
      </c>
      <c r="B109" t="s">
        <v>27</v>
      </c>
      <c r="C109" t="s">
        <v>135</v>
      </c>
      <c r="D109">
        <f>VLOOKUP(Table1[[#This Row],[Product_Category]],HSNTABLE,2,FALSE)</f>
        <v>2552</v>
      </c>
      <c r="E109">
        <v>504</v>
      </c>
      <c r="F109" s="3">
        <f>VLOOKUP(Table1[[#This Row],[Product_Category]],HSNTABLE,3,FALSE)</f>
        <v>0.18</v>
      </c>
      <c r="G109">
        <f>Table1[[#This Row],[Cost_Price]]*Table1[[#This Row],[GST%]]</f>
        <v>90.72</v>
      </c>
      <c r="H109" s="5">
        <f>ROUNDUP(Table1[[#This Row],[Cost_Price]]+Table1[[#This Row],[GST_AMT]],0)</f>
        <v>595</v>
      </c>
      <c r="I109" s="3">
        <f>VLOOKUP(Table1[[#This Row],[Product_Category]],HSNTABLE,4,FALSE)</f>
        <v>0.25</v>
      </c>
      <c r="J109" s="5">
        <f>Table1[[#This Row],[Total_CP]]*Table1[[#This Row],[Margin%]]</f>
        <v>148.75</v>
      </c>
      <c r="K109" s="5">
        <f>Table1[[#This Row],[Margin_amt]]*Table1[[#This Row],[GST%]]</f>
        <v>26.774999999999999</v>
      </c>
      <c r="L109" s="5">
        <f>ROUNDUP(Table1[[#This Row],[Total_CP]]+Table1[[#This Row],[Margin_amt]]+Table1[[#This Row],[Gst_on_Margin_amt]],0)</f>
        <v>771</v>
      </c>
      <c r="M109" t="s">
        <v>184</v>
      </c>
      <c r="N109" t="str">
        <f>VLOOKUP(Table1[[#This Row],[Godown]],MasterSheet!$F$1:$G$5,2,FALSE)</f>
        <v>East</v>
      </c>
      <c r="O109" t="s">
        <v>339</v>
      </c>
      <c r="P109">
        <f>100</f>
        <v>100</v>
      </c>
      <c r="Q109">
        <v>21</v>
      </c>
      <c r="R109" s="5">
        <f>Table1[[#This Row],[Total_CP]]*Table1[[#This Row],[Qty_Purchased]]</f>
        <v>59500</v>
      </c>
      <c r="S109" s="5">
        <f>Table1[[#This Row],[Total_CP]]*Table1[[#This Row],[Qty_Sold]]</f>
        <v>12495</v>
      </c>
      <c r="T109" s="5">
        <f>Table1[[#This Row],[TotalSelling_Price]]*Table1[[#This Row],[Qty_Sold]]</f>
        <v>16191</v>
      </c>
      <c r="U109" s="5">
        <f>Table1[[#This Row],[SP_Qty_Sold]]-Table1[[#This Row],[CP_Qty_Sold]]</f>
        <v>3696</v>
      </c>
      <c r="V109" s="9">
        <f t="shared" si="1"/>
        <v>45097</v>
      </c>
      <c r="W109" s="5" t="s">
        <v>351</v>
      </c>
    </row>
    <row r="110" spans="1:23" x14ac:dyDescent="0.35">
      <c r="A110" t="s">
        <v>296</v>
      </c>
      <c r="B110" t="s">
        <v>27</v>
      </c>
      <c r="C110" t="s">
        <v>136</v>
      </c>
      <c r="D110">
        <f>VLOOKUP(Table1[[#This Row],[Product_Category]],HSNTABLE,2,FALSE)</f>
        <v>2552</v>
      </c>
      <c r="E110">
        <v>327</v>
      </c>
      <c r="F110" s="3">
        <f>VLOOKUP(Table1[[#This Row],[Product_Category]],HSNTABLE,3,FALSE)</f>
        <v>0.18</v>
      </c>
      <c r="G110">
        <f>Table1[[#This Row],[Cost_Price]]*Table1[[#This Row],[GST%]]</f>
        <v>58.86</v>
      </c>
      <c r="H110" s="5">
        <f>ROUNDUP(Table1[[#This Row],[Cost_Price]]+Table1[[#This Row],[GST_AMT]],0)</f>
        <v>386</v>
      </c>
      <c r="I110" s="3">
        <f>VLOOKUP(Table1[[#This Row],[Product_Category]],HSNTABLE,4,FALSE)</f>
        <v>0.25</v>
      </c>
      <c r="J110" s="5">
        <f>Table1[[#This Row],[Total_CP]]*Table1[[#This Row],[Margin%]]</f>
        <v>96.5</v>
      </c>
      <c r="K110" s="5">
        <f>Table1[[#This Row],[Margin_amt]]*Table1[[#This Row],[GST%]]</f>
        <v>17.37</v>
      </c>
      <c r="L110" s="5">
        <f>ROUNDUP(Table1[[#This Row],[Total_CP]]+Table1[[#This Row],[Margin_amt]]+Table1[[#This Row],[Gst_on_Margin_amt]],0)</f>
        <v>500</v>
      </c>
      <c r="M110" t="s">
        <v>185</v>
      </c>
      <c r="N110" t="str">
        <f>VLOOKUP(Table1[[#This Row],[Godown]],MasterSheet!$F$1:$G$5,2,FALSE)</f>
        <v>West</v>
      </c>
      <c r="O110" t="s">
        <v>343</v>
      </c>
      <c r="P110">
        <f>100</f>
        <v>100</v>
      </c>
      <c r="Q110">
        <v>40</v>
      </c>
      <c r="R110" s="5">
        <f>Table1[[#This Row],[Total_CP]]*Table1[[#This Row],[Qty_Purchased]]</f>
        <v>38600</v>
      </c>
      <c r="S110" s="5">
        <f>Table1[[#This Row],[Total_CP]]*Table1[[#This Row],[Qty_Sold]]</f>
        <v>15440</v>
      </c>
      <c r="T110" s="5">
        <f>Table1[[#This Row],[TotalSelling_Price]]*Table1[[#This Row],[Qty_Sold]]</f>
        <v>20000</v>
      </c>
      <c r="U110" s="5">
        <f>Table1[[#This Row],[SP_Qty_Sold]]-Table1[[#This Row],[CP_Qty_Sold]]</f>
        <v>4560</v>
      </c>
      <c r="V110" s="9">
        <f t="shared" si="1"/>
        <v>45102</v>
      </c>
      <c r="W110" s="5" t="s">
        <v>351</v>
      </c>
    </row>
    <row r="111" spans="1:23" x14ac:dyDescent="0.35">
      <c r="A111" t="s">
        <v>297</v>
      </c>
      <c r="B111" t="s">
        <v>27</v>
      </c>
      <c r="C111" t="s">
        <v>137</v>
      </c>
      <c r="D111">
        <f>VLOOKUP(Table1[[#This Row],[Product_Category]],HSNTABLE,2,FALSE)</f>
        <v>2552</v>
      </c>
      <c r="E111">
        <v>230</v>
      </c>
      <c r="F111" s="3">
        <f>VLOOKUP(Table1[[#This Row],[Product_Category]],HSNTABLE,3,FALSE)</f>
        <v>0.18</v>
      </c>
      <c r="G111">
        <f>Table1[[#This Row],[Cost_Price]]*Table1[[#This Row],[GST%]]</f>
        <v>41.4</v>
      </c>
      <c r="H111" s="5">
        <f>ROUNDUP(Table1[[#This Row],[Cost_Price]]+Table1[[#This Row],[GST_AMT]],0)</f>
        <v>272</v>
      </c>
      <c r="I111" s="3">
        <f>VLOOKUP(Table1[[#This Row],[Product_Category]],HSNTABLE,4,FALSE)</f>
        <v>0.25</v>
      </c>
      <c r="J111" s="5">
        <f>Table1[[#This Row],[Total_CP]]*Table1[[#This Row],[Margin%]]</f>
        <v>68</v>
      </c>
      <c r="K111" s="5">
        <f>Table1[[#This Row],[Margin_amt]]*Table1[[#This Row],[GST%]]</f>
        <v>12.24</v>
      </c>
      <c r="L111" s="5">
        <f>ROUNDUP(Table1[[#This Row],[Total_CP]]+Table1[[#This Row],[Margin_amt]]+Table1[[#This Row],[Gst_on_Margin_amt]],0)</f>
        <v>353</v>
      </c>
      <c r="M111" t="s">
        <v>184</v>
      </c>
      <c r="N111" t="str">
        <f>VLOOKUP(Table1[[#This Row],[Godown]],MasterSheet!$F$1:$G$5,2,FALSE)</f>
        <v>East</v>
      </c>
      <c r="O111" t="s">
        <v>343</v>
      </c>
      <c r="P111">
        <f>100</f>
        <v>100</v>
      </c>
      <c r="Q111">
        <v>22</v>
      </c>
      <c r="R111" s="5">
        <f>Table1[[#This Row],[Total_CP]]*Table1[[#This Row],[Qty_Purchased]]</f>
        <v>27200</v>
      </c>
      <c r="S111" s="5">
        <f>Table1[[#This Row],[Total_CP]]*Table1[[#This Row],[Qty_Sold]]</f>
        <v>5984</v>
      </c>
      <c r="T111" s="5">
        <f>Table1[[#This Row],[TotalSelling_Price]]*Table1[[#This Row],[Qty_Sold]]</f>
        <v>7766</v>
      </c>
      <c r="U111" s="5">
        <f>Table1[[#This Row],[SP_Qty_Sold]]-Table1[[#This Row],[CP_Qty_Sold]]</f>
        <v>1782</v>
      </c>
      <c r="V111" s="9">
        <f t="shared" si="1"/>
        <v>45107</v>
      </c>
      <c r="W111" s="5" t="s">
        <v>351</v>
      </c>
    </row>
    <row r="112" spans="1:23" x14ac:dyDescent="0.35">
      <c r="A112" t="s">
        <v>298</v>
      </c>
      <c r="B112" t="s">
        <v>27</v>
      </c>
      <c r="C112" t="s">
        <v>138</v>
      </c>
      <c r="D112">
        <f>VLOOKUP(Table1[[#This Row],[Product_Category]],HSNTABLE,2,FALSE)</f>
        <v>2552</v>
      </c>
      <c r="E112">
        <v>525</v>
      </c>
      <c r="F112" s="3">
        <f>VLOOKUP(Table1[[#This Row],[Product_Category]],HSNTABLE,3,FALSE)</f>
        <v>0.18</v>
      </c>
      <c r="G112">
        <f>Table1[[#This Row],[Cost_Price]]*Table1[[#This Row],[GST%]]</f>
        <v>94.5</v>
      </c>
      <c r="H112" s="5">
        <f>ROUNDUP(Table1[[#This Row],[Cost_Price]]+Table1[[#This Row],[GST_AMT]],0)</f>
        <v>620</v>
      </c>
      <c r="I112" s="3">
        <f>VLOOKUP(Table1[[#This Row],[Product_Category]],HSNTABLE,4,FALSE)</f>
        <v>0.25</v>
      </c>
      <c r="J112" s="5">
        <f>Table1[[#This Row],[Total_CP]]*Table1[[#This Row],[Margin%]]</f>
        <v>155</v>
      </c>
      <c r="K112" s="5">
        <f>Table1[[#This Row],[Margin_amt]]*Table1[[#This Row],[GST%]]</f>
        <v>27.9</v>
      </c>
      <c r="L112" s="5">
        <f>ROUNDUP(Table1[[#This Row],[Total_CP]]+Table1[[#This Row],[Margin_amt]]+Table1[[#This Row],[Gst_on_Margin_amt]],0)</f>
        <v>803</v>
      </c>
      <c r="M112" t="s">
        <v>185</v>
      </c>
      <c r="N112" t="str">
        <f>VLOOKUP(Table1[[#This Row],[Godown]],MasterSheet!$F$1:$G$5,2,FALSE)</f>
        <v>West</v>
      </c>
      <c r="O112" t="s">
        <v>343</v>
      </c>
      <c r="P112">
        <f>100</f>
        <v>100</v>
      </c>
      <c r="Q112">
        <v>44</v>
      </c>
      <c r="R112" s="5">
        <f>Table1[[#This Row],[Total_CP]]*Table1[[#This Row],[Qty_Purchased]]</f>
        <v>62000</v>
      </c>
      <c r="S112" s="5">
        <f>Table1[[#This Row],[Total_CP]]*Table1[[#This Row],[Qty_Sold]]</f>
        <v>27280</v>
      </c>
      <c r="T112" s="5">
        <f>Table1[[#This Row],[TotalSelling_Price]]*Table1[[#This Row],[Qty_Sold]]</f>
        <v>35332</v>
      </c>
      <c r="U112" s="5">
        <f>Table1[[#This Row],[SP_Qty_Sold]]-Table1[[#This Row],[CP_Qty_Sold]]</f>
        <v>8052</v>
      </c>
      <c r="V112" s="9">
        <f t="shared" si="1"/>
        <v>45112</v>
      </c>
      <c r="W112" s="5" t="s">
        <v>351</v>
      </c>
    </row>
    <row r="113" spans="1:23" x14ac:dyDescent="0.35">
      <c r="A113" t="s">
        <v>299</v>
      </c>
      <c r="B113" t="s">
        <v>27</v>
      </c>
      <c r="C113" t="s">
        <v>139</v>
      </c>
      <c r="D113">
        <f>VLOOKUP(Table1[[#This Row],[Product_Category]],HSNTABLE,2,FALSE)</f>
        <v>2552</v>
      </c>
      <c r="E113">
        <v>100</v>
      </c>
      <c r="F113" s="3">
        <f>VLOOKUP(Table1[[#This Row],[Product_Category]],HSNTABLE,3,FALSE)</f>
        <v>0.18</v>
      </c>
      <c r="G113">
        <f>Table1[[#This Row],[Cost_Price]]*Table1[[#This Row],[GST%]]</f>
        <v>18</v>
      </c>
      <c r="H113" s="5">
        <f>ROUNDUP(Table1[[#This Row],[Cost_Price]]+Table1[[#This Row],[GST_AMT]],0)</f>
        <v>118</v>
      </c>
      <c r="I113" s="3">
        <f>VLOOKUP(Table1[[#This Row],[Product_Category]],HSNTABLE,4,FALSE)</f>
        <v>0.25</v>
      </c>
      <c r="J113" s="5">
        <f>Table1[[#This Row],[Total_CP]]*Table1[[#This Row],[Margin%]]</f>
        <v>29.5</v>
      </c>
      <c r="K113" s="5">
        <f>Table1[[#This Row],[Margin_amt]]*Table1[[#This Row],[GST%]]</f>
        <v>5.31</v>
      </c>
      <c r="L113" s="5">
        <f>ROUNDUP(Table1[[#This Row],[Total_CP]]+Table1[[#This Row],[Margin_amt]]+Table1[[#This Row],[Gst_on_Margin_amt]],0)</f>
        <v>153</v>
      </c>
      <c r="M113" t="s">
        <v>185</v>
      </c>
      <c r="N113" t="str">
        <f>VLOOKUP(Table1[[#This Row],[Godown]],MasterSheet!$F$1:$G$5,2,FALSE)</f>
        <v>West</v>
      </c>
      <c r="O113" t="s">
        <v>339</v>
      </c>
      <c r="P113">
        <f>100</f>
        <v>100</v>
      </c>
      <c r="Q113">
        <v>44</v>
      </c>
      <c r="R113" s="5">
        <f>Table1[[#This Row],[Total_CP]]*Table1[[#This Row],[Qty_Purchased]]</f>
        <v>11800</v>
      </c>
      <c r="S113" s="5">
        <f>Table1[[#This Row],[Total_CP]]*Table1[[#This Row],[Qty_Sold]]</f>
        <v>5192</v>
      </c>
      <c r="T113" s="5">
        <f>Table1[[#This Row],[TotalSelling_Price]]*Table1[[#This Row],[Qty_Sold]]</f>
        <v>6732</v>
      </c>
      <c r="U113" s="5">
        <f>Table1[[#This Row],[SP_Qty_Sold]]-Table1[[#This Row],[CP_Qty_Sold]]</f>
        <v>1540</v>
      </c>
      <c r="V113" s="9">
        <f t="shared" si="1"/>
        <v>45117</v>
      </c>
      <c r="W113" s="5" t="s">
        <v>352</v>
      </c>
    </row>
    <row r="114" spans="1:23" x14ac:dyDescent="0.35">
      <c r="A114" t="s">
        <v>300</v>
      </c>
      <c r="B114" t="s">
        <v>27</v>
      </c>
      <c r="C114" t="s">
        <v>140</v>
      </c>
      <c r="D114">
        <f>VLOOKUP(Table1[[#This Row],[Product_Category]],HSNTABLE,2,FALSE)</f>
        <v>2552</v>
      </c>
      <c r="E114">
        <v>498</v>
      </c>
      <c r="F114" s="3">
        <f>VLOOKUP(Table1[[#This Row],[Product_Category]],HSNTABLE,3,FALSE)</f>
        <v>0.18</v>
      </c>
      <c r="G114">
        <f>Table1[[#This Row],[Cost_Price]]*Table1[[#This Row],[GST%]]</f>
        <v>89.64</v>
      </c>
      <c r="H114" s="5">
        <f>ROUNDUP(Table1[[#This Row],[Cost_Price]]+Table1[[#This Row],[GST_AMT]],0)</f>
        <v>588</v>
      </c>
      <c r="I114" s="3">
        <f>VLOOKUP(Table1[[#This Row],[Product_Category]],HSNTABLE,4,FALSE)</f>
        <v>0.25</v>
      </c>
      <c r="J114" s="5">
        <f>Table1[[#This Row],[Total_CP]]*Table1[[#This Row],[Margin%]]</f>
        <v>147</v>
      </c>
      <c r="K114" s="5">
        <f>Table1[[#This Row],[Margin_amt]]*Table1[[#This Row],[GST%]]</f>
        <v>26.459999999999997</v>
      </c>
      <c r="L114" s="5">
        <f>ROUNDUP(Table1[[#This Row],[Total_CP]]+Table1[[#This Row],[Margin_amt]]+Table1[[#This Row],[Gst_on_Margin_amt]],0)</f>
        <v>762</v>
      </c>
      <c r="M114" t="s">
        <v>183</v>
      </c>
      <c r="N114" t="str">
        <f>VLOOKUP(Table1[[#This Row],[Godown]],MasterSheet!$F$1:$G$5,2,FALSE)</f>
        <v>South</v>
      </c>
      <c r="O114" t="s">
        <v>340</v>
      </c>
      <c r="P114">
        <f>100</f>
        <v>100</v>
      </c>
      <c r="Q114">
        <v>27</v>
      </c>
      <c r="R114" s="5">
        <f>Table1[[#This Row],[Total_CP]]*Table1[[#This Row],[Qty_Purchased]]</f>
        <v>58800</v>
      </c>
      <c r="S114" s="5">
        <f>Table1[[#This Row],[Total_CP]]*Table1[[#This Row],[Qty_Sold]]</f>
        <v>15876</v>
      </c>
      <c r="T114" s="5">
        <f>Table1[[#This Row],[TotalSelling_Price]]*Table1[[#This Row],[Qty_Sold]]</f>
        <v>20574</v>
      </c>
      <c r="U114" s="5">
        <f>Table1[[#This Row],[SP_Qty_Sold]]-Table1[[#This Row],[CP_Qty_Sold]]</f>
        <v>4698</v>
      </c>
      <c r="V114" s="9">
        <f t="shared" si="1"/>
        <v>45122</v>
      </c>
      <c r="W114" s="5" t="s">
        <v>352</v>
      </c>
    </row>
    <row r="115" spans="1:23" x14ac:dyDescent="0.35">
      <c r="A115" t="s">
        <v>301</v>
      </c>
      <c r="B115" t="s">
        <v>27</v>
      </c>
      <c r="C115" t="s">
        <v>141</v>
      </c>
      <c r="D115">
        <f>VLOOKUP(Table1[[#This Row],[Product_Category]],HSNTABLE,2,FALSE)</f>
        <v>2552</v>
      </c>
      <c r="E115">
        <v>218</v>
      </c>
      <c r="F115" s="3">
        <f>VLOOKUP(Table1[[#This Row],[Product_Category]],HSNTABLE,3,FALSE)</f>
        <v>0.18</v>
      </c>
      <c r="G115">
        <f>Table1[[#This Row],[Cost_Price]]*Table1[[#This Row],[GST%]]</f>
        <v>39.24</v>
      </c>
      <c r="H115" s="5">
        <f>ROUNDUP(Table1[[#This Row],[Cost_Price]]+Table1[[#This Row],[GST_AMT]],0)</f>
        <v>258</v>
      </c>
      <c r="I115" s="3">
        <f>VLOOKUP(Table1[[#This Row],[Product_Category]],HSNTABLE,4,FALSE)</f>
        <v>0.25</v>
      </c>
      <c r="J115" s="5">
        <f>Table1[[#This Row],[Total_CP]]*Table1[[#This Row],[Margin%]]</f>
        <v>64.5</v>
      </c>
      <c r="K115" s="5">
        <f>Table1[[#This Row],[Margin_amt]]*Table1[[#This Row],[GST%]]</f>
        <v>11.61</v>
      </c>
      <c r="L115" s="5">
        <f>ROUNDUP(Table1[[#This Row],[Total_CP]]+Table1[[#This Row],[Margin_amt]]+Table1[[#This Row],[Gst_on_Margin_amt]],0)</f>
        <v>335</v>
      </c>
      <c r="M115" t="s">
        <v>183</v>
      </c>
      <c r="N115" t="str">
        <f>VLOOKUP(Table1[[#This Row],[Godown]],MasterSheet!$F$1:$G$5,2,FALSE)</f>
        <v>South</v>
      </c>
      <c r="O115" t="s">
        <v>344</v>
      </c>
      <c r="P115">
        <f>100</f>
        <v>100</v>
      </c>
      <c r="Q115">
        <v>30</v>
      </c>
      <c r="R115" s="5">
        <f>Table1[[#This Row],[Total_CP]]*Table1[[#This Row],[Qty_Purchased]]</f>
        <v>25800</v>
      </c>
      <c r="S115" s="5">
        <f>Table1[[#This Row],[Total_CP]]*Table1[[#This Row],[Qty_Sold]]</f>
        <v>7740</v>
      </c>
      <c r="T115" s="5">
        <f>Table1[[#This Row],[TotalSelling_Price]]*Table1[[#This Row],[Qty_Sold]]</f>
        <v>10050</v>
      </c>
      <c r="U115" s="5">
        <f>Table1[[#This Row],[SP_Qty_Sold]]-Table1[[#This Row],[CP_Qty_Sold]]</f>
        <v>2310</v>
      </c>
      <c r="V115" s="9">
        <f t="shared" si="1"/>
        <v>45127</v>
      </c>
      <c r="W115" s="5" t="s">
        <v>352</v>
      </c>
    </row>
    <row r="116" spans="1:23" x14ac:dyDescent="0.35">
      <c r="A116" t="s">
        <v>302</v>
      </c>
      <c r="B116" t="s">
        <v>27</v>
      </c>
      <c r="C116" t="s">
        <v>142</v>
      </c>
      <c r="D116">
        <f>VLOOKUP(Table1[[#This Row],[Product_Category]],HSNTABLE,2,FALSE)</f>
        <v>2552</v>
      </c>
      <c r="E116">
        <v>412</v>
      </c>
      <c r="F116" s="3">
        <f>VLOOKUP(Table1[[#This Row],[Product_Category]],HSNTABLE,3,FALSE)</f>
        <v>0.18</v>
      </c>
      <c r="G116">
        <f>Table1[[#This Row],[Cost_Price]]*Table1[[#This Row],[GST%]]</f>
        <v>74.16</v>
      </c>
      <c r="H116" s="5">
        <f>ROUNDUP(Table1[[#This Row],[Cost_Price]]+Table1[[#This Row],[GST_AMT]],0)</f>
        <v>487</v>
      </c>
      <c r="I116" s="3">
        <f>VLOOKUP(Table1[[#This Row],[Product_Category]],HSNTABLE,4,FALSE)</f>
        <v>0.25</v>
      </c>
      <c r="J116" s="5">
        <f>Table1[[#This Row],[Total_CP]]*Table1[[#This Row],[Margin%]]</f>
        <v>121.75</v>
      </c>
      <c r="K116" s="5">
        <f>Table1[[#This Row],[Margin_amt]]*Table1[[#This Row],[GST%]]</f>
        <v>21.914999999999999</v>
      </c>
      <c r="L116" s="5">
        <f>ROUNDUP(Table1[[#This Row],[Total_CP]]+Table1[[#This Row],[Margin_amt]]+Table1[[#This Row],[Gst_on_Margin_amt]],0)</f>
        <v>631</v>
      </c>
      <c r="M116" t="s">
        <v>185</v>
      </c>
      <c r="N116" t="str">
        <f>VLOOKUP(Table1[[#This Row],[Godown]],MasterSheet!$F$1:$G$5,2,FALSE)</f>
        <v>West</v>
      </c>
      <c r="O116" t="s">
        <v>341</v>
      </c>
      <c r="P116">
        <f>100</f>
        <v>100</v>
      </c>
      <c r="Q116">
        <v>21</v>
      </c>
      <c r="R116" s="5">
        <f>Table1[[#This Row],[Total_CP]]*Table1[[#This Row],[Qty_Purchased]]</f>
        <v>48700</v>
      </c>
      <c r="S116" s="5">
        <f>Table1[[#This Row],[Total_CP]]*Table1[[#This Row],[Qty_Sold]]</f>
        <v>10227</v>
      </c>
      <c r="T116" s="5">
        <f>Table1[[#This Row],[TotalSelling_Price]]*Table1[[#This Row],[Qty_Sold]]</f>
        <v>13251</v>
      </c>
      <c r="U116" s="5">
        <f>Table1[[#This Row],[SP_Qty_Sold]]-Table1[[#This Row],[CP_Qty_Sold]]</f>
        <v>3024</v>
      </c>
      <c r="V116" s="9">
        <f t="shared" si="1"/>
        <v>45132</v>
      </c>
      <c r="W116" s="5" t="s">
        <v>351</v>
      </c>
    </row>
    <row r="117" spans="1:23" x14ac:dyDescent="0.35">
      <c r="A117" t="s">
        <v>303</v>
      </c>
      <c r="B117" t="s">
        <v>27</v>
      </c>
      <c r="C117" t="s">
        <v>143</v>
      </c>
      <c r="D117">
        <f>VLOOKUP(Table1[[#This Row],[Product_Category]],HSNTABLE,2,FALSE)</f>
        <v>2552</v>
      </c>
      <c r="E117">
        <v>131</v>
      </c>
      <c r="F117" s="3">
        <f>VLOOKUP(Table1[[#This Row],[Product_Category]],HSNTABLE,3,FALSE)</f>
        <v>0.18</v>
      </c>
      <c r="G117">
        <f>Table1[[#This Row],[Cost_Price]]*Table1[[#This Row],[GST%]]</f>
        <v>23.58</v>
      </c>
      <c r="H117" s="5">
        <f>ROUNDUP(Table1[[#This Row],[Cost_Price]]+Table1[[#This Row],[GST_AMT]],0)</f>
        <v>155</v>
      </c>
      <c r="I117" s="3">
        <f>VLOOKUP(Table1[[#This Row],[Product_Category]],HSNTABLE,4,FALSE)</f>
        <v>0.25</v>
      </c>
      <c r="J117" s="5">
        <f>Table1[[#This Row],[Total_CP]]*Table1[[#This Row],[Margin%]]</f>
        <v>38.75</v>
      </c>
      <c r="K117" s="5">
        <f>Table1[[#This Row],[Margin_amt]]*Table1[[#This Row],[GST%]]</f>
        <v>6.9749999999999996</v>
      </c>
      <c r="L117" s="5">
        <f>ROUNDUP(Table1[[#This Row],[Total_CP]]+Table1[[#This Row],[Margin_amt]]+Table1[[#This Row],[Gst_on_Margin_amt]],0)</f>
        <v>201</v>
      </c>
      <c r="M117" t="s">
        <v>184</v>
      </c>
      <c r="N117" t="str">
        <f>VLOOKUP(Table1[[#This Row],[Godown]],MasterSheet!$F$1:$G$5,2,FALSE)</f>
        <v>East</v>
      </c>
      <c r="O117" t="s">
        <v>344</v>
      </c>
      <c r="P117">
        <f>100</f>
        <v>100</v>
      </c>
      <c r="Q117">
        <v>28</v>
      </c>
      <c r="R117" s="5">
        <f>Table1[[#This Row],[Total_CP]]*Table1[[#This Row],[Qty_Purchased]]</f>
        <v>15500</v>
      </c>
      <c r="S117" s="5">
        <f>Table1[[#This Row],[Total_CP]]*Table1[[#This Row],[Qty_Sold]]</f>
        <v>4340</v>
      </c>
      <c r="T117" s="5">
        <f>Table1[[#This Row],[TotalSelling_Price]]*Table1[[#This Row],[Qty_Sold]]</f>
        <v>5628</v>
      </c>
      <c r="U117" s="5">
        <f>Table1[[#This Row],[SP_Qty_Sold]]-Table1[[#This Row],[CP_Qty_Sold]]</f>
        <v>1288</v>
      </c>
      <c r="V117" s="9">
        <f t="shared" si="1"/>
        <v>45137</v>
      </c>
      <c r="W117" s="5" t="s">
        <v>352</v>
      </c>
    </row>
    <row r="118" spans="1:23" x14ac:dyDescent="0.35">
      <c r="A118" t="s">
        <v>304</v>
      </c>
      <c r="B118" t="s">
        <v>27</v>
      </c>
      <c r="C118" t="s">
        <v>144</v>
      </c>
      <c r="D118">
        <f>VLOOKUP(Table1[[#This Row],[Product_Category]],HSNTABLE,2,FALSE)</f>
        <v>2552</v>
      </c>
      <c r="E118">
        <v>254</v>
      </c>
      <c r="F118" s="3">
        <f>VLOOKUP(Table1[[#This Row],[Product_Category]],HSNTABLE,3,FALSE)</f>
        <v>0.18</v>
      </c>
      <c r="G118">
        <f>Table1[[#This Row],[Cost_Price]]*Table1[[#This Row],[GST%]]</f>
        <v>45.72</v>
      </c>
      <c r="H118" s="5">
        <f>ROUNDUP(Table1[[#This Row],[Cost_Price]]+Table1[[#This Row],[GST_AMT]],0)</f>
        <v>300</v>
      </c>
      <c r="I118" s="3">
        <f>VLOOKUP(Table1[[#This Row],[Product_Category]],HSNTABLE,4,FALSE)</f>
        <v>0.25</v>
      </c>
      <c r="J118" s="5">
        <f>Table1[[#This Row],[Total_CP]]*Table1[[#This Row],[Margin%]]</f>
        <v>75</v>
      </c>
      <c r="K118" s="5">
        <f>Table1[[#This Row],[Margin_amt]]*Table1[[#This Row],[GST%]]</f>
        <v>13.5</v>
      </c>
      <c r="L118" s="5">
        <f>ROUNDUP(Table1[[#This Row],[Total_CP]]+Table1[[#This Row],[Margin_amt]]+Table1[[#This Row],[Gst_on_Margin_amt]],0)</f>
        <v>389</v>
      </c>
      <c r="M118" t="s">
        <v>183</v>
      </c>
      <c r="N118" t="str">
        <f>VLOOKUP(Table1[[#This Row],[Godown]],MasterSheet!$F$1:$G$5,2,FALSE)</f>
        <v>South</v>
      </c>
      <c r="O118" t="s">
        <v>340</v>
      </c>
      <c r="P118">
        <f>100</f>
        <v>100</v>
      </c>
      <c r="Q118">
        <v>23</v>
      </c>
      <c r="R118" s="5">
        <f>Table1[[#This Row],[Total_CP]]*Table1[[#This Row],[Qty_Purchased]]</f>
        <v>30000</v>
      </c>
      <c r="S118" s="5">
        <f>Table1[[#This Row],[Total_CP]]*Table1[[#This Row],[Qty_Sold]]</f>
        <v>6900</v>
      </c>
      <c r="T118" s="5">
        <f>Table1[[#This Row],[TotalSelling_Price]]*Table1[[#This Row],[Qty_Sold]]</f>
        <v>8947</v>
      </c>
      <c r="U118" s="5">
        <f>Table1[[#This Row],[SP_Qty_Sold]]-Table1[[#This Row],[CP_Qty_Sold]]</f>
        <v>2047</v>
      </c>
      <c r="V118" s="9">
        <f t="shared" si="1"/>
        <v>45142</v>
      </c>
      <c r="W118" s="5" t="s">
        <v>352</v>
      </c>
    </row>
    <row r="119" spans="1:23" x14ac:dyDescent="0.35">
      <c r="A119" t="s">
        <v>305</v>
      </c>
      <c r="B119" t="s">
        <v>27</v>
      </c>
      <c r="C119" t="s">
        <v>145</v>
      </c>
      <c r="D119">
        <f>VLOOKUP(Table1[[#This Row],[Product_Category]],HSNTABLE,2,FALSE)</f>
        <v>2552</v>
      </c>
      <c r="E119">
        <v>460</v>
      </c>
      <c r="F119" s="3">
        <f>VLOOKUP(Table1[[#This Row],[Product_Category]],HSNTABLE,3,FALSE)</f>
        <v>0.18</v>
      </c>
      <c r="G119">
        <f>Table1[[#This Row],[Cost_Price]]*Table1[[#This Row],[GST%]]</f>
        <v>82.8</v>
      </c>
      <c r="H119" s="5">
        <f>ROUNDUP(Table1[[#This Row],[Cost_Price]]+Table1[[#This Row],[GST_AMT]],0)</f>
        <v>543</v>
      </c>
      <c r="I119" s="3">
        <f>VLOOKUP(Table1[[#This Row],[Product_Category]],HSNTABLE,4,FALSE)</f>
        <v>0.25</v>
      </c>
      <c r="J119" s="5">
        <f>Table1[[#This Row],[Total_CP]]*Table1[[#This Row],[Margin%]]</f>
        <v>135.75</v>
      </c>
      <c r="K119" s="5">
        <f>Table1[[#This Row],[Margin_amt]]*Table1[[#This Row],[GST%]]</f>
        <v>24.434999999999999</v>
      </c>
      <c r="L119" s="5">
        <f>ROUNDUP(Table1[[#This Row],[Total_CP]]+Table1[[#This Row],[Margin_amt]]+Table1[[#This Row],[Gst_on_Margin_amt]],0)</f>
        <v>704</v>
      </c>
      <c r="M119" t="s">
        <v>184</v>
      </c>
      <c r="N119" t="str">
        <f>VLOOKUP(Table1[[#This Row],[Godown]],MasterSheet!$F$1:$G$5,2,FALSE)</f>
        <v>East</v>
      </c>
      <c r="O119" t="s">
        <v>342</v>
      </c>
      <c r="P119">
        <f>100</f>
        <v>100</v>
      </c>
      <c r="Q119">
        <v>46</v>
      </c>
      <c r="R119" s="5">
        <f>Table1[[#This Row],[Total_CP]]*Table1[[#This Row],[Qty_Purchased]]</f>
        <v>54300</v>
      </c>
      <c r="S119" s="5">
        <f>Table1[[#This Row],[Total_CP]]*Table1[[#This Row],[Qty_Sold]]</f>
        <v>24978</v>
      </c>
      <c r="T119" s="5">
        <f>Table1[[#This Row],[TotalSelling_Price]]*Table1[[#This Row],[Qty_Sold]]</f>
        <v>32384</v>
      </c>
      <c r="U119" s="5">
        <f>Table1[[#This Row],[SP_Qty_Sold]]-Table1[[#This Row],[CP_Qty_Sold]]</f>
        <v>7406</v>
      </c>
      <c r="V119" s="9">
        <f t="shared" si="1"/>
        <v>45147</v>
      </c>
      <c r="W119" s="5" t="s">
        <v>352</v>
      </c>
    </row>
    <row r="120" spans="1:23" x14ac:dyDescent="0.35">
      <c r="A120" t="s">
        <v>306</v>
      </c>
      <c r="B120" t="s">
        <v>27</v>
      </c>
      <c r="C120" t="s">
        <v>146</v>
      </c>
      <c r="D120">
        <f>VLOOKUP(Table1[[#This Row],[Product_Category]],HSNTABLE,2,FALSE)</f>
        <v>2552</v>
      </c>
      <c r="E120">
        <v>732</v>
      </c>
      <c r="F120" s="3">
        <f>VLOOKUP(Table1[[#This Row],[Product_Category]],HSNTABLE,3,FALSE)</f>
        <v>0.18</v>
      </c>
      <c r="G120">
        <f>Table1[[#This Row],[Cost_Price]]*Table1[[#This Row],[GST%]]</f>
        <v>131.76</v>
      </c>
      <c r="H120" s="5">
        <f>ROUNDUP(Table1[[#This Row],[Cost_Price]]+Table1[[#This Row],[GST_AMT]],0)</f>
        <v>864</v>
      </c>
      <c r="I120" s="3">
        <f>VLOOKUP(Table1[[#This Row],[Product_Category]],HSNTABLE,4,FALSE)</f>
        <v>0.25</v>
      </c>
      <c r="J120" s="5">
        <f>Table1[[#This Row],[Total_CP]]*Table1[[#This Row],[Margin%]]</f>
        <v>216</v>
      </c>
      <c r="K120" s="5">
        <f>Table1[[#This Row],[Margin_amt]]*Table1[[#This Row],[GST%]]</f>
        <v>38.879999999999995</v>
      </c>
      <c r="L120" s="5">
        <f>ROUNDUP(Table1[[#This Row],[Total_CP]]+Table1[[#This Row],[Margin_amt]]+Table1[[#This Row],[Gst_on_Margin_amt]],0)</f>
        <v>1119</v>
      </c>
      <c r="M120" t="s">
        <v>185</v>
      </c>
      <c r="N120" t="str">
        <f>VLOOKUP(Table1[[#This Row],[Godown]],MasterSheet!$F$1:$G$5,2,FALSE)</f>
        <v>West</v>
      </c>
      <c r="O120" t="s">
        <v>344</v>
      </c>
      <c r="P120">
        <f>100</f>
        <v>100</v>
      </c>
      <c r="Q120">
        <v>21</v>
      </c>
      <c r="R120" s="5">
        <f>Table1[[#This Row],[Total_CP]]*Table1[[#This Row],[Qty_Purchased]]</f>
        <v>86400</v>
      </c>
      <c r="S120" s="5">
        <f>Table1[[#This Row],[Total_CP]]*Table1[[#This Row],[Qty_Sold]]</f>
        <v>18144</v>
      </c>
      <c r="T120" s="5">
        <f>Table1[[#This Row],[TotalSelling_Price]]*Table1[[#This Row],[Qty_Sold]]</f>
        <v>23499</v>
      </c>
      <c r="U120" s="5">
        <f>Table1[[#This Row],[SP_Qty_Sold]]-Table1[[#This Row],[CP_Qty_Sold]]</f>
        <v>5355</v>
      </c>
      <c r="V120" s="9">
        <f t="shared" si="1"/>
        <v>45152</v>
      </c>
      <c r="W120" s="5" t="s">
        <v>351</v>
      </c>
    </row>
    <row r="121" spans="1:23" x14ac:dyDescent="0.35">
      <c r="A121" t="s">
        <v>307</v>
      </c>
      <c r="B121" t="s">
        <v>27</v>
      </c>
      <c r="C121" t="s">
        <v>147</v>
      </c>
      <c r="D121">
        <f>VLOOKUP(Table1[[#This Row],[Product_Category]],HSNTABLE,2,FALSE)</f>
        <v>2552</v>
      </c>
      <c r="E121">
        <v>327</v>
      </c>
      <c r="F121" s="3">
        <f>VLOOKUP(Table1[[#This Row],[Product_Category]],HSNTABLE,3,FALSE)</f>
        <v>0.18</v>
      </c>
      <c r="G121">
        <f>Table1[[#This Row],[Cost_Price]]*Table1[[#This Row],[GST%]]</f>
        <v>58.86</v>
      </c>
      <c r="H121" s="5">
        <f>ROUNDUP(Table1[[#This Row],[Cost_Price]]+Table1[[#This Row],[GST_AMT]],0)</f>
        <v>386</v>
      </c>
      <c r="I121" s="3">
        <f>VLOOKUP(Table1[[#This Row],[Product_Category]],HSNTABLE,4,FALSE)</f>
        <v>0.25</v>
      </c>
      <c r="J121" s="5">
        <f>Table1[[#This Row],[Total_CP]]*Table1[[#This Row],[Margin%]]</f>
        <v>96.5</v>
      </c>
      <c r="K121" s="5">
        <f>Table1[[#This Row],[Margin_amt]]*Table1[[#This Row],[GST%]]</f>
        <v>17.37</v>
      </c>
      <c r="L121" s="5">
        <f>ROUNDUP(Table1[[#This Row],[Total_CP]]+Table1[[#This Row],[Margin_amt]]+Table1[[#This Row],[Gst_on_Margin_amt]],0)</f>
        <v>500</v>
      </c>
      <c r="M121" t="s">
        <v>185</v>
      </c>
      <c r="N121" t="str">
        <f>VLOOKUP(Table1[[#This Row],[Godown]],MasterSheet!$F$1:$G$5,2,FALSE)</f>
        <v>West</v>
      </c>
      <c r="O121" t="s">
        <v>341</v>
      </c>
      <c r="P121">
        <f>100</f>
        <v>100</v>
      </c>
      <c r="Q121">
        <v>33</v>
      </c>
      <c r="R121" s="5">
        <f>Table1[[#This Row],[Total_CP]]*Table1[[#This Row],[Qty_Purchased]]</f>
        <v>38600</v>
      </c>
      <c r="S121" s="5">
        <f>Table1[[#This Row],[Total_CP]]*Table1[[#This Row],[Qty_Sold]]</f>
        <v>12738</v>
      </c>
      <c r="T121" s="5">
        <f>Table1[[#This Row],[TotalSelling_Price]]*Table1[[#This Row],[Qty_Sold]]</f>
        <v>16500</v>
      </c>
      <c r="U121" s="5">
        <f>Table1[[#This Row],[SP_Qty_Sold]]-Table1[[#This Row],[CP_Qty_Sold]]</f>
        <v>3762</v>
      </c>
      <c r="V121" s="9">
        <f t="shared" si="1"/>
        <v>45157</v>
      </c>
      <c r="W121" s="5" t="s">
        <v>352</v>
      </c>
    </row>
    <row r="122" spans="1:23" x14ac:dyDescent="0.35">
      <c r="A122" t="s">
        <v>308</v>
      </c>
      <c r="B122" t="s">
        <v>27</v>
      </c>
      <c r="C122" t="s">
        <v>148</v>
      </c>
      <c r="D122">
        <f>VLOOKUP(Table1[[#This Row],[Product_Category]],HSNTABLE,2,FALSE)</f>
        <v>2552</v>
      </c>
      <c r="E122">
        <v>769</v>
      </c>
      <c r="F122" s="3">
        <f>VLOOKUP(Table1[[#This Row],[Product_Category]],HSNTABLE,3,FALSE)</f>
        <v>0.18</v>
      </c>
      <c r="G122">
        <f>Table1[[#This Row],[Cost_Price]]*Table1[[#This Row],[GST%]]</f>
        <v>138.41999999999999</v>
      </c>
      <c r="H122" s="5">
        <f>ROUNDUP(Table1[[#This Row],[Cost_Price]]+Table1[[#This Row],[GST_AMT]],0)</f>
        <v>908</v>
      </c>
      <c r="I122" s="3">
        <f>VLOOKUP(Table1[[#This Row],[Product_Category]],HSNTABLE,4,FALSE)</f>
        <v>0.25</v>
      </c>
      <c r="J122" s="5">
        <f>Table1[[#This Row],[Total_CP]]*Table1[[#This Row],[Margin%]]</f>
        <v>227</v>
      </c>
      <c r="K122" s="5">
        <f>Table1[[#This Row],[Margin_amt]]*Table1[[#This Row],[GST%]]</f>
        <v>40.86</v>
      </c>
      <c r="L122" s="5">
        <f>ROUNDUP(Table1[[#This Row],[Total_CP]]+Table1[[#This Row],[Margin_amt]]+Table1[[#This Row],[Gst_on_Margin_amt]],0)</f>
        <v>1176</v>
      </c>
      <c r="M122" t="s">
        <v>185</v>
      </c>
      <c r="N122" t="str">
        <f>VLOOKUP(Table1[[#This Row],[Godown]],MasterSheet!$F$1:$G$5,2,FALSE)</f>
        <v>West</v>
      </c>
      <c r="O122" t="s">
        <v>341</v>
      </c>
      <c r="P122">
        <f>100</f>
        <v>100</v>
      </c>
      <c r="Q122">
        <v>47</v>
      </c>
      <c r="R122" s="5">
        <f>Table1[[#This Row],[Total_CP]]*Table1[[#This Row],[Qty_Purchased]]</f>
        <v>90800</v>
      </c>
      <c r="S122" s="5">
        <f>Table1[[#This Row],[Total_CP]]*Table1[[#This Row],[Qty_Sold]]</f>
        <v>42676</v>
      </c>
      <c r="T122" s="5">
        <f>Table1[[#This Row],[TotalSelling_Price]]*Table1[[#This Row],[Qty_Sold]]</f>
        <v>55272</v>
      </c>
      <c r="U122" s="5">
        <f>Table1[[#This Row],[SP_Qty_Sold]]-Table1[[#This Row],[CP_Qty_Sold]]</f>
        <v>12596</v>
      </c>
      <c r="V122" s="9">
        <f t="shared" si="1"/>
        <v>45162</v>
      </c>
      <c r="W122" s="5" t="s">
        <v>351</v>
      </c>
    </row>
    <row r="123" spans="1:23" x14ac:dyDescent="0.35">
      <c r="A123" t="s">
        <v>309</v>
      </c>
      <c r="B123" t="s">
        <v>338</v>
      </c>
      <c r="C123" t="s">
        <v>149</v>
      </c>
      <c r="D123">
        <f>VLOOKUP(Table1[[#This Row],[Product_Category]],HSNTABLE,2,FALSE)</f>
        <v>5811</v>
      </c>
      <c r="E123">
        <v>955</v>
      </c>
      <c r="F123" s="3">
        <f>VLOOKUP(Table1[[#This Row],[Product_Category]],HSNTABLE,3,FALSE)</f>
        <v>0.18</v>
      </c>
      <c r="G123">
        <f>Table1[[#This Row],[Cost_Price]]*Table1[[#This Row],[GST%]]</f>
        <v>171.9</v>
      </c>
      <c r="H123" s="5">
        <f>ROUNDUP(Table1[[#This Row],[Cost_Price]]+Table1[[#This Row],[GST_AMT]],0)</f>
        <v>1127</v>
      </c>
      <c r="I123" s="3">
        <f>VLOOKUP(Table1[[#This Row],[Product_Category]],HSNTABLE,4,FALSE)</f>
        <v>0.35</v>
      </c>
      <c r="J123" s="5">
        <f>Table1[[#This Row],[Total_CP]]*Table1[[#This Row],[Margin%]]</f>
        <v>394.45</v>
      </c>
      <c r="K123" s="5">
        <f>Table1[[#This Row],[Margin_amt]]*Table1[[#This Row],[GST%]]</f>
        <v>71.000999999999991</v>
      </c>
      <c r="L123" s="5">
        <f>ROUNDUP(Table1[[#This Row],[Total_CP]]+Table1[[#This Row],[Margin_amt]]+Table1[[#This Row],[Gst_on_Margin_amt]],0)</f>
        <v>1593</v>
      </c>
      <c r="M123" t="s">
        <v>184</v>
      </c>
      <c r="N123" t="str">
        <f>VLOOKUP(Table1[[#This Row],[Godown]],MasterSheet!$F$1:$G$5,2,FALSE)</f>
        <v>East</v>
      </c>
      <c r="O123" t="s">
        <v>340</v>
      </c>
      <c r="P123">
        <f>100</f>
        <v>100</v>
      </c>
      <c r="Q123">
        <v>30</v>
      </c>
      <c r="R123" s="5">
        <f>Table1[[#This Row],[Total_CP]]*Table1[[#This Row],[Qty_Purchased]]</f>
        <v>112700</v>
      </c>
      <c r="S123" s="5">
        <f>Table1[[#This Row],[Total_CP]]*Table1[[#This Row],[Qty_Sold]]</f>
        <v>33810</v>
      </c>
      <c r="T123" s="5">
        <f>Table1[[#This Row],[TotalSelling_Price]]*Table1[[#This Row],[Qty_Sold]]</f>
        <v>47790</v>
      </c>
      <c r="U123" s="5">
        <f>Table1[[#This Row],[SP_Qty_Sold]]-Table1[[#This Row],[CP_Qty_Sold]]</f>
        <v>13980</v>
      </c>
      <c r="V123" s="9">
        <f t="shared" si="1"/>
        <v>45167</v>
      </c>
      <c r="W123" s="5" t="s">
        <v>352</v>
      </c>
    </row>
    <row r="124" spans="1:23" x14ac:dyDescent="0.35">
      <c r="A124" t="s">
        <v>310</v>
      </c>
      <c r="B124" t="s">
        <v>338</v>
      </c>
      <c r="C124" t="s">
        <v>150</v>
      </c>
      <c r="D124">
        <f>VLOOKUP(Table1[[#This Row],[Product_Category]],HSNTABLE,2,FALSE)</f>
        <v>5811</v>
      </c>
      <c r="E124">
        <v>667</v>
      </c>
      <c r="F124" s="3">
        <f>VLOOKUP(Table1[[#This Row],[Product_Category]],HSNTABLE,3,FALSE)</f>
        <v>0.18</v>
      </c>
      <c r="G124">
        <f>Table1[[#This Row],[Cost_Price]]*Table1[[#This Row],[GST%]]</f>
        <v>120.06</v>
      </c>
      <c r="H124" s="5">
        <f>ROUNDUP(Table1[[#This Row],[Cost_Price]]+Table1[[#This Row],[GST_AMT]],0)</f>
        <v>788</v>
      </c>
      <c r="I124" s="3">
        <f>VLOOKUP(Table1[[#This Row],[Product_Category]],HSNTABLE,4,FALSE)</f>
        <v>0.35</v>
      </c>
      <c r="J124" s="5">
        <f>Table1[[#This Row],[Total_CP]]*Table1[[#This Row],[Margin%]]</f>
        <v>275.79999999999995</v>
      </c>
      <c r="K124" s="5">
        <f>Table1[[#This Row],[Margin_amt]]*Table1[[#This Row],[GST%]]</f>
        <v>49.643999999999991</v>
      </c>
      <c r="L124" s="5">
        <f>ROUNDUP(Table1[[#This Row],[Total_CP]]+Table1[[#This Row],[Margin_amt]]+Table1[[#This Row],[Gst_on_Margin_amt]],0)</f>
        <v>1114</v>
      </c>
      <c r="M124" t="s">
        <v>184</v>
      </c>
      <c r="N124" t="str">
        <f>VLOOKUP(Table1[[#This Row],[Godown]],MasterSheet!$F$1:$G$5,2,FALSE)</f>
        <v>East</v>
      </c>
      <c r="O124" t="s">
        <v>340</v>
      </c>
      <c r="P124">
        <f>100</f>
        <v>100</v>
      </c>
      <c r="Q124">
        <v>42</v>
      </c>
      <c r="R124" s="5">
        <f>Table1[[#This Row],[Total_CP]]*Table1[[#This Row],[Qty_Purchased]]</f>
        <v>78800</v>
      </c>
      <c r="S124" s="5">
        <f>Table1[[#This Row],[Total_CP]]*Table1[[#This Row],[Qty_Sold]]</f>
        <v>33096</v>
      </c>
      <c r="T124" s="5">
        <f>Table1[[#This Row],[TotalSelling_Price]]*Table1[[#This Row],[Qty_Sold]]</f>
        <v>46788</v>
      </c>
      <c r="U124" s="5">
        <f>Table1[[#This Row],[SP_Qty_Sold]]-Table1[[#This Row],[CP_Qty_Sold]]</f>
        <v>13692</v>
      </c>
      <c r="V124" s="9">
        <f t="shared" si="1"/>
        <v>45172</v>
      </c>
      <c r="W124" s="5" t="s">
        <v>352</v>
      </c>
    </row>
    <row r="125" spans="1:23" x14ac:dyDescent="0.35">
      <c r="A125" t="s">
        <v>311</v>
      </c>
      <c r="B125" t="s">
        <v>338</v>
      </c>
      <c r="C125" t="s">
        <v>151</v>
      </c>
      <c r="D125">
        <f>VLOOKUP(Table1[[#This Row],[Product_Category]],HSNTABLE,2,FALSE)</f>
        <v>5811</v>
      </c>
      <c r="E125">
        <v>704</v>
      </c>
      <c r="F125" s="3">
        <f>VLOOKUP(Table1[[#This Row],[Product_Category]],HSNTABLE,3,FALSE)</f>
        <v>0.18</v>
      </c>
      <c r="G125">
        <f>Table1[[#This Row],[Cost_Price]]*Table1[[#This Row],[GST%]]</f>
        <v>126.72</v>
      </c>
      <c r="H125" s="5">
        <f>ROUNDUP(Table1[[#This Row],[Cost_Price]]+Table1[[#This Row],[GST_AMT]],0)</f>
        <v>831</v>
      </c>
      <c r="I125" s="3">
        <f>VLOOKUP(Table1[[#This Row],[Product_Category]],HSNTABLE,4,FALSE)</f>
        <v>0.35</v>
      </c>
      <c r="J125" s="5">
        <f>Table1[[#This Row],[Total_CP]]*Table1[[#This Row],[Margin%]]</f>
        <v>290.84999999999997</v>
      </c>
      <c r="K125" s="5">
        <f>Table1[[#This Row],[Margin_amt]]*Table1[[#This Row],[GST%]]</f>
        <v>52.352999999999994</v>
      </c>
      <c r="L125" s="5">
        <f>ROUNDUP(Table1[[#This Row],[Total_CP]]+Table1[[#This Row],[Margin_amt]]+Table1[[#This Row],[Gst_on_Margin_amt]],0)</f>
        <v>1175</v>
      </c>
      <c r="M125" t="s">
        <v>184</v>
      </c>
      <c r="N125" t="str">
        <f>VLOOKUP(Table1[[#This Row],[Godown]],MasterSheet!$F$1:$G$5,2,FALSE)</f>
        <v>East</v>
      </c>
      <c r="O125" t="s">
        <v>339</v>
      </c>
      <c r="P125">
        <f>100</f>
        <v>100</v>
      </c>
      <c r="Q125">
        <v>36</v>
      </c>
      <c r="R125" s="5">
        <f>Table1[[#This Row],[Total_CP]]*Table1[[#This Row],[Qty_Purchased]]</f>
        <v>83100</v>
      </c>
      <c r="S125" s="5">
        <f>Table1[[#This Row],[Total_CP]]*Table1[[#This Row],[Qty_Sold]]</f>
        <v>29916</v>
      </c>
      <c r="T125" s="5">
        <f>Table1[[#This Row],[TotalSelling_Price]]*Table1[[#This Row],[Qty_Sold]]</f>
        <v>42300</v>
      </c>
      <c r="U125" s="5">
        <f>Table1[[#This Row],[SP_Qty_Sold]]-Table1[[#This Row],[CP_Qty_Sold]]</f>
        <v>12384</v>
      </c>
      <c r="V125" s="9">
        <f t="shared" si="1"/>
        <v>45177</v>
      </c>
      <c r="W125" s="5" t="s">
        <v>351</v>
      </c>
    </row>
    <row r="126" spans="1:23" x14ac:dyDescent="0.35">
      <c r="A126" t="s">
        <v>312</v>
      </c>
      <c r="B126" t="s">
        <v>338</v>
      </c>
      <c r="C126" t="s">
        <v>152</v>
      </c>
      <c r="D126">
        <f>VLOOKUP(Table1[[#This Row],[Product_Category]],HSNTABLE,2,FALSE)</f>
        <v>5811</v>
      </c>
      <c r="E126">
        <v>637</v>
      </c>
      <c r="F126" s="3">
        <f>VLOOKUP(Table1[[#This Row],[Product_Category]],HSNTABLE,3,FALSE)</f>
        <v>0.18</v>
      </c>
      <c r="G126">
        <f>Table1[[#This Row],[Cost_Price]]*Table1[[#This Row],[GST%]]</f>
        <v>114.66</v>
      </c>
      <c r="H126" s="5">
        <f>ROUNDUP(Table1[[#This Row],[Cost_Price]]+Table1[[#This Row],[GST_AMT]],0)</f>
        <v>752</v>
      </c>
      <c r="I126" s="3">
        <f>VLOOKUP(Table1[[#This Row],[Product_Category]],HSNTABLE,4,FALSE)</f>
        <v>0.35</v>
      </c>
      <c r="J126" s="5">
        <f>Table1[[#This Row],[Total_CP]]*Table1[[#This Row],[Margin%]]</f>
        <v>263.2</v>
      </c>
      <c r="K126" s="5">
        <f>Table1[[#This Row],[Margin_amt]]*Table1[[#This Row],[GST%]]</f>
        <v>47.375999999999998</v>
      </c>
      <c r="L126" s="5">
        <f>ROUNDUP(Table1[[#This Row],[Total_CP]]+Table1[[#This Row],[Margin_amt]]+Table1[[#This Row],[Gst_on_Margin_amt]],0)</f>
        <v>1063</v>
      </c>
      <c r="M126" t="s">
        <v>183</v>
      </c>
      <c r="N126" t="str">
        <f>VLOOKUP(Table1[[#This Row],[Godown]],MasterSheet!$F$1:$G$5,2,FALSE)</f>
        <v>South</v>
      </c>
      <c r="O126" t="s">
        <v>340</v>
      </c>
      <c r="P126">
        <f>100</f>
        <v>100</v>
      </c>
      <c r="Q126">
        <v>39</v>
      </c>
      <c r="R126" s="5">
        <f>Table1[[#This Row],[Total_CP]]*Table1[[#This Row],[Qty_Purchased]]</f>
        <v>75200</v>
      </c>
      <c r="S126" s="5">
        <f>Table1[[#This Row],[Total_CP]]*Table1[[#This Row],[Qty_Sold]]</f>
        <v>29328</v>
      </c>
      <c r="T126" s="5">
        <f>Table1[[#This Row],[TotalSelling_Price]]*Table1[[#This Row],[Qty_Sold]]</f>
        <v>41457</v>
      </c>
      <c r="U126" s="5">
        <f>Table1[[#This Row],[SP_Qty_Sold]]-Table1[[#This Row],[CP_Qty_Sold]]</f>
        <v>12129</v>
      </c>
      <c r="V126" s="9">
        <f t="shared" si="1"/>
        <v>45182</v>
      </c>
      <c r="W126" s="5" t="s">
        <v>351</v>
      </c>
    </row>
    <row r="127" spans="1:23" x14ac:dyDescent="0.35">
      <c r="A127" t="s">
        <v>313</v>
      </c>
      <c r="B127" t="s">
        <v>338</v>
      </c>
      <c r="C127" t="s">
        <v>153</v>
      </c>
      <c r="D127">
        <f>VLOOKUP(Table1[[#This Row],[Product_Category]],HSNTABLE,2,FALSE)</f>
        <v>5811</v>
      </c>
      <c r="E127">
        <v>914</v>
      </c>
      <c r="F127" s="3">
        <f>VLOOKUP(Table1[[#This Row],[Product_Category]],HSNTABLE,3,FALSE)</f>
        <v>0.18</v>
      </c>
      <c r="G127">
        <f>Table1[[#This Row],[Cost_Price]]*Table1[[#This Row],[GST%]]</f>
        <v>164.51999999999998</v>
      </c>
      <c r="H127" s="5">
        <f>ROUNDUP(Table1[[#This Row],[Cost_Price]]+Table1[[#This Row],[GST_AMT]],0)</f>
        <v>1079</v>
      </c>
      <c r="I127" s="3">
        <f>VLOOKUP(Table1[[#This Row],[Product_Category]],HSNTABLE,4,FALSE)</f>
        <v>0.35</v>
      </c>
      <c r="J127" s="5">
        <f>Table1[[#This Row],[Total_CP]]*Table1[[#This Row],[Margin%]]</f>
        <v>377.65</v>
      </c>
      <c r="K127" s="5">
        <f>Table1[[#This Row],[Margin_amt]]*Table1[[#This Row],[GST%]]</f>
        <v>67.97699999999999</v>
      </c>
      <c r="L127" s="5">
        <f>ROUNDUP(Table1[[#This Row],[Total_CP]]+Table1[[#This Row],[Margin_amt]]+Table1[[#This Row],[Gst_on_Margin_amt]],0)</f>
        <v>1525</v>
      </c>
      <c r="M127" t="s">
        <v>185</v>
      </c>
      <c r="N127" t="str">
        <f>VLOOKUP(Table1[[#This Row],[Godown]],MasterSheet!$F$1:$G$5,2,FALSE)</f>
        <v>West</v>
      </c>
      <c r="O127" t="s">
        <v>344</v>
      </c>
      <c r="P127">
        <f>100</f>
        <v>100</v>
      </c>
      <c r="Q127">
        <v>31</v>
      </c>
      <c r="R127" s="5">
        <f>Table1[[#This Row],[Total_CP]]*Table1[[#This Row],[Qty_Purchased]]</f>
        <v>107900</v>
      </c>
      <c r="S127" s="5">
        <f>Table1[[#This Row],[Total_CP]]*Table1[[#This Row],[Qty_Sold]]</f>
        <v>33449</v>
      </c>
      <c r="T127" s="5">
        <f>Table1[[#This Row],[TotalSelling_Price]]*Table1[[#This Row],[Qty_Sold]]</f>
        <v>47275</v>
      </c>
      <c r="U127" s="5">
        <f>Table1[[#This Row],[SP_Qty_Sold]]-Table1[[#This Row],[CP_Qty_Sold]]</f>
        <v>13826</v>
      </c>
      <c r="V127" s="9">
        <f t="shared" si="1"/>
        <v>45187</v>
      </c>
      <c r="W127" s="5" t="s">
        <v>352</v>
      </c>
    </row>
    <row r="128" spans="1:23" x14ac:dyDescent="0.35">
      <c r="A128" t="s">
        <v>314</v>
      </c>
      <c r="B128" t="s">
        <v>338</v>
      </c>
      <c r="C128" t="s">
        <v>154</v>
      </c>
      <c r="D128">
        <f>VLOOKUP(Table1[[#This Row],[Product_Category]],HSNTABLE,2,FALSE)</f>
        <v>5811</v>
      </c>
      <c r="E128">
        <v>681</v>
      </c>
      <c r="F128" s="3">
        <f>VLOOKUP(Table1[[#This Row],[Product_Category]],HSNTABLE,3,FALSE)</f>
        <v>0.18</v>
      </c>
      <c r="G128">
        <f>Table1[[#This Row],[Cost_Price]]*Table1[[#This Row],[GST%]]</f>
        <v>122.58</v>
      </c>
      <c r="H128" s="5">
        <f>ROUNDUP(Table1[[#This Row],[Cost_Price]]+Table1[[#This Row],[GST_AMT]],0)</f>
        <v>804</v>
      </c>
      <c r="I128" s="3">
        <f>VLOOKUP(Table1[[#This Row],[Product_Category]],HSNTABLE,4,FALSE)</f>
        <v>0.35</v>
      </c>
      <c r="J128" s="5">
        <f>Table1[[#This Row],[Total_CP]]*Table1[[#This Row],[Margin%]]</f>
        <v>281.39999999999998</v>
      </c>
      <c r="K128" s="5">
        <f>Table1[[#This Row],[Margin_amt]]*Table1[[#This Row],[GST%]]</f>
        <v>50.651999999999994</v>
      </c>
      <c r="L128" s="5">
        <f>ROUNDUP(Table1[[#This Row],[Total_CP]]+Table1[[#This Row],[Margin_amt]]+Table1[[#This Row],[Gst_on_Margin_amt]],0)</f>
        <v>1137</v>
      </c>
      <c r="M128" t="s">
        <v>185</v>
      </c>
      <c r="N128" t="str">
        <f>VLOOKUP(Table1[[#This Row],[Godown]],MasterSheet!$F$1:$G$5,2,FALSE)</f>
        <v>West</v>
      </c>
      <c r="O128" t="s">
        <v>343</v>
      </c>
      <c r="P128">
        <f>100</f>
        <v>100</v>
      </c>
      <c r="Q128">
        <v>23</v>
      </c>
      <c r="R128" s="5">
        <f>Table1[[#This Row],[Total_CP]]*Table1[[#This Row],[Qty_Purchased]]</f>
        <v>80400</v>
      </c>
      <c r="S128" s="5">
        <f>Table1[[#This Row],[Total_CP]]*Table1[[#This Row],[Qty_Sold]]</f>
        <v>18492</v>
      </c>
      <c r="T128" s="5">
        <f>Table1[[#This Row],[TotalSelling_Price]]*Table1[[#This Row],[Qty_Sold]]</f>
        <v>26151</v>
      </c>
      <c r="U128" s="5">
        <f>Table1[[#This Row],[SP_Qty_Sold]]-Table1[[#This Row],[CP_Qty_Sold]]</f>
        <v>7659</v>
      </c>
      <c r="V128" s="9">
        <f t="shared" si="1"/>
        <v>45192</v>
      </c>
      <c r="W128" s="5" t="s">
        <v>351</v>
      </c>
    </row>
    <row r="129" spans="1:23" x14ac:dyDescent="0.35">
      <c r="A129" t="s">
        <v>315</v>
      </c>
      <c r="B129" t="s">
        <v>338</v>
      </c>
      <c r="C129" t="s">
        <v>155</v>
      </c>
      <c r="D129">
        <f>VLOOKUP(Table1[[#This Row],[Product_Category]],HSNTABLE,2,FALSE)</f>
        <v>5811</v>
      </c>
      <c r="E129">
        <v>940</v>
      </c>
      <c r="F129" s="3">
        <f>VLOOKUP(Table1[[#This Row],[Product_Category]],HSNTABLE,3,FALSE)</f>
        <v>0.18</v>
      </c>
      <c r="G129">
        <f>Table1[[#This Row],[Cost_Price]]*Table1[[#This Row],[GST%]]</f>
        <v>169.2</v>
      </c>
      <c r="H129" s="5">
        <f>ROUNDUP(Table1[[#This Row],[Cost_Price]]+Table1[[#This Row],[GST_AMT]],0)</f>
        <v>1110</v>
      </c>
      <c r="I129" s="3">
        <f>VLOOKUP(Table1[[#This Row],[Product_Category]],HSNTABLE,4,FALSE)</f>
        <v>0.35</v>
      </c>
      <c r="J129" s="5">
        <f>Table1[[#This Row],[Total_CP]]*Table1[[#This Row],[Margin%]]</f>
        <v>388.5</v>
      </c>
      <c r="K129" s="5">
        <f>Table1[[#This Row],[Margin_amt]]*Table1[[#This Row],[GST%]]</f>
        <v>69.929999999999993</v>
      </c>
      <c r="L129" s="5">
        <f>ROUNDUP(Table1[[#This Row],[Total_CP]]+Table1[[#This Row],[Margin_amt]]+Table1[[#This Row],[Gst_on_Margin_amt]],0)</f>
        <v>1569</v>
      </c>
      <c r="M129" t="s">
        <v>183</v>
      </c>
      <c r="N129" t="str">
        <f>VLOOKUP(Table1[[#This Row],[Godown]],MasterSheet!$F$1:$G$5,2,FALSE)</f>
        <v>South</v>
      </c>
      <c r="O129" t="s">
        <v>341</v>
      </c>
      <c r="P129">
        <f>100</f>
        <v>100</v>
      </c>
      <c r="Q129">
        <v>48</v>
      </c>
      <c r="R129" s="5">
        <f>Table1[[#This Row],[Total_CP]]*Table1[[#This Row],[Qty_Purchased]]</f>
        <v>111000</v>
      </c>
      <c r="S129" s="5">
        <f>Table1[[#This Row],[Total_CP]]*Table1[[#This Row],[Qty_Sold]]</f>
        <v>53280</v>
      </c>
      <c r="T129" s="5">
        <f>Table1[[#This Row],[TotalSelling_Price]]*Table1[[#This Row],[Qty_Sold]]</f>
        <v>75312</v>
      </c>
      <c r="U129" s="5">
        <f>Table1[[#This Row],[SP_Qty_Sold]]-Table1[[#This Row],[CP_Qty_Sold]]</f>
        <v>22032</v>
      </c>
      <c r="V129" s="9">
        <f t="shared" si="1"/>
        <v>45197</v>
      </c>
      <c r="W129" s="5" t="s">
        <v>351</v>
      </c>
    </row>
    <row r="130" spans="1:23" x14ac:dyDescent="0.35">
      <c r="A130" t="s">
        <v>316</v>
      </c>
      <c r="B130" t="s">
        <v>338</v>
      </c>
      <c r="C130" t="s">
        <v>156</v>
      </c>
      <c r="D130">
        <f>VLOOKUP(Table1[[#This Row],[Product_Category]],HSNTABLE,2,FALSE)</f>
        <v>5811</v>
      </c>
      <c r="E130">
        <v>263</v>
      </c>
      <c r="F130" s="3">
        <f>VLOOKUP(Table1[[#This Row],[Product_Category]],HSNTABLE,3,FALSE)</f>
        <v>0.18</v>
      </c>
      <c r="G130">
        <f>Table1[[#This Row],[Cost_Price]]*Table1[[#This Row],[GST%]]</f>
        <v>47.339999999999996</v>
      </c>
      <c r="H130" s="5">
        <f>ROUNDUP(Table1[[#This Row],[Cost_Price]]+Table1[[#This Row],[GST_AMT]],0)</f>
        <v>311</v>
      </c>
      <c r="I130" s="3">
        <f>VLOOKUP(Table1[[#This Row],[Product_Category]],HSNTABLE,4,FALSE)</f>
        <v>0.35</v>
      </c>
      <c r="J130" s="5">
        <f>Table1[[#This Row],[Total_CP]]*Table1[[#This Row],[Margin%]]</f>
        <v>108.85</v>
      </c>
      <c r="K130" s="5">
        <f>Table1[[#This Row],[Margin_amt]]*Table1[[#This Row],[GST%]]</f>
        <v>19.593</v>
      </c>
      <c r="L130" s="5">
        <f>ROUNDUP(Table1[[#This Row],[Total_CP]]+Table1[[#This Row],[Margin_amt]]+Table1[[#This Row],[Gst_on_Margin_amt]],0)</f>
        <v>440</v>
      </c>
      <c r="M130" t="s">
        <v>183</v>
      </c>
      <c r="N130" t="str">
        <f>VLOOKUP(Table1[[#This Row],[Godown]],MasterSheet!$F$1:$G$5,2,FALSE)</f>
        <v>South</v>
      </c>
      <c r="O130" t="s">
        <v>341</v>
      </c>
      <c r="P130">
        <f>100</f>
        <v>100</v>
      </c>
      <c r="Q130">
        <v>41</v>
      </c>
      <c r="R130" s="5">
        <f>Table1[[#This Row],[Total_CP]]*Table1[[#This Row],[Qty_Purchased]]</f>
        <v>31100</v>
      </c>
      <c r="S130" s="5">
        <f>Table1[[#This Row],[Total_CP]]*Table1[[#This Row],[Qty_Sold]]</f>
        <v>12751</v>
      </c>
      <c r="T130" s="5">
        <f>Table1[[#This Row],[TotalSelling_Price]]*Table1[[#This Row],[Qty_Sold]]</f>
        <v>18040</v>
      </c>
      <c r="U130" s="5">
        <f>Table1[[#This Row],[SP_Qty_Sold]]-Table1[[#This Row],[CP_Qty_Sold]]</f>
        <v>5289</v>
      </c>
      <c r="V130" s="9">
        <f t="shared" si="1"/>
        <v>45202</v>
      </c>
      <c r="W130" s="5" t="s">
        <v>352</v>
      </c>
    </row>
    <row r="131" spans="1:23" x14ac:dyDescent="0.35">
      <c r="A131" t="s">
        <v>317</v>
      </c>
      <c r="B131" t="s">
        <v>338</v>
      </c>
      <c r="C131" t="s">
        <v>157</v>
      </c>
      <c r="D131">
        <f>VLOOKUP(Table1[[#This Row],[Product_Category]],HSNTABLE,2,FALSE)</f>
        <v>5811</v>
      </c>
      <c r="E131">
        <v>815</v>
      </c>
      <c r="F131" s="3">
        <f>VLOOKUP(Table1[[#This Row],[Product_Category]],HSNTABLE,3,FALSE)</f>
        <v>0.18</v>
      </c>
      <c r="G131">
        <f>Table1[[#This Row],[Cost_Price]]*Table1[[#This Row],[GST%]]</f>
        <v>146.69999999999999</v>
      </c>
      <c r="H131" s="5">
        <f>ROUNDUP(Table1[[#This Row],[Cost_Price]]+Table1[[#This Row],[GST_AMT]],0)</f>
        <v>962</v>
      </c>
      <c r="I131" s="3">
        <f>VLOOKUP(Table1[[#This Row],[Product_Category]],HSNTABLE,4,FALSE)</f>
        <v>0.35</v>
      </c>
      <c r="J131" s="5">
        <f>Table1[[#This Row],[Total_CP]]*Table1[[#This Row],[Margin%]]</f>
        <v>336.7</v>
      </c>
      <c r="K131" s="5">
        <f>Table1[[#This Row],[Margin_amt]]*Table1[[#This Row],[GST%]]</f>
        <v>60.605999999999995</v>
      </c>
      <c r="L131" s="5">
        <f>ROUNDUP(Table1[[#This Row],[Total_CP]]+Table1[[#This Row],[Margin_amt]]+Table1[[#This Row],[Gst_on_Margin_amt]],0)</f>
        <v>1360</v>
      </c>
      <c r="M131" t="s">
        <v>183</v>
      </c>
      <c r="N131" t="str">
        <f>VLOOKUP(Table1[[#This Row],[Godown]],MasterSheet!$F$1:$G$5,2,FALSE)</f>
        <v>South</v>
      </c>
      <c r="O131" t="s">
        <v>342</v>
      </c>
      <c r="P131">
        <f>100</f>
        <v>100</v>
      </c>
      <c r="Q131">
        <v>46</v>
      </c>
      <c r="R131" s="5">
        <f>Table1[[#This Row],[Total_CP]]*Table1[[#This Row],[Qty_Purchased]]</f>
        <v>96200</v>
      </c>
      <c r="S131" s="5">
        <f>Table1[[#This Row],[Total_CP]]*Table1[[#This Row],[Qty_Sold]]</f>
        <v>44252</v>
      </c>
      <c r="T131" s="5">
        <f>Table1[[#This Row],[TotalSelling_Price]]*Table1[[#This Row],[Qty_Sold]]</f>
        <v>62560</v>
      </c>
      <c r="U131" s="5">
        <f>Table1[[#This Row],[SP_Qty_Sold]]-Table1[[#This Row],[CP_Qty_Sold]]</f>
        <v>18308</v>
      </c>
      <c r="V131" s="9">
        <f t="shared" si="1"/>
        <v>45207</v>
      </c>
      <c r="W131" s="5" t="s">
        <v>351</v>
      </c>
    </row>
    <row r="132" spans="1:23" x14ac:dyDescent="0.35">
      <c r="A132" t="s">
        <v>318</v>
      </c>
      <c r="B132" t="s">
        <v>338</v>
      </c>
      <c r="C132" t="s">
        <v>158</v>
      </c>
      <c r="D132">
        <f>VLOOKUP(Table1[[#This Row],[Product_Category]],HSNTABLE,2,FALSE)</f>
        <v>5811</v>
      </c>
      <c r="E132">
        <v>888</v>
      </c>
      <c r="F132" s="3">
        <f>VLOOKUP(Table1[[#This Row],[Product_Category]],HSNTABLE,3,FALSE)</f>
        <v>0.18</v>
      </c>
      <c r="G132">
        <f>Table1[[#This Row],[Cost_Price]]*Table1[[#This Row],[GST%]]</f>
        <v>159.84</v>
      </c>
      <c r="H132" s="5">
        <f>ROUNDUP(Table1[[#This Row],[Cost_Price]]+Table1[[#This Row],[GST_AMT]],0)</f>
        <v>1048</v>
      </c>
      <c r="I132" s="3">
        <f>VLOOKUP(Table1[[#This Row],[Product_Category]],HSNTABLE,4,FALSE)</f>
        <v>0.35</v>
      </c>
      <c r="J132" s="5">
        <f>Table1[[#This Row],[Total_CP]]*Table1[[#This Row],[Margin%]]</f>
        <v>366.79999999999995</v>
      </c>
      <c r="K132" s="5">
        <f>Table1[[#This Row],[Margin_amt]]*Table1[[#This Row],[GST%]]</f>
        <v>66.023999999999987</v>
      </c>
      <c r="L132" s="5">
        <f>ROUNDUP(Table1[[#This Row],[Total_CP]]+Table1[[#This Row],[Margin_amt]]+Table1[[#This Row],[Gst_on_Margin_amt]],0)</f>
        <v>1481</v>
      </c>
      <c r="M132" t="s">
        <v>185</v>
      </c>
      <c r="N132" t="str">
        <f>VLOOKUP(Table1[[#This Row],[Godown]],MasterSheet!$F$1:$G$5,2,FALSE)</f>
        <v>West</v>
      </c>
      <c r="O132" t="s">
        <v>342</v>
      </c>
      <c r="P132">
        <f>100</f>
        <v>100</v>
      </c>
      <c r="Q132">
        <v>34</v>
      </c>
      <c r="R132" s="5">
        <f>Table1[[#This Row],[Total_CP]]*Table1[[#This Row],[Qty_Purchased]]</f>
        <v>104800</v>
      </c>
      <c r="S132" s="5">
        <f>Table1[[#This Row],[Total_CP]]*Table1[[#This Row],[Qty_Sold]]</f>
        <v>35632</v>
      </c>
      <c r="T132" s="5">
        <f>Table1[[#This Row],[TotalSelling_Price]]*Table1[[#This Row],[Qty_Sold]]</f>
        <v>50354</v>
      </c>
      <c r="U132" s="5">
        <f>Table1[[#This Row],[SP_Qty_Sold]]-Table1[[#This Row],[CP_Qty_Sold]]</f>
        <v>14722</v>
      </c>
      <c r="V132" s="9">
        <f t="shared" ref="V132:V151" si="2">V131+5</f>
        <v>45212</v>
      </c>
      <c r="W132" s="5" t="s">
        <v>352</v>
      </c>
    </row>
    <row r="133" spans="1:23" x14ac:dyDescent="0.35">
      <c r="A133" t="s">
        <v>319</v>
      </c>
      <c r="B133" t="s">
        <v>338</v>
      </c>
      <c r="C133" t="s">
        <v>159</v>
      </c>
      <c r="D133">
        <f>VLOOKUP(Table1[[#This Row],[Product_Category]],HSNTABLE,2,FALSE)</f>
        <v>5811</v>
      </c>
      <c r="E133">
        <v>107</v>
      </c>
      <c r="F133" s="3">
        <f>VLOOKUP(Table1[[#This Row],[Product_Category]],HSNTABLE,3,FALSE)</f>
        <v>0.18</v>
      </c>
      <c r="G133">
        <f>Table1[[#This Row],[Cost_Price]]*Table1[[#This Row],[GST%]]</f>
        <v>19.259999999999998</v>
      </c>
      <c r="H133" s="5">
        <f>ROUNDUP(Table1[[#This Row],[Cost_Price]]+Table1[[#This Row],[GST_AMT]],0)</f>
        <v>127</v>
      </c>
      <c r="I133" s="3">
        <f>VLOOKUP(Table1[[#This Row],[Product_Category]],HSNTABLE,4,FALSE)</f>
        <v>0.35</v>
      </c>
      <c r="J133" s="5">
        <f>Table1[[#This Row],[Total_CP]]*Table1[[#This Row],[Margin%]]</f>
        <v>44.449999999999996</v>
      </c>
      <c r="K133" s="5">
        <f>Table1[[#This Row],[Margin_amt]]*Table1[[#This Row],[GST%]]</f>
        <v>8.0009999999999994</v>
      </c>
      <c r="L133" s="5">
        <f>ROUNDUP(Table1[[#This Row],[Total_CP]]+Table1[[#This Row],[Margin_amt]]+Table1[[#This Row],[Gst_on_Margin_amt]],0)</f>
        <v>180</v>
      </c>
      <c r="M133" t="s">
        <v>183</v>
      </c>
      <c r="N133" t="str">
        <f>VLOOKUP(Table1[[#This Row],[Godown]],MasterSheet!$F$1:$G$5,2,FALSE)</f>
        <v>South</v>
      </c>
      <c r="O133" t="s">
        <v>343</v>
      </c>
      <c r="P133">
        <f>100</f>
        <v>100</v>
      </c>
      <c r="Q133">
        <v>49</v>
      </c>
      <c r="R133" s="5">
        <f>Table1[[#This Row],[Total_CP]]*Table1[[#This Row],[Qty_Purchased]]</f>
        <v>12700</v>
      </c>
      <c r="S133" s="5">
        <f>Table1[[#This Row],[Total_CP]]*Table1[[#This Row],[Qty_Sold]]</f>
        <v>6223</v>
      </c>
      <c r="T133" s="5">
        <f>Table1[[#This Row],[TotalSelling_Price]]*Table1[[#This Row],[Qty_Sold]]</f>
        <v>8820</v>
      </c>
      <c r="U133" s="5">
        <f>Table1[[#This Row],[SP_Qty_Sold]]-Table1[[#This Row],[CP_Qty_Sold]]</f>
        <v>2597</v>
      </c>
      <c r="V133" s="9">
        <f t="shared" si="2"/>
        <v>45217</v>
      </c>
      <c r="W133" s="5" t="s">
        <v>352</v>
      </c>
    </row>
    <row r="134" spans="1:23" x14ac:dyDescent="0.35">
      <c r="A134" t="s">
        <v>320</v>
      </c>
      <c r="B134" t="s">
        <v>338</v>
      </c>
      <c r="C134" t="s">
        <v>160</v>
      </c>
      <c r="D134">
        <f>VLOOKUP(Table1[[#This Row],[Product_Category]],HSNTABLE,2,FALSE)</f>
        <v>5811</v>
      </c>
      <c r="E134">
        <v>171</v>
      </c>
      <c r="F134" s="3">
        <f>VLOOKUP(Table1[[#This Row],[Product_Category]],HSNTABLE,3,FALSE)</f>
        <v>0.18</v>
      </c>
      <c r="G134">
        <f>Table1[[#This Row],[Cost_Price]]*Table1[[#This Row],[GST%]]</f>
        <v>30.779999999999998</v>
      </c>
      <c r="H134" s="5">
        <f>ROUNDUP(Table1[[#This Row],[Cost_Price]]+Table1[[#This Row],[GST_AMT]],0)</f>
        <v>202</v>
      </c>
      <c r="I134" s="3">
        <f>VLOOKUP(Table1[[#This Row],[Product_Category]],HSNTABLE,4,FALSE)</f>
        <v>0.35</v>
      </c>
      <c r="J134" s="5">
        <f>Table1[[#This Row],[Total_CP]]*Table1[[#This Row],[Margin%]]</f>
        <v>70.699999999999989</v>
      </c>
      <c r="K134" s="5">
        <f>Table1[[#This Row],[Margin_amt]]*Table1[[#This Row],[GST%]]</f>
        <v>12.725999999999997</v>
      </c>
      <c r="L134" s="5">
        <f>ROUNDUP(Table1[[#This Row],[Total_CP]]+Table1[[#This Row],[Margin_amt]]+Table1[[#This Row],[Gst_on_Margin_amt]],0)</f>
        <v>286</v>
      </c>
      <c r="M134" t="s">
        <v>184</v>
      </c>
      <c r="N134" t="str">
        <f>VLOOKUP(Table1[[#This Row],[Godown]],MasterSheet!$F$1:$G$5,2,FALSE)</f>
        <v>East</v>
      </c>
      <c r="O134" t="s">
        <v>340</v>
      </c>
      <c r="P134">
        <f>100</f>
        <v>100</v>
      </c>
      <c r="Q134">
        <v>33</v>
      </c>
      <c r="R134" s="5">
        <f>Table1[[#This Row],[Total_CP]]*Table1[[#This Row],[Qty_Purchased]]</f>
        <v>20200</v>
      </c>
      <c r="S134" s="5">
        <f>Table1[[#This Row],[Total_CP]]*Table1[[#This Row],[Qty_Sold]]</f>
        <v>6666</v>
      </c>
      <c r="T134" s="5">
        <f>Table1[[#This Row],[TotalSelling_Price]]*Table1[[#This Row],[Qty_Sold]]</f>
        <v>9438</v>
      </c>
      <c r="U134" s="5">
        <f>Table1[[#This Row],[SP_Qty_Sold]]-Table1[[#This Row],[CP_Qty_Sold]]</f>
        <v>2772</v>
      </c>
      <c r="V134" s="9">
        <f t="shared" si="2"/>
        <v>45222</v>
      </c>
      <c r="W134" s="5" t="s">
        <v>351</v>
      </c>
    </row>
    <row r="135" spans="1:23" x14ac:dyDescent="0.35">
      <c r="A135" t="s">
        <v>321</v>
      </c>
      <c r="B135" t="s">
        <v>338</v>
      </c>
      <c r="C135" t="s">
        <v>161</v>
      </c>
      <c r="D135">
        <f>VLOOKUP(Table1[[#This Row],[Product_Category]],HSNTABLE,2,FALSE)</f>
        <v>5811</v>
      </c>
      <c r="E135">
        <v>520</v>
      </c>
      <c r="F135" s="3">
        <f>VLOOKUP(Table1[[#This Row],[Product_Category]],HSNTABLE,3,FALSE)</f>
        <v>0.18</v>
      </c>
      <c r="G135">
        <f>Table1[[#This Row],[Cost_Price]]*Table1[[#This Row],[GST%]]</f>
        <v>93.6</v>
      </c>
      <c r="H135" s="5">
        <f>ROUNDUP(Table1[[#This Row],[Cost_Price]]+Table1[[#This Row],[GST_AMT]],0)</f>
        <v>614</v>
      </c>
      <c r="I135" s="3">
        <f>VLOOKUP(Table1[[#This Row],[Product_Category]],HSNTABLE,4,FALSE)</f>
        <v>0.35</v>
      </c>
      <c r="J135" s="5">
        <f>Table1[[#This Row],[Total_CP]]*Table1[[#This Row],[Margin%]]</f>
        <v>214.89999999999998</v>
      </c>
      <c r="K135" s="5">
        <f>Table1[[#This Row],[Margin_amt]]*Table1[[#This Row],[GST%]]</f>
        <v>38.681999999999995</v>
      </c>
      <c r="L135" s="5">
        <f>ROUNDUP(Table1[[#This Row],[Total_CP]]+Table1[[#This Row],[Margin_amt]]+Table1[[#This Row],[Gst_on_Margin_amt]],0)</f>
        <v>868</v>
      </c>
      <c r="M135" t="s">
        <v>185</v>
      </c>
      <c r="N135" t="str">
        <f>VLOOKUP(Table1[[#This Row],[Godown]],MasterSheet!$F$1:$G$5,2,FALSE)</f>
        <v>West</v>
      </c>
      <c r="O135" t="s">
        <v>342</v>
      </c>
      <c r="P135">
        <f>100</f>
        <v>100</v>
      </c>
      <c r="Q135">
        <v>21</v>
      </c>
      <c r="R135" s="5">
        <f>Table1[[#This Row],[Total_CP]]*Table1[[#This Row],[Qty_Purchased]]</f>
        <v>61400</v>
      </c>
      <c r="S135" s="5">
        <f>Table1[[#This Row],[Total_CP]]*Table1[[#This Row],[Qty_Sold]]</f>
        <v>12894</v>
      </c>
      <c r="T135" s="5">
        <f>Table1[[#This Row],[TotalSelling_Price]]*Table1[[#This Row],[Qty_Sold]]</f>
        <v>18228</v>
      </c>
      <c r="U135" s="5">
        <f>Table1[[#This Row],[SP_Qty_Sold]]-Table1[[#This Row],[CP_Qty_Sold]]</f>
        <v>5334</v>
      </c>
      <c r="V135" s="9">
        <f t="shared" si="2"/>
        <v>45227</v>
      </c>
      <c r="W135" s="5" t="s">
        <v>352</v>
      </c>
    </row>
    <row r="136" spans="1:23" x14ac:dyDescent="0.35">
      <c r="A136" t="s">
        <v>322</v>
      </c>
      <c r="B136" t="s">
        <v>338</v>
      </c>
      <c r="C136" t="s">
        <v>162</v>
      </c>
      <c r="D136">
        <f>VLOOKUP(Table1[[#This Row],[Product_Category]],HSNTABLE,2,FALSE)</f>
        <v>5811</v>
      </c>
      <c r="E136">
        <v>865</v>
      </c>
      <c r="F136" s="3">
        <f>VLOOKUP(Table1[[#This Row],[Product_Category]],HSNTABLE,3,FALSE)</f>
        <v>0.18</v>
      </c>
      <c r="G136">
        <f>Table1[[#This Row],[Cost_Price]]*Table1[[#This Row],[GST%]]</f>
        <v>155.69999999999999</v>
      </c>
      <c r="H136" s="5">
        <f>ROUNDUP(Table1[[#This Row],[Cost_Price]]+Table1[[#This Row],[GST_AMT]],0)</f>
        <v>1021</v>
      </c>
      <c r="I136" s="3">
        <f>VLOOKUP(Table1[[#This Row],[Product_Category]],HSNTABLE,4,FALSE)</f>
        <v>0.35</v>
      </c>
      <c r="J136" s="5">
        <f>Table1[[#This Row],[Total_CP]]*Table1[[#This Row],[Margin%]]</f>
        <v>357.34999999999997</v>
      </c>
      <c r="K136" s="5">
        <f>Table1[[#This Row],[Margin_amt]]*Table1[[#This Row],[GST%]]</f>
        <v>64.322999999999993</v>
      </c>
      <c r="L136" s="5">
        <f>ROUNDUP(Table1[[#This Row],[Total_CP]]+Table1[[#This Row],[Margin_amt]]+Table1[[#This Row],[Gst_on_Margin_amt]],0)</f>
        <v>1443</v>
      </c>
      <c r="M136" t="s">
        <v>185</v>
      </c>
      <c r="N136" t="str">
        <f>VLOOKUP(Table1[[#This Row],[Godown]],MasterSheet!$F$1:$G$5,2,FALSE)</f>
        <v>West</v>
      </c>
      <c r="O136" t="s">
        <v>342</v>
      </c>
      <c r="P136">
        <f>100</f>
        <v>100</v>
      </c>
      <c r="Q136">
        <v>25</v>
      </c>
      <c r="R136" s="5">
        <f>Table1[[#This Row],[Total_CP]]*Table1[[#This Row],[Qty_Purchased]]</f>
        <v>102100</v>
      </c>
      <c r="S136" s="5">
        <f>Table1[[#This Row],[Total_CP]]*Table1[[#This Row],[Qty_Sold]]</f>
        <v>25525</v>
      </c>
      <c r="T136" s="5">
        <f>Table1[[#This Row],[TotalSelling_Price]]*Table1[[#This Row],[Qty_Sold]]</f>
        <v>36075</v>
      </c>
      <c r="U136" s="5">
        <f>Table1[[#This Row],[SP_Qty_Sold]]-Table1[[#This Row],[CP_Qty_Sold]]</f>
        <v>10550</v>
      </c>
      <c r="V136" s="9">
        <f t="shared" si="2"/>
        <v>45232</v>
      </c>
      <c r="W136" s="5" t="s">
        <v>352</v>
      </c>
    </row>
    <row r="137" spans="1:23" x14ac:dyDescent="0.35">
      <c r="A137" t="s">
        <v>323</v>
      </c>
      <c r="B137" t="s">
        <v>338</v>
      </c>
      <c r="C137" t="s">
        <v>163</v>
      </c>
      <c r="D137">
        <f>VLOOKUP(Table1[[#This Row],[Product_Category]],HSNTABLE,2,FALSE)</f>
        <v>5811</v>
      </c>
      <c r="E137">
        <v>180</v>
      </c>
      <c r="F137" s="3">
        <f>VLOOKUP(Table1[[#This Row],[Product_Category]],HSNTABLE,3,FALSE)</f>
        <v>0.18</v>
      </c>
      <c r="G137">
        <f>Table1[[#This Row],[Cost_Price]]*Table1[[#This Row],[GST%]]</f>
        <v>32.4</v>
      </c>
      <c r="H137" s="5">
        <f>ROUNDUP(Table1[[#This Row],[Cost_Price]]+Table1[[#This Row],[GST_AMT]],0)</f>
        <v>213</v>
      </c>
      <c r="I137" s="3">
        <f>VLOOKUP(Table1[[#This Row],[Product_Category]],HSNTABLE,4,FALSE)</f>
        <v>0.35</v>
      </c>
      <c r="J137" s="5">
        <f>Table1[[#This Row],[Total_CP]]*Table1[[#This Row],[Margin%]]</f>
        <v>74.55</v>
      </c>
      <c r="K137" s="5">
        <f>Table1[[#This Row],[Margin_amt]]*Table1[[#This Row],[GST%]]</f>
        <v>13.418999999999999</v>
      </c>
      <c r="L137" s="5">
        <f>ROUNDUP(Table1[[#This Row],[Total_CP]]+Table1[[#This Row],[Margin_amt]]+Table1[[#This Row],[Gst_on_Margin_amt]],0)</f>
        <v>301</v>
      </c>
      <c r="M137" t="s">
        <v>184</v>
      </c>
      <c r="N137" t="str">
        <f>VLOOKUP(Table1[[#This Row],[Godown]],MasterSheet!$F$1:$G$5,2,FALSE)</f>
        <v>East</v>
      </c>
      <c r="O137" t="s">
        <v>344</v>
      </c>
      <c r="P137">
        <f>100</f>
        <v>100</v>
      </c>
      <c r="Q137">
        <v>49</v>
      </c>
      <c r="R137" s="5">
        <f>Table1[[#This Row],[Total_CP]]*Table1[[#This Row],[Qty_Purchased]]</f>
        <v>21300</v>
      </c>
      <c r="S137" s="5">
        <f>Table1[[#This Row],[Total_CP]]*Table1[[#This Row],[Qty_Sold]]</f>
        <v>10437</v>
      </c>
      <c r="T137" s="5">
        <f>Table1[[#This Row],[TotalSelling_Price]]*Table1[[#This Row],[Qty_Sold]]</f>
        <v>14749</v>
      </c>
      <c r="U137" s="5">
        <f>Table1[[#This Row],[SP_Qty_Sold]]-Table1[[#This Row],[CP_Qty_Sold]]</f>
        <v>4312</v>
      </c>
      <c r="V137" s="9">
        <f t="shared" si="2"/>
        <v>45237</v>
      </c>
      <c r="W137" s="5" t="s">
        <v>351</v>
      </c>
    </row>
    <row r="138" spans="1:23" x14ac:dyDescent="0.35">
      <c r="A138" t="s">
        <v>324</v>
      </c>
      <c r="B138" t="s">
        <v>338</v>
      </c>
      <c r="C138" t="s">
        <v>164</v>
      </c>
      <c r="D138">
        <f>VLOOKUP(Table1[[#This Row],[Product_Category]],HSNTABLE,2,FALSE)</f>
        <v>5811</v>
      </c>
      <c r="E138">
        <v>260</v>
      </c>
      <c r="F138" s="3">
        <f>VLOOKUP(Table1[[#This Row],[Product_Category]],HSNTABLE,3,FALSE)</f>
        <v>0.18</v>
      </c>
      <c r="G138">
        <f>Table1[[#This Row],[Cost_Price]]*Table1[[#This Row],[GST%]]</f>
        <v>46.8</v>
      </c>
      <c r="H138" s="5">
        <f>ROUNDUP(Table1[[#This Row],[Cost_Price]]+Table1[[#This Row],[GST_AMT]],0)</f>
        <v>307</v>
      </c>
      <c r="I138" s="3">
        <f>VLOOKUP(Table1[[#This Row],[Product_Category]],HSNTABLE,4,FALSE)</f>
        <v>0.35</v>
      </c>
      <c r="J138" s="5">
        <f>Table1[[#This Row],[Total_CP]]*Table1[[#This Row],[Margin%]]</f>
        <v>107.44999999999999</v>
      </c>
      <c r="K138" s="5">
        <f>Table1[[#This Row],[Margin_amt]]*Table1[[#This Row],[GST%]]</f>
        <v>19.340999999999998</v>
      </c>
      <c r="L138" s="5">
        <f>ROUNDUP(Table1[[#This Row],[Total_CP]]+Table1[[#This Row],[Margin_amt]]+Table1[[#This Row],[Gst_on_Margin_amt]],0)</f>
        <v>434</v>
      </c>
      <c r="M138" t="s">
        <v>185</v>
      </c>
      <c r="N138" t="str">
        <f>VLOOKUP(Table1[[#This Row],[Godown]],MasterSheet!$F$1:$G$5,2,FALSE)</f>
        <v>West</v>
      </c>
      <c r="O138" t="s">
        <v>343</v>
      </c>
      <c r="P138">
        <f>100</f>
        <v>100</v>
      </c>
      <c r="Q138">
        <v>32</v>
      </c>
      <c r="R138" s="5">
        <f>Table1[[#This Row],[Total_CP]]*Table1[[#This Row],[Qty_Purchased]]</f>
        <v>30700</v>
      </c>
      <c r="S138" s="5">
        <f>Table1[[#This Row],[Total_CP]]*Table1[[#This Row],[Qty_Sold]]</f>
        <v>9824</v>
      </c>
      <c r="T138" s="5">
        <f>Table1[[#This Row],[TotalSelling_Price]]*Table1[[#This Row],[Qty_Sold]]</f>
        <v>13888</v>
      </c>
      <c r="U138" s="5">
        <f>Table1[[#This Row],[SP_Qty_Sold]]-Table1[[#This Row],[CP_Qty_Sold]]</f>
        <v>4064</v>
      </c>
      <c r="V138" s="9">
        <f t="shared" si="2"/>
        <v>45242</v>
      </c>
      <c r="W138" s="5" t="s">
        <v>351</v>
      </c>
    </row>
    <row r="139" spans="1:23" x14ac:dyDescent="0.35">
      <c r="A139" t="s">
        <v>325</v>
      </c>
      <c r="B139" t="s">
        <v>338</v>
      </c>
      <c r="C139" t="s">
        <v>165</v>
      </c>
      <c r="D139">
        <f>VLOOKUP(Table1[[#This Row],[Product_Category]],HSNTABLE,2,FALSE)</f>
        <v>5811</v>
      </c>
      <c r="E139">
        <v>831</v>
      </c>
      <c r="F139" s="3">
        <f>VLOOKUP(Table1[[#This Row],[Product_Category]],HSNTABLE,3,FALSE)</f>
        <v>0.18</v>
      </c>
      <c r="G139">
        <f>Table1[[#This Row],[Cost_Price]]*Table1[[#This Row],[GST%]]</f>
        <v>149.57999999999998</v>
      </c>
      <c r="H139" s="5">
        <f>ROUNDUP(Table1[[#This Row],[Cost_Price]]+Table1[[#This Row],[GST_AMT]],0)</f>
        <v>981</v>
      </c>
      <c r="I139" s="3">
        <f>VLOOKUP(Table1[[#This Row],[Product_Category]],HSNTABLE,4,FALSE)</f>
        <v>0.35</v>
      </c>
      <c r="J139" s="5">
        <f>Table1[[#This Row],[Total_CP]]*Table1[[#This Row],[Margin%]]</f>
        <v>343.34999999999997</v>
      </c>
      <c r="K139" s="5">
        <f>Table1[[#This Row],[Margin_amt]]*Table1[[#This Row],[GST%]]</f>
        <v>61.80299999999999</v>
      </c>
      <c r="L139" s="5">
        <f>ROUNDUP(Table1[[#This Row],[Total_CP]]+Table1[[#This Row],[Margin_amt]]+Table1[[#This Row],[Gst_on_Margin_amt]],0)</f>
        <v>1387</v>
      </c>
      <c r="M139" t="s">
        <v>185</v>
      </c>
      <c r="N139" t="str">
        <f>VLOOKUP(Table1[[#This Row],[Godown]],MasterSheet!$F$1:$G$5,2,FALSE)</f>
        <v>West</v>
      </c>
      <c r="O139" t="s">
        <v>342</v>
      </c>
      <c r="P139">
        <f>100</f>
        <v>100</v>
      </c>
      <c r="Q139">
        <v>49</v>
      </c>
      <c r="R139" s="5">
        <f>Table1[[#This Row],[Total_CP]]*Table1[[#This Row],[Qty_Purchased]]</f>
        <v>98100</v>
      </c>
      <c r="S139" s="5">
        <f>Table1[[#This Row],[Total_CP]]*Table1[[#This Row],[Qty_Sold]]</f>
        <v>48069</v>
      </c>
      <c r="T139" s="5">
        <f>Table1[[#This Row],[TotalSelling_Price]]*Table1[[#This Row],[Qty_Sold]]</f>
        <v>67963</v>
      </c>
      <c r="U139" s="5">
        <f>Table1[[#This Row],[SP_Qty_Sold]]-Table1[[#This Row],[CP_Qty_Sold]]</f>
        <v>19894</v>
      </c>
      <c r="V139" s="9">
        <f t="shared" si="2"/>
        <v>45247</v>
      </c>
      <c r="W139" s="5" t="s">
        <v>351</v>
      </c>
    </row>
    <row r="140" spans="1:23" x14ac:dyDescent="0.35">
      <c r="A140" t="s">
        <v>326</v>
      </c>
      <c r="B140" t="s">
        <v>338</v>
      </c>
      <c r="C140" t="s">
        <v>166</v>
      </c>
      <c r="D140">
        <f>VLOOKUP(Table1[[#This Row],[Product_Category]],HSNTABLE,2,FALSE)</f>
        <v>5811</v>
      </c>
      <c r="E140">
        <v>791</v>
      </c>
      <c r="F140" s="3">
        <f>VLOOKUP(Table1[[#This Row],[Product_Category]],HSNTABLE,3,FALSE)</f>
        <v>0.18</v>
      </c>
      <c r="G140">
        <f>Table1[[#This Row],[Cost_Price]]*Table1[[#This Row],[GST%]]</f>
        <v>142.38</v>
      </c>
      <c r="H140" s="5">
        <f>ROUNDUP(Table1[[#This Row],[Cost_Price]]+Table1[[#This Row],[GST_AMT]],0)</f>
        <v>934</v>
      </c>
      <c r="I140" s="3">
        <f>VLOOKUP(Table1[[#This Row],[Product_Category]],HSNTABLE,4,FALSE)</f>
        <v>0.35</v>
      </c>
      <c r="J140" s="5">
        <f>Table1[[#This Row],[Total_CP]]*Table1[[#This Row],[Margin%]]</f>
        <v>326.89999999999998</v>
      </c>
      <c r="K140" s="5">
        <f>Table1[[#This Row],[Margin_amt]]*Table1[[#This Row],[GST%]]</f>
        <v>58.841999999999992</v>
      </c>
      <c r="L140" s="5">
        <f>ROUNDUP(Table1[[#This Row],[Total_CP]]+Table1[[#This Row],[Margin_amt]]+Table1[[#This Row],[Gst_on_Margin_amt]],0)</f>
        <v>1320</v>
      </c>
      <c r="M140" t="s">
        <v>185</v>
      </c>
      <c r="N140" t="str">
        <f>VLOOKUP(Table1[[#This Row],[Godown]],MasterSheet!$F$1:$G$5,2,FALSE)</f>
        <v>West</v>
      </c>
      <c r="O140" t="s">
        <v>344</v>
      </c>
      <c r="P140">
        <f>100</f>
        <v>100</v>
      </c>
      <c r="Q140">
        <v>48</v>
      </c>
      <c r="R140" s="5">
        <f>Table1[[#This Row],[Total_CP]]*Table1[[#This Row],[Qty_Purchased]]</f>
        <v>93400</v>
      </c>
      <c r="S140" s="5">
        <f>Table1[[#This Row],[Total_CP]]*Table1[[#This Row],[Qty_Sold]]</f>
        <v>44832</v>
      </c>
      <c r="T140" s="5">
        <f>Table1[[#This Row],[TotalSelling_Price]]*Table1[[#This Row],[Qty_Sold]]</f>
        <v>63360</v>
      </c>
      <c r="U140" s="5">
        <f>Table1[[#This Row],[SP_Qty_Sold]]-Table1[[#This Row],[CP_Qty_Sold]]</f>
        <v>18528</v>
      </c>
      <c r="V140" s="9">
        <f t="shared" si="2"/>
        <v>45252</v>
      </c>
      <c r="W140" s="5" t="s">
        <v>351</v>
      </c>
    </row>
    <row r="141" spans="1:23" x14ac:dyDescent="0.35">
      <c r="A141" t="s">
        <v>327</v>
      </c>
      <c r="B141" t="s">
        <v>338</v>
      </c>
      <c r="C141" t="s">
        <v>167</v>
      </c>
      <c r="D141">
        <f>VLOOKUP(Table1[[#This Row],[Product_Category]],HSNTABLE,2,FALSE)</f>
        <v>5811</v>
      </c>
      <c r="E141">
        <v>967</v>
      </c>
      <c r="F141" s="3">
        <f>VLOOKUP(Table1[[#This Row],[Product_Category]],HSNTABLE,3,FALSE)</f>
        <v>0.18</v>
      </c>
      <c r="G141">
        <f>Table1[[#This Row],[Cost_Price]]*Table1[[#This Row],[GST%]]</f>
        <v>174.06</v>
      </c>
      <c r="H141" s="5">
        <f>ROUNDUP(Table1[[#This Row],[Cost_Price]]+Table1[[#This Row],[GST_AMT]],0)</f>
        <v>1142</v>
      </c>
      <c r="I141" s="3">
        <f>VLOOKUP(Table1[[#This Row],[Product_Category]],HSNTABLE,4,FALSE)</f>
        <v>0.35</v>
      </c>
      <c r="J141" s="5">
        <f>Table1[[#This Row],[Total_CP]]*Table1[[#This Row],[Margin%]]</f>
        <v>399.7</v>
      </c>
      <c r="K141" s="5">
        <f>Table1[[#This Row],[Margin_amt]]*Table1[[#This Row],[GST%]]</f>
        <v>71.945999999999998</v>
      </c>
      <c r="L141" s="5">
        <f>ROUNDUP(Table1[[#This Row],[Total_CP]]+Table1[[#This Row],[Margin_amt]]+Table1[[#This Row],[Gst_on_Margin_amt]],0)</f>
        <v>1614</v>
      </c>
      <c r="M141" t="s">
        <v>184</v>
      </c>
      <c r="N141" t="str">
        <f>VLOOKUP(Table1[[#This Row],[Godown]],MasterSheet!$F$1:$G$5,2,FALSE)</f>
        <v>East</v>
      </c>
      <c r="O141" t="s">
        <v>342</v>
      </c>
      <c r="P141">
        <f>100</f>
        <v>100</v>
      </c>
      <c r="Q141">
        <v>43</v>
      </c>
      <c r="R141" s="5">
        <f>Table1[[#This Row],[Total_CP]]*Table1[[#This Row],[Qty_Purchased]]</f>
        <v>114200</v>
      </c>
      <c r="S141" s="5">
        <f>Table1[[#This Row],[Total_CP]]*Table1[[#This Row],[Qty_Sold]]</f>
        <v>49106</v>
      </c>
      <c r="T141" s="5">
        <f>Table1[[#This Row],[TotalSelling_Price]]*Table1[[#This Row],[Qty_Sold]]</f>
        <v>69402</v>
      </c>
      <c r="U141" s="5">
        <f>Table1[[#This Row],[SP_Qty_Sold]]-Table1[[#This Row],[CP_Qty_Sold]]</f>
        <v>20296</v>
      </c>
      <c r="V141" s="9">
        <f t="shared" si="2"/>
        <v>45257</v>
      </c>
      <c r="W141" s="5" t="s">
        <v>352</v>
      </c>
    </row>
    <row r="142" spans="1:23" x14ac:dyDescent="0.35">
      <c r="A142" t="s">
        <v>328</v>
      </c>
      <c r="B142" t="s">
        <v>338</v>
      </c>
      <c r="C142" t="s">
        <v>168</v>
      </c>
      <c r="D142">
        <f>VLOOKUP(Table1[[#This Row],[Product_Category]],HSNTABLE,2,FALSE)</f>
        <v>5811</v>
      </c>
      <c r="E142">
        <v>465</v>
      </c>
      <c r="F142" s="3">
        <f>VLOOKUP(Table1[[#This Row],[Product_Category]],HSNTABLE,3,FALSE)</f>
        <v>0.18</v>
      </c>
      <c r="G142">
        <f>Table1[[#This Row],[Cost_Price]]*Table1[[#This Row],[GST%]]</f>
        <v>83.7</v>
      </c>
      <c r="H142" s="5">
        <f>ROUNDUP(Table1[[#This Row],[Cost_Price]]+Table1[[#This Row],[GST_AMT]],0)</f>
        <v>549</v>
      </c>
      <c r="I142" s="3">
        <f>VLOOKUP(Table1[[#This Row],[Product_Category]],HSNTABLE,4,FALSE)</f>
        <v>0.35</v>
      </c>
      <c r="J142" s="5">
        <f>Table1[[#This Row],[Total_CP]]*Table1[[#This Row],[Margin%]]</f>
        <v>192.14999999999998</v>
      </c>
      <c r="K142" s="5">
        <f>Table1[[#This Row],[Margin_amt]]*Table1[[#This Row],[GST%]]</f>
        <v>34.586999999999996</v>
      </c>
      <c r="L142" s="5">
        <f>ROUNDUP(Table1[[#This Row],[Total_CP]]+Table1[[#This Row],[Margin_amt]]+Table1[[#This Row],[Gst_on_Margin_amt]],0)</f>
        <v>776</v>
      </c>
      <c r="M142" t="s">
        <v>183</v>
      </c>
      <c r="N142" t="str">
        <f>VLOOKUP(Table1[[#This Row],[Godown]],MasterSheet!$F$1:$G$5,2,FALSE)</f>
        <v>South</v>
      </c>
      <c r="O142" t="s">
        <v>343</v>
      </c>
      <c r="P142">
        <f>100</f>
        <v>100</v>
      </c>
      <c r="Q142">
        <v>29</v>
      </c>
      <c r="R142" s="5">
        <f>Table1[[#This Row],[Total_CP]]*Table1[[#This Row],[Qty_Purchased]]</f>
        <v>54900</v>
      </c>
      <c r="S142" s="5">
        <f>Table1[[#This Row],[Total_CP]]*Table1[[#This Row],[Qty_Sold]]</f>
        <v>15921</v>
      </c>
      <c r="T142" s="5">
        <f>Table1[[#This Row],[TotalSelling_Price]]*Table1[[#This Row],[Qty_Sold]]</f>
        <v>22504</v>
      </c>
      <c r="U142" s="5">
        <f>Table1[[#This Row],[SP_Qty_Sold]]-Table1[[#This Row],[CP_Qty_Sold]]</f>
        <v>6583</v>
      </c>
      <c r="V142" s="9">
        <f t="shared" si="2"/>
        <v>45262</v>
      </c>
      <c r="W142" s="5" t="s">
        <v>351</v>
      </c>
    </row>
    <row r="143" spans="1:23" x14ac:dyDescent="0.35">
      <c r="A143" t="s">
        <v>329</v>
      </c>
      <c r="B143" t="s">
        <v>338</v>
      </c>
      <c r="C143" t="s">
        <v>169</v>
      </c>
      <c r="D143">
        <f>VLOOKUP(Table1[[#This Row],[Product_Category]],HSNTABLE,2,FALSE)</f>
        <v>5811</v>
      </c>
      <c r="E143">
        <v>630</v>
      </c>
      <c r="F143" s="3">
        <f>VLOOKUP(Table1[[#This Row],[Product_Category]],HSNTABLE,3,FALSE)</f>
        <v>0.18</v>
      </c>
      <c r="G143">
        <f>Table1[[#This Row],[Cost_Price]]*Table1[[#This Row],[GST%]]</f>
        <v>113.39999999999999</v>
      </c>
      <c r="H143" s="5">
        <f>ROUNDUP(Table1[[#This Row],[Cost_Price]]+Table1[[#This Row],[GST_AMT]],0)</f>
        <v>744</v>
      </c>
      <c r="I143" s="3">
        <f>VLOOKUP(Table1[[#This Row],[Product_Category]],HSNTABLE,4,FALSE)</f>
        <v>0.35</v>
      </c>
      <c r="J143" s="5">
        <f>Table1[[#This Row],[Total_CP]]*Table1[[#This Row],[Margin%]]</f>
        <v>260.39999999999998</v>
      </c>
      <c r="K143" s="5">
        <f>Table1[[#This Row],[Margin_amt]]*Table1[[#This Row],[GST%]]</f>
        <v>46.871999999999993</v>
      </c>
      <c r="L143" s="5">
        <f>ROUNDUP(Table1[[#This Row],[Total_CP]]+Table1[[#This Row],[Margin_amt]]+Table1[[#This Row],[Gst_on_Margin_amt]],0)</f>
        <v>1052</v>
      </c>
      <c r="M143" t="s">
        <v>184</v>
      </c>
      <c r="N143" t="str">
        <f>VLOOKUP(Table1[[#This Row],[Godown]],MasterSheet!$F$1:$G$5,2,FALSE)</f>
        <v>East</v>
      </c>
      <c r="O143" t="s">
        <v>341</v>
      </c>
      <c r="P143">
        <f>100</f>
        <v>100</v>
      </c>
      <c r="Q143">
        <v>40</v>
      </c>
      <c r="R143" s="5">
        <f>Table1[[#This Row],[Total_CP]]*Table1[[#This Row],[Qty_Purchased]]</f>
        <v>74400</v>
      </c>
      <c r="S143" s="5">
        <f>Table1[[#This Row],[Total_CP]]*Table1[[#This Row],[Qty_Sold]]</f>
        <v>29760</v>
      </c>
      <c r="T143" s="5">
        <f>Table1[[#This Row],[TotalSelling_Price]]*Table1[[#This Row],[Qty_Sold]]</f>
        <v>42080</v>
      </c>
      <c r="U143" s="5">
        <f>Table1[[#This Row],[SP_Qty_Sold]]-Table1[[#This Row],[CP_Qty_Sold]]</f>
        <v>12320</v>
      </c>
      <c r="V143" s="9">
        <f t="shared" si="2"/>
        <v>45267</v>
      </c>
      <c r="W143" s="5" t="s">
        <v>351</v>
      </c>
    </row>
    <row r="144" spans="1:23" x14ac:dyDescent="0.35">
      <c r="A144" t="s">
        <v>330</v>
      </c>
      <c r="B144" t="s">
        <v>338</v>
      </c>
      <c r="C144" t="s">
        <v>170</v>
      </c>
      <c r="D144">
        <f>VLOOKUP(Table1[[#This Row],[Product_Category]],HSNTABLE,2,FALSE)</f>
        <v>5811</v>
      </c>
      <c r="E144">
        <v>590</v>
      </c>
      <c r="F144" s="3">
        <f>VLOOKUP(Table1[[#This Row],[Product_Category]],HSNTABLE,3,FALSE)</f>
        <v>0.18</v>
      </c>
      <c r="G144">
        <f>Table1[[#This Row],[Cost_Price]]*Table1[[#This Row],[GST%]]</f>
        <v>106.2</v>
      </c>
      <c r="H144" s="5">
        <f>ROUNDUP(Table1[[#This Row],[Cost_Price]]+Table1[[#This Row],[GST_AMT]],0)</f>
        <v>697</v>
      </c>
      <c r="I144" s="3">
        <f>VLOOKUP(Table1[[#This Row],[Product_Category]],HSNTABLE,4,FALSE)</f>
        <v>0.35</v>
      </c>
      <c r="J144" s="5">
        <f>Table1[[#This Row],[Total_CP]]*Table1[[#This Row],[Margin%]]</f>
        <v>243.95</v>
      </c>
      <c r="K144" s="5">
        <f>Table1[[#This Row],[Margin_amt]]*Table1[[#This Row],[GST%]]</f>
        <v>43.910999999999994</v>
      </c>
      <c r="L144" s="5">
        <f>ROUNDUP(Table1[[#This Row],[Total_CP]]+Table1[[#This Row],[Margin_amt]]+Table1[[#This Row],[Gst_on_Margin_amt]],0)</f>
        <v>985</v>
      </c>
      <c r="M144" t="s">
        <v>184</v>
      </c>
      <c r="N144" t="str">
        <f>VLOOKUP(Table1[[#This Row],[Godown]],MasterSheet!$F$1:$G$5,2,FALSE)</f>
        <v>East</v>
      </c>
      <c r="O144" t="s">
        <v>339</v>
      </c>
      <c r="P144">
        <f>100</f>
        <v>100</v>
      </c>
      <c r="Q144">
        <v>28</v>
      </c>
      <c r="R144" s="5">
        <f>Table1[[#This Row],[Total_CP]]*Table1[[#This Row],[Qty_Purchased]]</f>
        <v>69700</v>
      </c>
      <c r="S144" s="5">
        <f>Table1[[#This Row],[Total_CP]]*Table1[[#This Row],[Qty_Sold]]</f>
        <v>19516</v>
      </c>
      <c r="T144" s="5">
        <f>Table1[[#This Row],[TotalSelling_Price]]*Table1[[#This Row],[Qty_Sold]]</f>
        <v>27580</v>
      </c>
      <c r="U144" s="5">
        <f>Table1[[#This Row],[SP_Qty_Sold]]-Table1[[#This Row],[CP_Qty_Sold]]</f>
        <v>8064</v>
      </c>
      <c r="V144" s="9">
        <f t="shared" si="2"/>
        <v>45272</v>
      </c>
      <c r="W144" s="5" t="s">
        <v>352</v>
      </c>
    </row>
    <row r="145" spans="1:23" x14ac:dyDescent="0.35">
      <c r="A145" t="s">
        <v>331</v>
      </c>
      <c r="B145" t="s">
        <v>338</v>
      </c>
      <c r="C145" t="s">
        <v>171</v>
      </c>
      <c r="D145">
        <f>VLOOKUP(Table1[[#This Row],[Product_Category]],HSNTABLE,2,FALSE)</f>
        <v>5811</v>
      </c>
      <c r="E145">
        <v>788</v>
      </c>
      <c r="F145" s="3">
        <f>VLOOKUP(Table1[[#This Row],[Product_Category]],HSNTABLE,3,FALSE)</f>
        <v>0.18</v>
      </c>
      <c r="G145">
        <f>Table1[[#This Row],[Cost_Price]]*Table1[[#This Row],[GST%]]</f>
        <v>141.84</v>
      </c>
      <c r="H145" s="5">
        <f>ROUNDUP(Table1[[#This Row],[Cost_Price]]+Table1[[#This Row],[GST_AMT]],0)</f>
        <v>930</v>
      </c>
      <c r="I145" s="3">
        <f>VLOOKUP(Table1[[#This Row],[Product_Category]],HSNTABLE,4,FALSE)</f>
        <v>0.35</v>
      </c>
      <c r="J145" s="5">
        <f>Table1[[#This Row],[Total_CP]]*Table1[[#This Row],[Margin%]]</f>
        <v>325.5</v>
      </c>
      <c r="K145" s="5">
        <f>Table1[[#This Row],[Margin_amt]]*Table1[[#This Row],[GST%]]</f>
        <v>58.589999999999996</v>
      </c>
      <c r="L145" s="5">
        <f>ROUNDUP(Table1[[#This Row],[Total_CP]]+Table1[[#This Row],[Margin_amt]]+Table1[[#This Row],[Gst_on_Margin_amt]],0)</f>
        <v>1315</v>
      </c>
      <c r="M145" t="s">
        <v>183</v>
      </c>
      <c r="N145" t="str">
        <f>VLOOKUP(Table1[[#This Row],[Godown]],MasterSheet!$F$1:$G$5,2,FALSE)</f>
        <v>South</v>
      </c>
      <c r="O145" t="s">
        <v>343</v>
      </c>
      <c r="P145">
        <f>100</f>
        <v>100</v>
      </c>
      <c r="Q145">
        <v>32</v>
      </c>
      <c r="R145" s="5">
        <f>Table1[[#This Row],[Total_CP]]*Table1[[#This Row],[Qty_Purchased]]</f>
        <v>93000</v>
      </c>
      <c r="S145" s="5">
        <f>Table1[[#This Row],[Total_CP]]*Table1[[#This Row],[Qty_Sold]]</f>
        <v>29760</v>
      </c>
      <c r="T145" s="5">
        <f>Table1[[#This Row],[TotalSelling_Price]]*Table1[[#This Row],[Qty_Sold]]</f>
        <v>42080</v>
      </c>
      <c r="U145" s="5">
        <f>Table1[[#This Row],[SP_Qty_Sold]]-Table1[[#This Row],[CP_Qty_Sold]]</f>
        <v>12320</v>
      </c>
      <c r="V145" s="9">
        <f t="shared" si="2"/>
        <v>45277</v>
      </c>
      <c r="W145" s="5" t="s">
        <v>351</v>
      </c>
    </row>
    <row r="146" spans="1:23" x14ac:dyDescent="0.35">
      <c r="A146" t="s">
        <v>332</v>
      </c>
      <c r="B146" t="s">
        <v>338</v>
      </c>
      <c r="C146" t="s">
        <v>172</v>
      </c>
      <c r="D146">
        <f>VLOOKUP(Table1[[#This Row],[Product_Category]],HSNTABLE,2,FALSE)</f>
        <v>5811</v>
      </c>
      <c r="E146">
        <v>652</v>
      </c>
      <c r="F146" s="3">
        <f>VLOOKUP(Table1[[#This Row],[Product_Category]],HSNTABLE,3,FALSE)</f>
        <v>0.18</v>
      </c>
      <c r="G146">
        <f>Table1[[#This Row],[Cost_Price]]*Table1[[#This Row],[GST%]]</f>
        <v>117.36</v>
      </c>
      <c r="H146" s="5">
        <f>ROUNDUP(Table1[[#This Row],[Cost_Price]]+Table1[[#This Row],[GST_AMT]],0)</f>
        <v>770</v>
      </c>
      <c r="I146" s="3">
        <f>VLOOKUP(Table1[[#This Row],[Product_Category]],HSNTABLE,4,FALSE)</f>
        <v>0.35</v>
      </c>
      <c r="J146" s="5">
        <f>Table1[[#This Row],[Total_CP]]*Table1[[#This Row],[Margin%]]</f>
        <v>269.5</v>
      </c>
      <c r="K146" s="5">
        <f>Table1[[#This Row],[Margin_amt]]*Table1[[#This Row],[GST%]]</f>
        <v>48.51</v>
      </c>
      <c r="L146" s="5">
        <f>ROUNDUP(Table1[[#This Row],[Total_CP]]+Table1[[#This Row],[Margin_amt]]+Table1[[#This Row],[Gst_on_Margin_amt]],0)</f>
        <v>1089</v>
      </c>
      <c r="M146" t="s">
        <v>184</v>
      </c>
      <c r="N146" t="str">
        <f>VLOOKUP(Table1[[#This Row],[Godown]],MasterSheet!$F$1:$G$5,2,FALSE)</f>
        <v>East</v>
      </c>
      <c r="O146" t="s">
        <v>341</v>
      </c>
      <c r="P146">
        <f>100</f>
        <v>100</v>
      </c>
      <c r="Q146">
        <v>45</v>
      </c>
      <c r="R146" s="5">
        <f>Table1[[#This Row],[Total_CP]]*Table1[[#This Row],[Qty_Purchased]]</f>
        <v>77000</v>
      </c>
      <c r="S146" s="5">
        <f>Table1[[#This Row],[Total_CP]]*Table1[[#This Row],[Qty_Sold]]</f>
        <v>34650</v>
      </c>
      <c r="T146" s="5">
        <f>Table1[[#This Row],[TotalSelling_Price]]*Table1[[#This Row],[Qty_Sold]]</f>
        <v>49005</v>
      </c>
      <c r="U146" s="5">
        <f>Table1[[#This Row],[SP_Qty_Sold]]-Table1[[#This Row],[CP_Qty_Sold]]</f>
        <v>14355</v>
      </c>
      <c r="V146" s="9">
        <f t="shared" si="2"/>
        <v>45282</v>
      </c>
      <c r="W146" s="5" t="s">
        <v>352</v>
      </c>
    </row>
    <row r="147" spans="1:23" x14ac:dyDescent="0.35">
      <c r="A147" t="s">
        <v>333</v>
      </c>
      <c r="B147" t="s">
        <v>338</v>
      </c>
      <c r="C147" t="s">
        <v>173</v>
      </c>
      <c r="D147">
        <f>VLOOKUP(Table1[[#This Row],[Product_Category]],HSNTABLE,2,FALSE)</f>
        <v>5811</v>
      </c>
      <c r="E147">
        <v>327</v>
      </c>
      <c r="F147" s="3">
        <f>VLOOKUP(Table1[[#This Row],[Product_Category]],HSNTABLE,3,FALSE)</f>
        <v>0.18</v>
      </c>
      <c r="G147">
        <f>Table1[[#This Row],[Cost_Price]]*Table1[[#This Row],[GST%]]</f>
        <v>58.86</v>
      </c>
      <c r="H147" s="5">
        <f>ROUNDUP(Table1[[#This Row],[Cost_Price]]+Table1[[#This Row],[GST_AMT]],0)</f>
        <v>386</v>
      </c>
      <c r="I147" s="3">
        <f>VLOOKUP(Table1[[#This Row],[Product_Category]],HSNTABLE,4,FALSE)</f>
        <v>0.35</v>
      </c>
      <c r="J147" s="5">
        <f>Table1[[#This Row],[Total_CP]]*Table1[[#This Row],[Margin%]]</f>
        <v>135.1</v>
      </c>
      <c r="K147" s="5">
        <f>Table1[[#This Row],[Margin_amt]]*Table1[[#This Row],[GST%]]</f>
        <v>24.317999999999998</v>
      </c>
      <c r="L147" s="5">
        <f>ROUNDUP(Table1[[#This Row],[Total_CP]]+Table1[[#This Row],[Margin_amt]]+Table1[[#This Row],[Gst_on_Margin_amt]],0)</f>
        <v>546</v>
      </c>
      <c r="M147" t="s">
        <v>185</v>
      </c>
      <c r="N147" t="str">
        <f>VLOOKUP(Table1[[#This Row],[Godown]],MasterSheet!$F$1:$G$5,2,FALSE)</f>
        <v>West</v>
      </c>
      <c r="O147" t="s">
        <v>340</v>
      </c>
      <c r="P147">
        <f>100</f>
        <v>100</v>
      </c>
      <c r="Q147">
        <v>21</v>
      </c>
      <c r="R147" s="5">
        <f>Table1[[#This Row],[Total_CP]]*Table1[[#This Row],[Qty_Purchased]]</f>
        <v>38600</v>
      </c>
      <c r="S147" s="5">
        <f>Table1[[#This Row],[Total_CP]]*Table1[[#This Row],[Qty_Sold]]</f>
        <v>8106</v>
      </c>
      <c r="T147" s="5">
        <f>Table1[[#This Row],[TotalSelling_Price]]*Table1[[#This Row],[Qty_Sold]]</f>
        <v>11466</v>
      </c>
      <c r="U147" s="5">
        <f>Table1[[#This Row],[SP_Qty_Sold]]-Table1[[#This Row],[CP_Qty_Sold]]</f>
        <v>3360</v>
      </c>
      <c r="V147" s="9">
        <f t="shared" si="2"/>
        <v>45287</v>
      </c>
      <c r="W147" s="5" t="s">
        <v>351</v>
      </c>
    </row>
    <row r="148" spans="1:23" x14ac:dyDescent="0.35">
      <c r="A148" t="s">
        <v>334</v>
      </c>
      <c r="B148" t="s">
        <v>338</v>
      </c>
      <c r="C148" t="s">
        <v>174</v>
      </c>
      <c r="D148">
        <f>VLOOKUP(Table1[[#This Row],[Product_Category]],HSNTABLE,2,FALSE)</f>
        <v>5811</v>
      </c>
      <c r="E148">
        <v>361</v>
      </c>
      <c r="F148" s="3">
        <f>VLOOKUP(Table1[[#This Row],[Product_Category]],HSNTABLE,3,FALSE)</f>
        <v>0.18</v>
      </c>
      <c r="G148">
        <f>Table1[[#This Row],[Cost_Price]]*Table1[[#This Row],[GST%]]</f>
        <v>64.98</v>
      </c>
      <c r="H148" s="5">
        <f>ROUNDUP(Table1[[#This Row],[Cost_Price]]+Table1[[#This Row],[GST_AMT]],0)</f>
        <v>426</v>
      </c>
      <c r="I148" s="3">
        <f>VLOOKUP(Table1[[#This Row],[Product_Category]],HSNTABLE,4,FALSE)</f>
        <v>0.35</v>
      </c>
      <c r="J148" s="5">
        <f>Table1[[#This Row],[Total_CP]]*Table1[[#This Row],[Margin%]]</f>
        <v>149.1</v>
      </c>
      <c r="K148" s="5">
        <f>Table1[[#This Row],[Margin_amt]]*Table1[[#This Row],[GST%]]</f>
        <v>26.837999999999997</v>
      </c>
      <c r="L148" s="5">
        <f>ROUNDUP(Table1[[#This Row],[Total_CP]]+Table1[[#This Row],[Margin_amt]]+Table1[[#This Row],[Gst_on_Margin_amt]],0)</f>
        <v>602</v>
      </c>
      <c r="M148" t="s">
        <v>183</v>
      </c>
      <c r="N148" t="str">
        <f>VLOOKUP(Table1[[#This Row],[Godown]],MasterSheet!$F$1:$G$5,2,FALSE)</f>
        <v>South</v>
      </c>
      <c r="O148" t="s">
        <v>341</v>
      </c>
      <c r="P148">
        <f>100</f>
        <v>100</v>
      </c>
      <c r="Q148">
        <v>37</v>
      </c>
      <c r="R148" s="5">
        <f>Table1[[#This Row],[Total_CP]]*Table1[[#This Row],[Qty_Purchased]]</f>
        <v>42600</v>
      </c>
      <c r="S148" s="5">
        <f>Table1[[#This Row],[Total_CP]]*Table1[[#This Row],[Qty_Sold]]</f>
        <v>15762</v>
      </c>
      <c r="T148" s="5">
        <f>Table1[[#This Row],[TotalSelling_Price]]*Table1[[#This Row],[Qty_Sold]]</f>
        <v>22274</v>
      </c>
      <c r="U148" s="5">
        <f>Table1[[#This Row],[SP_Qty_Sold]]-Table1[[#This Row],[CP_Qty_Sold]]</f>
        <v>6512</v>
      </c>
      <c r="V148" s="9">
        <f t="shared" si="2"/>
        <v>45292</v>
      </c>
      <c r="W148" s="5" t="s">
        <v>352</v>
      </c>
    </row>
    <row r="149" spans="1:23" x14ac:dyDescent="0.35">
      <c r="A149" t="s">
        <v>335</v>
      </c>
      <c r="B149" t="s">
        <v>338</v>
      </c>
      <c r="C149" t="s">
        <v>175</v>
      </c>
      <c r="D149">
        <f>VLOOKUP(Table1[[#This Row],[Product_Category]],HSNTABLE,2,FALSE)</f>
        <v>5811</v>
      </c>
      <c r="E149">
        <v>753</v>
      </c>
      <c r="F149" s="3">
        <f>VLOOKUP(Table1[[#This Row],[Product_Category]],HSNTABLE,3,FALSE)</f>
        <v>0.18</v>
      </c>
      <c r="G149">
        <f>Table1[[#This Row],[Cost_Price]]*Table1[[#This Row],[GST%]]</f>
        <v>135.54</v>
      </c>
      <c r="H149" s="5">
        <f>ROUNDUP(Table1[[#This Row],[Cost_Price]]+Table1[[#This Row],[GST_AMT]],0)</f>
        <v>889</v>
      </c>
      <c r="I149" s="3">
        <f>VLOOKUP(Table1[[#This Row],[Product_Category]],HSNTABLE,4,FALSE)</f>
        <v>0.35</v>
      </c>
      <c r="J149" s="5">
        <f>Table1[[#This Row],[Total_CP]]*Table1[[#This Row],[Margin%]]</f>
        <v>311.14999999999998</v>
      </c>
      <c r="K149" s="5">
        <f>Table1[[#This Row],[Margin_amt]]*Table1[[#This Row],[GST%]]</f>
        <v>56.006999999999991</v>
      </c>
      <c r="L149" s="5">
        <f>ROUNDUP(Table1[[#This Row],[Total_CP]]+Table1[[#This Row],[Margin_amt]]+Table1[[#This Row],[Gst_on_Margin_amt]],0)</f>
        <v>1257</v>
      </c>
      <c r="M149" t="s">
        <v>184</v>
      </c>
      <c r="N149" t="str">
        <f>VLOOKUP(Table1[[#This Row],[Godown]],MasterSheet!$F$1:$G$5,2,FALSE)</f>
        <v>East</v>
      </c>
      <c r="O149" t="s">
        <v>344</v>
      </c>
      <c r="P149">
        <f>100</f>
        <v>100</v>
      </c>
      <c r="Q149">
        <v>35</v>
      </c>
      <c r="R149" s="5">
        <f>Table1[[#This Row],[Total_CP]]*Table1[[#This Row],[Qty_Purchased]]</f>
        <v>88900</v>
      </c>
      <c r="S149" s="5">
        <f>Table1[[#This Row],[Total_CP]]*Table1[[#This Row],[Qty_Sold]]</f>
        <v>31115</v>
      </c>
      <c r="T149" s="5">
        <f>Table1[[#This Row],[TotalSelling_Price]]*Table1[[#This Row],[Qty_Sold]]</f>
        <v>43995</v>
      </c>
      <c r="U149" s="5">
        <f>Table1[[#This Row],[SP_Qty_Sold]]-Table1[[#This Row],[CP_Qty_Sold]]</f>
        <v>12880</v>
      </c>
      <c r="V149" s="9">
        <f t="shared" si="2"/>
        <v>45297</v>
      </c>
      <c r="W149" s="5" t="s">
        <v>352</v>
      </c>
    </row>
    <row r="150" spans="1:23" x14ac:dyDescent="0.35">
      <c r="A150" t="s">
        <v>336</v>
      </c>
      <c r="B150" t="s">
        <v>338</v>
      </c>
      <c r="C150" t="s">
        <v>176</v>
      </c>
      <c r="D150">
        <f>VLOOKUP(Table1[[#This Row],[Product_Category]],HSNTABLE,2,FALSE)</f>
        <v>5811</v>
      </c>
      <c r="E150">
        <v>431</v>
      </c>
      <c r="F150" s="3">
        <f>VLOOKUP(Table1[[#This Row],[Product_Category]],HSNTABLE,3,FALSE)</f>
        <v>0.18</v>
      </c>
      <c r="G150">
        <f>Table1[[#This Row],[Cost_Price]]*Table1[[#This Row],[GST%]]</f>
        <v>77.58</v>
      </c>
      <c r="H150" s="5">
        <f>ROUNDUP(Table1[[#This Row],[Cost_Price]]+Table1[[#This Row],[GST_AMT]],0)</f>
        <v>509</v>
      </c>
      <c r="I150" s="3">
        <f>VLOOKUP(Table1[[#This Row],[Product_Category]],HSNTABLE,4,FALSE)</f>
        <v>0.35</v>
      </c>
      <c r="J150" s="5">
        <f>Table1[[#This Row],[Total_CP]]*Table1[[#This Row],[Margin%]]</f>
        <v>178.14999999999998</v>
      </c>
      <c r="K150" s="5">
        <f>Table1[[#This Row],[Margin_amt]]*Table1[[#This Row],[GST%]]</f>
        <v>32.066999999999993</v>
      </c>
      <c r="L150" s="5">
        <f>ROUNDUP(Table1[[#This Row],[Total_CP]]+Table1[[#This Row],[Margin_amt]]+Table1[[#This Row],[Gst_on_Margin_amt]],0)</f>
        <v>720</v>
      </c>
      <c r="M150" t="s">
        <v>183</v>
      </c>
      <c r="N150" t="str">
        <f>VLOOKUP(Table1[[#This Row],[Godown]],MasterSheet!$F$1:$G$5,2,FALSE)</f>
        <v>South</v>
      </c>
      <c r="O150" t="s">
        <v>340</v>
      </c>
      <c r="P150">
        <f>100</f>
        <v>100</v>
      </c>
      <c r="Q150">
        <v>25</v>
      </c>
      <c r="R150" s="5">
        <f>Table1[[#This Row],[Total_CP]]*Table1[[#This Row],[Qty_Purchased]]</f>
        <v>50900</v>
      </c>
      <c r="S150" s="5">
        <f>Table1[[#This Row],[Total_CP]]*Table1[[#This Row],[Qty_Sold]]</f>
        <v>12725</v>
      </c>
      <c r="T150" s="5">
        <f>Table1[[#This Row],[TotalSelling_Price]]*Table1[[#This Row],[Qty_Sold]]</f>
        <v>18000</v>
      </c>
      <c r="U150" s="5">
        <f>Table1[[#This Row],[SP_Qty_Sold]]-Table1[[#This Row],[CP_Qty_Sold]]</f>
        <v>5275</v>
      </c>
      <c r="V150" s="9">
        <f t="shared" si="2"/>
        <v>45302</v>
      </c>
      <c r="W150" s="5" t="s">
        <v>352</v>
      </c>
    </row>
    <row r="151" spans="1:23" x14ac:dyDescent="0.35">
      <c r="A151" t="s">
        <v>337</v>
      </c>
      <c r="B151" t="s">
        <v>338</v>
      </c>
      <c r="C151" t="s">
        <v>177</v>
      </c>
      <c r="D151">
        <f>VLOOKUP(Table1[[#This Row],[Product_Category]],HSNTABLE,2,FALSE)</f>
        <v>5811</v>
      </c>
      <c r="E151">
        <v>196</v>
      </c>
      <c r="F151" s="3">
        <f>VLOOKUP(Table1[[#This Row],[Product_Category]],HSNTABLE,3,FALSE)</f>
        <v>0.18</v>
      </c>
      <c r="G151">
        <f>Table1[[#This Row],[Cost_Price]]*Table1[[#This Row],[GST%]]</f>
        <v>35.28</v>
      </c>
      <c r="H151" s="5">
        <f>ROUNDUP(Table1[[#This Row],[Cost_Price]]+Table1[[#This Row],[GST_AMT]],0)</f>
        <v>232</v>
      </c>
      <c r="I151" s="3">
        <f>VLOOKUP(Table1[[#This Row],[Product_Category]],HSNTABLE,4,FALSE)</f>
        <v>0.35</v>
      </c>
      <c r="J151" s="5">
        <f>Table1[[#This Row],[Total_CP]]*Table1[[#This Row],[Margin%]]</f>
        <v>81.199999999999989</v>
      </c>
      <c r="K151" s="5">
        <f>Table1[[#This Row],[Margin_amt]]*Table1[[#This Row],[GST%]]</f>
        <v>14.615999999999998</v>
      </c>
      <c r="L151" s="5">
        <f>ROUNDUP(Table1[[#This Row],[Total_CP]]+Table1[[#This Row],[Margin_amt]]+Table1[[#This Row],[Gst_on_Margin_amt]],0)</f>
        <v>328</v>
      </c>
      <c r="M151" t="s">
        <v>183</v>
      </c>
      <c r="N151" t="str">
        <f>VLOOKUP(Table1[[#This Row],[Godown]],MasterSheet!$F$1:$G$5,2,FALSE)</f>
        <v>South</v>
      </c>
      <c r="O151" t="s">
        <v>344</v>
      </c>
      <c r="P151">
        <f>100</f>
        <v>100</v>
      </c>
      <c r="Q151">
        <v>43</v>
      </c>
      <c r="R151" s="5">
        <f>Table1[[#This Row],[Total_CP]]*Table1[[#This Row],[Qty_Purchased]]</f>
        <v>23200</v>
      </c>
      <c r="S151" s="5">
        <f>Table1[[#This Row],[Total_CP]]*Table1[[#This Row],[Qty_Sold]]</f>
        <v>9976</v>
      </c>
      <c r="T151" s="5">
        <f>Table1[[#This Row],[TotalSelling_Price]]*Table1[[#This Row],[Qty_Sold]]</f>
        <v>14104</v>
      </c>
      <c r="U151" s="5">
        <f>Table1[[#This Row],[SP_Qty_Sold]]-Table1[[#This Row],[CP_Qty_Sold]]</f>
        <v>4128</v>
      </c>
      <c r="V151" s="9">
        <f t="shared" si="2"/>
        <v>45307</v>
      </c>
      <c r="W151" s="5" t="s">
        <v>351</v>
      </c>
    </row>
  </sheetData>
  <phoneticPr fontId="3"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A713-7747-46AE-85A1-3AC644436883}">
  <dimension ref="A1:O20"/>
  <sheetViews>
    <sheetView zoomScale="138" workbookViewId="0">
      <selection activeCell="A21" sqref="A21"/>
    </sheetView>
  </sheetViews>
  <sheetFormatPr defaultRowHeight="14.5" x14ac:dyDescent="0.35"/>
  <cols>
    <col min="1" max="1" width="20" customWidth="1"/>
    <col min="6" max="6" width="11.54296875" bestFit="1" customWidth="1"/>
    <col min="7" max="7" width="6.6328125" bestFit="1" customWidth="1"/>
    <col min="8" max="8" width="9.6328125" bestFit="1" customWidth="1"/>
    <col min="9" max="9" width="10.7265625" bestFit="1" customWidth="1"/>
    <col min="10" max="10" width="7.1796875" bestFit="1" customWidth="1"/>
    <col min="11" max="11" width="5.26953125" bestFit="1" customWidth="1"/>
    <col min="12" max="12" width="6" bestFit="1" customWidth="1"/>
    <col min="13" max="13" width="6.08984375" bestFit="1" customWidth="1"/>
    <col min="14" max="14" width="7.54296875" bestFit="1" customWidth="1"/>
    <col min="15" max="15" width="8.26953125" bestFit="1" customWidth="1"/>
    <col min="16" max="16" width="6.08984375" bestFit="1" customWidth="1"/>
    <col min="17" max="17" width="7.54296875" bestFit="1" customWidth="1"/>
    <col min="18" max="19" width="8.26953125" bestFit="1" customWidth="1"/>
  </cols>
  <sheetData>
    <row r="1" spans="1:15" x14ac:dyDescent="0.35">
      <c r="A1" s="6" t="s">
        <v>1</v>
      </c>
      <c r="B1" s="6" t="s">
        <v>20</v>
      </c>
      <c r="C1" s="6" t="s">
        <v>5</v>
      </c>
      <c r="D1" s="6" t="s">
        <v>8</v>
      </c>
      <c r="F1" s="6" t="s">
        <v>11</v>
      </c>
      <c r="G1" s="6" t="s">
        <v>12</v>
      </c>
      <c r="I1" s="6" t="s">
        <v>187</v>
      </c>
      <c r="J1" s="7" t="s">
        <v>339</v>
      </c>
      <c r="K1" s="7" t="s">
        <v>340</v>
      </c>
      <c r="L1" s="7" t="s">
        <v>341</v>
      </c>
      <c r="M1" s="7" t="s">
        <v>342</v>
      </c>
      <c r="N1" s="7" t="s">
        <v>343</v>
      </c>
      <c r="O1" s="7" t="s">
        <v>344</v>
      </c>
    </row>
    <row r="2" spans="1:15" x14ac:dyDescent="0.35">
      <c r="A2" s="7" t="s">
        <v>21</v>
      </c>
      <c r="B2" s="7">
        <v>9963</v>
      </c>
      <c r="C2" s="8">
        <v>0.18</v>
      </c>
      <c r="D2" s="8">
        <v>0.2</v>
      </c>
      <c r="F2" s="7" t="s">
        <v>183</v>
      </c>
      <c r="G2" s="7" t="s">
        <v>179</v>
      </c>
    </row>
    <row r="3" spans="1:15" x14ac:dyDescent="0.35">
      <c r="A3" s="7" t="s">
        <v>22</v>
      </c>
      <c r="B3" s="7">
        <v>2202</v>
      </c>
      <c r="C3" s="8">
        <v>0.18</v>
      </c>
      <c r="D3" s="8">
        <v>0.25</v>
      </c>
      <c r="F3" s="7" t="s">
        <v>184</v>
      </c>
      <c r="G3" s="7" t="s">
        <v>180</v>
      </c>
    </row>
    <row r="4" spans="1:15" x14ac:dyDescent="0.35">
      <c r="A4" s="7" t="s">
        <v>23</v>
      </c>
      <c r="B4" s="7">
        <v>2204</v>
      </c>
      <c r="C4" s="8">
        <v>0.18</v>
      </c>
      <c r="D4" s="8">
        <v>0.2</v>
      </c>
      <c r="F4" s="7" t="s">
        <v>185</v>
      </c>
      <c r="G4" s="7" t="s">
        <v>181</v>
      </c>
    </row>
    <row r="5" spans="1:15" x14ac:dyDescent="0.35">
      <c r="A5" s="7" t="s">
        <v>24</v>
      </c>
      <c r="B5" s="7">
        <v>9967</v>
      </c>
      <c r="C5" s="8">
        <v>0.12</v>
      </c>
      <c r="D5" s="8">
        <v>0.15</v>
      </c>
      <c r="F5" s="7" t="s">
        <v>186</v>
      </c>
      <c r="G5" s="7" t="s">
        <v>182</v>
      </c>
    </row>
    <row r="6" spans="1:15" x14ac:dyDescent="0.35">
      <c r="A6" s="7" t="s">
        <v>25</v>
      </c>
      <c r="B6" s="7">
        <v>2552</v>
      </c>
      <c r="C6" s="8">
        <v>0.05</v>
      </c>
      <c r="D6" s="8">
        <v>0.25</v>
      </c>
    </row>
    <row r="7" spans="1:15" x14ac:dyDescent="0.35">
      <c r="A7" s="7" t="s">
        <v>26</v>
      </c>
      <c r="B7" s="7">
        <v>3543</v>
      </c>
      <c r="C7" s="8">
        <v>0.18</v>
      </c>
      <c r="D7" s="8">
        <v>0.3</v>
      </c>
    </row>
    <row r="8" spans="1:15" x14ac:dyDescent="0.35">
      <c r="A8" s="7" t="s">
        <v>27</v>
      </c>
      <c r="B8" s="7">
        <v>2552</v>
      </c>
      <c r="C8" s="8">
        <v>0.18</v>
      </c>
      <c r="D8" s="8">
        <v>0.25</v>
      </c>
    </row>
    <row r="9" spans="1:15" x14ac:dyDescent="0.35">
      <c r="A9" s="7" t="s">
        <v>338</v>
      </c>
      <c r="B9" s="7">
        <v>5811</v>
      </c>
      <c r="C9" s="8">
        <v>0.18</v>
      </c>
      <c r="D9" s="8">
        <v>0.35</v>
      </c>
    </row>
    <row r="12" spans="1:15" x14ac:dyDescent="0.35">
      <c r="A12" t="s">
        <v>345</v>
      </c>
    </row>
    <row r="13" spans="1:15" x14ac:dyDescent="0.35">
      <c r="A13" t="s">
        <v>346</v>
      </c>
    </row>
    <row r="14" spans="1:15" x14ac:dyDescent="0.35">
      <c r="A14" t="s">
        <v>347</v>
      </c>
      <c r="B14" t="s">
        <v>381</v>
      </c>
    </row>
    <row r="15" spans="1:15" x14ac:dyDescent="0.35">
      <c r="A15" t="s">
        <v>348</v>
      </c>
    </row>
    <row r="16" spans="1:15" x14ac:dyDescent="0.35">
      <c r="A16" t="s">
        <v>377</v>
      </c>
    </row>
    <row r="17" spans="1:1" x14ac:dyDescent="0.35">
      <c r="A17" t="s">
        <v>378</v>
      </c>
    </row>
    <row r="18" spans="1:1" x14ac:dyDescent="0.35">
      <c r="A18" t="s">
        <v>379</v>
      </c>
    </row>
    <row r="19" spans="1:1" x14ac:dyDescent="0.35">
      <c r="A19" t="s">
        <v>380</v>
      </c>
    </row>
    <row r="20" spans="1:1" x14ac:dyDescent="0.35">
      <c r="A20" t="s">
        <v>382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35747-88C9-454A-94EB-DC392FDA49BE}">
  <dimension ref="A1:X14"/>
  <sheetViews>
    <sheetView zoomScale="78" zoomScaleNormal="78" workbookViewId="0">
      <selection activeCell="G16" sqref="G16"/>
    </sheetView>
  </sheetViews>
  <sheetFormatPr defaultRowHeight="14.5" x14ac:dyDescent="0.35"/>
  <cols>
    <col min="1" max="1" width="10.7265625" bestFit="1" customWidth="1"/>
    <col min="2" max="2" width="22" bestFit="1" customWidth="1"/>
    <col min="4" max="4" width="14.6328125" bestFit="1" customWidth="1"/>
    <col min="5" max="5" width="22" bestFit="1" customWidth="1"/>
    <col min="7" max="7" width="9.54296875" bestFit="1" customWidth="1"/>
    <col min="8" max="8" width="14.6328125" bestFit="1" customWidth="1"/>
    <col min="9" max="9" width="22" bestFit="1" customWidth="1"/>
    <col min="10" max="14" width="22" customWidth="1"/>
    <col min="17" max="17" width="20.453125" bestFit="1" customWidth="1"/>
    <col min="18" max="19" width="22" bestFit="1" customWidth="1"/>
    <col min="20" max="20" width="9.6328125" bestFit="1" customWidth="1"/>
    <col min="21" max="21" width="22" bestFit="1" customWidth="1"/>
    <col min="22" max="22" width="6.08984375" bestFit="1" customWidth="1"/>
    <col min="23" max="23" width="9.6328125" bestFit="1" customWidth="1"/>
    <col min="24" max="24" width="22" bestFit="1" customWidth="1"/>
    <col min="25" max="25" width="7.54296875" bestFit="1" customWidth="1"/>
    <col min="26" max="26" width="8.1796875" bestFit="1" customWidth="1"/>
    <col min="27" max="27" width="10.7265625" bestFit="1" customWidth="1"/>
  </cols>
  <sheetData>
    <row r="1" spans="1:24" x14ac:dyDescent="0.35">
      <c r="A1" s="10" t="s">
        <v>368</v>
      </c>
      <c r="B1" t="s">
        <v>366</v>
      </c>
      <c r="D1" t="s">
        <v>367</v>
      </c>
      <c r="E1" t="s">
        <v>366</v>
      </c>
      <c r="G1" s="10" t="s">
        <v>369</v>
      </c>
      <c r="H1" t="s">
        <v>367</v>
      </c>
      <c r="I1" t="s">
        <v>366</v>
      </c>
      <c r="K1" t="s">
        <v>369</v>
      </c>
      <c r="L1" t="b">
        <v>1</v>
      </c>
      <c r="M1" t="b">
        <v>1</v>
      </c>
      <c r="N1" t="b">
        <v>1</v>
      </c>
      <c r="Q1" s="10" t="s">
        <v>1</v>
      </c>
      <c r="R1" t="s">
        <v>366</v>
      </c>
      <c r="T1" s="10" t="s">
        <v>12</v>
      </c>
      <c r="U1" t="s">
        <v>366</v>
      </c>
      <c r="W1" s="10" t="s">
        <v>12</v>
      </c>
      <c r="X1" t="s">
        <v>366</v>
      </c>
    </row>
    <row r="2" spans="1:24" x14ac:dyDescent="0.35">
      <c r="A2" s="11" t="s">
        <v>365</v>
      </c>
      <c r="B2" s="13">
        <v>64843</v>
      </c>
      <c r="D2" s="15">
        <v>100197</v>
      </c>
      <c r="E2" s="13">
        <v>130491</v>
      </c>
      <c r="G2" s="11" t="s">
        <v>353</v>
      </c>
      <c r="H2" s="5">
        <v>10621</v>
      </c>
      <c r="I2" s="5">
        <v>13939</v>
      </c>
      <c r="J2" s="5"/>
      <c r="L2" t="s">
        <v>370</v>
      </c>
      <c r="M2" t="s">
        <v>373</v>
      </c>
      <c r="N2" t="s">
        <v>374</v>
      </c>
      <c r="Q2" s="11" t="s">
        <v>23</v>
      </c>
      <c r="R2" s="14">
        <v>11197</v>
      </c>
      <c r="T2" s="11" t="s">
        <v>180</v>
      </c>
      <c r="U2" s="15">
        <v>42763</v>
      </c>
      <c r="W2" s="11" t="s">
        <v>352</v>
      </c>
      <c r="X2" s="15">
        <v>65644</v>
      </c>
    </row>
    <row r="3" spans="1:24" x14ac:dyDescent="0.35">
      <c r="A3" s="11" t="s">
        <v>375</v>
      </c>
      <c r="B3" s="13">
        <v>62741</v>
      </c>
      <c r="D3" t="s">
        <v>370</v>
      </c>
      <c r="E3" s="13">
        <v>130491</v>
      </c>
      <c r="G3" s="11" t="s">
        <v>354</v>
      </c>
      <c r="H3" s="5">
        <v>7593</v>
      </c>
      <c r="I3" s="5">
        <v>9785</v>
      </c>
      <c r="J3" s="5"/>
      <c r="K3" s="11" t="s">
        <v>353</v>
      </c>
      <c r="L3" s="5">
        <f>IF($L$1=TRUE,VLOOKUP(K3,G:I,3,FALSE),NA())</f>
        <v>13939</v>
      </c>
      <c r="M3" s="5">
        <f>IF($M$1=TRUE,L3-VLOOKUP(K3,G1:I13,2,FALSE),NA())</f>
        <v>3318</v>
      </c>
      <c r="N3" s="3">
        <f>IF($N$1=TRUE,M3/VLOOKUP(K3,G1:I13,2,FALSE)," ")</f>
        <v>0.31239996233876283</v>
      </c>
      <c r="Q3" s="11" t="s">
        <v>26</v>
      </c>
      <c r="R3" s="14">
        <v>25435</v>
      </c>
      <c r="T3" s="11" t="s">
        <v>179</v>
      </c>
      <c r="U3" s="15">
        <v>38926</v>
      </c>
      <c r="W3" s="11" t="s">
        <v>351</v>
      </c>
      <c r="X3" s="15">
        <v>64847</v>
      </c>
    </row>
    <row r="4" spans="1:24" x14ac:dyDescent="0.35">
      <c r="A4" s="11" t="s">
        <v>376</v>
      </c>
      <c r="B4" s="13">
        <v>2907</v>
      </c>
      <c r="D4" t="s">
        <v>371</v>
      </c>
      <c r="E4" s="13">
        <f>GETPIVOTDATA("Sum of TotalSelling_Price",$D$1)-GETPIVOTDATA("Sum of Total_CP",$D$1)</f>
        <v>30294</v>
      </c>
      <c r="G4" s="11" t="s">
        <v>355</v>
      </c>
      <c r="H4" s="5">
        <v>9160</v>
      </c>
      <c r="I4" s="5">
        <v>12120</v>
      </c>
      <c r="J4" s="5"/>
      <c r="K4" s="11" t="s">
        <v>354</v>
      </c>
      <c r="L4" s="5">
        <f t="shared" ref="L4:L14" si="0">IF($L$1=TRUE,VLOOKUP(K4,G:I,3,FALSE),NA())</f>
        <v>9785</v>
      </c>
      <c r="M4" s="5">
        <f t="shared" ref="M4:M14" si="1">IF($M$1=TRUE,L4-VLOOKUP(K4,G2:I14,2,FALSE),NA())</f>
        <v>2192</v>
      </c>
      <c r="N4" s="3">
        <f t="shared" ref="N4:N14" si="2">IF($N$1=TRUE,M4/VLOOKUP(K4,G2:I14,2,FALSE)," ")</f>
        <v>0.28868694850520216</v>
      </c>
      <c r="Q4" s="11" t="s">
        <v>21</v>
      </c>
      <c r="R4" s="14">
        <v>10819</v>
      </c>
      <c r="T4" s="11" t="s">
        <v>181</v>
      </c>
      <c r="U4" s="15">
        <v>48802</v>
      </c>
    </row>
    <row r="5" spans="1:24" x14ac:dyDescent="0.35">
      <c r="A5" s="11" t="s">
        <v>383</v>
      </c>
      <c r="B5" s="13">
        <v>130491</v>
      </c>
      <c r="D5" t="s">
        <v>372</v>
      </c>
      <c r="E5" s="12">
        <f>E4/GETPIVOTDATA("Sum of Total_CP",$D$1)</f>
        <v>0.30234438156831045</v>
      </c>
      <c r="G5" s="11" t="s">
        <v>356</v>
      </c>
      <c r="H5" s="5">
        <v>9012</v>
      </c>
      <c r="I5" s="5">
        <v>11886</v>
      </c>
      <c r="J5" s="5"/>
      <c r="K5" s="11" t="s">
        <v>355</v>
      </c>
      <c r="L5" s="5">
        <f t="shared" si="0"/>
        <v>12120</v>
      </c>
      <c r="M5" s="5">
        <f t="shared" si="1"/>
        <v>2960</v>
      </c>
      <c r="N5" s="3">
        <f t="shared" si="2"/>
        <v>0.32314410480349343</v>
      </c>
      <c r="Q5" s="11" t="s">
        <v>24</v>
      </c>
      <c r="R5" s="14">
        <v>13987</v>
      </c>
    </row>
    <row r="6" spans="1:24" x14ac:dyDescent="0.35">
      <c r="G6" s="11" t="s">
        <v>357</v>
      </c>
      <c r="H6" s="5">
        <v>8966</v>
      </c>
      <c r="I6" s="5">
        <v>11590</v>
      </c>
      <c r="J6" s="5"/>
      <c r="K6" s="11" t="s">
        <v>356</v>
      </c>
      <c r="L6" s="5">
        <f t="shared" si="0"/>
        <v>11886</v>
      </c>
      <c r="M6" s="5">
        <f t="shared" si="1"/>
        <v>2874</v>
      </c>
      <c r="N6" s="3">
        <f t="shared" si="2"/>
        <v>0.31890812250332889</v>
      </c>
      <c r="Q6" s="11" t="s">
        <v>338</v>
      </c>
      <c r="R6" s="14">
        <v>28960</v>
      </c>
    </row>
    <row r="7" spans="1:24" x14ac:dyDescent="0.35">
      <c r="G7" s="11" t="s">
        <v>358</v>
      </c>
      <c r="H7" s="5">
        <v>7821</v>
      </c>
      <c r="I7" s="5">
        <v>9598</v>
      </c>
      <c r="J7" s="5"/>
      <c r="K7" s="11" t="s">
        <v>357</v>
      </c>
      <c r="L7" s="5">
        <f t="shared" si="0"/>
        <v>11590</v>
      </c>
      <c r="M7" s="5">
        <f t="shared" si="1"/>
        <v>2624</v>
      </c>
      <c r="N7" s="3">
        <f t="shared" si="2"/>
        <v>0.29266116439884005</v>
      </c>
      <c r="Q7" s="11" t="s">
        <v>25</v>
      </c>
      <c r="R7" s="14">
        <v>11270</v>
      </c>
    </row>
    <row r="8" spans="1:24" x14ac:dyDescent="0.35">
      <c r="G8" s="11" t="s">
        <v>359</v>
      </c>
      <c r="H8" s="5">
        <v>6627</v>
      </c>
      <c r="I8" s="5">
        <v>8029</v>
      </c>
      <c r="J8" s="5"/>
      <c r="K8" s="11" t="s">
        <v>358</v>
      </c>
      <c r="L8" s="5">
        <f t="shared" si="0"/>
        <v>9598</v>
      </c>
      <c r="M8" s="5">
        <f t="shared" si="1"/>
        <v>1777</v>
      </c>
      <c r="N8" s="3">
        <f t="shared" si="2"/>
        <v>0.22720879682904999</v>
      </c>
      <c r="Q8" s="11" t="s">
        <v>27</v>
      </c>
      <c r="R8" s="14">
        <v>12931</v>
      </c>
    </row>
    <row r="9" spans="1:24" x14ac:dyDescent="0.35">
      <c r="G9" s="11" t="s">
        <v>360</v>
      </c>
      <c r="H9" s="5">
        <v>8110</v>
      </c>
      <c r="I9" s="5">
        <v>10384</v>
      </c>
      <c r="J9" s="5"/>
      <c r="K9" s="11" t="s">
        <v>359</v>
      </c>
      <c r="L9" s="5">
        <f t="shared" si="0"/>
        <v>8029</v>
      </c>
      <c r="M9" s="5">
        <f t="shared" si="1"/>
        <v>1402</v>
      </c>
      <c r="N9" s="3">
        <f t="shared" si="2"/>
        <v>0.21155877470952164</v>
      </c>
      <c r="Q9" s="11" t="s">
        <v>22</v>
      </c>
      <c r="R9" s="14">
        <v>15892</v>
      </c>
    </row>
    <row r="10" spans="1:24" x14ac:dyDescent="0.35">
      <c r="G10" s="11" t="s">
        <v>361</v>
      </c>
      <c r="H10" s="5">
        <v>9223</v>
      </c>
      <c r="I10" s="5">
        <v>12458</v>
      </c>
      <c r="J10" s="5"/>
      <c r="K10" s="11" t="s">
        <v>360</v>
      </c>
      <c r="L10" s="5">
        <f t="shared" si="0"/>
        <v>10384</v>
      </c>
      <c r="M10" s="5">
        <f t="shared" si="1"/>
        <v>2274</v>
      </c>
      <c r="N10" s="3">
        <f t="shared" si="2"/>
        <v>0.28039457459926015</v>
      </c>
    </row>
    <row r="11" spans="1:24" x14ac:dyDescent="0.35">
      <c r="G11" s="11" t="s">
        <v>362</v>
      </c>
      <c r="H11" s="5">
        <v>6439</v>
      </c>
      <c r="I11" s="5">
        <v>8607</v>
      </c>
      <c r="J11" s="5"/>
      <c r="K11" s="11" t="s">
        <v>361</v>
      </c>
      <c r="L11" s="5">
        <f t="shared" si="0"/>
        <v>12458</v>
      </c>
      <c r="M11" s="5">
        <f t="shared" si="1"/>
        <v>3235</v>
      </c>
      <c r="N11" s="3">
        <f t="shared" si="2"/>
        <v>0.35075355090534532</v>
      </c>
    </row>
    <row r="12" spans="1:24" x14ac:dyDescent="0.35">
      <c r="G12" s="11" t="s">
        <v>363</v>
      </c>
      <c r="H12" s="5">
        <v>9258</v>
      </c>
      <c r="I12" s="5">
        <v>12261</v>
      </c>
      <c r="J12" s="5"/>
      <c r="K12" s="11" t="s">
        <v>362</v>
      </c>
      <c r="L12" s="5">
        <f>IF($L$1=TRUE,VLOOKUP(K12,G:I,3,FALSE),NA())</f>
        <v>8607</v>
      </c>
      <c r="M12" s="5">
        <f t="shared" si="1"/>
        <v>2168</v>
      </c>
      <c r="N12" s="3">
        <f t="shared" si="2"/>
        <v>0.33669824506911011</v>
      </c>
    </row>
    <row r="13" spans="1:24" x14ac:dyDescent="0.35">
      <c r="G13" s="11" t="s">
        <v>364</v>
      </c>
      <c r="H13" s="5">
        <v>7367</v>
      </c>
      <c r="I13" s="5">
        <v>9834</v>
      </c>
      <c r="J13" s="5"/>
      <c r="K13" s="11" t="s">
        <v>363</v>
      </c>
      <c r="L13" s="5">
        <f t="shared" si="0"/>
        <v>12261</v>
      </c>
      <c r="M13" s="5">
        <f t="shared" si="1"/>
        <v>3003</v>
      </c>
      <c r="N13" s="3">
        <f t="shared" si="2"/>
        <v>0.32436811406351262</v>
      </c>
    </row>
    <row r="14" spans="1:24" x14ac:dyDescent="0.35">
      <c r="K14" s="11" t="s">
        <v>364</v>
      </c>
      <c r="L14" s="5">
        <f t="shared" si="0"/>
        <v>9834</v>
      </c>
      <c r="M14" s="5">
        <f t="shared" si="1"/>
        <v>2467</v>
      </c>
      <c r="N14" s="3">
        <f t="shared" si="2"/>
        <v>0.33487172526130038</v>
      </c>
    </row>
  </sheetData>
  <pageMargins left="0.7" right="0.7" top="0.75" bottom="0.75" header="0.3" footer="0.3"/>
  <drawing r:id="rId7"/>
  <legacyDrawing r:id="rId8"/>
  <mc:AlternateContent xmlns:mc="http://schemas.openxmlformats.org/markup-compatibility/2006">
    <mc:Choice Requires="x14">
      <controls>
        <mc:AlternateContent xmlns:mc="http://schemas.openxmlformats.org/markup-compatibility/2006">
          <mc:Choice Requires="x14">
            <control shapeId="3074" r:id="rId9" name="Check Box 2">
              <controlPr defaultSize="0" autoFill="0" autoLine="0" autoPict="0">
                <anchor moveWithCells="1">
                  <from>
                    <xdr:col>11</xdr:col>
                    <xdr:colOff>215900</xdr:colOff>
                    <xdr:row>14</xdr:row>
                    <xdr:rowOff>76200</xdr:rowOff>
                  </from>
                  <to>
                    <xdr:col>11</xdr:col>
                    <xdr:colOff>1136650</xdr:colOff>
                    <xdr:row>15</xdr:row>
                    <xdr:rowOff>133350</xdr:rowOff>
                  </to>
                </anchor>
              </controlPr>
            </control>
          </mc:Choice>
        </mc:AlternateContent>
        <mc:AlternateContent xmlns:mc="http://schemas.openxmlformats.org/markup-compatibility/2006">
          <mc:Choice Requires="x14">
            <control shapeId="3075" r:id="rId10" name="Check Box 3">
              <controlPr defaultSize="0" autoFill="0" autoLine="0" autoPict="0">
                <anchor moveWithCells="1">
                  <from>
                    <xdr:col>11</xdr:col>
                    <xdr:colOff>914400</xdr:colOff>
                    <xdr:row>14</xdr:row>
                    <xdr:rowOff>82550</xdr:rowOff>
                  </from>
                  <to>
                    <xdr:col>12</xdr:col>
                    <xdr:colOff>304800</xdr:colOff>
                    <xdr:row>15</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Dashboard</vt:lpstr>
      <vt:lpstr>Database</vt:lpstr>
      <vt:lpstr>MasterSheet</vt:lpstr>
      <vt:lpstr>Pivot Analysis</vt:lpstr>
      <vt:lpstr>East</vt:lpstr>
      <vt:lpstr>Godown</vt:lpstr>
      <vt:lpstr>hsngstmargin</vt:lpstr>
      <vt:lpstr>HSNTABLE</vt:lpstr>
      <vt:lpstr>North</vt:lpstr>
      <vt:lpstr>Product_category</vt:lpstr>
      <vt:lpstr>South</vt:lpstr>
      <vt:lpstr>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Akshyat Khandelwal</dc:creator>
  <cp:lastModifiedBy>SARTHAK LATHI</cp:lastModifiedBy>
  <dcterms:created xsi:type="dcterms:W3CDTF">2023-07-27T08:55:45Z</dcterms:created>
  <dcterms:modified xsi:type="dcterms:W3CDTF">2024-03-20T13:02:17Z</dcterms:modified>
</cp:coreProperties>
</file>