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edelsevier-my.sharepoint.com/personal/sadasipx_risk_regn_net/Documents/Documents/Engineering Presentations/Sarvesh/ZoroMine/"/>
    </mc:Choice>
  </mc:AlternateContent>
  <xr:revisionPtr revIDLastSave="795" documentId="8_{BCF19076-9D8C-4047-8464-5EFDA1FE15E4}" xr6:coauthVersionLast="47" xr6:coauthVersionMax="47" xr10:uidLastSave="{3CBC447F-0BAF-4F72-83D1-203790CA2226}"/>
  <bookViews>
    <workbookView xWindow="-108" yWindow="-108" windowWidth="23256" windowHeight="14016" xr2:uid="{57CDAE03-BBAA-44B5-94BF-ECDB46B43FDA}"/>
  </bookViews>
  <sheets>
    <sheet name="Fin. Summary" sheetId="1" r:id="rId1"/>
    <sheet name="Expenditure" sheetId="2" r:id="rId2"/>
    <sheet name="Future Projectio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20" i="2"/>
  <c r="E19" i="2"/>
  <c r="E16" i="2"/>
  <c r="E15" i="2"/>
  <c r="E11" i="2"/>
  <c r="E13" i="2"/>
  <c r="E14" i="2" s="1"/>
  <c r="E8" i="1"/>
  <c r="E16" i="1" s="1"/>
  <c r="E24" i="1" s="1"/>
  <c r="C9" i="1"/>
  <c r="C17" i="1" s="1"/>
  <c r="C25" i="1" s="1"/>
  <c r="D9" i="1"/>
  <c r="D17" i="1" s="1"/>
  <c r="D25" i="1" s="1"/>
  <c r="E7" i="1"/>
  <c r="F7" i="1" s="1"/>
  <c r="G7" i="1" s="1"/>
  <c r="G9" i="1" s="1"/>
  <c r="G17" i="1" s="1"/>
  <c r="G25" i="1" s="1"/>
  <c r="D16" i="1"/>
  <c r="D24" i="1" s="1"/>
  <c r="C16" i="1"/>
  <c r="C24" i="1" s="1"/>
  <c r="D15" i="1"/>
  <c r="D23" i="1" s="1"/>
  <c r="C15" i="1"/>
  <c r="C23" i="1" s="1"/>
  <c r="E4" i="2" l="1"/>
  <c r="E5" i="2" s="1"/>
  <c r="C18" i="1"/>
  <c r="D18" i="1"/>
  <c r="D26" i="1" s="1"/>
  <c r="F8" i="1"/>
  <c r="G8" i="1" s="1"/>
  <c r="I8" i="1" s="1"/>
  <c r="I7" i="1"/>
  <c r="G15" i="1"/>
  <c r="G23" i="1" s="1"/>
  <c r="E15" i="1"/>
  <c r="E9" i="1"/>
  <c r="E17" i="1" s="1"/>
  <c r="E23" i="1" l="1"/>
  <c r="E25" i="1"/>
  <c r="G16" i="1"/>
  <c r="G24" i="1" s="1"/>
  <c r="C26" i="1"/>
  <c r="D19" i="1"/>
  <c r="D32" i="1" s="1"/>
  <c r="D27" i="1"/>
  <c r="F16" i="1"/>
  <c r="C19" i="1"/>
  <c r="E18" i="1"/>
  <c r="J8" i="1"/>
  <c r="K8" i="1" s="1"/>
  <c r="L8" i="1" s="1"/>
  <c r="M8" i="1" s="1"/>
  <c r="M16" i="1" s="1"/>
  <c r="M24" i="1" s="1"/>
  <c r="I16" i="1"/>
  <c r="I24" i="1" s="1"/>
  <c r="I9" i="1"/>
  <c r="I17" i="1" s="1"/>
  <c r="I25" i="1" s="1"/>
  <c r="J7" i="1"/>
  <c r="J9" i="1" s="1"/>
  <c r="J17" i="1" s="1"/>
  <c r="J25" i="1" s="1"/>
  <c r="I15" i="1"/>
  <c r="I23" i="1" s="1"/>
  <c r="F9" i="1"/>
  <c r="F17" i="1" s="1"/>
  <c r="F25" i="1" s="1"/>
  <c r="F15" i="1"/>
  <c r="F23" i="1" s="1"/>
  <c r="H17" i="1" l="1"/>
  <c r="H25" i="1"/>
  <c r="C32" i="1"/>
  <c r="F24" i="1"/>
  <c r="H24" i="1" s="1"/>
  <c r="H16" i="1"/>
  <c r="H15" i="1"/>
  <c r="H23" i="1"/>
  <c r="G18" i="1"/>
  <c r="G19" i="1" s="1"/>
  <c r="G32" i="1" s="1"/>
  <c r="C33" i="1"/>
  <c r="D33" i="1"/>
  <c r="D34" i="1" s="1"/>
  <c r="D35" i="1" s="1"/>
  <c r="C27" i="1"/>
  <c r="E26" i="1"/>
  <c r="D20" i="1"/>
  <c r="D28" i="1"/>
  <c r="D37" i="1" s="1"/>
  <c r="D38" i="1" s="1"/>
  <c r="E19" i="1"/>
  <c r="E32" i="1" s="1"/>
  <c r="I18" i="1"/>
  <c r="F18" i="1"/>
  <c r="K7" i="1"/>
  <c r="K9" i="1" s="1"/>
  <c r="K17" i="1" s="1"/>
  <c r="K25" i="1" s="1"/>
  <c r="J15" i="1"/>
  <c r="J23" i="1" s="1"/>
  <c r="J16" i="1"/>
  <c r="J24" i="1" s="1"/>
  <c r="G33" i="1" l="1"/>
  <c r="E33" i="1"/>
  <c r="G26" i="1"/>
  <c r="G27" i="1" s="1"/>
  <c r="C34" i="1"/>
  <c r="C35" i="1" s="1"/>
  <c r="C28" i="1"/>
  <c r="F26" i="1"/>
  <c r="F27" i="1" s="1"/>
  <c r="I26" i="1"/>
  <c r="D29" i="1"/>
  <c r="E27" i="1"/>
  <c r="E28" i="1" s="1"/>
  <c r="E20" i="1"/>
  <c r="I19" i="1"/>
  <c r="I32" i="1" s="1"/>
  <c r="F19" i="1"/>
  <c r="F32" i="1" s="1"/>
  <c r="H32" i="1" s="1"/>
  <c r="J18" i="1"/>
  <c r="L7" i="1"/>
  <c r="M7" i="1" s="1"/>
  <c r="M9" i="1" s="1"/>
  <c r="M17" i="1" s="1"/>
  <c r="M25" i="1" s="1"/>
  <c r="K15" i="1"/>
  <c r="K23" i="1" s="1"/>
  <c r="L16" i="1"/>
  <c r="L24" i="1" s="1"/>
  <c r="K16" i="1"/>
  <c r="K24" i="1" s="1"/>
  <c r="N24" i="1" l="1"/>
  <c r="N16" i="1"/>
  <c r="H19" i="1"/>
  <c r="E34" i="1"/>
  <c r="E35" i="1" s="1"/>
  <c r="H27" i="1"/>
  <c r="E37" i="1"/>
  <c r="E38" i="1" s="1"/>
  <c r="C29" i="1"/>
  <c r="C37" i="1"/>
  <c r="C38" i="1" s="1"/>
  <c r="F33" i="1"/>
  <c r="F34" i="1" s="1"/>
  <c r="F35" i="1" s="1"/>
  <c r="I33" i="1"/>
  <c r="I34" i="1" s="1"/>
  <c r="I35" i="1" s="1"/>
  <c r="G34" i="1"/>
  <c r="G35" i="1" s="1"/>
  <c r="L9" i="1"/>
  <c r="L17" i="1" s="1"/>
  <c r="M15" i="1"/>
  <c r="M23" i="1" s="1"/>
  <c r="E29" i="1"/>
  <c r="J26" i="1"/>
  <c r="I27" i="1"/>
  <c r="I28" i="1" s="1"/>
  <c r="G28" i="1"/>
  <c r="F28" i="1"/>
  <c r="G20" i="1"/>
  <c r="F20" i="1"/>
  <c r="I20" i="1"/>
  <c r="J19" i="1"/>
  <c r="J32" i="1" s="1"/>
  <c r="L15" i="1"/>
  <c r="L23" i="1" s="1"/>
  <c r="K18" i="1"/>
  <c r="N23" i="1" l="1"/>
  <c r="L25" i="1"/>
  <c r="N25" i="1" s="1"/>
  <c r="N17" i="1"/>
  <c r="G37" i="1"/>
  <c r="G38" i="1" s="1"/>
  <c r="N15" i="1"/>
  <c r="H33" i="1"/>
  <c r="F37" i="1"/>
  <c r="F38" i="1" s="1"/>
  <c r="H28" i="1"/>
  <c r="H29" i="1" s="1"/>
  <c r="I37" i="1"/>
  <c r="I38" i="1" s="1"/>
  <c r="L18" i="1"/>
  <c r="L26" i="1" s="1"/>
  <c r="L27" i="1" s="1"/>
  <c r="M18" i="1"/>
  <c r="M26" i="1" s="1"/>
  <c r="M27" i="1" s="1"/>
  <c r="I29" i="1"/>
  <c r="F29" i="1"/>
  <c r="J27" i="1"/>
  <c r="J28" i="1" s="1"/>
  <c r="G29" i="1"/>
  <c r="J34" i="1"/>
  <c r="J35" i="1" s="1"/>
  <c r="K26" i="1"/>
  <c r="J20" i="1"/>
  <c r="K19" i="1"/>
  <c r="K32" i="1" s="1"/>
  <c r="N33" i="1" l="1"/>
  <c r="H34" i="1"/>
  <c r="M19" i="1"/>
  <c r="M32" i="1" s="1"/>
  <c r="L19" i="1"/>
  <c r="L32" i="1" s="1"/>
  <c r="N19" i="1"/>
  <c r="J37" i="1"/>
  <c r="J38" i="1" s="1"/>
  <c r="M34" i="1"/>
  <c r="M35" i="1" s="1"/>
  <c r="L34" i="1"/>
  <c r="L35" i="1" s="1"/>
  <c r="M20" i="1"/>
  <c r="J29" i="1"/>
  <c r="K27" i="1"/>
  <c r="N27" i="1" s="1"/>
  <c r="N28" i="1" s="1"/>
  <c r="K34" i="1"/>
  <c r="K35" i="1" s="1"/>
  <c r="L20" i="1"/>
  <c r="L28" i="1"/>
  <c r="L37" i="1" s="1"/>
  <c r="L38" i="1" s="1"/>
  <c r="K20" i="1"/>
  <c r="N32" i="1" l="1"/>
  <c r="N34" i="1" s="1"/>
  <c r="N35" i="1" s="1"/>
  <c r="H35" i="1"/>
  <c r="H37" i="1"/>
  <c r="H38" i="1" s="1"/>
  <c r="M28" i="1"/>
  <c r="M37" i="1" s="1"/>
  <c r="M38" i="1" s="1"/>
  <c r="N37" i="1"/>
  <c r="N38" i="1" s="1"/>
  <c r="K28" i="1"/>
  <c r="K37" i="1" s="1"/>
  <c r="K38" i="1" s="1"/>
  <c r="L29" i="1"/>
  <c r="M29" i="1"/>
  <c r="K29" i="1" l="1"/>
</calcChain>
</file>

<file path=xl/sharedStrings.xml><?xml version="1.0" encoding="utf-8"?>
<sst xmlns="http://schemas.openxmlformats.org/spreadsheetml/2006/main" count="103" uniqueCount="85">
  <si>
    <t>ZoroMine Financial Summary</t>
  </si>
  <si>
    <t>10 Yr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</si>
  <si>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</si>
  <si>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</si>
  <si>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</si>
  <si>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</si>
  <si>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</si>
  <si>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</si>
  <si>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</si>
  <si>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</si>
  <si>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</si>
  <si>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Total</t>
  </si>
  <si>
    <t>Revenues</t>
  </si>
  <si>
    <t>5 Yr</t>
  </si>
  <si>
    <t>Subscription Fees</t>
  </si>
  <si>
    <t>Earnings of Mined Bitcoin</t>
  </si>
  <si>
    <t>Crypto Advisory Services</t>
  </si>
  <si>
    <t>Sales Forecast / Assumptions</t>
  </si>
  <si>
    <t>No. of Customers</t>
  </si>
  <si>
    <t xml:space="preserve">No. of bitcoins mined </t>
  </si>
  <si>
    <t>No. of Customers for Advisory Services</t>
  </si>
  <si>
    <t>Monthly Subscription Fee</t>
  </si>
  <si>
    <t>Total Revenue</t>
  </si>
  <si>
    <t>n/a</t>
  </si>
  <si>
    <t xml:space="preserve">Growth Factor </t>
  </si>
  <si>
    <t>Cost of Goods Sold (COGS)</t>
  </si>
  <si>
    <t xml:space="preserve">Product Development </t>
  </si>
  <si>
    <t xml:space="preserve">Cloud OpEx Cost </t>
  </si>
  <si>
    <t xml:space="preserve">Ongoing Maintenance &amp; Support </t>
  </si>
  <si>
    <t>Total Cost of Goods Sold</t>
  </si>
  <si>
    <t>Gross Profit</t>
  </si>
  <si>
    <t>Revenue Growth %</t>
  </si>
  <si>
    <t>Gross Margin %</t>
  </si>
  <si>
    <t>COGS Factor</t>
  </si>
  <si>
    <t>Expenses</t>
  </si>
  <si>
    <t>Commissions</t>
  </si>
  <si>
    <t>Depreciation</t>
  </si>
  <si>
    <t>Total Expenses</t>
  </si>
  <si>
    <t>Expense to Growth %</t>
  </si>
  <si>
    <t xml:space="preserve">Expense Factor </t>
  </si>
  <si>
    <t>Operating Profit</t>
  </si>
  <si>
    <t>Profit Margin %</t>
  </si>
  <si>
    <t>(in US $)</t>
  </si>
  <si>
    <t>* Revenue projections based on October 2022 product launch</t>
  </si>
  <si>
    <t>Updated February 8, 2022</t>
  </si>
  <si>
    <t>Year 1 *</t>
  </si>
  <si>
    <t>Updated February 9, 2022</t>
  </si>
  <si>
    <t>ZoroMine - Itemized Expenditure</t>
  </si>
  <si>
    <t xml:space="preserve">People </t>
  </si>
  <si>
    <t xml:space="preserve">Recurring Expenses  </t>
  </si>
  <si>
    <t xml:space="preserve">Non-Recurring Expenses  </t>
  </si>
  <si>
    <t xml:space="preserve">Home Office </t>
  </si>
  <si>
    <t xml:space="preserve">Employee Welcome Kit </t>
  </si>
  <si>
    <t xml:space="preserve">At-Home Office Supplies </t>
  </si>
  <si>
    <t xml:space="preserve">Laptop and Accessories </t>
  </si>
  <si>
    <t>Cloud OpEx Cost</t>
  </si>
  <si>
    <t xml:space="preserve">Security Assessments </t>
  </si>
  <si>
    <t xml:space="preserve">Software &amp; Data </t>
  </si>
  <si>
    <t>Machine Learning Training Data from Kaggle.com</t>
  </si>
  <si>
    <t xml:space="preserve">Business/Operational Expenses  </t>
  </si>
  <si>
    <t>Payroll - Salary, Incentives, Benefits</t>
  </si>
  <si>
    <t xml:space="preserve">3rd Party Services </t>
  </si>
  <si>
    <t xml:space="preserve">Monitoring Solutions </t>
  </si>
  <si>
    <t xml:space="preserve">Loan Payment </t>
  </si>
  <si>
    <t xml:space="preserve">Loan Principal Payment </t>
  </si>
  <si>
    <t>Interest Payment</t>
  </si>
  <si>
    <t xml:space="preserve">Business Setup / Capital Expenditure </t>
  </si>
  <si>
    <t xml:space="preserve">LLC Registration &amp; Accountant </t>
  </si>
  <si>
    <t xml:space="preserve">Annual filing &amp; BBB memberships </t>
  </si>
  <si>
    <t xml:space="preserve">Marketing </t>
  </si>
  <si>
    <t xml:space="preserve">Digital marketing / AdClick expenses </t>
  </si>
  <si>
    <t xml:space="preserve">Legal </t>
  </si>
  <si>
    <t xml:space="preserve">Legal &amp; Contracts  </t>
  </si>
  <si>
    <t xml:space="preserve">One-time </t>
  </si>
  <si>
    <t>Monthly</t>
  </si>
  <si>
    <t>Cloud Formation, Graviton 3, and Quantum</t>
  </si>
  <si>
    <t>One-Time</t>
  </si>
  <si>
    <t xml:space="preserve">One-Time Expenses </t>
  </si>
  <si>
    <t xml:space="preserve">Monthly Expenses </t>
  </si>
  <si>
    <t xml:space="preserve">Virtual Meeting subscriptions </t>
  </si>
  <si>
    <t>Magazines</t>
  </si>
  <si>
    <t xml:space="preserve">Magazines &amp; Subscriptions </t>
  </si>
  <si>
    <t xml:space="preserve">Software Licenses </t>
  </si>
  <si>
    <t xml:space="preserve">Annual Expenses </t>
  </si>
  <si>
    <t>ZoroMine - Expenditure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</si>
</sst>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i/>
      <sz val="11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1" xfId="0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 indent="1"/>
    </xf>
    <xf numFmtId="38" fontId="0" fillId="0" borderId="0" xfId="0" applyNumberFormat="1"/>
    <xf numFmtId="0" fontId="0" fillId="0" borderId="0" xfId="0" applyBorder="1" applyAlignment="1">
      <alignment horizontal="right"/>
    </xf>
    <xf numFmtId="38" fontId="0" fillId="0" borderId="0" xfId="0" applyNumberFormat="1" applyBorder="1" applyAlignment="1">
      <alignment horizontal="right"/>
    </xf>
    <xf numFmtId="38" fontId="0" fillId="0" borderId="0" xfId="0" applyNumberFormat="1" applyAlignment="1">
      <alignment horizontal="right"/>
    </xf>
    <xf numFmtId="38" fontId="0" fillId="0" borderId="3" xfId="0" applyNumberFormat="1" applyBorder="1" applyAlignment="1">
      <alignment horizontal="right"/>
    </xf>
    <xf numFmtId="40" fontId="0" fillId="0" borderId="0" xfId="0" applyNumberFormat="1" applyBorder="1" applyAlignment="1">
      <alignment horizontal="right"/>
    </xf>
    <xf numFmtId="0" fontId="6" fillId="0" borderId="0" xfId="0" applyFont="1"/>
    <xf numFmtId="0" fontId="7" fillId="0" borderId="0" xfId="0" applyFont="1"/>
    <xf numFmtId="38" fontId="2" fillId="0" borderId="3" xfId="0" applyNumberFormat="1" applyFont="1" applyBorder="1" applyAlignment="1">
      <alignment horizontal="right"/>
    </xf>
    <xf numFmtId="0" fontId="1" fillId="0" borderId="0" xfId="0" applyFont="1" applyAlignment="1">
      <alignment horizontal="left" indent="1"/>
    </xf>
    <xf numFmtId="9" fontId="6" fillId="0" borderId="3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9" fontId="5" fillId="0" borderId="3" xfId="0" applyNumberFormat="1" applyFont="1" applyBorder="1" applyAlignment="1">
      <alignment horizontal="right"/>
    </xf>
    <xf numFmtId="38" fontId="5" fillId="0" borderId="3" xfId="0" applyNumberFormat="1" applyFont="1" applyBorder="1" applyAlignment="1">
      <alignment horizontal="right"/>
    </xf>
    <xf numFmtId="38" fontId="1" fillId="0" borderId="3" xfId="0" applyNumberFormat="1" applyFont="1" applyBorder="1" applyAlignment="1">
      <alignment horizontal="right"/>
    </xf>
    <xf numFmtId="38" fontId="8" fillId="0" borderId="3" xfId="0" applyNumberFormat="1" applyFont="1" applyBorder="1" applyAlignment="1">
      <alignment horizontal="right"/>
    </xf>
    <xf numFmtId="9" fontId="9" fillId="0" borderId="3" xfId="0" applyNumberFormat="1" applyFont="1" applyBorder="1" applyAlignment="1">
      <alignment horizontal="right"/>
    </xf>
    <xf numFmtId="0" fontId="7" fillId="2" borderId="0" xfId="0" applyFont="1" applyFill="1"/>
    <xf numFmtId="0" fontId="10" fillId="2" borderId="0" xfId="0" applyFont="1" applyFill="1"/>
    <xf numFmtId="10" fontId="13" fillId="0" borderId="3" xfId="0" applyNumberFormat="1" applyFont="1" applyBorder="1" applyAlignment="1">
      <alignment horizontal="right"/>
    </xf>
    <xf numFmtId="0" fontId="2" fillId="0" borderId="2" xfId="0" applyFont="1" applyBorder="1" applyAlignment="1">
      <alignment horizontal="left" indent="1"/>
    </xf>
    <xf numFmtId="0" fontId="8" fillId="0" borderId="2" xfId="0" applyFont="1" applyBorder="1" applyAlignment="1">
      <alignment horizontal="left" indent="1"/>
    </xf>
    <xf numFmtId="0" fontId="5" fillId="0" borderId="3" xfId="0" applyFont="1" applyBorder="1" applyAlignment="1">
      <alignment horizontal="left" indent="1"/>
    </xf>
    <xf numFmtId="0" fontId="2" fillId="0" borderId="3" xfId="0" applyFont="1" applyBorder="1" applyAlignment="1">
      <alignment horizontal="left" indent="1"/>
    </xf>
    <xf numFmtId="0" fontId="11" fillId="0" borderId="2" xfId="0" applyFont="1" applyBorder="1" applyAlignment="1">
      <alignment horizontal="left" indent="1"/>
    </xf>
    <xf numFmtId="0" fontId="12" fillId="0" borderId="3" xfId="0" applyFont="1" applyBorder="1" applyAlignment="1">
      <alignment horizontal="left" indent="1"/>
    </xf>
    <xf numFmtId="0" fontId="9" fillId="0" borderId="3" xfId="0" applyFont="1" applyBorder="1" applyAlignment="1">
      <alignment horizontal="left" indent="1"/>
    </xf>
    <xf numFmtId="0" fontId="14" fillId="2" borderId="0" xfId="0" applyFont="1" applyFill="1"/>
    <xf numFmtId="0" fontId="10" fillId="2" borderId="0" xfId="0" applyFont="1" applyFill="1" applyAlignment="1">
      <alignment horizontal="right"/>
    </xf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right"/>
    </xf>
    <xf numFmtId="38" fontId="0" fillId="2" borderId="0" xfId="0" applyNumberFormat="1" applyFill="1" applyBorder="1" applyAlignment="1">
      <alignment horizontal="right"/>
    </xf>
    <xf numFmtId="38" fontId="0" fillId="2" borderId="0" xfId="0" applyNumberFormat="1" applyFill="1" applyAlignment="1">
      <alignment horizontal="righ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38" fontId="0" fillId="2" borderId="1" xfId="0" applyNumberFormat="1" applyFill="1" applyBorder="1" applyAlignment="1">
      <alignment horizontal="right"/>
    </xf>
    <xf numFmtId="38" fontId="2" fillId="2" borderId="1" xfId="0" applyNumberFormat="1" applyFont="1" applyFill="1" applyBorder="1" applyAlignment="1">
      <alignment horizontal="right"/>
    </xf>
    <xf numFmtId="9" fontId="5" fillId="2" borderId="1" xfId="0" applyNumberFormat="1" applyFont="1" applyFill="1" applyBorder="1" applyAlignment="1">
      <alignment horizontal="right"/>
    </xf>
    <xf numFmtId="9" fontId="6" fillId="2" borderId="1" xfId="0" applyNumberFormat="1" applyFont="1" applyFill="1" applyBorder="1" applyAlignment="1">
      <alignment horizontal="right"/>
    </xf>
    <xf numFmtId="38" fontId="1" fillId="2" borderId="1" xfId="0" applyNumberFormat="1" applyFont="1" applyFill="1" applyBorder="1" applyAlignment="1">
      <alignment horizontal="right"/>
    </xf>
    <xf numFmtId="10" fontId="13" fillId="2" borderId="1" xfId="0" applyNumberFormat="1" applyFont="1" applyFill="1" applyBorder="1" applyAlignment="1">
      <alignment horizontal="right"/>
    </xf>
    <xf numFmtId="38" fontId="8" fillId="2" borderId="1" xfId="0" applyNumberFormat="1" applyFont="1" applyFill="1" applyBorder="1" applyAlignment="1">
      <alignment horizontal="right"/>
    </xf>
    <xf numFmtId="9" fontId="9" fillId="2" borderId="1" xfId="0" applyNumberFormat="1" applyFont="1" applyFill="1" applyBorder="1" applyAlignment="1">
      <alignment horizontal="right"/>
    </xf>
    <xf numFmtId="40" fontId="0" fillId="2" borderId="0" xfId="0" applyNumberFormat="1" applyFill="1" applyBorder="1" applyAlignment="1">
      <alignment horizontal="right"/>
    </xf>
    <xf numFmtId="38" fontId="5" fillId="2" borderId="1" xfId="0" applyNumberFormat="1" applyFont="1" applyFill="1" applyBorder="1" applyAlignment="1">
      <alignment horizontal="right"/>
    </xf>
    <xf numFmtId="38" fontId="6" fillId="2" borderId="1" xfId="0" applyNumberFormat="1" applyFont="1" applyFill="1" applyBorder="1" applyAlignment="1">
      <alignment horizontal="right"/>
    </xf>
    <xf numFmtId="0" fontId="14" fillId="0" borderId="0" xfId="0" applyFont="1"/>
    <xf numFmtId="6" fontId="0" fillId="0" borderId="0" xfId="0" applyNumberFormat="1"/>
    <xf numFmtId="0" fontId="14" fillId="2" borderId="1" xfId="0" applyFont="1" applyFill="1" applyBorder="1"/>
    <xf numFmtId="6" fontId="14" fillId="2" borderId="1" xfId="0" applyNumberFormat="1" applyFont="1" applyFill="1" applyBorder="1"/>
    <xf numFmtId="0" fontId="10" fillId="2" borderId="1" xfId="0" applyFont="1" applyFill="1" applyBorder="1" applyAlignment="1">
      <alignment horizontal="right"/>
    </xf>
    <xf numFmtId="0" fontId="15" fillId="5" borderId="1" xfId="0" applyFont="1" applyFill="1" applyBorder="1"/>
    <xf numFmtId="0" fontId="0" fillId="5" borderId="1" xfId="0" applyFill="1" applyBorder="1"/>
    <xf numFmtId="6" fontId="0" fillId="5" borderId="1" xfId="0" applyNumberFormat="1" applyFill="1" applyBorder="1"/>
    <xf numFmtId="0" fontId="14" fillId="3" borderId="1" xfId="0" applyFont="1" applyFill="1" applyBorder="1"/>
    <xf numFmtId="6" fontId="14" fillId="3" borderId="1" xfId="0" applyNumberFormat="1" applyFont="1" applyFill="1" applyBorder="1"/>
    <xf numFmtId="0" fontId="10" fillId="3" borderId="1" xfId="0" applyFont="1" applyFill="1" applyBorder="1" applyAlignment="1">
      <alignment horizontal="right"/>
    </xf>
    <xf numFmtId="0" fontId="15" fillId="4" borderId="1" xfId="0" applyFont="1" applyFill="1" applyBorder="1"/>
    <xf numFmtId="0" fontId="0" fillId="4" borderId="1" xfId="0" applyFill="1" applyBorder="1"/>
    <xf numFmtId="6" fontId="0" fillId="4" borderId="1" xfId="0" applyNumberFormat="1" applyFill="1" applyBorder="1"/>
    <xf numFmtId="0" fontId="0" fillId="0" borderId="1" xfId="0" applyBorder="1"/>
    <xf numFmtId="0" fontId="2" fillId="0" borderId="1" xfId="0" applyFont="1" applyBorder="1"/>
    <xf numFmtId="6" fontId="0" fillId="0" borderId="1" xfId="0" applyNumberFormat="1" applyBorder="1"/>
    <xf numFmtId="0" fontId="0" fillId="0" borderId="1" xfId="0" applyBorder="1" applyAlignment="1">
      <alignment horizontal="left" indent="1"/>
    </xf>
    <xf numFmtId="0" fontId="0" fillId="3" borderId="1" xfId="0" applyFill="1" applyBorder="1"/>
    <xf numFmtId="6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F40D3-CC24-41C0-833A-D591DC0C5A09}">
  <dimension ref="B2:N53"/>
  <sheetViews>
    <sheetView tabSelected="1" topLeftCell="A13" workbookViewId="0">
      <selection activeCell="D24" sqref="D24"/>
    </sheetView>
  </sheetViews>
  <sheetFormatPr defaultRowHeight="18" customHeight="1" x14ac:dyDescent="0.3"/>
  <cols>
    <col min="1" max="1" width="6.44140625" customWidth="1"/>
    <col min="2" max="2" width="38.33203125" customWidth="1"/>
    <col min="3" max="14" width="15.33203125" customWidth="1"/>
  </cols>
  <sheetData>
    <row r="2" spans="2:14" s="14" customFormat="1" ht="21.6" customHeight="1" x14ac:dyDescent="0.4">
      <c r="B2" s="34" t="s">
        <v>0</v>
      </c>
      <c r="C2" s="24"/>
      <c r="D2" s="25"/>
      <c r="E2" s="24"/>
      <c r="F2" s="25"/>
      <c r="G2" s="24"/>
      <c r="H2" s="24"/>
      <c r="I2" s="25" t="s">
        <v>43</v>
      </c>
      <c r="J2" s="24"/>
      <c r="K2" s="25"/>
      <c r="L2" s="25"/>
      <c r="M2" s="25"/>
      <c r="N2" s="35" t="s">
        <v>44</v>
      </c>
    </row>
    <row r="3" spans="2:14" s="2" customFormat="1" ht="18" customHeight="1" x14ac:dyDescent="0.3">
      <c r="C3" s="3">
        <v>2022</v>
      </c>
      <c r="D3" s="3">
        <v>2023</v>
      </c>
      <c r="E3" s="3">
        <v>2024</v>
      </c>
      <c r="F3" s="3">
        <v>2025</v>
      </c>
      <c r="G3" s="3">
        <v>2026</v>
      </c>
      <c r="H3" s="42" t="s">
        <v>13</v>
      </c>
      <c r="I3" s="3">
        <v>2027</v>
      </c>
      <c r="J3" s="3">
        <v>2028</v>
      </c>
      <c r="K3" s="3">
        <v>2029</v>
      </c>
      <c r="L3" s="3">
        <v>2030</v>
      </c>
      <c r="M3" s="3">
        <v>2031</v>
      </c>
      <c r="N3" s="42" t="s">
        <v>1</v>
      </c>
    </row>
    <row r="4" spans="2:14" ht="18" customHeight="1" x14ac:dyDescent="0.3">
      <c r="B4" s="18" t="s">
        <v>42</v>
      </c>
      <c r="C4" s="1" t="s">
        <v>45</v>
      </c>
      <c r="D4" s="1" t="s">
        <v>2</v>
      </c>
      <c r="E4" s="1" t="s">
        <v>3</v>
      </c>
      <c r="F4" s="1" t="s">
        <v>4</v>
      </c>
      <c r="G4" s="40" t="s">
        <v>5</v>
      </c>
      <c r="H4" s="36" t="s">
        <v>11</v>
      </c>
      <c r="I4" s="41" t="s">
        <v>6</v>
      </c>
      <c r="J4" s="1" t="s">
        <v>7</v>
      </c>
      <c r="K4" s="1" t="s">
        <v>8</v>
      </c>
      <c r="L4" s="1" t="s">
        <v>9</v>
      </c>
      <c r="M4" s="40" t="s">
        <v>10</v>
      </c>
      <c r="N4" s="36" t="s">
        <v>11</v>
      </c>
    </row>
    <row r="5" spans="2:14" ht="18" customHeight="1" x14ac:dyDescent="0.3">
      <c r="B5" s="5" t="s">
        <v>17</v>
      </c>
      <c r="C5" s="8"/>
      <c r="D5" s="8"/>
      <c r="E5" s="8"/>
      <c r="F5" s="8"/>
      <c r="G5" s="8"/>
      <c r="H5" s="37"/>
      <c r="I5" s="8"/>
      <c r="J5" s="8"/>
      <c r="K5" s="8"/>
      <c r="L5" s="8"/>
      <c r="M5" s="8"/>
      <c r="N5" s="37"/>
    </row>
    <row r="6" spans="2:14" ht="18" customHeight="1" x14ac:dyDescent="0.3">
      <c r="B6" s="6" t="s">
        <v>21</v>
      </c>
      <c r="C6" s="9">
        <v>49</v>
      </c>
      <c r="D6" s="9">
        <v>49</v>
      </c>
      <c r="E6" s="9">
        <v>49</v>
      </c>
      <c r="F6" s="9">
        <v>59</v>
      </c>
      <c r="G6" s="9">
        <v>59</v>
      </c>
      <c r="H6" s="38"/>
      <c r="I6" s="9">
        <v>69</v>
      </c>
      <c r="J6" s="9">
        <v>69</v>
      </c>
      <c r="K6" s="9">
        <v>69</v>
      </c>
      <c r="L6" s="9">
        <v>99</v>
      </c>
      <c r="M6" s="9">
        <v>99</v>
      </c>
      <c r="N6" s="38"/>
    </row>
    <row r="7" spans="2:14" ht="18" customHeight="1" x14ac:dyDescent="0.3">
      <c r="B7" s="6" t="s">
        <v>18</v>
      </c>
      <c r="C7" s="9">
        <v>90</v>
      </c>
      <c r="D7" s="9">
        <v>250</v>
      </c>
      <c r="E7" s="9">
        <f>D7*1.5</f>
        <v>375</v>
      </c>
      <c r="F7" s="9">
        <f t="shared" ref="F7:G7" si="0">E7*1.5</f>
        <v>562.5</v>
      </c>
      <c r="G7" s="9">
        <f t="shared" si="0"/>
        <v>843.75</v>
      </c>
      <c r="H7" s="38"/>
      <c r="I7" s="9">
        <f>G7*1.2</f>
        <v>1012.5</v>
      </c>
      <c r="J7" s="9">
        <f>I7*1.5</f>
        <v>1518.75</v>
      </c>
      <c r="K7" s="9">
        <f t="shared" ref="K7:M7" si="1">J7*1.5</f>
        <v>2278.125</v>
      </c>
      <c r="L7" s="9">
        <f t="shared" si="1"/>
        <v>3417.1875</v>
      </c>
      <c r="M7" s="9">
        <f t="shared" si="1"/>
        <v>5125.78125</v>
      </c>
      <c r="N7" s="38"/>
    </row>
    <row r="8" spans="2:14" ht="18" customHeight="1" x14ac:dyDescent="0.3">
      <c r="B8" s="6" t="s">
        <v>19</v>
      </c>
      <c r="C8" s="9">
        <v>8</v>
      </c>
      <c r="D8" s="9">
        <v>50</v>
      </c>
      <c r="E8" s="9">
        <f>D8*1.5</f>
        <v>75</v>
      </c>
      <c r="F8" s="9">
        <f t="shared" ref="F8:G8" si="2">E8*1.5</f>
        <v>112.5</v>
      </c>
      <c r="G8" s="9">
        <f t="shared" si="2"/>
        <v>168.75</v>
      </c>
      <c r="H8" s="38"/>
      <c r="I8" s="9">
        <f>G8*1.5</f>
        <v>253.125</v>
      </c>
      <c r="J8" s="9">
        <f t="shared" ref="J8:M8" si="3">I8*1.5</f>
        <v>379.6875</v>
      </c>
      <c r="K8" s="9">
        <f t="shared" si="3"/>
        <v>569.53125</v>
      </c>
      <c r="L8" s="9">
        <f t="shared" si="3"/>
        <v>854.296875</v>
      </c>
      <c r="M8" s="9">
        <f t="shared" si="3"/>
        <v>1281.4453125</v>
      </c>
      <c r="N8" s="38"/>
    </row>
    <row r="9" spans="2:14" ht="18" customHeight="1" x14ac:dyDescent="0.3">
      <c r="B9" s="6" t="s">
        <v>20</v>
      </c>
      <c r="C9" s="9">
        <f>C7*0.15</f>
        <v>13.5</v>
      </c>
      <c r="D9" s="9">
        <f>D7*0.15</f>
        <v>37.5</v>
      </c>
      <c r="E9" s="9">
        <f>E7*0.15</f>
        <v>56.25</v>
      </c>
      <c r="F9" s="9">
        <f>F7*0.15</f>
        <v>84.375</v>
      </c>
      <c r="G9" s="9">
        <f>G7*0.15</f>
        <v>126.5625</v>
      </c>
      <c r="H9" s="38"/>
      <c r="I9" s="9">
        <f>I7*0.15</f>
        <v>151.875</v>
      </c>
      <c r="J9" s="9">
        <f>J7*0.15</f>
        <v>227.8125</v>
      </c>
      <c r="K9" s="9">
        <f>K7*0.15</f>
        <v>341.71875</v>
      </c>
      <c r="L9" s="9">
        <f>L7*0.15</f>
        <v>512.578125</v>
      </c>
      <c r="M9" s="9">
        <f>M7*0.15</f>
        <v>768.8671875</v>
      </c>
      <c r="N9" s="38"/>
    </row>
    <row r="10" spans="2:14" ht="18" customHeight="1" x14ac:dyDescent="0.3">
      <c r="B10" s="16" t="s">
        <v>24</v>
      </c>
      <c r="C10" s="9">
        <v>1</v>
      </c>
      <c r="D10" s="12">
        <v>1.05</v>
      </c>
      <c r="E10" s="12">
        <v>1.1000000000000001</v>
      </c>
      <c r="F10" s="12">
        <v>1.24</v>
      </c>
      <c r="G10" s="12">
        <v>1.6</v>
      </c>
      <c r="H10" s="38"/>
      <c r="I10" s="12">
        <v>2.1</v>
      </c>
      <c r="J10" s="12">
        <v>2.75</v>
      </c>
      <c r="K10" s="12">
        <v>3.8</v>
      </c>
      <c r="L10" s="12">
        <v>5.0999999999999996</v>
      </c>
      <c r="M10" s="12">
        <v>7.1</v>
      </c>
      <c r="N10" s="51"/>
    </row>
    <row r="11" spans="2:14" ht="18" customHeight="1" x14ac:dyDescent="0.3">
      <c r="B11" s="16" t="s">
        <v>33</v>
      </c>
      <c r="C11" s="12">
        <v>0.56000000000000005</v>
      </c>
      <c r="D11" s="12">
        <v>0.66</v>
      </c>
      <c r="E11" s="12">
        <v>0.69</v>
      </c>
      <c r="F11" s="12">
        <v>0.71</v>
      </c>
      <c r="G11" s="12">
        <v>0.72</v>
      </c>
      <c r="H11" s="38"/>
      <c r="I11" s="12">
        <v>0.74</v>
      </c>
      <c r="J11" s="12">
        <v>0.78</v>
      </c>
      <c r="K11" s="12">
        <v>0.81</v>
      </c>
      <c r="L11" s="12">
        <v>0.83</v>
      </c>
      <c r="M11" s="12">
        <v>0.88</v>
      </c>
      <c r="N11" s="51"/>
    </row>
    <row r="12" spans="2:14" ht="18" customHeight="1" x14ac:dyDescent="0.3">
      <c r="B12" s="16" t="s">
        <v>39</v>
      </c>
      <c r="C12" s="12">
        <v>0.02</v>
      </c>
      <c r="D12" s="12">
        <v>1.7999999999999999E-2</v>
      </c>
      <c r="E12" s="12">
        <v>1.9E-2</v>
      </c>
      <c r="F12" s="12">
        <v>2.1000000000000001E-2</v>
      </c>
      <c r="G12" s="12">
        <v>2.1999999999999999E-2</v>
      </c>
      <c r="H12" s="38"/>
      <c r="I12" s="12">
        <v>0.02</v>
      </c>
      <c r="J12" s="12">
        <v>1.7000000000000001E-2</v>
      </c>
      <c r="K12" s="12">
        <v>1.9E-2</v>
      </c>
      <c r="L12" s="12">
        <v>2.1000000000000001E-2</v>
      </c>
      <c r="M12" s="12">
        <v>2.1999999999999999E-2</v>
      </c>
      <c r="N12" s="51"/>
    </row>
    <row r="13" spans="2:14" ht="18" customHeight="1" x14ac:dyDescent="0.3">
      <c r="B13" s="6"/>
      <c r="C13" s="9"/>
      <c r="D13" s="9"/>
      <c r="E13" s="9"/>
      <c r="F13" s="9"/>
      <c r="G13" s="9"/>
      <c r="H13" s="38"/>
      <c r="I13" s="9"/>
      <c r="J13" s="9"/>
      <c r="K13" s="9"/>
      <c r="L13" s="9"/>
      <c r="M13" s="9"/>
      <c r="N13" s="38"/>
    </row>
    <row r="14" spans="2:14" ht="18" customHeight="1" x14ac:dyDescent="0.3">
      <c r="B14" s="4" t="s">
        <v>12</v>
      </c>
      <c r="C14" s="10"/>
      <c r="D14" s="10"/>
      <c r="E14" s="10"/>
      <c r="F14" s="10"/>
      <c r="G14" s="10"/>
      <c r="H14" s="39"/>
      <c r="I14" s="10"/>
      <c r="J14" s="10"/>
      <c r="K14" s="10"/>
      <c r="L14" s="10"/>
      <c r="M14" s="10"/>
      <c r="N14" s="39"/>
    </row>
    <row r="15" spans="2:14" ht="18" customHeight="1" x14ac:dyDescent="0.3">
      <c r="B15" s="6" t="s">
        <v>14</v>
      </c>
      <c r="C15" s="10">
        <f>C6*C7*12</f>
        <v>52920</v>
      </c>
      <c r="D15" s="10">
        <f>D6*D7*12</f>
        <v>147000</v>
      </c>
      <c r="E15" s="10">
        <f>E6*E7*12</f>
        <v>220500</v>
      </c>
      <c r="F15" s="10">
        <f>F6*F7*12</f>
        <v>398250</v>
      </c>
      <c r="G15" s="10">
        <f>G6*G7*12</f>
        <v>597375</v>
      </c>
      <c r="H15" s="43">
        <f>SUM(C15:G15)</f>
        <v>1416045</v>
      </c>
      <c r="I15" s="10">
        <f>I6*I7*12</f>
        <v>838350</v>
      </c>
      <c r="J15" s="10">
        <f>J6*J7*12</f>
        <v>1257525</v>
      </c>
      <c r="K15" s="10">
        <f>K6*K7*12</f>
        <v>1886287.5</v>
      </c>
      <c r="L15" s="10">
        <f>L6*L7*12</f>
        <v>4059618.75</v>
      </c>
      <c r="M15" s="10">
        <f>M6*M7*12</f>
        <v>6089428.125</v>
      </c>
      <c r="N15" s="43">
        <f>SUM(H15:M15)</f>
        <v>15547254.375</v>
      </c>
    </row>
    <row r="16" spans="2:14" ht="18" customHeight="1" x14ac:dyDescent="0.3">
      <c r="B16" s="6" t="s">
        <v>15</v>
      </c>
      <c r="C16" s="10">
        <f>C8*43170</f>
        <v>345360</v>
      </c>
      <c r="D16" s="10">
        <f t="shared" ref="D16:G16" si="4">D8*43170</f>
        <v>2158500</v>
      </c>
      <c r="E16" s="10">
        <f t="shared" si="4"/>
        <v>3237750</v>
      </c>
      <c r="F16" s="10">
        <f t="shared" si="4"/>
        <v>4856625</v>
      </c>
      <c r="G16" s="10">
        <f t="shared" si="4"/>
        <v>7284937.5</v>
      </c>
      <c r="H16" s="43">
        <f t="shared" ref="H16:H17" si="5">SUM(C16:G16)</f>
        <v>17883172.5</v>
      </c>
      <c r="I16" s="10">
        <f>I8*43170</f>
        <v>10927406.25</v>
      </c>
      <c r="J16" s="10">
        <f>J8*43170</f>
        <v>16391109.375</v>
      </c>
      <c r="K16" s="10">
        <f>K8*43170</f>
        <v>24586664.0625</v>
      </c>
      <c r="L16" s="10">
        <f>L8*43170</f>
        <v>36879996.09375</v>
      </c>
      <c r="M16" s="10">
        <f>M8*43170</f>
        <v>55319994.140625</v>
      </c>
      <c r="N16" s="43">
        <f t="shared" ref="N16:N17" si="6">SUM(H16:M16)</f>
        <v>161988342.421875</v>
      </c>
    </row>
    <row r="17" spans="2:14" ht="18" customHeight="1" x14ac:dyDescent="0.3">
      <c r="B17" s="6" t="s">
        <v>16</v>
      </c>
      <c r="C17" s="10">
        <f>C9*1000</f>
        <v>13500</v>
      </c>
      <c r="D17" s="10">
        <f t="shared" ref="D17:G17" si="7">D9*1000</f>
        <v>37500</v>
      </c>
      <c r="E17" s="10">
        <f t="shared" si="7"/>
        <v>56250</v>
      </c>
      <c r="F17" s="10">
        <f t="shared" si="7"/>
        <v>84375</v>
      </c>
      <c r="G17" s="10">
        <f t="shared" si="7"/>
        <v>126562.5</v>
      </c>
      <c r="H17" s="43">
        <f t="shared" si="5"/>
        <v>318187.5</v>
      </c>
      <c r="I17" s="10">
        <f t="shared" ref="I17:M17" si="8">I9*1000</f>
        <v>151875</v>
      </c>
      <c r="J17" s="10">
        <f t="shared" si="8"/>
        <v>227812.5</v>
      </c>
      <c r="K17" s="10">
        <f t="shared" si="8"/>
        <v>341718.75</v>
      </c>
      <c r="L17" s="10">
        <f t="shared" si="8"/>
        <v>512578.125</v>
      </c>
      <c r="M17" s="10">
        <f t="shared" si="8"/>
        <v>768867.1875</v>
      </c>
      <c r="N17" s="43">
        <f t="shared" si="6"/>
        <v>2321039.0625</v>
      </c>
    </row>
    <row r="18" spans="2:14" ht="18" hidden="1" customHeight="1" x14ac:dyDescent="0.3">
      <c r="B18" s="16" t="s">
        <v>24</v>
      </c>
      <c r="C18" s="10">
        <f>SUM(C15:C17)*C10</f>
        <v>411780</v>
      </c>
      <c r="D18" s="10">
        <f>SUM(D15:D17)*D10</f>
        <v>2460150</v>
      </c>
      <c r="E18" s="10">
        <f>SUM(E15:E17)*E10</f>
        <v>3865950.0000000005</v>
      </c>
      <c r="F18" s="10">
        <f>SUM(F15:F17)*F10</f>
        <v>6620670</v>
      </c>
      <c r="G18" s="10">
        <f>SUM(G15:G17)*G10</f>
        <v>12814200</v>
      </c>
      <c r="H18" s="43"/>
      <c r="I18" s="10">
        <f>SUM(I15:I17)*I10</f>
        <v>25027025.625</v>
      </c>
      <c r="J18" s="10">
        <f>SUM(J15:J17)*J10</f>
        <v>49160228.90625</v>
      </c>
      <c r="K18" s="10">
        <f>SUM(K15:K17)*K10</f>
        <v>101895747.1875</v>
      </c>
      <c r="L18" s="10">
        <f>SUM(L15:L17)*L10</f>
        <v>211406184.140625</v>
      </c>
      <c r="M18" s="10">
        <f>SUM(M15:M17)*M10</f>
        <v>441465855.1171875</v>
      </c>
      <c r="N18" s="43"/>
    </row>
    <row r="19" spans="2:14" ht="18" customHeight="1" x14ac:dyDescent="0.3">
      <c r="B19" s="27" t="s">
        <v>22</v>
      </c>
      <c r="C19" s="15">
        <f>SUM(C15:C18)</f>
        <v>823560</v>
      </c>
      <c r="D19" s="15">
        <f t="shared" ref="D19:M19" si="9">SUM(D15:D18)</f>
        <v>4803150</v>
      </c>
      <c r="E19" s="15">
        <f t="shared" si="9"/>
        <v>7380450</v>
      </c>
      <c r="F19" s="15">
        <f t="shared" si="9"/>
        <v>11959920</v>
      </c>
      <c r="G19" s="15">
        <f t="shared" si="9"/>
        <v>20823075</v>
      </c>
      <c r="H19" s="44">
        <f>SUM(C19:G19)</f>
        <v>45790155</v>
      </c>
      <c r="I19" s="15">
        <f t="shared" si="9"/>
        <v>36944656.875</v>
      </c>
      <c r="J19" s="15">
        <f t="shared" si="9"/>
        <v>67036675.78125</v>
      </c>
      <c r="K19" s="15">
        <f t="shared" si="9"/>
        <v>128710417.5</v>
      </c>
      <c r="L19" s="15">
        <f t="shared" si="9"/>
        <v>252858377.109375</v>
      </c>
      <c r="M19" s="15">
        <f t="shared" si="9"/>
        <v>503644144.5703125</v>
      </c>
      <c r="N19" s="44">
        <f>SUM(H19:M19)</f>
        <v>1034984426.8359375</v>
      </c>
    </row>
    <row r="20" spans="2:14" s="13" customFormat="1" ht="18" customHeight="1" x14ac:dyDescent="0.3">
      <c r="B20" s="29" t="s">
        <v>31</v>
      </c>
      <c r="C20" s="20" t="s">
        <v>23</v>
      </c>
      <c r="D20" s="19">
        <f>((D19-C19)/C19)</f>
        <v>4.8321798047501092</v>
      </c>
      <c r="E20" s="19">
        <f t="shared" ref="E20:G20" si="10">((E19-D19)/D19)</f>
        <v>0.53658536585365857</v>
      </c>
      <c r="F20" s="19">
        <f t="shared" si="10"/>
        <v>0.62048655569782329</v>
      </c>
      <c r="G20" s="19">
        <f t="shared" si="10"/>
        <v>0.7410714285714286</v>
      </c>
      <c r="H20" s="45"/>
      <c r="I20" s="19">
        <f>((I19-G19)/G19)</f>
        <v>0.774217154526889</v>
      </c>
      <c r="J20" s="19">
        <f>((J19-I19)/I19)</f>
        <v>0.81451612903225812</v>
      </c>
      <c r="K20" s="19">
        <f t="shared" ref="K20:M20" si="11">((K19-J19)/J19)</f>
        <v>0.92</v>
      </c>
      <c r="L20" s="19">
        <f t="shared" si="11"/>
        <v>0.96455253600101953</v>
      </c>
      <c r="M20" s="19">
        <f t="shared" si="11"/>
        <v>0.99180327868852458</v>
      </c>
      <c r="N20" s="52"/>
    </row>
    <row r="21" spans="2:14" ht="18" customHeight="1" x14ac:dyDescent="0.3">
      <c r="C21" s="10"/>
      <c r="D21" s="10"/>
      <c r="E21" s="10"/>
      <c r="F21" s="10"/>
      <c r="G21" s="10"/>
      <c r="H21" s="39"/>
      <c r="I21" s="10"/>
      <c r="J21" s="10"/>
      <c r="K21" s="10"/>
      <c r="L21" s="10"/>
      <c r="M21" s="10"/>
      <c r="N21" s="39"/>
    </row>
    <row r="22" spans="2:14" ht="18" customHeight="1" x14ac:dyDescent="0.3">
      <c r="B22" s="4" t="s">
        <v>25</v>
      </c>
      <c r="C22" s="10"/>
      <c r="D22" s="10"/>
      <c r="E22" s="10"/>
      <c r="F22" s="10"/>
      <c r="G22" s="10"/>
      <c r="H22" s="39"/>
      <c r="I22" s="10"/>
      <c r="J22" s="10"/>
      <c r="K22" s="10"/>
      <c r="L22" s="10"/>
      <c r="M22" s="10"/>
      <c r="N22" s="39"/>
    </row>
    <row r="23" spans="2:14" ht="18" customHeight="1" x14ac:dyDescent="0.3">
      <c r="B23" s="6" t="s">
        <v>26</v>
      </c>
      <c r="C23" s="10">
        <f>C15*C$11</f>
        <v>29635.200000000004</v>
      </c>
      <c r="D23" s="10">
        <f>D15*D$11</f>
        <v>97020</v>
      </c>
      <c r="E23" s="10">
        <f>E15*E$11</f>
        <v>152145</v>
      </c>
      <c r="F23" s="10">
        <f>F15*F$11</f>
        <v>282757.5</v>
      </c>
      <c r="G23" s="10">
        <f>G15*G$11</f>
        <v>430110</v>
      </c>
      <c r="H23" s="43">
        <f>SUM(C23:G23)</f>
        <v>991667.7</v>
      </c>
      <c r="I23" s="10">
        <f>I15*I$11</f>
        <v>620379</v>
      </c>
      <c r="J23" s="10">
        <f>J15*J$11</f>
        <v>980869.5</v>
      </c>
      <c r="K23" s="10">
        <f>K15*K$11</f>
        <v>1527892.875</v>
      </c>
      <c r="L23" s="10">
        <f>L15*L$11</f>
        <v>3369483.5625</v>
      </c>
      <c r="M23" s="10">
        <f>M15*M$11</f>
        <v>5358696.75</v>
      </c>
      <c r="N23" s="43">
        <f>SUM(H23:M23)</f>
        <v>12848989.387499999</v>
      </c>
    </row>
    <row r="24" spans="2:14" ht="18" customHeight="1" x14ac:dyDescent="0.3">
      <c r="B24" s="6" t="s">
        <v>27</v>
      </c>
      <c r="C24" s="10">
        <f t="shared" ref="C24:D26" si="12">C16*C$11</f>
        <v>193401.60000000001</v>
      </c>
      <c r="D24" s="10">
        <f t="shared" si="12"/>
        <v>1424610</v>
      </c>
      <c r="E24" s="10">
        <f t="shared" ref="E24:G24" si="13">E16*E$11</f>
        <v>2234047.5</v>
      </c>
      <c r="F24" s="10">
        <f t="shared" si="13"/>
        <v>3448203.75</v>
      </c>
      <c r="G24" s="10">
        <f t="shared" si="13"/>
        <v>5245155</v>
      </c>
      <c r="H24" s="43">
        <f t="shared" ref="H24:H25" si="14">SUM(C24:G24)</f>
        <v>12545417.85</v>
      </c>
      <c r="I24" s="10">
        <f t="shared" ref="I24:M24" si="15">I16*I$11</f>
        <v>8086280.625</v>
      </c>
      <c r="J24" s="10">
        <f t="shared" si="15"/>
        <v>12785065.3125</v>
      </c>
      <c r="K24" s="10">
        <f t="shared" si="15"/>
        <v>19915197.890625</v>
      </c>
      <c r="L24" s="10">
        <f t="shared" si="15"/>
        <v>30610396.7578125</v>
      </c>
      <c r="M24" s="10">
        <f t="shared" si="15"/>
        <v>48681594.84375</v>
      </c>
      <c r="N24" s="43">
        <f>SUM(H24:M24)</f>
        <v>132623953.27968749</v>
      </c>
    </row>
    <row r="25" spans="2:14" ht="18" customHeight="1" x14ac:dyDescent="0.3">
      <c r="B25" s="6" t="s">
        <v>28</v>
      </c>
      <c r="C25" s="10">
        <f t="shared" si="12"/>
        <v>7560.0000000000009</v>
      </c>
      <c r="D25" s="10">
        <f t="shared" si="12"/>
        <v>24750</v>
      </c>
      <c r="E25" s="10">
        <f t="shared" ref="E25:G25" si="16">E17*E$11</f>
        <v>38812.5</v>
      </c>
      <c r="F25" s="10">
        <f t="shared" si="16"/>
        <v>59906.25</v>
      </c>
      <c r="G25" s="10">
        <f t="shared" si="16"/>
        <v>91125</v>
      </c>
      <c r="H25" s="43">
        <f t="shared" si="14"/>
        <v>222153.75</v>
      </c>
      <c r="I25" s="10">
        <f t="shared" ref="I25:M25" si="17">I17*I$11</f>
        <v>112387.5</v>
      </c>
      <c r="J25" s="10">
        <f t="shared" si="17"/>
        <v>177693.75</v>
      </c>
      <c r="K25" s="10">
        <f t="shared" si="17"/>
        <v>276792.1875</v>
      </c>
      <c r="L25" s="10">
        <f t="shared" si="17"/>
        <v>425439.84375</v>
      </c>
      <c r="M25" s="10">
        <f t="shared" si="17"/>
        <v>676603.125</v>
      </c>
      <c r="N25" s="43">
        <f>SUM(H25:M25)</f>
        <v>1891070.15625</v>
      </c>
    </row>
    <row r="26" spans="2:14" ht="18" customHeight="1" x14ac:dyDescent="0.3">
      <c r="B26" s="16" t="s">
        <v>24</v>
      </c>
      <c r="C26" s="10">
        <f t="shared" si="12"/>
        <v>230596.80000000002</v>
      </c>
      <c r="D26" s="10">
        <f t="shared" si="12"/>
        <v>1623699</v>
      </c>
      <c r="E26" s="10">
        <f t="shared" ref="E26:G26" si="18">E18*E$11</f>
        <v>2667505.5</v>
      </c>
      <c r="F26" s="10">
        <f t="shared" si="18"/>
        <v>4700675.7</v>
      </c>
      <c r="G26" s="10">
        <f t="shared" si="18"/>
        <v>9226224</v>
      </c>
      <c r="H26" s="43"/>
      <c r="I26" s="10">
        <f t="shared" ref="I26:M26" si="19">I18*I$11</f>
        <v>18519998.962499999</v>
      </c>
      <c r="J26" s="10">
        <f t="shared" si="19"/>
        <v>38344978.546875</v>
      </c>
      <c r="K26" s="10">
        <f t="shared" si="19"/>
        <v>82535555.221875012</v>
      </c>
      <c r="L26" s="10">
        <f t="shared" si="19"/>
        <v>175467132.83671874</v>
      </c>
      <c r="M26" s="10">
        <f t="shared" si="19"/>
        <v>388489952.50312501</v>
      </c>
      <c r="N26" s="43"/>
    </row>
    <row r="27" spans="2:14" ht="18" customHeight="1" x14ac:dyDescent="0.3">
      <c r="B27" s="30" t="s">
        <v>29</v>
      </c>
      <c r="C27" s="11">
        <f>SUM(C23:C26)</f>
        <v>461193.60000000003</v>
      </c>
      <c r="D27" s="11">
        <f>SUM(D23:D26)</f>
        <v>3170079</v>
      </c>
      <c r="E27" s="11">
        <f>SUM(E23:E26)</f>
        <v>5092510.5</v>
      </c>
      <c r="F27" s="11">
        <f>SUM(F23:F26)</f>
        <v>8491543.1999999993</v>
      </c>
      <c r="G27" s="11">
        <f>SUM(G23:G26)</f>
        <v>14992614</v>
      </c>
      <c r="H27" s="44">
        <f>SUM(C27:G27)</f>
        <v>32207940.299999997</v>
      </c>
      <c r="I27" s="11">
        <f>SUM(I23:I26)</f>
        <v>27339046.087499999</v>
      </c>
      <c r="J27" s="11">
        <f>SUM(J23:J26)</f>
        <v>52288607.109375</v>
      </c>
      <c r="K27" s="11">
        <f>SUM(K23:K26)</f>
        <v>104255438.17500001</v>
      </c>
      <c r="L27" s="11">
        <f>SUM(L23:L26)</f>
        <v>209872453.00078124</v>
      </c>
      <c r="M27" s="11">
        <f>SUM(M23:M26)</f>
        <v>443206847.22187501</v>
      </c>
      <c r="N27" s="44">
        <f>SUM(H27:M27)</f>
        <v>869170331.89453125</v>
      </c>
    </row>
    <row r="28" spans="2:14" ht="18" customHeight="1" x14ac:dyDescent="0.3">
      <c r="B28" s="27" t="s">
        <v>30</v>
      </c>
      <c r="C28" s="11">
        <f t="shared" ref="C28:N28" si="20">C19-C27</f>
        <v>362366.39999999997</v>
      </c>
      <c r="D28" s="11">
        <f t="shared" si="20"/>
        <v>1633071</v>
      </c>
      <c r="E28" s="11">
        <f t="shared" si="20"/>
        <v>2287939.5</v>
      </c>
      <c r="F28" s="11">
        <f t="shared" si="20"/>
        <v>3468376.8000000007</v>
      </c>
      <c r="G28" s="11">
        <f t="shared" si="20"/>
        <v>5830461</v>
      </c>
      <c r="H28" s="43">
        <f t="shared" si="20"/>
        <v>13582214.700000003</v>
      </c>
      <c r="I28" s="11">
        <f t="shared" si="20"/>
        <v>9605610.7875000015</v>
      </c>
      <c r="J28" s="11">
        <f t="shared" si="20"/>
        <v>14748068.671875</v>
      </c>
      <c r="K28" s="11">
        <f t="shared" si="20"/>
        <v>24454979.324999988</v>
      </c>
      <c r="L28" s="11">
        <f t="shared" si="20"/>
        <v>42985924.108593762</v>
      </c>
      <c r="M28" s="11">
        <f t="shared" si="20"/>
        <v>60437297.348437488</v>
      </c>
      <c r="N28" s="43">
        <f t="shared" si="20"/>
        <v>165814094.94140625</v>
      </c>
    </row>
    <row r="29" spans="2:14" s="13" customFormat="1" ht="18" customHeight="1" x14ac:dyDescent="0.3">
      <c r="B29" s="29" t="s">
        <v>32</v>
      </c>
      <c r="C29" s="17">
        <f t="shared" ref="C29:M29" si="21">C28/C19</f>
        <v>0.43999999999999995</v>
      </c>
      <c r="D29" s="17">
        <f t="shared" si="21"/>
        <v>0.34</v>
      </c>
      <c r="E29" s="17">
        <f t="shared" si="21"/>
        <v>0.31</v>
      </c>
      <c r="F29" s="17">
        <f t="shared" si="21"/>
        <v>0.29000000000000004</v>
      </c>
      <c r="G29" s="17">
        <f t="shared" si="21"/>
        <v>0.28000000000000003</v>
      </c>
      <c r="H29" s="46">
        <f t="shared" si="21"/>
        <v>0.29661866617398441</v>
      </c>
      <c r="I29" s="17">
        <f t="shared" si="21"/>
        <v>0.26000000000000006</v>
      </c>
      <c r="J29" s="17">
        <f t="shared" si="21"/>
        <v>0.22</v>
      </c>
      <c r="K29" s="17">
        <f t="shared" si="21"/>
        <v>0.18999999999999992</v>
      </c>
      <c r="L29" s="17">
        <f t="shared" si="21"/>
        <v>0.17000000000000004</v>
      </c>
      <c r="M29" s="17">
        <f t="shared" si="21"/>
        <v>0.11999999999999998</v>
      </c>
      <c r="N29" s="53"/>
    </row>
    <row r="30" spans="2:14" ht="18" customHeight="1" x14ac:dyDescent="0.3">
      <c r="C30" s="10"/>
      <c r="D30" s="10"/>
      <c r="E30" s="10"/>
      <c r="F30" s="10"/>
      <c r="G30" s="10"/>
      <c r="H30" s="39"/>
      <c r="I30" s="10"/>
      <c r="J30" s="10"/>
      <c r="K30" s="10"/>
      <c r="L30" s="10"/>
      <c r="M30" s="10"/>
      <c r="N30" s="39"/>
    </row>
    <row r="31" spans="2:14" ht="18" customHeight="1" x14ac:dyDescent="0.3">
      <c r="B31" s="4" t="s">
        <v>34</v>
      </c>
      <c r="C31" s="10"/>
      <c r="D31" s="10"/>
      <c r="E31" s="10"/>
      <c r="F31" s="10"/>
      <c r="G31" s="10"/>
      <c r="H31" s="39"/>
      <c r="I31" s="10"/>
      <c r="J31" s="10"/>
      <c r="K31" s="10"/>
      <c r="L31" s="10"/>
      <c r="M31" s="10"/>
      <c r="N31" s="39"/>
    </row>
    <row r="32" spans="2:14" ht="18" customHeight="1" x14ac:dyDescent="0.3">
      <c r="B32" s="6" t="s">
        <v>35</v>
      </c>
      <c r="C32" s="10">
        <f>C19*C$12</f>
        <v>16471.2</v>
      </c>
      <c r="D32" s="10">
        <f t="shared" ref="D32:G32" si="22">D19*D$12</f>
        <v>86456.7</v>
      </c>
      <c r="E32" s="10">
        <f t="shared" si="22"/>
        <v>140228.54999999999</v>
      </c>
      <c r="F32" s="10">
        <f t="shared" si="22"/>
        <v>251158.32</v>
      </c>
      <c r="G32" s="10">
        <f t="shared" si="22"/>
        <v>458107.64999999997</v>
      </c>
      <c r="H32" s="43">
        <f>SUM(C32:G32)</f>
        <v>952422.41999999993</v>
      </c>
      <c r="I32" s="10">
        <f t="shared" ref="I32:M32" si="23">I19*I$12</f>
        <v>738893.13750000007</v>
      </c>
      <c r="J32" s="10">
        <f t="shared" si="23"/>
        <v>1139623.48828125</v>
      </c>
      <c r="K32" s="10">
        <f t="shared" si="23"/>
        <v>2445497.9325000001</v>
      </c>
      <c r="L32" s="10">
        <f t="shared" si="23"/>
        <v>5310025.9192968756</v>
      </c>
      <c r="M32" s="10">
        <f t="shared" si="23"/>
        <v>11080171.180546874</v>
      </c>
      <c r="N32" s="43">
        <f>SUM(H32:M32)</f>
        <v>21666634.078125</v>
      </c>
    </row>
    <row r="33" spans="2:14" ht="18" customHeight="1" x14ac:dyDescent="0.3">
      <c r="B33" s="6" t="s">
        <v>36</v>
      </c>
      <c r="C33" s="10">
        <f>C19*0.0013</f>
        <v>1070.6279999999999</v>
      </c>
      <c r="D33" s="10">
        <f t="shared" ref="D33:G33" si="24">D19*0.0013</f>
        <v>6244.0949999999993</v>
      </c>
      <c r="E33" s="10">
        <f t="shared" si="24"/>
        <v>9594.5849999999991</v>
      </c>
      <c r="F33" s="10">
        <f t="shared" si="24"/>
        <v>15547.895999999999</v>
      </c>
      <c r="G33" s="10">
        <f t="shared" si="24"/>
        <v>27069.997499999998</v>
      </c>
      <c r="H33" s="43">
        <f>SUM(C33:G33)</f>
        <v>59527.201499999996</v>
      </c>
      <c r="I33" s="10">
        <f>I19*0.0013</f>
        <v>48028.053937500001</v>
      </c>
      <c r="J33" s="10">
        <v>0</v>
      </c>
      <c r="K33" s="10">
        <v>0</v>
      </c>
      <c r="L33" s="10">
        <v>0</v>
      </c>
      <c r="M33" s="10">
        <v>0</v>
      </c>
      <c r="N33" s="43">
        <f>SUM(H33:M33)</f>
        <v>107555.25543749999</v>
      </c>
    </row>
    <row r="34" spans="2:14" ht="18" customHeight="1" x14ac:dyDescent="0.3">
      <c r="B34" s="31" t="s">
        <v>37</v>
      </c>
      <c r="C34" s="21">
        <f t="shared" ref="C34:N34" si="25">SUM(C32:C33)</f>
        <v>17541.828000000001</v>
      </c>
      <c r="D34" s="21">
        <f t="shared" si="25"/>
        <v>92700.794999999998</v>
      </c>
      <c r="E34" s="21">
        <f t="shared" si="25"/>
        <v>149823.13499999998</v>
      </c>
      <c r="F34" s="21">
        <f t="shared" si="25"/>
        <v>266706.21600000001</v>
      </c>
      <c r="G34" s="21">
        <f t="shared" si="25"/>
        <v>485177.64749999996</v>
      </c>
      <c r="H34" s="47">
        <f t="shared" si="25"/>
        <v>1011949.6214999999</v>
      </c>
      <c r="I34" s="21">
        <f t="shared" si="25"/>
        <v>786921.19143750006</v>
      </c>
      <c r="J34" s="21">
        <f t="shared" si="25"/>
        <v>1139623.48828125</v>
      </c>
      <c r="K34" s="21">
        <f t="shared" si="25"/>
        <v>2445497.9325000001</v>
      </c>
      <c r="L34" s="21">
        <f t="shared" si="25"/>
        <v>5310025.9192968756</v>
      </c>
      <c r="M34" s="21">
        <f t="shared" si="25"/>
        <v>11080171.180546874</v>
      </c>
      <c r="N34" s="47">
        <f t="shared" si="25"/>
        <v>21774189.333562501</v>
      </c>
    </row>
    <row r="35" spans="2:14" s="13" customFormat="1" ht="18" customHeight="1" x14ac:dyDescent="0.3">
      <c r="B35" s="32" t="s">
        <v>38</v>
      </c>
      <c r="C35" s="26">
        <f>C34/C19</f>
        <v>2.1300000000000003E-2</v>
      </c>
      <c r="D35" s="26">
        <f t="shared" ref="D35:H35" si="26">D34/D19</f>
        <v>1.9300000000000001E-2</v>
      </c>
      <c r="E35" s="26">
        <f t="shared" si="26"/>
        <v>2.0299999999999999E-2</v>
      </c>
      <c r="F35" s="26">
        <f t="shared" si="26"/>
        <v>2.23E-2</v>
      </c>
      <c r="G35" s="26">
        <f t="shared" si="26"/>
        <v>2.3299999999999998E-2</v>
      </c>
      <c r="H35" s="48">
        <f t="shared" si="26"/>
        <v>2.2099720376574393E-2</v>
      </c>
      <c r="I35" s="26">
        <f t="shared" ref="I35:N35" si="27">I34/I19</f>
        <v>2.1300000000000003E-2</v>
      </c>
      <c r="J35" s="26">
        <f t="shared" si="27"/>
        <v>1.7000000000000001E-2</v>
      </c>
      <c r="K35" s="26">
        <f t="shared" si="27"/>
        <v>1.9E-2</v>
      </c>
      <c r="L35" s="26">
        <f t="shared" si="27"/>
        <v>2.1000000000000001E-2</v>
      </c>
      <c r="M35" s="26">
        <f t="shared" si="27"/>
        <v>2.1999999999999999E-2</v>
      </c>
      <c r="N35" s="48">
        <f t="shared" si="27"/>
        <v>2.1038180642126779E-2</v>
      </c>
    </row>
    <row r="36" spans="2:14" ht="18" customHeight="1" x14ac:dyDescent="0.3">
      <c r="C36" s="10"/>
      <c r="D36" s="10"/>
      <c r="E36" s="10"/>
      <c r="F36" s="10"/>
      <c r="G36" s="10"/>
      <c r="H36" s="39"/>
      <c r="I36" s="10"/>
      <c r="J36" s="10"/>
      <c r="K36" s="10"/>
      <c r="L36" s="10"/>
      <c r="M36" s="10"/>
      <c r="N36" s="39"/>
    </row>
    <row r="37" spans="2:14" ht="18" customHeight="1" x14ac:dyDescent="0.3">
      <c r="B37" s="28" t="s">
        <v>40</v>
      </c>
      <c r="C37" s="22">
        <f>C19-(C28+C34)</f>
        <v>443651.77200000006</v>
      </c>
      <c r="D37" s="22">
        <f t="shared" ref="D37:H37" si="28">D19-(D28+D34)</f>
        <v>3077378.2050000001</v>
      </c>
      <c r="E37" s="22">
        <f t="shared" si="28"/>
        <v>4942687.3650000002</v>
      </c>
      <c r="F37" s="22">
        <f t="shared" si="28"/>
        <v>8224836.9839999992</v>
      </c>
      <c r="G37" s="22">
        <f t="shared" si="28"/>
        <v>14507436.352499999</v>
      </c>
      <c r="H37" s="49">
        <f t="shared" si="28"/>
        <v>31195990.678499997</v>
      </c>
      <c r="I37" s="22">
        <f t="shared" ref="I37:N37" si="29">I19-(I28+I34)</f>
        <v>26552124.896062501</v>
      </c>
      <c r="J37" s="22">
        <f t="shared" si="29"/>
        <v>51148983.62109375</v>
      </c>
      <c r="K37" s="22">
        <f t="shared" si="29"/>
        <v>101809940.24250001</v>
      </c>
      <c r="L37" s="22">
        <f t="shared" si="29"/>
        <v>204562427.08148438</v>
      </c>
      <c r="M37" s="22">
        <f t="shared" si="29"/>
        <v>432126676.04132813</v>
      </c>
      <c r="N37" s="49">
        <f t="shared" si="29"/>
        <v>847396142.56096876</v>
      </c>
    </row>
    <row r="38" spans="2:14" s="13" customFormat="1" ht="18" customHeight="1" x14ac:dyDescent="0.3">
      <c r="B38" s="33" t="s">
        <v>41</v>
      </c>
      <c r="C38" s="23">
        <f>C37/C19</f>
        <v>0.53870000000000007</v>
      </c>
      <c r="D38" s="23">
        <f t="shared" ref="D38:H38" si="30">D37/D19</f>
        <v>0.64070000000000005</v>
      </c>
      <c r="E38" s="23">
        <f t="shared" si="30"/>
        <v>0.66970000000000007</v>
      </c>
      <c r="F38" s="23">
        <f t="shared" si="30"/>
        <v>0.68769999999999998</v>
      </c>
      <c r="G38" s="23">
        <f t="shared" si="30"/>
        <v>0.69669999999999999</v>
      </c>
      <c r="H38" s="50">
        <f t="shared" si="30"/>
        <v>0.68128161344944116</v>
      </c>
      <c r="I38" s="23">
        <f t="shared" ref="I38:N38" si="31">I37/I19</f>
        <v>0.71870000000000001</v>
      </c>
      <c r="J38" s="23">
        <f t="shared" si="31"/>
        <v>0.76300000000000001</v>
      </c>
      <c r="K38" s="23">
        <f t="shared" si="31"/>
        <v>0.79100000000000004</v>
      </c>
      <c r="L38" s="23">
        <f t="shared" si="31"/>
        <v>0.80900000000000005</v>
      </c>
      <c r="M38" s="23">
        <f t="shared" si="31"/>
        <v>0.85799999999999998</v>
      </c>
      <c r="N38" s="50">
        <f t="shared" si="31"/>
        <v>0.81875255374764722</v>
      </c>
    </row>
    <row r="39" spans="2:14" ht="18" customHeight="1" x14ac:dyDescent="0.3"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</row>
    <row r="40" spans="2:14" ht="18" customHeight="1" x14ac:dyDescent="0.3"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</row>
    <row r="41" spans="2:14" ht="18" customHeight="1" x14ac:dyDescent="0.3"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</row>
    <row r="42" spans="2:14" ht="18" customHeight="1" x14ac:dyDescent="0.3"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</row>
    <row r="43" spans="2:14" ht="18" customHeight="1" x14ac:dyDescent="0.3"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</row>
    <row r="44" spans="2:14" ht="18" customHeight="1" x14ac:dyDescent="0.3"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</row>
    <row r="45" spans="2:14" ht="18" customHeight="1" x14ac:dyDescent="0.3"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</row>
    <row r="46" spans="2:14" ht="18" customHeight="1" x14ac:dyDescent="0.3"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</row>
    <row r="47" spans="2:14" ht="18" customHeight="1" x14ac:dyDescent="0.3"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</row>
    <row r="48" spans="2:14" ht="18" customHeight="1" x14ac:dyDescent="0.3"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</row>
    <row r="49" spans="3:14" ht="18" customHeight="1" x14ac:dyDescent="0.3"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</row>
    <row r="50" spans="3:14" ht="18" customHeight="1" x14ac:dyDescent="0.3"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</row>
    <row r="51" spans="3:14" ht="18" customHeight="1" x14ac:dyDescent="0.3"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</row>
    <row r="52" spans="3:14" ht="18" customHeight="1" x14ac:dyDescent="0.3"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</row>
    <row r="53" spans="3:14" ht="18" customHeight="1" x14ac:dyDescent="0.3"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</row>
  </sheetData>
  <phoneticPr fontId="3" type="noConversion"/>
  <pageMargins left="0.7" right="0.7" top="0.75" bottom="0.75" header="0.3" footer="0.3"/>
  <pageSetup orientation="portrait" r:id="rId1"/>
  <ignoredErrors>
    <ignoredError sqref="H15:H17 H19 H23:H25 H27 H32:H3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E3E14-FCD6-4BB2-B9C3-03E4BCB53949}">
  <dimension ref="B1:G33"/>
  <sheetViews>
    <sheetView workbookViewId="0">
      <selection activeCell="J9" sqref="J9"/>
    </sheetView>
  </sheetViews>
  <sheetFormatPr defaultRowHeight="19.2" customHeight="1" x14ac:dyDescent="0.3"/>
  <cols>
    <col min="3" max="3" width="17.5546875" customWidth="1"/>
    <col min="4" max="4" width="48" customWidth="1"/>
    <col min="5" max="5" width="13.21875" style="55" customWidth="1"/>
    <col min="6" max="6" width="14.88671875" customWidth="1"/>
  </cols>
  <sheetData>
    <row r="1" spans="2:7" ht="24.6" customHeight="1" x14ac:dyDescent="0.3"/>
    <row r="2" spans="2:7" ht="25.2" customHeight="1" x14ac:dyDescent="0.4">
      <c r="B2" s="56" t="s">
        <v>84</v>
      </c>
      <c r="C2" s="56"/>
      <c r="D2" s="56"/>
      <c r="E2" s="57"/>
      <c r="F2" s="56"/>
      <c r="G2" s="58" t="s">
        <v>46</v>
      </c>
    </row>
    <row r="3" spans="2:7" ht="19.2" customHeight="1" x14ac:dyDescent="0.3">
      <c r="B3" s="59"/>
      <c r="C3" s="60"/>
      <c r="D3" s="60" t="s">
        <v>77</v>
      </c>
      <c r="E3" s="61">
        <f>E29+E28+E27+E31+E10+E32</f>
        <v>4374</v>
      </c>
      <c r="F3" s="60"/>
      <c r="G3" s="60"/>
    </row>
    <row r="4" spans="2:7" ht="19.2" hidden="1" customHeight="1" x14ac:dyDescent="0.3">
      <c r="B4" s="60"/>
      <c r="C4" s="60"/>
      <c r="D4" s="60" t="s">
        <v>78</v>
      </c>
      <c r="E4" s="61">
        <f>SUM(E11:E24)</f>
        <v>225526.72222222222</v>
      </c>
      <c r="F4" s="60"/>
      <c r="G4" s="60"/>
    </row>
    <row r="5" spans="2:7" ht="19.2" customHeight="1" x14ac:dyDescent="0.3">
      <c r="B5" s="60"/>
      <c r="C5" s="60"/>
      <c r="D5" s="60" t="s">
        <v>83</v>
      </c>
      <c r="E5" s="61">
        <f>E4*12</f>
        <v>2706320.6666666665</v>
      </c>
      <c r="F5" s="60"/>
      <c r="G5" s="60"/>
    </row>
    <row r="7" spans="2:7" s="54" customFormat="1" ht="24.6" customHeight="1" x14ac:dyDescent="0.4">
      <c r="B7" s="62" t="s">
        <v>47</v>
      </c>
      <c r="C7" s="62"/>
      <c r="D7" s="62"/>
      <c r="E7" s="63"/>
      <c r="F7" s="62"/>
      <c r="G7" s="64" t="s">
        <v>46</v>
      </c>
    </row>
    <row r="8" spans="2:7" ht="19.2" customHeight="1" x14ac:dyDescent="0.3">
      <c r="B8" s="65" t="s">
        <v>59</v>
      </c>
      <c r="C8" s="66"/>
      <c r="D8" s="66"/>
      <c r="E8" s="67"/>
      <c r="F8" s="66"/>
      <c r="G8" s="66"/>
    </row>
    <row r="9" spans="2:7" ht="19.2" customHeight="1" x14ac:dyDescent="0.3">
      <c r="B9" s="68"/>
      <c r="C9" s="69" t="s">
        <v>66</v>
      </c>
      <c r="D9" s="68"/>
      <c r="E9" s="70"/>
      <c r="F9" s="68"/>
      <c r="G9" s="68"/>
    </row>
    <row r="10" spans="2:7" ht="19.2" customHeight="1" x14ac:dyDescent="0.3">
      <c r="B10" s="68"/>
      <c r="C10" s="68"/>
      <c r="D10" s="68" t="s">
        <v>67</v>
      </c>
      <c r="E10" s="70">
        <v>1800</v>
      </c>
      <c r="F10" s="71" t="s">
        <v>73</v>
      </c>
      <c r="G10" s="68"/>
    </row>
    <row r="11" spans="2:7" ht="19.2" customHeight="1" x14ac:dyDescent="0.3">
      <c r="B11" s="68"/>
      <c r="C11" s="68"/>
      <c r="D11" s="68" t="s">
        <v>68</v>
      </c>
      <c r="E11" s="70">
        <f>160/12</f>
        <v>13.333333333333334</v>
      </c>
      <c r="F11" s="71" t="s">
        <v>74</v>
      </c>
      <c r="G11" s="68"/>
    </row>
    <row r="12" spans="2:7" ht="19.2" customHeight="1" x14ac:dyDescent="0.3">
      <c r="B12" s="68"/>
      <c r="C12" s="69" t="s">
        <v>63</v>
      </c>
      <c r="D12" s="68"/>
      <c r="E12" s="70"/>
      <c r="F12" s="68"/>
      <c r="G12" s="68"/>
    </row>
    <row r="13" spans="2:7" ht="19.2" customHeight="1" x14ac:dyDescent="0.3">
      <c r="B13" s="68"/>
      <c r="C13" s="68"/>
      <c r="D13" s="68" t="s">
        <v>64</v>
      </c>
      <c r="E13" s="70">
        <f>809200/36</f>
        <v>22477.777777777777</v>
      </c>
      <c r="F13" s="71" t="s">
        <v>74</v>
      </c>
      <c r="G13" s="68"/>
    </row>
    <row r="14" spans="2:7" ht="19.2" customHeight="1" x14ac:dyDescent="0.3">
      <c r="B14" s="68"/>
      <c r="C14" s="68"/>
      <c r="D14" s="68" t="s">
        <v>65</v>
      </c>
      <c r="E14" s="70">
        <f>E13*0.07</f>
        <v>1573.4444444444446</v>
      </c>
      <c r="F14" s="71" t="s">
        <v>74</v>
      </c>
      <c r="G14" s="68"/>
    </row>
    <row r="15" spans="2:7" ht="19.2" customHeight="1" x14ac:dyDescent="0.3">
      <c r="B15" s="68"/>
      <c r="C15" s="69" t="s">
        <v>69</v>
      </c>
      <c r="D15" s="68" t="s">
        <v>70</v>
      </c>
      <c r="E15" s="70">
        <f>300*0.65*4</f>
        <v>780</v>
      </c>
      <c r="F15" s="71" t="s">
        <v>74</v>
      </c>
      <c r="G15" s="68"/>
    </row>
    <row r="16" spans="2:7" ht="19.2" customHeight="1" x14ac:dyDescent="0.3">
      <c r="B16" s="68"/>
      <c r="C16" s="69" t="s">
        <v>71</v>
      </c>
      <c r="D16" s="68" t="s">
        <v>72</v>
      </c>
      <c r="E16" s="70">
        <f>3800/6</f>
        <v>633.33333333333337</v>
      </c>
      <c r="F16" s="71" t="s">
        <v>74</v>
      </c>
      <c r="G16" s="68"/>
    </row>
    <row r="17" spans="2:7" ht="19.2" customHeight="1" x14ac:dyDescent="0.3">
      <c r="B17" s="68"/>
      <c r="C17" s="69" t="s">
        <v>80</v>
      </c>
      <c r="D17" s="68" t="s">
        <v>81</v>
      </c>
      <c r="E17" s="70">
        <v>18</v>
      </c>
      <c r="F17" s="71" t="s">
        <v>74</v>
      </c>
      <c r="G17" s="68"/>
    </row>
    <row r="18" spans="2:7" ht="19.2" customHeight="1" x14ac:dyDescent="0.3">
      <c r="B18" s="65" t="s">
        <v>49</v>
      </c>
      <c r="C18" s="66"/>
      <c r="D18" s="66"/>
      <c r="E18" s="67"/>
      <c r="F18" s="66"/>
      <c r="G18" s="66"/>
    </row>
    <row r="19" spans="2:7" ht="19.2" customHeight="1" x14ac:dyDescent="0.3">
      <c r="B19" s="68"/>
      <c r="C19" s="69" t="s">
        <v>48</v>
      </c>
      <c r="D19" s="68" t="s">
        <v>60</v>
      </c>
      <c r="E19" s="70">
        <f>(8*120500)/12</f>
        <v>80333.333333333328</v>
      </c>
      <c r="F19" s="71" t="s">
        <v>74</v>
      </c>
      <c r="G19" s="68"/>
    </row>
    <row r="20" spans="2:7" ht="19.2" customHeight="1" x14ac:dyDescent="0.3">
      <c r="B20" s="68"/>
      <c r="C20" s="69" t="s">
        <v>55</v>
      </c>
      <c r="D20" s="68" t="s">
        <v>75</v>
      </c>
      <c r="E20" s="70">
        <f>1424610/12</f>
        <v>118717.5</v>
      </c>
      <c r="F20" s="71" t="s">
        <v>74</v>
      </c>
      <c r="G20" s="68"/>
    </row>
    <row r="21" spans="2:7" ht="19.2" customHeight="1" x14ac:dyDescent="0.3">
      <c r="B21" s="68"/>
      <c r="C21" s="69" t="s">
        <v>61</v>
      </c>
      <c r="D21" s="68"/>
      <c r="E21" s="70"/>
      <c r="F21" s="68"/>
      <c r="G21" s="68"/>
    </row>
    <row r="22" spans="2:7" ht="19.2" customHeight="1" x14ac:dyDescent="0.3">
      <c r="B22" s="68"/>
      <c r="C22" s="68"/>
      <c r="D22" s="68" t="s">
        <v>56</v>
      </c>
      <c r="E22" s="70">
        <v>480</v>
      </c>
      <c r="F22" s="71" t="s">
        <v>74</v>
      </c>
      <c r="G22" s="68"/>
    </row>
    <row r="23" spans="2:7" ht="19.2" customHeight="1" x14ac:dyDescent="0.3">
      <c r="B23" s="68"/>
      <c r="C23" s="68"/>
      <c r="D23" s="68" t="s">
        <v>62</v>
      </c>
      <c r="E23" s="70">
        <v>125</v>
      </c>
      <c r="F23" s="71" t="s">
        <v>74</v>
      </c>
      <c r="G23" s="68"/>
    </row>
    <row r="24" spans="2:7" ht="19.2" customHeight="1" x14ac:dyDescent="0.3">
      <c r="B24" s="68"/>
      <c r="C24" s="68"/>
      <c r="D24" s="68" t="s">
        <v>79</v>
      </c>
      <c r="E24" s="70">
        <v>375</v>
      </c>
      <c r="F24" s="71" t="s">
        <v>74</v>
      </c>
      <c r="G24" s="68"/>
    </row>
    <row r="25" spans="2:7" ht="19.2" customHeight="1" x14ac:dyDescent="0.3">
      <c r="B25" s="65" t="s">
        <v>50</v>
      </c>
      <c r="C25" s="66"/>
      <c r="D25" s="66"/>
      <c r="E25" s="67"/>
      <c r="F25" s="66"/>
      <c r="G25" s="66"/>
    </row>
    <row r="26" spans="2:7" ht="19.2" customHeight="1" x14ac:dyDescent="0.3">
      <c r="B26" s="68"/>
      <c r="C26" s="69" t="s">
        <v>51</v>
      </c>
      <c r="D26" s="68"/>
      <c r="E26" s="70"/>
      <c r="F26" s="68"/>
      <c r="G26" s="68"/>
    </row>
    <row r="27" spans="2:7" ht="19.2" customHeight="1" x14ac:dyDescent="0.3">
      <c r="B27" s="68"/>
      <c r="C27" s="68"/>
      <c r="D27" s="68" t="s">
        <v>52</v>
      </c>
      <c r="E27" s="70">
        <v>250</v>
      </c>
      <c r="F27" s="71" t="s">
        <v>76</v>
      </c>
      <c r="G27" s="68"/>
    </row>
    <row r="28" spans="2:7" ht="19.2" customHeight="1" x14ac:dyDescent="0.3">
      <c r="B28" s="68"/>
      <c r="C28" s="68"/>
      <c r="D28" s="68" t="s">
        <v>53</v>
      </c>
      <c r="E28" s="70">
        <v>100</v>
      </c>
      <c r="F28" s="71" t="s">
        <v>76</v>
      </c>
      <c r="G28" s="68"/>
    </row>
    <row r="29" spans="2:7" ht="19.2" customHeight="1" x14ac:dyDescent="0.3">
      <c r="B29" s="68"/>
      <c r="C29" s="68"/>
      <c r="D29" s="68" t="s">
        <v>54</v>
      </c>
      <c r="E29" s="70">
        <v>1150</v>
      </c>
      <c r="F29" s="71" t="s">
        <v>76</v>
      </c>
      <c r="G29" s="68"/>
    </row>
    <row r="30" spans="2:7" ht="19.2" customHeight="1" x14ac:dyDescent="0.3">
      <c r="B30" s="68"/>
      <c r="C30" s="69" t="s">
        <v>57</v>
      </c>
      <c r="D30" s="68"/>
      <c r="E30" s="70"/>
      <c r="F30" s="68"/>
      <c r="G30" s="68"/>
    </row>
    <row r="31" spans="2:7" ht="19.2" customHeight="1" x14ac:dyDescent="0.3">
      <c r="B31" s="68"/>
      <c r="C31" s="68"/>
      <c r="D31" s="68" t="s">
        <v>58</v>
      </c>
      <c r="E31" s="70">
        <v>899</v>
      </c>
      <c r="F31" s="71" t="s">
        <v>76</v>
      </c>
      <c r="G31" s="68"/>
    </row>
    <row r="32" spans="2:7" ht="19.2" customHeight="1" x14ac:dyDescent="0.3">
      <c r="B32" s="68"/>
      <c r="C32" s="68"/>
      <c r="D32" s="68" t="s">
        <v>82</v>
      </c>
      <c r="E32" s="70">
        <v>175</v>
      </c>
      <c r="F32" s="71" t="s">
        <v>76</v>
      </c>
      <c r="G32" s="68"/>
    </row>
    <row r="33" spans="2:7" ht="19.2" customHeight="1" x14ac:dyDescent="0.3">
      <c r="B33" s="72"/>
      <c r="C33" s="72"/>
      <c r="D33" s="72"/>
      <c r="E33" s="73"/>
      <c r="F33" s="72"/>
      <c r="G33" s="7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646A-563F-4413-8350-127920BFFE6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Fin. Summary</vt:lpstr>
      <vt:lpstr>Expenditure</vt:lpstr>
      <vt:lpstr>Future Projections</vt:lpstr>
    </vt:vector>
  </TitlesOfParts>
  <Company>LexisNexis Risk Solutions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Sadasivam, Prabhu (RIS-ATL)</dc:creator>
  <cp:lastModifiedBy>Sadasivam, Prabhu (RIS-ATL)</cp:lastModifiedBy>
  <dcterms:created xsi:type="dcterms:W3CDTF">2022-02-11T02:31:43Z</dcterms:created>
  <dcterms:modified xsi:type="dcterms:W3CDTF">2022-02-11T08:47:57Z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49ac42a-3eb4-4074-b885-aea26bd6241e_Enabled">
    <vt:lpwstr>true</vt:lpwstr>
  </property>
  <property fmtid="{D5CDD505-2E9C-101B-9397-08002B2CF9AE}" pid="3" name="MSIP_Label_549ac42a-3eb4-4074-b885-aea26bd6241e_SetDate">
    <vt:lpwstr>2022-02-11T02:31:44Z</vt:lpwstr>
  </property>
  <property fmtid="{D5CDD505-2E9C-101B-9397-08002B2CF9AE}" pid="4" name="MSIP_Label_549ac42a-3eb4-4074-b885-aea26bd6241e_Method">
    <vt:lpwstr>Standard</vt:lpwstr>
  </property>
  <property fmtid="{D5CDD505-2E9C-101B-9397-08002B2CF9AE}" pid="5" name="MSIP_Label_549ac42a-3eb4-4074-b885-aea26bd6241e_Name">
    <vt:lpwstr>General Business</vt:lpwstr>
  </property>
  <property fmtid="{D5CDD505-2E9C-101B-9397-08002B2CF9AE}" pid="6" name="MSIP_Label_549ac42a-3eb4-4074-b885-aea26bd6241e_SiteId">
    <vt:lpwstr>9274ee3f-9425-4109-a27f-9fb15c10675d</vt:lpwstr>
  </property>
  <property fmtid="{D5CDD505-2E9C-101B-9397-08002B2CF9AE}" pid="7" name="MSIP_Label_549ac42a-3eb4-4074-b885-aea26bd6241e_ActionId">
    <vt:lpwstr>8882e437-ec14-4ee8-bbdd-1701cbf5f984</vt:lpwstr>
  </property>
  <property fmtid="{D5CDD505-2E9C-101B-9397-08002B2CF9AE}" pid="8" name="MSIP_Label_549ac42a-3eb4-4074-b885-aea26bd6241e_ContentBits">
    <vt:lpwstr>0</vt:lpwstr>
  </property>
</Properties>
</file>