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Maven Analytics\EXCEL\Excel Dashboard\"/>
    </mc:Choice>
  </mc:AlternateContent>
  <xr:revisionPtr revIDLastSave="0" documentId="13_ncr:1_{5BF23ACC-DA76-47E1-B78B-0E85D7956684}" xr6:coauthVersionLast="47" xr6:coauthVersionMax="47" xr10:uidLastSave="{00000000-0000-0000-0000-000000000000}"/>
  <bookViews>
    <workbookView xWindow="-108" yWindow="-108" windowWidth="23256" windowHeight="12456" activeTab="1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Prep'!$B$10</definedName>
    <definedName name="CurYear">'Data Prep'!$B$9</definedName>
    <definedName name="PMYear">'Data Prep'!$B$13</definedName>
    <definedName name="PrenMonth">'Data Prep'!#REF!</definedName>
    <definedName name="PrevMonth">'Data Prep'!$B$12</definedName>
    <definedName name="PrevYear">'Data Prep'!$B$11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9" i="22"/>
  <c r="B10" i="22" s="1"/>
  <c r="M6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4" i="22" l="1"/>
  <c r="E5" i="23" s="1"/>
  <c r="J12" i="22"/>
  <c r="J7" i="22"/>
  <c r="J13" i="22"/>
  <c r="J8" i="22"/>
  <c r="J3" i="22"/>
  <c r="J6" i="22"/>
  <c r="J5" i="22"/>
  <c r="J14" i="22"/>
  <c r="J4" i="22"/>
  <c r="AA4" i="22"/>
  <c r="AA33" i="22"/>
  <c r="AA27" i="22"/>
  <c r="AA21" i="22"/>
  <c r="AA19" i="22"/>
  <c r="AA17" i="22"/>
  <c r="AA15" i="22"/>
  <c r="AA13" i="22"/>
  <c r="AA11" i="22"/>
  <c r="AA9" i="22"/>
  <c r="AA7" i="22"/>
  <c r="AA35" i="22"/>
  <c r="AA25" i="22"/>
  <c r="AA31" i="22"/>
  <c r="AA29" i="22"/>
  <c r="AA23" i="22"/>
  <c r="AA36" i="22"/>
  <c r="AA34" i="22"/>
  <c r="AA32" i="22"/>
  <c r="AA30" i="22"/>
  <c r="AA28" i="22"/>
  <c r="AA26" i="22"/>
  <c r="AA24" i="22"/>
  <c r="AA22" i="22"/>
  <c r="AA20" i="22"/>
  <c r="AA18" i="22"/>
  <c r="AA16" i="22"/>
  <c r="AA14" i="22"/>
  <c r="AA12" i="22"/>
  <c r="AA10" i="22"/>
  <c r="AA8" i="22"/>
  <c r="AA6" i="22"/>
  <c r="AA5" i="22"/>
  <c r="AA3" i="22"/>
  <c r="M4" i="22"/>
  <c r="M10" i="22"/>
  <c r="M9" i="22"/>
  <c r="M8" i="22"/>
  <c r="M12" i="22"/>
  <c r="M3" i="22"/>
  <c r="M5" i="22"/>
  <c r="M11" i="22"/>
  <c r="M7" i="22"/>
  <c r="I13" i="22"/>
  <c r="I12" i="22"/>
  <c r="I14" i="22"/>
  <c r="B12" i="22"/>
  <c r="I2" i="22"/>
  <c r="I8" i="22" s="1"/>
  <c r="B13" i="22"/>
  <c r="B11" i="22"/>
  <c r="E2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I11" i="22" l="1"/>
  <c r="J11" i="22" s="1"/>
  <c r="AB5" i="22"/>
  <c r="AB19" i="22"/>
  <c r="AC19" i="22" s="1"/>
  <c r="AB20" i="22"/>
  <c r="AC20" i="22" s="1"/>
  <c r="AB32" i="22"/>
  <c r="AC32" i="22" s="1"/>
  <c r="AB17" i="22"/>
  <c r="AC17" i="22" s="1"/>
  <c r="AB31" i="22"/>
  <c r="AC31" i="22" s="1"/>
  <c r="AB14" i="22"/>
  <c r="AC14" i="22" s="1"/>
  <c r="AB34" i="22"/>
  <c r="AC34" i="22" s="1"/>
  <c r="AB11" i="22"/>
  <c r="AC11" i="22" s="1"/>
  <c r="AB29" i="22"/>
  <c r="AC29" i="22" s="1"/>
  <c r="AB24" i="22"/>
  <c r="AB36" i="22"/>
  <c r="AC36" i="22" s="1"/>
  <c r="AB3" i="22"/>
  <c r="AC3" i="22" s="1"/>
  <c r="AB21" i="22"/>
  <c r="AC21" i="22" s="1"/>
  <c r="AB6" i="22"/>
  <c r="AC6" i="22" s="1"/>
  <c r="AB18" i="22"/>
  <c r="AC18" i="22" s="1"/>
  <c r="AB13" i="22"/>
  <c r="AC13" i="22" s="1"/>
  <c r="AB12" i="22"/>
  <c r="AC12" i="22" s="1"/>
  <c r="AB26" i="22"/>
  <c r="AC26" i="22" s="1"/>
  <c r="AB9" i="22"/>
  <c r="AC9" i="22" s="1"/>
  <c r="AB25" i="22"/>
  <c r="AC25" i="22" s="1"/>
  <c r="AB8" i="22"/>
  <c r="AC8" i="22" s="1"/>
  <c r="AB22" i="22"/>
  <c r="AC22" i="22" s="1"/>
  <c r="AB33" i="22"/>
  <c r="AC33" i="22" s="1"/>
  <c r="AB35" i="22"/>
  <c r="AC35" i="22" s="1"/>
  <c r="AB4" i="22"/>
  <c r="AC4" i="22" s="1"/>
  <c r="AB16" i="22"/>
  <c r="AC16" i="22" s="1"/>
  <c r="AB30" i="22"/>
  <c r="AC30" i="22" s="1"/>
  <c r="AB15" i="22"/>
  <c r="AC15" i="22" s="1"/>
  <c r="AB27" i="22"/>
  <c r="AC27" i="22" s="1"/>
  <c r="AB10" i="22"/>
  <c r="AC10" i="22" s="1"/>
  <c r="AB28" i="22"/>
  <c r="AC28" i="22" s="1"/>
  <c r="AB7" i="22"/>
  <c r="AC7" i="22" s="1"/>
  <c r="AB23" i="22"/>
  <c r="AC23" i="22" s="1"/>
  <c r="AC24" i="22"/>
  <c r="AC5" i="22"/>
  <c r="P7" i="22"/>
  <c r="P5" i="22"/>
  <c r="P9" i="22"/>
  <c r="P3" i="22"/>
  <c r="P10" i="22"/>
  <c r="P12" i="22"/>
  <c r="P4" i="22"/>
  <c r="P11" i="22"/>
  <c r="P8" i="22"/>
  <c r="P6" i="22"/>
  <c r="N3" i="22"/>
  <c r="O3" i="22" s="1"/>
  <c r="N12" i="22"/>
  <c r="O12" i="22" s="1"/>
  <c r="N8" i="22"/>
  <c r="O8" i="22" s="1"/>
  <c r="N9" i="22"/>
  <c r="O9" i="22" s="1"/>
  <c r="N10" i="22"/>
  <c r="O10" i="22" s="1"/>
  <c r="N4" i="22"/>
  <c r="O4" i="22" s="1"/>
  <c r="N6" i="22"/>
  <c r="O6" i="22" s="1"/>
  <c r="N7" i="22"/>
  <c r="O7" i="22" s="1"/>
  <c r="N11" i="22"/>
  <c r="O11" i="22" s="1"/>
  <c r="N5" i="22"/>
  <c r="O5" i="22" s="1"/>
  <c r="I10" i="22"/>
  <c r="J10" i="22" s="1"/>
  <c r="I5" i="22"/>
  <c r="I7" i="22"/>
  <c r="I9" i="22"/>
  <c r="J9" i="22" s="1"/>
  <c r="I4" i="22"/>
  <c r="E4" i="22"/>
  <c r="E6" i="22" s="1"/>
  <c r="B18" i="23" s="1"/>
  <c r="I6" i="22"/>
  <c r="I3" i="22"/>
  <c r="E3" i="22"/>
  <c r="E5" i="22" s="1"/>
  <c r="C18" i="23" s="1"/>
  <c r="H2" i="22"/>
  <c r="AE35" i="22" l="1"/>
  <c r="AD25" i="22"/>
  <c r="AE25" i="22"/>
  <c r="AE13" i="22"/>
  <c r="AD10" i="22"/>
  <c r="AE16" i="22"/>
  <c r="AD16" i="22"/>
  <c r="AE32" i="22"/>
  <c r="AD22" i="22"/>
  <c r="AE22" i="22"/>
  <c r="AD33" i="22"/>
  <c r="AD23" i="22"/>
  <c r="AE27" i="22"/>
  <c r="AD8" i="22"/>
  <c r="AD14" i="22"/>
  <c r="AD30" i="22"/>
  <c r="AD13" i="22"/>
  <c r="AD29" i="22"/>
  <c r="AE10" i="22"/>
  <c r="AE26" i="22"/>
  <c r="AE9" i="22"/>
  <c r="AE8" i="22"/>
  <c r="AE24" i="22"/>
  <c r="AE7" i="22"/>
  <c r="AE23" i="22"/>
  <c r="AD4" i="22"/>
  <c r="AD36" i="22"/>
  <c r="AD19" i="22"/>
  <c r="AD35" i="22"/>
  <c r="AE12" i="22"/>
  <c r="AD12" i="22"/>
  <c r="AD21" i="22"/>
  <c r="AE20" i="22"/>
  <c r="AD20" i="22"/>
  <c r="AD31" i="22"/>
  <c r="AD15" i="22"/>
  <c r="AD32" i="22"/>
  <c r="AE19" i="22"/>
  <c r="AE36" i="22"/>
  <c r="AE4" i="22"/>
  <c r="AE21" i="22"/>
  <c r="AE5" i="22"/>
  <c r="AE6" i="22"/>
  <c r="AD9" i="22"/>
  <c r="AD26" i="22"/>
  <c r="AD27" i="22"/>
  <c r="AD11" i="22"/>
  <c r="AD28" i="22"/>
  <c r="AE31" i="22"/>
  <c r="AE15" i="22"/>
  <c r="AE33" i="22"/>
  <c r="AE17" i="22"/>
  <c r="AE34" i="22"/>
  <c r="AE18" i="22"/>
  <c r="AD3" i="22"/>
  <c r="AD5" i="22"/>
  <c r="AD6" i="22"/>
  <c r="AD7" i="22"/>
  <c r="AD24" i="22"/>
  <c r="AE11" i="22"/>
  <c r="AE28" i="22"/>
  <c r="AE29" i="22"/>
  <c r="AE30" i="22"/>
  <c r="AE14" i="22"/>
  <c r="AE3" i="22"/>
  <c r="AD17" i="22"/>
  <c r="AD34" i="22"/>
  <c r="AD18" i="22"/>
  <c r="U3" i="22"/>
  <c r="U5" i="22"/>
  <c r="U7" i="22"/>
  <c r="U9" i="22"/>
  <c r="U11" i="22"/>
  <c r="V3" i="22"/>
  <c r="V5" i="22"/>
  <c r="V7" i="22"/>
  <c r="V9" i="22"/>
  <c r="V11" i="22"/>
  <c r="U4" i="22"/>
  <c r="U6" i="22"/>
  <c r="U8" i="22"/>
  <c r="U10" i="22"/>
  <c r="U12" i="22"/>
  <c r="V4" i="22"/>
  <c r="V6" i="22"/>
  <c r="V8" i="22"/>
  <c r="V10" i="22"/>
  <c r="V12" i="22"/>
  <c r="S4" i="22"/>
  <c r="T4" i="22" s="1"/>
  <c r="S8" i="22"/>
  <c r="T8" i="22" s="1"/>
  <c r="S12" i="22"/>
  <c r="T12" i="22" s="1"/>
  <c r="S5" i="22"/>
  <c r="T5" i="22" s="1"/>
  <c r="S9" i="22"/>
  <c r="T9" i="22" s="1"/>
  <c r="S10" i="22"/>
  <c r="T10" i="22" s="1"/>
  <c r="S3" i="22"/>
  <c r="T3" i="22" s="1"/>
  <c r="S11" i="22"/>
  <c r="T11" i="22" s="1"/>
  <c r="S6" i="22"/>
  <c r="T6" i="22" s="1"/>
  <c r="S7" i="22"/>
  <c r="T7" i="22" s="1"/>
  <c r="H5" i="22"/>
  <c r="H9" i="22"/>
  <c r="H13" i="22"/>
  <c r="H6" i="22"/>
  <c r="H10" i="22"/>
  <c r="H7" i="22"/>
  <c r="H11" i="22"/>
  <c r="H3" i="22"/>
  <c r="H4" i="22"/>
  <c r="H8" i="22"/>
  <c r="H12" i="22"/>
  <c r="H14" i="22"/>
  <c r="W11" i="22" l="1"/>
  <c r="X11" i="22"/>
  <c r="W5" i="22"/>
  <c r="X5" i="22"/>
  <c r="W3" i="22"/>
  <c r="X3" i="22"/>
  <c r="X12" i="22"/>
  <c r="W12" i="22"/>
  <c r="W7" i="22"/>
  <c r="X7" i="22"/>
  <c r="W10" i="22"/>
  <c r="X10" i="22"/>
  <c r="X8" i="22"/>
  <c r="W8" i="22"/>
  <c r="W6" i="22"/>
  <c r="X6" i="22"/>
  <c r="W9" i="22"/>
  <c r="X9" i="22"/>
  <c r="X4" i="22"/>
  <c r="W4" i="22"/>
  <c r="AH6" i="22"/>
  <c r="Q16" i="23" s="1"/>
  <c r="AJ3" i="22"/>
  <c r="S13" i="23" s="1"/>
  <c r="AI18" i="22"/>
  <c r="R33" i="23" s="1"/>
  <c r="AJ14" i="22"/>
  <c r="S29" i="23" s="1"/>
  <c r="AI14" i="22"/>
  <c r="R29" i="23" s="1"/>
  <c r="AH14" i="22"/>
  <c r="Q29" i="23" s="1"/>
  <c r="AJ8" i="22"/>
  <c r="S18" i="23" s="1"/>
  <c r="AJ12" i="22"/>
  <c r="S27" i="23" s="1"/>
  <c r="AJ18" i="22"/>
  <c r="S33" i="23" s="1"/>
  <c r="AH8" i="22"/>
  <c r="Q18" i="23" s="1"/>
  <c r="AJ4" i="22"/>
  <c r="S14" i="23" s="1"/>
  <c r="AI3" i="22"/>
  <c r="R13" i="23" s="1"/>
  <c r="AH18" i="22"/>
  <c r="Q33" i="23" s="1"/>
  <c r="AI4" i="22"/>
  <c r="R14" i="23" s="1"/>
  <c r="AI13" i="22"/>
  <c r="R28" i="23" s="1"/>
  <c r="AI12" i="22"/>
  <c r="R27" i="23" s="1"/>
  <c r="AH9" i="22"/>
  <c r="Q19" i="23" s="1"/>
  <c r="AH7" i="22"/>
  <c r="Q17" i="23" s="1"/>
  <c r="AH5" i="22"/>
  <c r="Q15" i="23" s="1"/>
  <c r="AH4" i="22"/>
  <c r="Q14" i="23" s="1"/>
  <c r="AJ7" i="22"/>
  <c r="S17" i="23" s="1"/>
  <c r="AI7" i="22"/>
  <c r="R17" i="23" s="1"/>
  <c r="AH13" i="22"/>
  <c r="Q28" i="23" s="1"/>
  <c r="AJ16" i="22"/>
  <c r="S31" i="23" s="1"/>
  <c r="AI16" i="22"/>
  <c r="R31" i="23" s="1"/>
  <c r="AJ15" i="22"/>
  <c r="S30" i="23" s="1"/>
  <c r="AJ17" i="22"/>
  <c r="S32" i="23" s="1"/>
  <c r="AJ9" i="22"/>
  <c r="S19" i="23" s="1"/>
  <c r="AI9" i="22"/>
  <c r="R19" i="23" s="1"/>
  <c r="AH3" i="22"/>
  <c r="Q13" i="23" s="1"/>
  <c r="AH12" i="22"/>
  <c r="Q27" i="23" s="1"/>
  <c r="AH16" i="22"/>
  <c r="Q31" i="23" s="1"/>
  <c r="AH15" i="22"/>
  <c r="Q30" i="23" s="1"/>
  <c r="AI17" i="22"/>
  <c r="R32" i="23" s="1"/>
  <c r="AH17" i="22"/>
  <c r="Q32" i="23" s="1"/>
  <c r="AJ6" i="22"/>
  <c r="S16" i="23" s="1"/>
  <c r="AI6" i="22"/>
  <c r="R16" i="23" s="1"/>
  <c r="AJ5" i="22"/>
  <c r="S15" i="23" s="1"/>
  <c r="AI5" i="22"/>
  <c r="R15" i="23" s="1"/>
  <c r="AI15" i="22"/>
  <c r="R30" i="23" s="1"/>
  <c r="AJ13" i="22"/>
  <c r="S28" i="23" s="1"/>
  <c r="AI8" i="22"/>
  <c r="R18" i="23" s="1"/>
  <c r="S34" i="23" l="1"/>
  <c r="S20" i="23"/>
</calcChain>
</file>

<file path=xl/sharedStrings.xml><?xml version="1.0" encoding="utf-8"?>
<sst xmlns="http://schemas.openxmlformats.org/spreadsheetml/2006/main" count="26850" uniqueCount="123">
  <si>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</si>
  <si>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</si>
  <si>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</si>
  <si>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</si>
  <si>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</si>
  <si>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</si>
  <si>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</si>
  <si>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</si>
  <si>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</si>
  <si>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</si>
  <si>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</si>
  <si>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</si>
  <si>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</si>
  <si>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</si>
  <si>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</si>
  <si>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</si>
  <si>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</si>
  <si>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</si>
  <si>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</si>
  <si>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</si>
  <si>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</si>
  <si>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</si>
  <si>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</si>
  <si>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</si>
  <si>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</si>
  <si>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</si>
  <si>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</si>
  <si>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</si>
  <si>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</si>
  <si>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</si>
  <si>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</si>
  <si>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</si>
  <si>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</si>
  <si>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</si>
  <si>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</si>
  <si>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</si>
  <si>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</si>
  <si>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</si>
  <si>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</si>
  <si>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</si>
  <si>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</si>
  <si>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</si>
  <si>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</si>
  <si>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</si>
  <si>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</si>
  <si>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</si>
  <si>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</si>
  <si>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</si>
  <si>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</si>
  <si>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</si>
  <si>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</si>
  <si>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</si>
  <si>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</si>
  <si>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</si>
  <si>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</si>
  <si>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</si>
  <si>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</si>
  <si>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</si>
  <si>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</si>
  <si>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</si>
  <si>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</si>
  <si>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</si>
  <si>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</si>
  <si>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</si>
  <si>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</si>
  <si>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</si>
  <si>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</si>
  <si>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</si>
  <si>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</si>
  <si>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</si>
  <si>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</si>
  <si>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</si>
  <si>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</si>
  <si>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</si>
  <si>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</si>
  <si>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</si>
  <si>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 xml:space="preserve">Region </t>
  </si>
  <si>
    <t>Selection</t>
  </si>
  <si>
    <t>DATE FILTER</t>
  </si>
  <si>
    <t>Current Year :</t>
  </si>
  <si>
    <t>Current Month :</t>
  </si>
  <si>
    <t>Previous Year :</t>
  </si>
  <si>
    <t>Previous Month :</t>
  </si>
  <si>
    <t>KPI's</t>
  </si>
  <si>
    <t>Total Revenue :</t>
  </si>
  <si>
    <t>PY Revenue :</t>
  </si>
  <si>
    <t>PM Revenue :</t>
  </si>
  <si>
    <t>PM Year :</t>
  </si>
  <si>
    <r>
      <t>PY %</t>
    </r>
    <r>
      <rPr>
        <b/>
        <sz val="11"/>
        <color theme="1"/>
        <rFont val="Calibri"/>
        <family val="2"/>
      </rPr>
      <t>Δ</t>
    </r>
  </si>
  <si>
    <r>
      <t>PM %</t>
    </r>
    <r>
      <rPr>
        <b/>
        <sz val="11"/>
        <color theme="1"/>
        <rFont val="Calibri"/>
        <family val="2"/>
      </rPr>
      <t>Δ</t>
    </r>
  </si>
  <si>
    <t>Revenue Trend</t>
  </si>
  <si>
    <t>Store Performance</t>
  </si>
  <si>
    <t xml:space="preserve">Store </t>
  </si>
  <si>
    <t>PM Revenue</t>
  </si>
  <si>
    <r>
      <t>MoM %</t>
    </r>
    <r>
      <rPr>
        <sz val="11"/>
        <color theme="1"/>
        <rFont val="Calibri"/>
        <family val="2"/>
      </rPr>
      <t>Δ</t>
    </r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</si>
  <si>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</si>
  <si>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</si>
  <si>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</si>
  <si>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</si>
  <si>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</si>
  <si>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</si>
  <si>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</si>
  <si>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 xml:space="preserve">Top Performance Product </t>
  </si>
  <si>
    <t xml:space="preserve">Rank </t>
  </si>
  <si>
    <t xml:space="preserve">Bottom Performance Product </t>
  </si>
  <si>
    <t xml:space="preserve">          MoM Revenue Δ</t>
  </si>
  <si>
    <t>Series</t>
  </si>
  <si>
    <t>How did</t>
  </si>
  <si>
    <t>perform in</t>
  </si>
  <si>
    <t>Currrent Period 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</si>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</sst>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74999237037263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 applyAlignment="1">
      <alignment horizontal="centerContinuous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7" fillId="8" borderId="0" xfId="0" applyFont="1" applyFill="1" applyAlignment="1">
      <alignment horizontal="center"/>
    </xf>
    <xf numFmtId="165" fontId="1" fillId="10" borderId="0" xfId="1" applyNumberFormat="1" applyFont="1" applyFill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/>
    </xf>
    <xf numFmtId="0" fontId="10" fillId="0" borderId="0" xfId="0" applyFont="1"/>
    <xf numFmtId="0" fontId="11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right"/>
    </xf>
    <xf numFmtId="0" fontId="1" fillId="11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164" fontId="13" fillId="0" borderId="2" xfId="0" applyNumberFormat="1" applyFont="1" applyBorder="1" applyAlignment="1">
      <alignment horizontal="right"/>
    </xf>
    <xf numFmtId="164" fontId="14" fillId="0" borderId="2" xfId="0" applyNumberFormat="1" applyFont="1" applyBorder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75B44A"/>
      <color rgb="FFF63C40"/>
      <color rgb="FFF2F2F2"/>
      <color rgb="FF20E2D7"/>
      <color rgb="FFFF6565"/>
      <color rgb="FFF98386"/>
      <color rgb="FFF9777A"/>
      <color rgb="FFFF4343"/>
      <color rgb="FFFF9595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Prep'!$H$3:$H$14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2-471C-955E-8571BB268B05}"/>
            </c:ext>
          </c:extLst>
        </c:ser>
        <c:ser>
          <c:idx val="1"/>
          <c:order val="1"/>
          <c:tx>
            <c:strRef>
              <c:f>'Data Prep'!$I$2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2-471C-955E-8571BB268B05}"/>
            </c:ext>
          </c:extLst>
        </c:ser>
        <c:ser>
          <c:idx val="2"/>
          <c:order val="2"/>
          <c:tx>
            <c:strRef>
              <c:f>'Data Prep'!$J$2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3-4F87-8914-AB8A996E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96447"/>
        <c:axId val="1938594047"/>
      </c:lineChart>
      <c:catAx>
        <c:axId val="193859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4047"/>
        <c:crosses val="autoZero"/>
        <c:auto val="1"/>
        <c:lblAlgn val="ctr"/>
        <c:lblOffset val="100"/>
        <c:noMultiLvlLbl val="0"/>
      </c:catAx>
      <c:valAx>
        <c:axId val="193859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644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6833240021653"/>
          <c:y val="0.53413306677161143"/>
          <c:w val="0.1454697962331174"/>
          <c:h val="0.230733785272617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Prep'!$U$2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Prep'!$U$3:$U$12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58D-A979-CB51316D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452359375"/>
        <c:axId val="1452352175"/>
      </c:barChart>
      <c:catAx>
        <c:axId val="145235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52175"/>
        <c:crosses val="autoZero"/>
        <c:auto val="1"/>
        <c:lblAlgn val="ctr"/>
        <c:lblOffset val="100"/>
        <c:noMultiLvlLbl val="0"/>
      </c:catAx>
      <c:valAx>
        <c:axId val="1452352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9488559001728615"/>
              <c:y val="0.915733924112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4523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433-4A1D-9CB6-FCEA2C2C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981962495"/>
        <c:axId val="1981968255"/>
      </c:barChart>
      <c:catAx>
        <c:axId val="1981962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968255"/>
        <c:crosses val="autoZero"/>
        <c:auto val="1"/>
        <c:lblAlgn val="ctr"/>
        <c:lblOffset val="100"/>
        <c:noMultiLvlLbl val="0"/>
      </c:catAx>
      <c:valAx>
        <c:axId val="19819682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MoM</a:t>
                </a:r>
                <a:r>
                  <a:rPr lang="en-US" b="1" baseline="0"/>
                  <a:t> %</a:t>
                </a:r>
                <a:r>
                  <a:rPr lang="el-GR" b="1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9819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Prep'!$H$2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Prep'!$H$3:$H$14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DF-45C5-BA55-721F7D3B6E3F}"/>
            </c:ext>
          </c:extLst>
        </c:ser>
        <c:ser>
          <c:idx val="1"/>
          <c:order val="1"/>
          <c:tx>
            <c:strRef>
              <c:f>'Data Prep'!$I$2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DF-45C5-BA55-721F7D3B6E3F}"/>
            </c:ext>
          </c:extLst>
        </c:ser>
        <c:ser>
          <c:idx val="2"/>
          <c:order val="2"/>
          <c:tx>
            <c:strRef>
              <c:f>'Data Prep'!$J$2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'Data Prep'!$G$3:$G$14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8DC-BE88-65869B08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96447"/>
        <c:axId val="1938594047"/>
      </c:lineChart>
      <c:catAx>
        <c:axId val="193859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</a:t>
                </a:r>
              </a:p>
            </c:rich>
          </c:tx>
          <c:layout>
            <c:manualLayout>
              <c:xMode val="edge"/>
              <c:yMode val="edge"/>
              <c:x val="0.23267436899166322"/>
              <c:y val="0.9014626326929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4047"/>
        <c:crosses val="autoZero"/>
        <c:auto val="1"/>
        <c:lblAlgn val="ctr"/>
        <c:lblOffset val="100"/>
        <c:noMultiLvlLbl val="0"/>
      </c:catAx>
      <c:valAx>
        <c:axId val="193859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Revenue</a:t>
                </a:r>
              </a:p>
            </c:rich>
          </c:tx>
          <c:layout>
            <c:manualLayout>
              <c:xMode val="edge"/>
              <c:yMode val="edge"/>
              <c:x val="1.8206642815486715E-2"/>
              <c:y val="1.02842367137456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644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03092576051361"/>
          <c:y val="2.4138324869368812E-2"/>
          <c:w val="0.71758628680545489"/>
          <c:h val="0.90738554986913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Prep'!$U$2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Prep'!$U$3:$U$12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235-909D-9037BA1024B2}"/>
            </c:ext>
          </c:extLst>
        </c:ser>
        <c:ser>
          <c:idx val="1"/>
          <c:order val="1"/>
          <c:tx>
            <c:strRef>
              <c:f>'Data Prep'!$W$2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  <a:alpha val="96000"/>
              </a:schemeClr>
            </a:solidFill>
            <a:ln>
              <a:solidFill>
                <a:schemeClr val="accent1">
                  <a:lumMod val="75000"/>
                  <a:alpha val="89000"/>
                </a:schemeClr>
              </a:solidFill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Prep'!$W$3:$W$12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47D-841B-59C77E1E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1452359375"/>
        <c:axId val="1452352175"/>
      </c:barChart>
      <c:catAx>
        <c:axId val="145235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52175"/>
        <c:crosses val="autoZero"/>
        <c:auto val="1"/>
        <c:lblAlgn val="ctr"/>
        <c:lblOffset val="100"/>
        <c:noMultiLvlLbl val="0"/>
      </c:catAx>
      <c:valAx>
        <c:axId val="1452352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4717206354252133"/>
              <c:y val="0.94638575582270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4523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27784445316745"/>
          <c:y val="2.8582281626516479E-2"/>
          <c:w val="0.77443813553528906"/>
          <c:h val="0.895581641493722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1"/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767171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1AC-4BF3-81BC-372E54170A69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%#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B1B-4239-9061-12C5BA26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1981962495"/>
        <c:axId val="1981968255"/>
      </c:barChart>
      <c:catAx>
        <c:axId val="1981962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1968255"/>
        <c:crosses val="autoZero"/>
        <c:auto val="1"/>
        <c:lblAlgn val="ctr"/>
        <c:lblOffset val="100"/>
        <c:noMultiLvlLbl val="0"/>
      </c:catAx>
      <c:valAx>
        <c:axId val="19819682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MoM</a:t>
                </a:r>
                <a:r>
                  <a:rPr lang="en-US" sz="1200" b="1" baseline="0"/>
                  <a:t> %</a:t>
                </a:r>
                <a:r>
                  <a:rPr lang="el-GR" sz="1200" b="1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5354173170747177"/>
              <c:y val="0.93832452726987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9819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6350</xdr:rowOff>
    </xdr:from>
    <xdr:to>
      <xdr:col>5</xdr:col>
      <xdr:colOff>0</xdr:colOff>
      <xdr:row>10</xdr:row>
      <xdr:rowOff>31750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8E011202-845E-EAA7-430B-689040852EE4}"/>
            </a:ext>
          </a:extLst>
        </xdr:cNvPr>
        <xdr:cNvSpPr txBox="1"/>
      </xdr:nvSpPr>
      <xdr:spPr>
        <a:xfrm>
          <a:off x="2565400" y="1295400"/>
          <a:ext cx="1631950" cy="57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FB6098-E991-41C7-85C9-705486E6CDC9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$44,041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596899</xdr:colOff>
          <xdr:row>10</xdr:row>
          <xdr:rowOff>152400</xdr:rowOff>
        </xdr:from>
        <xdr:to>
          <xdr:col>5</xdr:col>
          <xdr:colOff>12700</xdr:colOff>
          <xdr:row>13</xdr:row>
          <xdr:rowOff>107949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4AE5FD6C-E8D4-17A1-BE87-8D8FBD51C72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13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39999" y="1993900"/>
              <a:ext cx="1670051" cy="50799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177800</xdr:rowOff>
        </xdr:from>
        <xdr:to>
          <xdr:col>5</xdr:col>
          <xdr:colOff>6350</xdr:colOff>
          <xdr:row>16</xdr:row>
          <xdr:rowOff>127000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B9D906C6-1596-0B12-B5BC-5885AAD58E0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13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52700" y="2571750"/>
              <a:ext cx="1651000" cy="5016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</xdr:pic>
        <xdr:clientData/>
      </xdr:twoCellAnchor>
    </mc:Choice>
    <mc:Fallback/>
  </mc:AlternateContent>
  <xdr:twoCellAnchor editAs="absolute">
    <xdr:from>
      <xdr:col>9</xdr:col>
      <xdr:colOff>408761</xdr:colOff>
      <xdr:row>15</xdr:row>
      <xdr:rowOff>146538</xdr:rowOff>
    </xdr:from>
    <xdr:to>
      <xdr:col>15</xdr:col>
      <xdr:colOff>604308</xdr:colOff>
      <xdr:row>32</xdr:row>
      <xdr:rowOff>166076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799417-0B6A-C79F-2E92-1BC50EE7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356658</xdr:colOff>
      <xdr:row>14</xdr:row>
      <xdr:rowOff>18153</xdr:rowOff>
    </xdr:from>
    <xdr:to>
      <xdr:col>20</xdr:col>
      <xdr:colOff>526236</xdr:colOff>
      <xdr:row>32</xdr:row>
      <xdr:rowOff>145071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3A6CEC-E213-9907-171E-7448116F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276794</xdr:colOff>
      <xdr:row>14</xdr:row>
      <xdr:rowOff>24423</xdr:rowOff>
    </xdr:from>
    <xdr:to>
      <xdr:col>23</xdr:col>
      <xdr:colOff>578012</xdr:colOff>
      <xdr:row>33</xdr:row>
      <xdr:rowOff>16282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8DCC8B-877F-6BFA-64F4-99CAC31BA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290601</xdr:colOff>
      <xdr:row>16</xdr:row>
      <xdr:rowOff>163286</xdr:rowOff>
    </xdr:from>
    <xdr:to>
      <xdr:col>2</xdr:col>
      <xdr:colOff>517071</xdr:colOff>
      <xdr:row>19</xdr:row>
      <xdr:rowOff>63501</xdr:rowOff>
    </xdr:to>
    <xdr:sp macro="" textlink="'Data Prep'!$E$6">
      <xdr:nvSpPr>
        <xdr:cNvPr id="3" name="TextBox 2">
          <a:extLst>
            <a:ext uri="{FF2B5EF4-FFF2-40B4-BE49-F238E27FC236}">
              <a16:creationId xmlns:a16="http://schemas.microsoft.com/office/drawing/2014/main" id="{C4C7E512-DDD0-DEE7-59D5-D77EDDC29E97}"/>
            </a:ext>
          </a:extLst>
        </xdr:cNvPr>
        <xdr:cNvSpPr txBox="1"/>
      </xdr:nvSpPr>
      <xdr:spPr>
        <a:xfrm>
          <a:off x="707887" y="3519715"/>
          <a:ext cx="1342255" cy="607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930DF2-18F1-4462-81BB-05B869307822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6.7%</a:t>
          </a:fld>
          <a:endParaRPr lang="en-US" sz="3000"/>
        </a:p>
      </xdr:txBody>
    </xdr:sp>
    <xdr:clientData/>
  </xdr:twoCellAnchor>
  <xdr:twoCellAnchor>
    <xdr:from>
      <xdr:col>2</xdr:col>
      <xdr:colOff>978709</xdr:colOff>
      <xdr:row>16</xdr:row>
      <xdr:rowOff>154215</xdr:rowOff>
    </xdr:from>
    <xdr:to>
      <xdr:col>3</xdr:col>
      <xdr:colOff>733780</xdr:colOff>
      <xdr:row>19</xdr:row>
      <xdr:rowOff>36287</xdr:rowOff>
    </xdr:to>
    <xdr:sp macro="" textlink="'Data Prep'!$E$5">
      <xdr:nvSpPr>
        <xdr:cNvPr id="13" name="TextBox 12">
          <a:extLst>
            <a:ext uri="{FF2B5EF4-FFF2-40B4-BE49-F238E27FC236}">
              <a16:creationId xmlns:a16="http://schemas.microsoft.com/office/drawing/2014/main" id="{A50DCFE0-6218-E938-683F-DC4DFE753305}"/>
            </a:ext>
          </a:extLst>
        </xdr:cNvPr>
        <xdr:cNvSpPr txBox="1"/>
      </xdr:nvSpPr>
      <xdr:spPr>
        <a:xfrm>
          <a:off x="2511780" y="3510644"/>
          <a:ext cx="1188357" cy="589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F7F4C6-6631-4BC6-9D1E-E403D5440E33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26.3%</a:t>
          </a:fld>
          <a:endParaRPr lang="en-US" sz="3000"/>
        </a:p>
      </xdr:txBody>
    </xdr:sp>
    <xdr:clientData/>
  </xdr:twoCellAnchor>
  <xdr:twoCellAnchor editAs="absolute">
    <xdr:from>
      <xdr:col>1</xdr:col>
      <xdr:colOff>17991</xdr:colOff>
      <xdr:row>24</xdr:row>
      <xdr:rowOff>52029</xdr:rowOff>
    </xdr:from>
    <xdr:to>
      <xdr:col>3</xdr:col>
      <xdr:colOff>947004</xdr:colOff>
      <xdr:row>35</xdr:row>
      <xdr:rowOff>73978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9C2540C-B6AB-4603-B23C-F603064AA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392516</xdr:colOff>
      <xdr:row>11</xdr:row>
      <xdr:rowOff>35584</xdr:rowOff>
    </xdr:from>
    <xdr:to>
      <xdr:col>9</xdr:col>
      <xdr:colOff>417222</xdr:colOff>
      <xdr:row>35</xdr:row>
      <xdr:rowOff>78281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6D8FD94-3845-48D1-A926-23D6B7C98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101180</xdr:colOff>
      <xdr:row>11</xdr:row>
      <xdr:rowOff>1334</xdr:rowOff>
    </xdr:from>
    <xdr:to>
      <xdr:col>15</xdr:col>
      <xdr:colOff>226785</xdr:colOff>
      <xdr:row>35</xdr:row>
      <xdr:rowOff>112530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C250CC-226A-4DA5-93A0-3CE0D8CB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17992</xdr:colOff>
      <xdr:row>11</xdr:row>
      <xdr:rowOff>23518</xdr:rowOff>
    </xdr:from>
    <xdr:to>
      <xdr:col>3</xdr:col>
      <xdr:colOff>936950</xdr:colOff>
      <xdr:row>15</xdr:row>
      <xdr:rowOff>172862</xdr:rowOff>
    </xdr:to>
    <xdr:sp macro="" textlink="'Data Prep'!$E$2">
      <xdr:nvSpPr>
        <xdr:cNvPr id="21" name="TextBox 20">
          <a:extLst>
            <a:ext uri="{FF2B5EF4-FFF2-40B4-BE49-F238E27FC236}">
              <a16:creationId xmlns:a16="http://schemas.microsoft.com/office/drawing/2014/main" id="{BF32DC46-A230-4731-9BFD-5706D640DB8F}"/>
            </a:ext>
          </a:extLst>
        </xdr:cNvPr>
        <xdr:cNvSpPr txBox="1"/>
      </xdr:nvSpPr>
      <xdr:spPr>
        <a:xfrm>
          <a:off x="433486" y="2187222"/>
          <a:ext cx="3472587" cy="10900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83AE85-26C5-4700-A6F0-B44525AEEF58}" type="TxLink">
            <a:rPr lang="en-US" sz="60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$44,041</a:t>
          </a:fld>
          <a:endParaRPr lang="en-US" sz="13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370114</xdr:colOff>
      <xdr:row>0</xdr:row>
      <xdr:rowOff>73478</xdr:rowOff>
    </xdr:from>
    <xdr:to>
      <xdr:col>7</xdr:col>
      <xdr:colOff>281074</xdr:colOff>
      <xdr:row>3</xdr:row>
      <xdr:rowOff>54428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E7AFB9-08B9-A5AA-8349-A4B8B4F37572}"/>
            </a:ext>
          </a:extLst>
        </xdr:cNvPr>
        <xdr:cNvSpPr txBox="1"/>
      </xdr:nvSpPr>
      <xdr:spPr>
        <a:xfrm>
          <a:off x="370114" y="73478"/>
          <a:ext cx="6723603" cy="5252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/>
            <a:t>REGIONAL</a:t>
          </a:r>
          <a:r>
            <a:rPr lang="en-US" sz="3200" b="1" baseline="0"/>
            <a:t> REVENUE DASHBOARD</a:t>
          </a:r>
          <a:endParaRPr lang="en-US" sz="2800" b="1"/>
        </a:p>
      </xdr:txBody>
    </xdr:sp>
    <xdr:clientData/>
  </xdr:twoCellAnchor>
  <xdr:twoCellAnchor editAs="absolute">
    <xdr:from>
      <xdr:col>1</xdr:col>
      <xdr:colOff>19050</xdr:colOff>
      <xdr:row>5</xdr:row>
      <xdr:rowOff>90715</xdr:rowOff>
    </xdr:from>
    <xdr:to>
      <xdr:col>20</xdr:col>
      <xdr:colOff>263071</xdr:colOff>
      <xdr:row>5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A5E444-4EEE-38D0-0688-981DF09BF20C}"/>
            </a:ext>
          </a:extLst>
        </xdr:cNvPr>
        <xdr:cNvCxnSpPr/>
      </xdr:nvCxnSpPr>
      <xdr:spPr>
        <a:xfrm flipV="1">
          <a:off x="436336" y="1179286"/>
          <a:ext cx="14867164" cy="74385"/>
        </a:xfrm>
        <a:prstGeom prst="line">
          <a:avLst/>
        </a:prstGeom>
        <a:ln w="19050"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260106</xdr:colOff>
      <xdr:row>8</xdr:row>
      <xdr:rowOff>2413</xdr:rowOff>
    </xdr:from>
    <xdr:to>
      <xdr:col>4</xdr:col>
      <xdr:colOff>39077</xdr:colOff>
      <xdr:row>10</xdr:row>
      <xdr:rowOff>16303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C472F4-D356-EDB5-B43D-6A8B0CDE253C}"/>
            </a:ext>
          </a:extLst>
        </xdr:cNvPr>
        <xdr:cNvSpPr txBox="1"/>
      </xdr:nvSpPr>
      <xdr:spPr>
        <a:xfrm>
          <a:off x="260106" y="1635270"/>
          <a:ext cx="4133257" cy="3767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This</a:t>
          </a:r>
          <a:r>
            <a:rPr lang="en-US" sz="2000" b="1" baseline="0"/>
            <a:t> was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the revenue </a:t>
          </a:r>
          <a:r>
            <a:rPr lang="en-US" sz="2000" b="1" baseline="0"/>
            <a:t>we drove in...</a:t>
          </a:r>
          <a:endParaRPr lang="en-US" sz="2000" b="1"/>
        </a:p>
      </xdr:txBody>
    </xdr:sp>
    <xdr:clientData/>
  </xdr:twoCellAnchor>
  <xdr:twoCellAnchor editAs="absolute">
    <xdr:from>
      <xdr:col>1</xdr:col>
      <xdr:colOff>288759</xdr:colOff>
      <xdr:row>19</xdr:row>
      <xdr:rowOff>11564</xdr:rowOff>
    </xdr:from>
    <xdr:to>
      <xdr:col>2</xdr:col>
      <xdr:colOff>365017</xdr:colOff>
      <xdr:row>20</xdr:row>
      <xdr:rowOff>36286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A94CD5-7CC9-423B-96DB-3A90DFBEE3F8}"/>
            </a:ext>
          </a:extLst>
        </xdr:cNvPr>
        <xdr:cNvSpPr txBox="1"/>
      </xdr:nvSpPr>
      <xdr:spPr>
        <a:xfrm>
          <a:off x="706045" y="4075564"/>
          <a:ext cx="1192043" cy="2605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Vs.</a:t>
          </a:r>
          <a:r>
            <a:rPr lang="en-US" sz="12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Last Month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741516</xdr:colOff>
      <xdr:row>21</xdr:row>
      <xdr:rowOff>286615</xdr:rowOff>
    </xdr:from>
    <xdr:to>
      <xdr:col>19</xdr:col>
      <xdr:colOff>479840</xdr:colOff>
      <xdr:row>23</xdr:row>
      <xdr:rowOff>15615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0FAD20-5298-4305-AB5B-D441612E9DF6}"/>
            </a:ext>
          </a:extLst>
        </xdr:cNvPr>
        <xdr:cNvSpPr txBox="1"/>
      </xdr:nvSpPr>
      <xdr:spPr>
        <a:xfrm>
          <a:off x="10874302" y="4822329"/>
          <a:ext cx="4038181" cy="3912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 and these products </a:t>
          </a:r>
          <a:r>
            <a:rPr lang="en-US" sz="20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caused losses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15</xdr:col>
      <xdr:colOff>621245</xdr:colOff>
      <xdr:row>7</xdr:row>
      <xdr:rowOff>165732</xdr:rowOff>
    </xdr:from>
    <xdr:to>
      <xdr:col>19</xdr:col>
      <xdr:colOff>600110</xdr:colOff>
      <xdr:row>10</xdr:row>
      <xdr:rowOff>20455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EDBE4F6-B61C-42E1-A8BB-D05E47ADA0B3}"/>
            </a:ext>
          </a:extLst>
        </xdr:cNvPr>
        <xdr:cNvSpPr txBox="1"/>
      </xdr:nvSpPr>
      <xdr:spPr>
        <a:xfrm>
          <a:off x="10754031" y="1617161"/>
          <a:ext cx="4278722" cy="3990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000" b="1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  <a:r>
            <a:rPr lang="en-US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these products </a:t>
          </a:r>
          <a:r>
            <a:rPr lang="en-US" sz="20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drove growth</a:t>
          </a:r>
          <a:r>
            <a:rPr lang="en-US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... </a:t>
          </a:r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556226</xdr:colOff>
      <xdr:row>7</xdr:row>
      <xdr:rowOff>177464</xdr:rowOff>
    </xdr:from>
    <xdr:to>
      <xdr:col>13</xdr:col>
      <xdr:colOff>280517</xdr:colOff>
      <xdr:row>10</xdr:row>
      <xdr:rowOff>26866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54E83E-B36F-47C1-B6D6-CD80BC78789D}"/>
            </a:ext>
          </a:extLst>
        </xdr:cNvPr>
        <xdr:cNvSpPr txBox="1"/>
      </xdr:nvSpPr>
      <xdr:spPr>
        <a:xfrm>
          <a:off x="4910512" y="1628893"/>
          <a:ext cx="5112719" cy="393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How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our store </a:t>
          </a:r>
          <a:r>
            <a:rPr lang="en-US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rank compared to </a:t>
          </a:r>
          <a:r>
            <a:rPr lang="en-US" sz="2000" b="1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other regions</a:t>
          </a:r>
          <a:endParaRPr lang="en-US" sz="20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142189</xdr:colOff>
      <xdr:row>21</xdr:row>
      <xdr:rowOff>262456</xdr:rowOff>
    </xdr:from>
    <xdr:to>
      <xdr:col>3</xdr:col>
      <xdr:colOff>1127636</xdr:colOff>
      <xdr:row>24</xdr:row>
      <xdr:rowOff>28610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96B5E7B-A809-4BC6-9404-CB25ED152969}"/>
            </a:ext>
          </a:extLst>
        </xdr:cNvPr>
        <xdr:cNvSpPr txBox="1"/>
      </xdr:nvSpPr>
      <xdr:spPr>
        <a:xfrm>
          <a:off x="559475" y="4798170"/>
          <a:ext cx="3534518" cy="4646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baseline="0"/>
            <a:t>Revenue trend in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2000" b="1" baseline="0"/>
            <a:t> Vs </a:t>
          </a:r>
          <a:r>
            <a:rPr lang="en-US" sz="2000" b="1" baseline="0">
              <a:solidFill>
                <a:schemeClr val="bg2">
                  <a:lumMod val="50000"/>
                </a:schemeClr>
              </a:solidFill>
            </a:rPr>
            <a:t>2020</a:t>
          </a:r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964411</xdr:colOff>
      <xdr:row>18</xdr:row>
      <xdr:rowOff>227142</xdr:rowOff>
    </xdr:from>
    <xdr:to>
      <xdr:col>3</xdr:col>
      <xdr:colOff>748078</xdr:colOff>
      <xdr:row>20</xdr:row>
      <xdr:rowOff>48944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C0F1756-32DA-4C51-9E87-627925B2479C}"/>
            </a:ext>
          </a:extLst>
        </xdr:cNvPr>
        <xdr:cNvSpPr txBox="1"/>
      </xdr:nvSpPr>
      <xdr:spPr>
        <a:xfrm>
          <a:off x="2497482" y="4062905"/>
          <a:ext cx="1216953" cy="2858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Vs.</a:t>
          </a:r>
          <a:r>
            <a:rPr lang="en-US" sz="12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Last 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Year</a:t>
          </a:r>
        </a:p>
      </xdr:txBody>
    </xdr:sp>
    <xdr:clientData/>
  </xdr:twoCellAnchor>
  <xdr:twoCellAnchor editAs="absolute">
    <xdr:from>
      <xdr:col>0</xdr:col>
      <xdr:colOff>381000</xdr:colOff>
      <xdr:row>15</xdr:row>
      <xdr:rowOff>162278</xdr:rowOff>
    </xdr:from>
    <xdr:to>
      <xdr:col>3</xdr:col>
      <xdr:colOff>986692</xdr:colOff>
      <xdr:row>15</xdr:row>
      <xdr:rowOff>172862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7A6878B-4B68-F673-62D9-EF7F93549A5A}"/>
            </a:ext>
          </a:extLst>
        </xdr:cNvPr>
        <xdr:cNvCxnSpPr/>
      </xdr:nvCxnSpPr>
      <xdr:spPr>
        <a:xfrm>
          <a:off x="381000" y="3282849"/>
          <a:ext cx="3572049" cy="10584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640291</xdr:colOff>
      <xdr:row>15</xdr:row>
      <xdr:rowOff>172862</xdr:rowOff>
    </xdr:from>
    <xdr:to>
      <xdr:col>2</xdr:col>
      <xdr:colOff>641076</xdr:colOff>
      <xdr:row>20</xdr:row>
      <xdr:rowOff>68203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868FF70-40E5-3211-BB88-6832EB0E3713}"/>
            </a:ext>
          </a:extLst>
        </xdr:cNvPr>
        <xdr:cNvCxnSpPr>
          <a:stCxn id="21" idx="2"/>
        </xdr:cNvCxnSpPr>
      </xdr:nvCxnSpPr>
      <xdr:spPr>
        <a:xfrm flipH="1">
          <a:off x="2168995" y="3277306"/>
          <a:ext cx="785" cy="1071267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464207</xdr:colOff>
      <xdr:row>0</xdr:row>
      <xdr:rowOff>83833</xdr:rowOff>
    </xdr:from>
    <xdr:to>
      <xdr:col>20</xdr:col>
      <xdr:colOff>99921</xdr:colOff>
      <xdr:row>4</xdr:row>
      <xdr:rowOff>266022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F20C56-9458-0EBF-ABD6-5564F16E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9707" y="83833"/>
          <a:ext cx="2420643" cy="9079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7C2FCD-75F8-47BF-AFF2-CF91EE1979BB}" name="Data" displayName="Data" ref="A1:J4795" totalsRowShown="0" headerRowDxfId="8">
  <autoFilter ref="A1:J4795" xr:uid="{337C2FCD-75F8-47BF-AFF2-CF91EE1979BB}"/>
  <tableColumns count="10">
    <tableColumn id="1" xr3:uid="{6C3FA4B0-1106-4934-8343-3C5420270181}" name="Year"/>
    <tableColumn id="2" xr3:uid="{1DE26007-1450-4084-B556-6D01CBCB38B3}" name="Month"/>
    <tableColumn id="3" xr3:uid="{F8A17BE7-16BA-4C5A-9A5D-F8BD085D6980}" name="Store Name"/>
    <tableColumn id="4" xr3:uid="{2C40E388-EEDA-4412-B722-96D851563952}" name="Region"/>
    <tableColumn id="5" xr3:uid="{27215D6D-7196-4F96-BB2F-D7B66A187977}" name="Store Type"/>
    <tableColumn id="6" xr3:uid="{19ABA528-ED5B-42B3-B750-5927DB15969A}" name="Product Name"/>
    <tableColumn id="7" xr3:uid="{D76A7B4C-BB7D-4DA6-9412-7D1460D81C91}" name="Product Category"/>
    <tableColumn id="8" xr3:uid="{4461CC9B-798B-42FA-9247-F40DD976DC64}" name="Units Sold"/>
    <tableColumn id="9" xr3:uid="{2FD5EADA-EF05-4A3F-9C61-6ED26D259FA2}" name="Revenue" dataDxfId="7"/>
    <tableColumn id="10" xr3:uid="{F1B7C3BF-468E-4D6D-B71C-C829AA3B52C3}" name="Prof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>
    <tabColor theme="0"/>
  </sheetPr>
  <dimension ref="A1:AY4795"/>
  <sheetViews>
    <sheetView showGridLines="0" topLeftCell="A121" zoomScaleNormal="100" workbookViewId="0">
      <selection activeCell="F135" sqref="F13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sheetProtection algorithmName="SHA-512" hashValue="BBIVJao/W/wTqaC0ETpSKrQca/EXeKB6uqySvuDOT1jpdrhvoy6qiwMY9Rh0utSajByN687JO8xRpLNZ+3uvrQ==" saltValue="aFEbmSQrGhaVIYh5MpAozw==" spinCount="100000" sheet="1" objects="1" scenarios="1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0642-8655-490D-8EEA-1696D92BDE35}">
  <dimension ref="A1:AJ36"/>
  <sheetViews>
    <sheetView tabSelected="1" zoomScale="78" zoomScaleNormal="78" workbookViewId="0">
      <selection activeCell="Z10" sqref="Z10"/>
    </sheetView>
  </sheetViews>
  <sheetFormatPr defaultRowHeight="14.4" x14ac:dyDescent="0.3"/>
  <cols>
    <col min="1" max="1" width="15.21875" bestFit="1" customWidth="1"/>
    <col min="2" max="2" width="12.6640625" customWidth="1"/>
    <col min="4" max="4" width="13.77734375" bestFit="1" customWidth="1"/>
    <col min="5" max="5" width="9.77734375" bestFit="1" customWidth="1"/>
    <col min="12" max="12" width="16.44140625" bestFit="1" customWidth="1"/>
    <col min="14" max="14" width="11.21875" bestFit="1" customWidth="1"/>
    <col min="19" max="19" width="12" bestFit="1" customWidth="1"/>
    <col min="20" max="20" width="12" customWidth="1"/>
    <col min="23" max="23" width="9.77734375" bestFit="1" customWidth="1"/>
    <col min="26" max="26" width="15.44140625" bestFit="1" customWidth="1"/>
    <col min="28" max="28" width="11.6640625" bestFit="1" customWidth="1"/>
    <col min="34" max="34" width="14.77734375" bestFit="1" customWidth="1"/>
  </cols>
  <sheetData>
    <row r="1" spans="1:36" x14ac:dyDescent="0.3">
      <c r="A1" s="7" t="s">
        <v>75</v>
      </c>
      <c r="B1" s="7"/>
      <c r="D1" s="12" t="s">
        <v>83</v>
      </c>
      <c r="E1" s="12"/>
      <c r="G1" s="12" t="s">
        <v>90</v>
      </c>
      <c r="H1" s="12"/>
      <c r="I1" s="12"/>
      <c r="J1" s="12"/>
      <c r="L1" s="12" t="s">
        <v>91</v>
      </c>
      <c r="M1" s="12"/>
      <c r="N1" s="12"/>
      <c r="O1" s="12"/>
      <c r="P1" s="12"/>
      <c r="R1" s="12" t="s">
        <v>96</v>
      </c>
      <c r="S1" s="12"/>
      <c r="T1" s="12"/>
      <c r="U1" s="12"/>
      <c r="V1" s="12"/>
      <c r="W1" s="12"/>
      <c r="X1" s="12"/>
      <c r="Z1" s="12" t="s">
        <v>97</v>
      </c>
      <c r="AA1" s="12"/>
      <c r="AB1" s="12"/>
      <c r="AC1" s="12"/>
      <c r="AD1" s="12"/>
      <c r="AE1" s="12"/>
      <c r="AG1" s="12" t="s">
        <v>102</v>
      </c>
      <c r="AH1" s="12"/>
      <c r="AI1" s="12"/>
      <c r="AJ1" s="12"/>
    </row>
    <row r="2" spans="1:36" x14ac:dyDescent="0.3">
      <c r="A2" s="6" t="s">
        <v>76</v>
      </c>
      <c r="B2" s="6" t="s">
        <v>77</v>
      </c>
      <c r="D2" s="8" t="s">
        <v>84</v>
      </c>
      <c r="E2" s="11">
        <f>SUMIFS(Data[Revenue],Data[Region],Region,Data[Year],CurYear,Data[Month],CurMonth)</f>
        <v>44041.12999999999</v>
      </c>
      <c r="G2" s="13" t="s">
        <v>49</v>
      </c>
      <c r="H2" s="13">
        <f>PrevYear</f>
        <v>2020</v>
      </c>
      <c r="I2" s="13">
        <f>CurYear</f>
        <v>2021</v>
      </c>
      <c r="J2" s="13" t="s">
        <v>106</v>
      </c>
      <c r="L2" s="13" t="s">
        <v>92</v>
      </c>
      <c r="M2" s="13" t="s">
        <v>46</v>
      </c>
      <c r="N2" s="13" t="s">
        <v>93</v>
      </c>
      <c r="O2" s="13" t="s">
        <v>94</v>
      </c>
      <c r="P2" s="13" t="s">
        <v>95</v>
      </c>
      <c r="R2" s="13" t="s">
        <v>95</v>
      </c>
      <c r="S2" s="13" t="s">
        <v>92</v>
      </c>
      <c r="T2" s="13" t="s">
        <v>52</v>
      </c>
      <c r="U2" s="13" t="s">
        <v>46</v>
      </c>
      <c r="V2" s="13" t="s">
        <v>94</v>
      </c>
      <c r="W2" s="13" t="s">
        <v>77</v>
      </c>
      <c r="X2" s="13" t="s">
        <v>77</v>
      </c>
      <c r="Z2" s="13" t="s">
        <v>98</v>
      </c>
      <c r="AA2" s="13" t="s">
        <v>46</v>
      </c>
      <c r="AB2" s="13" t="s">
        <v>93</v>
      </c>
      <c r="AC2" s="13" t="s">
        <v>99</v>
      </c>
      <c r="AD2" s="13" t="s">
        <v>100</v>
      </c>
      <c r="AE2" s="13" t="s">
        <v>101</v>
      </c>
      <c r="AG2" s="13" t="s">
        <v>103</v>
      </c>
      <c r="AH2" s="13" t="s">
        <v>98</v>
      </c>
      <c r="AI2" s="13" t="s">
        <v>46</v>
      </c>
      <c r="AJ2" s="13" t="s">
        <v>99</v>
      </c>
    </row>
    <row r="3" spans="1:36" ht="15.6" x14ac:dyDescent="0.3">
      <c r="A3" t="s">
        <v>4</v>
      </c>
      <c r="B3" s="25" t="str">
        <f>Dashboard!C5</f>
        <v>Los Angeles</v>
      </c>
      <c r="D3" s="8" t="s">
        <v>85</v>
      </c>
      <c r="E3" s="11">
        <f>SUMIFS(Data[Revenue],Data[Region],Region,Data[Month],CurMonth,Data[Year],PrevYear)</f>
        <v>34881.53</v>
      </c>
      <c r="G3">
        <v>1</v>
      </c>
      <c r="H3" s="11">
        <f>SUMIFS(Data[[Revenue]:[Revenue]],Data[[Region]:[Region]],Region,Data[[Month]:[Month]],'Data Prep'!$G3,Data[[Year]:[Year]],'Data Prep'!H$2)</f>
        <v>37135.47</v>
      </c>
      <c r="I3" s="11">
        <f>IF(G3&gt;CurMonth,NA(),SUMIFS(Data[[Revenue]:[Revenue]],Data[[Region]:[Region]],Region,Data[[Month]:[Month]],'Data Prep'!$G3,Data[[Year]:[Year]],I$2))</f>
        <v>51959.660000000011</v>
      </c>
      <c r="J3" s="11" t="e">
        <f t="shared" ref="J3:J14" si="0">IF(G3=CurMonth,I3,NA())</f>
        <v>#N/A</v>
      </c>
      <c r="L3" t="s">
        <v>59</v>
      </c>
      <c r="M3" s="11">
        <f>SUMIFS(Data[Revenue],Data[Store Name],L3,Data[Month],CurMonth,Data[Year],CurYear)</f>
        <v>10103.540000000001</v>
      </c>
      <c r="N3" s="11">
        <f>SUMIFS(Data[Revenue],Data[Store Name],L3,Data[Month],PrevMonth,Data[Year],PMYear)</f>
        <v>7938.76</v>
      </c>
      <c r="O3" s="10">
        <f t="shared" ref="O3:O12" si="1">M3/N3-1</f>
        <v>0.27268490293194403</v>
      </c>
      <c r="P3">
        <f>_xlfn.RANK.AVG(M3,$M$3:$M$12,1)</f>
        <v>2</v>
      </c>
      <c r="R3">
        <v>1</v>
      </c>
      <c r="S3" t="str">
        <f t="shared" ref="S3:S12" si="2">INDEX($L$3:$O$12,MATCH($R3,$P$3:$P$12,0),MATCH(S$2,$L$2:$O$2,0))</f>
        <v>Michigan Ave</v>
      </c>
      <c r="T3" t="str">
        <f>VLOOKUP(S3,Data[[Store Name]:[Region]],2,0)</f>
        <v>Chicago</v>
      </c>
      <c r="U3" s="11">
        <f t="shared" ref="U3:V12" si="3">INDEX($L$3:$O$12,MATCH($R3,$P$3:$P$12,0),MATCH(U$2,$L$2:$O$2,0))</f>
        <v>7721.8800000000019</v>
      </c>
      <c r="V3" s="10">
        <f t="shared" si="3"/>
        <v>-0.23788412342481746</v>
      </c>
      <c r="W3" s="3">
        <f t="shared" ref="W3:W12" si="4">IF($T3=Region,U3,0)</f>
        <v>0</v>
      </c>
      <c r="X3" s="10">
        <f t="shared" ref="X3:X12" si="5">IF($T3=Region,V3,0)</f>
        <v>0</v>
      </c>
      <c r="Z3" t="s">
        <v>13</v>
      </c>
      <c r="AA3" s="11">
        <f>SUMIFS(Data[Revenue],Data[Region],Region,Data[Month],CurMonth,Data[Year],CurYear,Data[Product Name],Z3)</f>
        <v>1662.96</v>
      </c>
      <c r="AB3" s="11">
        <f>SUMIFS(Data[Revenue],Data[Region],Region,Data[Month],PrevMonth,Data[Year],PMYear,Data[Product Name],Z3)</f>
        <v>1087.3200000000002</v>
      </c>
      <c r="AC3" s="2">
        <f>AA3-AB3</f>
        <v>575.63999999999987</v>
      </c>
      <c r="AD3">
        <f>_xlfn.RANK.AVG(AC3,$AC$3:$AC$36,0)</f>
        <v>4</v>
      </c>
      <c r="AE3">
        <f>_xlfn.RANK.AVG(AC3,$AC$3:$AC$36,1)</f>
        <v>31</v>
      </c>
      <c r="AG3">
        <v>1</v>
      </c>
      <c r="AH3" t="str">
        <f>INDEX($Z$3:$AC$36,MATCH($AG3,$AD$3:$AD$36,0),MATCH(AH$2,$Z$2:$AC$2,0))</f>
        <v>Magic Sand</v>
      </c>
      <c r="AI3" s="11">
        <f t="shared" ref="AI3:AJ3" si="6">INDEX($Z$3:$AC$36,MATCH($AG3,$AD$3:$AD$36,0),MATCH(AI$2,$Z$2:$AC$2,0))</f>
        <v>6523.92</v>
      </c>
      <c r="AJ3" s="11">
        <f t="shared" si="6"/>
        <v>3293.9400000000005</v>
      </c>
    </row>
    <row r="4" spans="1:36" x14ac:dyDescent="0.3">
      <c r="A4" t="s">
        <v>5</v>
      </c>
      <c r="D4" s="8" t="s">
        <v>86</v>
      </c>
      <c r="E4" s="11">
        <f>SUMIFS(Data[Revenue],Data[Region],Region,Data[Month],PrevMonth,Data[Year],IF(CurMonth=1,PrevYear,CurYear))</f>
        <v>41270.179999999986</v>
      </c>
      <c r="G4">
        <v>2</v>
      </c>
      <c r="H4" s="11">
        <f>SUMIFS(Data[[Revenue]:[Revenue]],Data[[Region]:[Region]],Region,Data[[Month]:[Month]],'Data Prep'!$G4,Data[[Year]:[Year]],'Data Prep'!H$2)</f>
        <v>31324.390000000007</v>
      </c>
      <c r="I4" s="11">
        <f>IF(G4&gt;CurMonth,NA(),SUMIFS(Data[[Revenue]:[Revenue]],Data[[Region]:[Region]],Region,Data[[Month]:[Month]],'Data Prep'!$G4,Data[[Year]:[Year]],I$2))</f>
        <v>53726.850000000006</v>
      </c>
      <c r="J4" s="11" t="e">
        <f t="shared" si="0"/>
        <v>#N/A</v>
      </c>
      <c r="L4" t="s">
        <v>56</v>
      </c>
      <c r="M4" s="11">
        <f>SUMIFS(Data[Revenue],Data[Store Name],L4,Data[Month],CurMonth,Data[Year],CurYear)</f>
        <v>15765.830000000002</v>
      </c>
      <c r="N4" s="11">
        <f>SUMIFS(Data[Revenue],Data[Store Name],L4,Data[Month],PrevMonth,Data[Year],PMYear)</f>
        <v>11411.519999999999</v>
      </c>
      <c r="O4" s="10">
        <f t="shared" si="1"/>
        <v>0.38157142957292312</v>
      </c>
      <c r="P4">
        <f t="shared" ref="P4:P12" si="7">_xlfn.RANK.AVG(M4,$M$3:$M$12,1)</f>
        <v>4</v>
      </c>
      <c r="R4">
        <v>2</v>
      </c>
      <c r="S4" t="str">
        <f t="shared" si="2"/>
        <v>Hollywood</v>
      </c>
      <c r="T4" t="str">
        <f>VLOOKUP(S4,Data[[Store Name]:[Region]],2,0)</f>
        <v>Los Angeles</v>
      </c>
      <c r="U4" s="11">
        <f t="shared" si="3"/>
        <v>10103.540000000001</v>
      </c>
      <c r="V4" s="10">
        <f t="shared" si="3"/>
        <v>0.27268490293194403</v>
      </c>
      <c r="W4" s="3">
        <f t="shared" si="4"/>
        <v>10103.540000000001</v>
      </c>
      <c r="X4" s="10">
        <f t="shared" si="5"/>
        <v>0.27268490293194403</v>
      </c>
      <c r="Z4" t="s">
        <v>24</v>
      </c>
      <c r="AA4" s="11">
        <f>SUMIFS(Data[Revenue],Data[Region],Region,Data[Month],CurMonth,Data[Year],CurYear,Data[Product Name],Z4)</f>
        <v>1675.71</v>
      </c>
      <c r="AB4" s="11">
        <f>SUMIFS(Data[Revenue],Data[Region],Region,Data[Month],PrevMonth,Data[Year],PMYear,Data[Product Name],Z4)</f>
        <v>2805.84</v>
      </c>
      <c r="AC4" s="2">
        <f t="shared" ref="AC4:AC36" si="8">AA4-AB4</f>
        <v>-1130.1300000000001</v>
      </c>
      <c r="AD4">
        <f t="shared" ref="AD4:AD36" si="9">_xlfn.RANK.AVG(AC4,$AC$3:$AC$36,0)</f>
        <v>32</v>
      </c>
      <c r="AE4">
        <f t="shared" ref="AE4:AE36" si="10">_xlfn.RANK.AVG(AC4,$AC$3:$AC$36,1)</f>
        <v>3</v>
      </c>
      <c r="AG4">
        <v>2</v>
      </c>
      <c r="AH4" t="str">
        <f t="shared" ref="AH4:AJ9" si="11">INDEX($Z$3:$AC$36,MATCH($AG4,$AD$3:$AD$36,0),MATCH(AH$2,$Z$2:$AC$2,0))</f>
        <v>Toy Robot</v>
      </c>
      <c r="AI4" s="11">
        <f t="shared" si="11"/>
        <v>1533.4099999999999</v>
      </c>
      <c r="AJ4" s="11">
        <f t="shared" si="11"/>
        <v>1533.4099999999999</v>
      </c>
    </row>
    <row r="5" spans="1:36" x14ac:dyDescent="0.3">
      <c r="A5" t="s">
        <v>48</v>
      </c>
      <c r="D5" s="8" t="s">
        <v>88</v>
      </c>
      <c r="E5" s="14">
        <f>E2/E3-1</f>
        <v>0.26259169250890069</v>
      </c>
      <c r="G5">
        <v>3</v>
      </c>
      <c r="H5" s="11">
        <f>SUMIFS(Data[[Revenue]:[Revenue]],Data[[Region]:[Region]],Region,Data[[Month]:[Month]],'Data Prep'!$G5,Data[[Year]:[Year]],'Data Prep'!H$2)</f>
        <v>38310.149999999987</v>
      </c>
      <c r="I5" s="11">
        <f>IF(G5&gt;CurMonth,NA(),SUMIFS(Data[[Revenue]:[Revenue]],Data[[Region]:[Region]],Region,Data[[Month]:[Month]],'Data Prep'!$G5,Data[[Year]:[Year]],I$2))</f>
        <v>53604.229999999989</v>
      </c>
      <c r="J5" s="11" t="e">
        <f t="shared" si="0"/>
        <v>#N/A</v>
      </c>
      <c r="L5" t="s">
        <v>54</v>
      </c>
      <c r="M5" s="11">
        <f>SUMIFS(Data[Revenue],Data[Store Name],L5,Data[Month],CurMonth,Data[Year],CurYear)</f>
        <v>7721.8800000000019</v>
      </c>
      <c r="N5" s="11">
        <f>SUMIFS(Data[Revenue],Data[Store Name],L5,Data[Month],PrevMonth,Data[Year],PMYear)</f>
        <v>10132.16</v>
      </c>
      <c r="O5" s="10">
        <f t="shared" si="1"/>
        <v>-0.23788412342481746</v>
      </c>
      <c r="P5">
        <f t="shared" si="7"/>
        <v>1</v>
      </c>
      <c r="R5">
        <v>3</v>
      </c>
      <c r="S5" t="str">
        <f t="shared" si="2"/>
        <v>JFK</v>
      </c>
      <c r="T5" t="str">
        <f>VLOOKUP(S5,Data[[Store Name]:[Region]],2,0)</f>
        <v>New York</v>
      </c>
      <c r="U5" s="11">
        <f t="shared" si="3"/>
        <v>13879.13</v>
      </c>
      <c r="V5" s="10">
        <f t="shared" si="3"/>
        <v>5.7257752439920262E-2</v>
      </c>
      <c r="W5" s="3">
        <f t="shared" si="4"/>
        <v>0</v>
      </c>
      <c r="X5" s="10">
        <f t="shared" si="5"/>
        <v>0</v>
      </c>
      <c r="Z5" t="s">
        <v>18</v>
      </c>
      <c r="AA5" s="11">
        <f>SUMIFS(Data[Revenue],Data[Region],Region,Data[Month],CurMonth,Data[Year],CurYear,Data[Product Name],Z5)</f>
        <v>233.82</v>
      </c>
      <c r="AB5" s="11">
        <f>SUMIFS(Data[Revenue],Data[Region],Region,Data[Month],PrevMonth,Data[Year],PMYear,Data[Product Name],Z5)</f>
        <v>0</v>
      </c>
      <c r="AC5" s="2">
        <f t="shared" si="8"/>
        <v>233.82</v>
      </c>
      <c r="AD5">
        <f t="shared" si="9"/>
        <v>10</v>
      </c>
      <c r="AE5">
        <f t="shared" si="10"/>
        <v>25</v>
      </c>
      <c r="AG5">
        <v>3</v>
      </c>
      <c r="AH5" t="str">
        <f t="shared" si="11"/>
        <v>Glass Marbles</v>
      </c>
      <c r="AI5" s="11">
        <f t="shared" si="11"/>
        <v>1329.79</v>
      </c>
      <c r="AJ5" s="11">
        <f t="shared" si="11"/>
        <v>615.44000000000005</v>
      </c>
    </row>
    <row r="6" spans="1:36" x14ac:dyDescent="0.3">
      <c r="D6" s="8" t="s">
        <v>89</v>
      </c>
      <c r="E6" s="14">
        <f>E2/E4-1</f>
        <v>6.7141698921594273E-2</v>
      </c>
      <c r="G6">
        <v>4</v>
      </c>
      <c r="H6" s="11">
        <f>SUMIFS(Data[[Revenue]:[Revenue]],Data[[Region]:[Region]],Region,Data[[Month]:[Month]],'Data Prep'!$G6,Data[[Year]:[Year]],'Data Prep'!H$2)</f>
        <v>43124.819999999992</v>
      </c>
      <c r="I6" s="11">
        <f>IF(G6&gt;CurMonth,NA(),SUMIFS(Data[[Revenue]:[Revenue]],Data[[Region]:[Region]],Region,Data[[Month]:[Month]],'Data Prep'!$G6,Data[[Year]:[Year]],I$2))</f>
        <v>50597.080000000009</v>
      </c>
      <c r="J6" s="11" t="e">
        <f t="shared" si="0"/>
        <v>#N/A</v>
      </c>
      <c r="L6" t="s">
        <v>55</v>
      </c>
      <c r="M6" s="11">
        <f>SUMIFS(Data[Revenue],Data[Store Name],L6,Data[Month],CurMonth,Data[Year],CurYear)</f>
        <v>18238.46</v>
      </c>
      <c r="N6" s="11">
        <f>SUMIFS(Data[Revenue],Data[Store Name],L6,Data[Month],PrevMonth,Data[Year],PMYear)</f>
        <v>15332.379999999996</v>
      </c>
      <c r="O6" s="10">
        <f t="shared" si="1"/>
        <v>0.18953874088693379</v>
      </c>
      <c r="P6">
        <f t="shared" si="7"/>
        <v>9</v>
      </c>
      <c r="R6">
        <v>4</v>
      </c>
      <c r="S6" t="str">
        <f t="shared" si="2"/>
        <v>Beverly Hills</v>
      </c>
      <c r="T6" t="str">
        <f>VLOOKUP(S6,Data[[Store Name]:[Region]],2,0)</f>
        <v>Los Angeles</v>
      </c>
      <c r="U6" s="11">
        <f t="shared" si="3"/>
        <v>15765.830000000002</v>
      </c>
      <c r="V6" s="10">
        <f t="shared" si="3"/>
        <v>0.38157142957292312</v>
      </c>
      <c r="W6" s="3">
        <f t="shared" si="4"/>
        <v>15765.830000000002</v>
      </c>
      <c r="X6" s="10">
        <f t="shared" si="5"/>
        <v>0.38157142957292312</v>
      </c>
      <c r="Z6" t="s">
        <v>30</v>
      </c>
      <c r="AA6" s="11">
        <f>SUMIFS(Data[Revenue],Data[Region],Region,Data[Month],CurMonth,Data[Year],CurYear,Data[Product Name],Z6)</f>
        <v>249.75</v>
      </c>
      <c r="AB6" s="11">
        <f>SUMIFS(Data[Revenue],Data[Region],Region,Data[Month],PrevMonth,Data[Year],PMYear,Data[Product Name],Z6)</f>
        <v>0</v>
      </c>
      <c r="AC6" s="2">
        <f t="shared" si="8"/>
        <v>249.75</v>
      </c>
      <c r="AD6">
        <f t="shared" si="9"/>
        <v>9</v>
      </c>
      <c r="AE6">
        <f t="shared" si="10"/>
        <v>26</v>
      </c>
      <c r="AG6">
        <v>4</v>
      </c>
      <c r="AH6" t="str">
        <f t="shared" si="11"/>
        <v>Action Figure</v>
      </c>
      <c r="AI6" s="11">
        <f t="shared" si="11"/>
        <v>1662.96</v>
      </c>
      <c r="AJ6" s="11">
        <f t="shared" si="11"/>
        <v>575.63999999999987</v>
      </c>
    </row>
    <row r="7" spans="1:36" x14ac:dyDescent="0.3">
      <c r="G7">
        <v>5</v>
      </c>
      <c r="H7" s="11">
        <f>SUMIFS(Data[[Revenue]:[Revenue]],Data[[Region]:[Region]],Region,Data[[Month]:[Month]],'Data Prep'!$G7,Data[[Year]:[Year]],'Data Prep'!H$2)</f>
        <v>48602.219999999994</v>
      </c>
      <c r="I7" s="11">
        <f>IF(G7&gt;CurMonth,NA(),SUMIFS(Data[[Revenue]:[Revenue]],Data[[Region]:[Region]],Region,Data[[Month]:[Month]],'Data Prep'!$G7,Data[[Year]:[Year]],I$2))</f>
        <v>66944.169999999984</v>
      </c>
      <c r="J7" s="11" t="e">
        <f t="shared" si="0"/>
        <v>#N/A</v>
      </c>
      <c r="L7" t="s">
        <v>53</v>
      </c>
      <c r="M7" s="11">
        <f>SUMIFS(Data[Revenue],Data[Store Name],L7,Data[Month],CurMonth,Data[Year],CurYear)</f>
        <v>17505.330000000002</v>
      </c>
      <c r="N7" s="11">
        <f>SUMIFS(Data[Revenue],Data[Store Name],L7,Data[Month],PrevMonth,Data[Year],PMYear)</f>
        <v>17049.52</v>
      </c>
      <c r="O7" s="10">
        <f t="shared" si="1"/>
        <v>2.6734476982343214E-2</v>
      </c>
      <c r="P7">
        <f t="shared" si="7"/>
        <v>6</v>
      </c>
      <c r="R7">
        <v>5</v>
      </c>
      <c r="S7" t="str">
        <f t="shared" si="2"/>
        <v>Fifth Avenue</v>
      </c>
      <c r="T7" t="str">
        <f>VLOOKUP(S7,Data[[Store Name]:[Region]],2,0)</f>
        <v>New York</v>
      </c>
      <c r="U7" s="11">
        <f t="shared" si="3"/>
        <v>16255.230000000001</v>
      </c>
      <c r="V7" s="10">
        <f t="shared" si="3"/>
        <v>-0.13607835613264074</v>
      </c>
      <c r="W7" s="3">
        <f t="shared" si="4"/>
        <v>0</v>
      </c>
      <c r="X7" s="10">
        <f t="shared" si="5"/>
        <v>0</v>
      </c>
      <c r="Z7" t="s">
        <v>20</v>
      </c>
      <c r="AA7" s="11">
        <f>SUMIFS(Data[Revenue],Data[Region],Region,Data[Month],CurMonth,Data[Year],CurYear,Data[Product Name],Z7)</f>
        <v>4467.0200000000004</v>
      </c>
      <c r="AB7" s="11">
        <f>SUMIFS(Data[Revenue],Data[Region],Region,Data[Month],PrevMonth,Data[Year],PMYear,Data[Product Name],Z7)</f>
        <v>4377.08</v>
      </c>
      <c r="AC7" s="2">
        <f t="shared" si="8"/>
        <v>89.940000000000509</v>
      </c>
      <c r="AD7">
        <f t="shared" si="9"/>
        <v>13</v>
      </c>
      <c r="AE7">
        <f t="shared" si="10"/>
        <v>22</v>
      </c>
      <c r="AG7">
        <v>5</v>
      </c>
      <c r="AH7" t="str">
        <f t="shared" si="11"/>
        <v>Splash Balls</v>
      </c>
      <c r="AI7" s="11">
        <f t="shared" si="11"/>
        <v>836.07</v>
      </c>
      <c r="AJ7" s="11">
        <f t="shared" si="11"/>
        <v>440.51000000000005</v>
      </c>
    </row>
    <row r="8" spans="1:36" x14ac:dyDescent="0.3">
      <c r="A8" s="7" t="s">
        <v>78</v>
      </c>
      <c r="B8" s="7"/>
      <c r="G8">
        <v>6</v>
      </c>
      <c r="H8" s="11">
        <f>SUMIFS(Data[[Revenue]:[Revenue]],Data[[Region]:[Region]],Region,Data[[Month]:[Month]],'Data Prep'!$G8,Data[[Year]:[Year]],'Data Prep'!H$2)</f>
        <v>42487.139999999992</v>
      </c>
      <c r="I8" s="11">
        <f>IF(G8&gt;CurMonth,NA(),SUMIFS(Data[[Revenue]:[Revenue]],Data[[Region]:[Region]],Region,Data[[Month]:[Month]],'Data Prep'!$G8,Data[[Year]:[Year]],I$2))</f>
        <v>46196.220000000008</v>
      </c>
      <c r="J8" s="11" t="e">
        <f t="shared" si="0"/>
        <v>#N/A</v>
      </c>
      <c r="L8" t="s">
        <v>58</v>
      </c>
      <c r="M8" s="11">
        <f>SUMIFS(Data[Revenue],Data[Store Name],L8,Data[Month],CurMonth,Data[Year],CurYear)</f>
        <v>16255.230000000001</v>
      </c>
      <c r="N8" s="11">
        <f>SUMIFS(Data[Revenue],Data[Store Name],L8,Data[Month],PrevMonth,Data[Year],PMYear)</f>
        <v>18815.63</v>
      </c>
      <c r="O8" s="10">
        <f t="shared" si="1"/>
        <v>-0.13607835613264074</v>
      </c>
      <c r="P8">
        <f t="shared" si="7"/>
        <v>5</v>
      </c>
      <c r="R8">
        <v>6</v>
      </c>
      <c r="S8" t="str">
        <f t="shared" si="2"/>
        <v>Lincoln Park</v>
      </c>
      <c r="T8" t="str">
        <f>VLOOKUP(S8,Data[[Store Name]:[Region]],2,0)</f>
        <v>Chicago</v>
      </c>
      <c r="U8" s="11">
        <f t="shared" si="3"/>
        <v>17505.330000000002</v>
      </c>
      <c r="V8" s="10">
        <f t="shared" si="3"/>
        <v>2.6734476982343214E-2</v>
      </c>
      <c r="W8" s="3">
        <f t="shared" si="4"/>
        <v>0</v>
      </c>
      <c r="X8" s="10">
        <f t="shared" si="5"/>
        <v>0</v>
      </c>
      <c r="Z8" t="s">
        <v>25</v>
      </c>
      <c r="AA8" s="11">
        <f>SUMIFS(Data[Revenue],Data[Region],Region,Data[Month],CurMonth,Data[Year],CurYear,Data[Product Name],Z8)</f>
        <v>575.64</v>
      </c>
      <c r="AB8" s="11">
        <f>SUMIFS(Data[Revenue],Data[Region],Region,Data[Month],PrevMonth,Data[Year],PMYear,Data[Product Name],Z8)</f>
        <v>1263.21</v>
      </c>
      <c r="AC8" s="2">
        <f t="shared" si="8"/>
        <v>-687.57</v>
      </c>
      <c r="AD8">
        <f t="shared" si="9"/>
        <v>31</v>
      </c>
      <c r="AE8">
        <f t="shared" si="10"/>
        <v>4</v>
      </c>
      <c r="AG8">
        <v>6</v>
      </c>
      <c r="AH8" t="str">
        <f t="shared" si="11"/>
        <v>PlayDoh Toolkit</v>
      </c>
      <c r="AI8" s="11">
        <f t="shared" si="11"/>
        <v>469.06</v>
      </c>
      <c r="AJ8" s="11">
        <f t="shared" si="11"/>
        <v>439.12</v>
      </c>
    </row>
    <row r="9" spans="1:36" x14ac:dyDescent="0.3">
      <c r="A9" s="8" t="s">
        <v>79</v>
      </c>
      <c r="B9" s="9">
        <f>MAX(Data[Year])</f>
        <v>2021</v>
      </c>
      <c r="G9">
        <v>7</v>
      </c>
      <c r="H9" s="11">
        <f>SUMIFS(Data[[Revenue]:[Revenue]],Data[[Region]:[Region]],Region,Data[[Month]:[Month]],'Data Prep'!$G9,Data[[Year]:[Year]],'Data Prep'!H$2)</f>
        <v>44643.76</v>
      </c>
      <c r="I9" s="11">
        <f>IF(G9&gt;CurMonth,NA(),SUMIFS(Data[[Revenue]:[Revenue]],Data[[Region]:[Region]],Region,Data[[Month]:[Month]],'Data Prep'!$G9,Data[[Year]:[Year]],I$2))</f>
        <v>59782.98000000001</v>
      </c>
      <c r="J9" s="11" t="e">
        <f t="shared" si="0"/>
        <v>#N/A</v>
      </c>
      <c r="L9" t="s">
        <v>62</v>
      </c>
      <c r="M9" s="11">
        <f>SUMIFS(Data[Revenue],Data[Store Name],L9,Data[Month],CurMonth,Data[Year],CurYear)</f>
        <v>20484.010000000002</v>
      </c>
      <c r="N9" s="11">
        <f>SUMIFS(Data[Revenue],Data[Store Name],L9,Data[Month],PrevMonth,Data[Year],PMYear)</f>
        <v>17895.43</v>
      </c>
      <c r="O9" s="10">
        <f t="shared" si="1"/>
        <v>0.14465033810308014</v>
      </c>
      <c r="P9">
        <f t="shared" si="7"/>
        <v>10</v>
      </c>
      <c r="R9">
        <v>7</v>
      </c>
      <c r="S9" t="str">
        <f t="shared" si="2"/>
        <v>LAX</v>
      </c>
      <c r="T9" t="str">
        <f>VLOOKUP(S9,Data[[Store Name]:[Region]],2,0)</f>
        <v>Los Angeles</v>
      </c>
      <c r="U9" s="11">
        <f t="shared" si="3"/>
        <v>18171.759999999995</v>
      </c>
      <c r="V9" s="10">
        <f t="shared" si="3"/>
        <v>-0.17099256839675403</v>
      </c>
      <c r="W9" s="3">
        <f t="shared" si="4"/>
        <v>18171.759999999995</v>
      </c>
      <c r="X9" s="10">
        <f t="shared" si="5"/>
        <v>-0.17099256839675403</v>
      </c>
      <c r="Z9" t="s">
        <v>8</v>
      </c>
      <c r="AA9" s="11">
        <f>SUMIFS(Data[Revenue],Data[Region],Region,Data[Month],CurMonth,Data[Year],CurYear,Data[Product Name],Z9)</f>
        <v>2334.66</v>
      </c>
      <c r="AB9" s="11">
        <f>SUMIFS(Data[Revenue],Data[Region],Region,Data[Month],PrevMonth,Data[Year],PMYear,Data[Product Name],Z9)</f>
        <v>2006.13</v>
      </c>
      <c r="AC9" s="2">
        <f t="shared" si="8"/>
        <v>328.52999999999975</v>
      </c>
      <c r="AD9">
        <f t="shared" si="9"/>
        <v>8</v>
      </c>
      <c r="AE9">
        <f t="shared" si="10"/>
        <v>27</v>
      </c>
      <c r="AG9">
        <v>7</v>
      </c>
      <c r="AH9" t="str">
        <f t="shared" si="11"/>
        <v>Lego Bricks</v>
      </c>
      <c r="AI9" s="11">
        <f t="shared" si="11"/>
        <v>4918.7700000000004</v>
      </c>
      <c r="AJ9" s="11">
        <f t="shared" si="11"/>
        <v>399.90000000000055</v>
      </c>
    </row>
    <row r="10" spans="1:36" x14ac:dyDescent="0.3">
      <c r="A10" s="8" t="s">
        <v>80</v>
      </c>
      <c r="B10" s="9">
        <f>_xlfn.MAXIFS(Data[Month],Data[Year],CurYear)</f>
        <v>9</v>
      </c>
      <c r="G10">
        <v>8</v>
      </c>
      <c r="H10" s="11">
        <f>SUMIFS(Data[[Revenue]:[Revenue]],Data[[Region]:[Region]],Region,Data[[Month]:[Month]],'Data Prep'!$G10,Data[[Year]:[Year]],'Data Prep'!H$2)</f>
        <v>36202.770000000004</v>
      </c>
      <c r="I10" s="11">
        <f>IF(G10&gt;CurMonth,NA(),SUMIFS(Data[[Revenue]:[Revenue]],Data[[Region]:[Region]],Region,Data[[Month]:[Month]],'Data Prep'!$G10,Data[[Year]:[Year]],I$2))</f>
        <v>41270.179999999986</v>
      </c>
      <c r="J10" s="11" t="e">
        <f t="shared" si="0"/>
        <v>#N/A</v>
      </c>
      <c r="L10" t="s">
        <v>60</v>
      </c>
      <c r="M10" s="11">
        <f>SUMIFS(Data[Revenue],Data[Store Name],L10,Data[Month],CurMonth,Data[Year],CurYear)</f>
        <v>13879.13</v>
      </c>
      <c r="N10" s="11">
        <f>SUMIFS(Data[Revenue],Data[Store Name],L10,Data[Month],PrevMonth,Data[Year],PMYear)</f>
        <v>13127.479999999996</v>
      </c>
      <c r="O10" s="10">
        <f t="shared" si="1"/>
        <v>5.7257752439920262E-2</v>
      </c>
      <c r="P10">
        <f t="shared" si="7"/>
        <v>3</v>
      </c>
      <c r="R10">
        <v>8</v>
      </c>
      <c r="S10" t="str">
        <f t="shared" si="2"/>
        <v>O'Hare</v>
      </c>
      <c r="T10" t="str">
        <f>VLOOKUP(S10,Data[[Store Name]:[Region]],2,0)</f>
        <v>Chicago</v>
      </c>
      <c r="U10" s="11">
        <f t="shared" si="3"/>
        <v>18237.980000000003</v>
      </c>
      <c r="V10" s="10">
        <f t="shared" si="3"/>
        <v>-0.3315731431233282</v>
      </c>
      <c r="W10" s="3">
        <f t="shared" si="4"/>
        <v>0</v>
      </c>
      <c r="X10" s="10">
        <f t="shared" si="5"/>
        <v>0</v>
      </c>
      <c r="Z10" t="s">
        <v>17</v>
      </c>
      <c r="AA10" s="11">
        <f>SUMIFS(Data[Revenue],Data[Region],Region,Data[Month],CurMonth,Data[Year],CurYear,Data[Product Name],Z10)</f>
        <v>2659.58</v>
      </c>
      <c r="AB10" s="11">
        <f>SUMIFS(Data[Revenue],Data[Region],Region,Data[Month],PrevMonth,Data[Year],PMYear,Data[Product Name],Z10)</f>
        <v>3901.45</v>
      </c>
      <c r="AC10" s="2">
        <f t="shared" si="8"/>
        <v>-1241.8699999999999</v>
      </c>
      <c r="AD10">
        <f t="shared" si="9"/>
        <v>33</v>
      </c>
      <c r="AE10">
        <f t="shared" si="10"/>
        <v>2</v>
      </c>
      <c r="AG10" s="12" t="s">
        <v>104</v>
      </c>
      <c r="AH10" s="12"/>
      <c r="AI10" s="12"/>
      <c r="AJ10" s="12"/>
    </row>
    <row r="11" spans="1:36" x14ac:dyDescent="0.3">
      <c r="A11" s="8" t="s">
        <v>81</v>
      </c>
      <c r="B11" s="9">
        <f>CurYear-1</f>
        <v>2020</v>
      </c>
      <c r="G11">
        <v>9</v>
      </c>
      <c r="H11" s="11">
        <f>SUMIFS(Data[[Revenue]:[Revenue]],Data[[Region]:[Region]],Region,Data[[Month]:[Month]],'Data Prep'!$G11,Data[[Year]:[Year]],'Data Prep'!H$2)</f>
        <v>34881.53</v>
      </c>
      <c r="I11" s="11">
        <f>IF(G11&gt;CurMonth,NA(),SUMIFS(Data[[Revenue]:[Revenue]],Data[[Region]:[Region]],Region,Data[[Month]:[Month]],'Data Prep'!$G11,Data[[Year]:[Year]],I$2))</f>
        <v>44041.12999999999</v>
      </c>
      <c r="J11" s="11">
        <f t="shared" si="0"/>
        <v>44041.12999999999</v>
      </c>
      <c r="L11" t="s">
        <v>61</v>
      </c>
      <c r="M11" s="11">
        <f>SUMIFS(Data[Revenue],Data[Store Name],L11,Data[Month],CurMonth,Data[Year],CurYear)</f>
        <v>18171.759999999995</v>
      </c>
      <c r="N11" s="11">
        <f>SUMIFS(Data[Revenue],Data[Store Name],L11,Data[Month],PrevMonth,Data[Year],PMYear)</f>
        <v>21919.900000000005</v>
      </c>
      <c r="O11" s="10">
        <f t="shared" si="1"/>
        <v>-0.17099256839675403</v>
      </c>
      <c r="P11">
        <f t="shared" si="7"/>
        <v>7</v>
      </c>
      <c r="R11">
        <v>9</v>
      </c>
      <c r="S11" t="str">
        <f t="shared" si="2"/>
        <v>Millenium</v>
      </c>
      <c r="T11" t="str">
        <f>VLOOKUP(S11,Data[[Store Name]:[Region]],2,0)</f>
        <v>Chicago</v>
      </c>
      <c r="U11" s="11">
        <f t="shared" si="3"/>
        <v>18238.46</v>
      </c>
      <c r="V11" s="10">
        <f t="shared" si="3"/>
        <v>0.18953874088693379</v>
      </c>
      <c r="W11" s="3">
        <f t="shared" si="4"/>
        <v>0</v>
      </c>
      <c r="X11" s="10">
        <f t="shared" si="5"/>
        <v>0</v>
      </c>
      <c r="Z11" t="s">
        <v>28</v>
      </c>
      <c r="AA11" s="11">
        <f>SUMIFS(Data[Revenue],Data[Region],Region,Data[Month],CurMonth,Data[Year],CurYear,Data[Product Name],Z11)</f>
        <v>1424.05</v>
      </c>
      <c r="AB11" s="11">
        <f>SUMIFS(Data[Revenue],Data[Region],Region,Data[Month],PrevMonth,Data[Year],PMYear,Data[Product Name],Z11)</f>
        <v>1469.02</v>
      </c>
      <c r="AC11" s="2">
        <f t="shared" si="8"/>
        <v>-44.970000000000027</v>
      </c>
      <c r="AD11">
        <f t="shared" si="9"/>
        <v>22</v>
      </c>
      <c r="AE11">
        <f t="shared" si="10"/>
        <v>13</v>
      </c>
      <c r="AG11" s="13" t="s">
        <v>103</v>
      </c>
      <c r="AH11" s="13" t="s">
        <v>98</v>
      </c>
      <c r="AI11" s="13" t="s">
        <v>46</v>
      </c>
      <c r="AJ11" s="13" t="s">
        <v>99</v>
      </c>
    </row>
    <row r="12" spans="1:36" x14ac:dyDescent="0.3">
      <c r="A12" s="8" t="s">
        <v>82</v>
      </c>
      <c r="B12" s="9">
        <f>IF(CurMonth=1,12,CurMonth-1)</f>
        <v>8</v>
      </c>
      <c r="G12">
        <v>10</v>
      </c>
      <c r="H12" s="11">
        <f>SUMIFS(Data[[Revenue]:[Revenue]],Data[[Region]:[Region]],Region,Data[[Month]:[Month]],'Data Prep'!$G12,Data[[Year]:[Year]],'Data Prep'!H$2)</f>
        <v>43505.939999999995</v>
      </c>
      <c r="I12" s="11" t="e">
        <f>IF(G12&gt;CurMonth,NA(),SUMIFS(Data[[Revenue]:[Revenue]],Data[[Region]:[Region]],Region,Data[[Month]:[Month]],'Data Prep'!$G12,Data[[Year]:[Year]],I$2))</f>
        <v>#N/A</v>
      </c>
      <c r="J12" s="11" t="e">
        <f t="shared" si="0"/>
        <v>#N/A</v>
      </c>
      <c r="L12" t="s">
        <v>57</v>
      </c>
      <c r="M12" s="11">
        <f>SUMIFS(Data[Revenue],Data[Store Name],L12,Data[Month],CurMonth,Data[Year],CurYear)</f>
        <v>18237.980000000003</v>
      </c>
      <c r="N12" s="11">
        <f>SUMIFS(Data[Revenue],Data[Store Name],L12,Data[Month],PrevMonth,Data[Year],PMYear)</f>
        <v>27284.929999999993</v>
      </c>
      <c r="O12" s="10">
        <f t="shared" si="1"/>
        <v>-0.3315731431233282</v>
      </c>
      <c r="P12">
        <f t="shared" si="7"/>
        <v>8</v>
      </c>
      <c r="R12">
        <v>10</v>
      </c>
      <c r="S12" t="str">
        <f t="shared" si="2"/>
        <v>Times Square</v>
      </c>
      <c r="T12" t="str">
        <f>VLOOKUP(S12,Data[[Store Name]:[Region]],2,0)</f>
        <v>New York</v>
      </c>
      <c r="U12" s="11">
        <f t="shared" si="3"/>
        <v>20484.010000000002</v>
      </c>
      <c r="V12" s="10">
        <f t="shared" si="3"/>
        <v>0.14465033810308014</v>
      </c>
      <c r="W12" s="3">
        <f t="shared" si="4"/>
        <v>0</v>
      </c>
      <c r="X12" s="10">
        <f t="shared" si="5"/>
        <v>0</v>
      </c>
      <c r="Z12" t="s">
        <v>32</v>
      </c>
      <c r="AA12" s="11">
        <f>SUMIFS(Data[Revenue],Data[Region],Region,Data[Month],CurMonth,Data[Year],CurYear,Data[Product Name],Z12)</f>
        <v>1329.79</v>
      </c>
      <c r="AB12" s="11">
        <f>SUMIFS(Data[Revenue],Data[Region],Region,Data[Month],PrevMonth,Data[Year],PMYear,Data[Product Name],Z12)</f>
        <v>714.34999999999991</v>
      </c>
      <c r="AC12" s="2">
        <f t="shared" si="8"/>
        <v>615.44000000000005</v>
      </c>
      <c r="AD12">
        <f t="shared" si="9"/>
        <v>3</v>
      </c>
      <c r="AE12">
        <f t="shared" si="10"/>
        <v>32</v>
      </c>
      <c r="AG12">
        <v>1</v>
      </c>
      <c r="AH12" t="str">
        <f>INDEX($Z$3:$AC$36,MATCH($AG12,$AE$3:$AE$36,0),MATCH(AH$11,$Z$2:$AC$2,0))</f>
        <v>Rubik's Cube</v>
      </c>
      <c r="AI12" s="11">
        <f t="shared" ref="AI12:AJ12" si="12">INDEX($Z$3:$AC$36,MATCH($AG12,$AE$3:$AE$36,0),MATCH(AI$11,$Z$2:$AC$2,0))</f>
        <v>1479.2599999999998</v>
      </c>
      <c r="AJ12" s="11">
        <f t="shared" si="12"/>
        <v>-2598.6999999999998</v>
      </c>
    </row>
    <row r="13" spans="1:36" x14ac:dyDescent="0.3">
      <c r="A13" s="8" t="s">
        <v>87</v>
      </c>
      <c r="B13" s="9">
        <f>IF(CurMonth = 1, PrevYear,CurYear)</f>
        <v>2021</v>
      </c>
      <c r="G13">
        <v>11</v>
      </c>
      <c r="H13" s="11">
        <f>SUMIFS(Data[[Revenue]:[Revenue]],Data[[Region]:[Region]],Region,Data[[Month]:[Month]],'Data Prep'!$G13,Data[[Year]:[Year]],'Data Prep'!H$2)</f>
        <v>43677.41</v>
      </c>
      <c r="I13" s="11" t="e">
        <f>IF(G13&gt;CurMonth,NA(),SUMIFS(Data[[Revenue]:[Revenue]],Data[[Region]:[Region]],Region,Data[[Month]:[Month]],'Data Prep'!$G13,Data[[Year]:[Year]],I$2))</f>
        <v>#N/A</v>
      </c>
      <c r="J13" s="11" t="e">
        <f t="shared" si="0"/>
        <v>#N/A</v>
      </c>
      <c r="Z13" t="s">
        <v>31</v>
      </c>
      <c r="AA13" s="11">
        <f>SUMIFS(Data[Revenue],Data[Region],Region,Data[Month],CurMonth,Data[Year],CurYear,Data[Product Name],Z13)</f>
        <v>1019.4899999999999</v>
      </c>
      <c r="AB13" s="11">
        <f>SUMIFS(Data[Revenue],Data[Region],Region,Data[Month],PrevMonth,Data[Year],PMYear,Data[Product Name],Z13)</f>
        <v>919.54</v>
      </c>
      <c r="AC13" s="2">
        <f t="shared" si="8"/>
        <v>99.949999999999932</v>
      </c>
      <c r="AD13">
        <f t="shared" si="9"/>
        <v>11</v>
      </c>
      <c r="AE13">
        <f t="shared" si="10"/>
        <v>24</v>
      </c>
      <c r="AG13">
        <v>2</v>
      </c>
      <c r="AH13" t="str">
        <f t="shared" ref="AH13:AJ18" si="13">INDEX($Z$3:$AC$36,MATCH($AG13,$AE$3:$AE$36,0),MATCH(AH$11,$Z$2:$AC$2,0))</f>
        <v>Dino Egg</v>
      </c>
      <c r="AI13" s="11">
        <f t="shared" si="13"/>
        <v>2659.58</v>
      </c>
      <c r="AJ13" s="11">
        <f t="shared" si="13"/>
        <v>-1241.8699999999999</v>
      </c>
    </row>
    <row r="14" spans="1:36" x14ac:dyDescent="0.3">
      <c r="A14" s="8" t="s">
        <v>109</v>
      </c>
      <c r="B14" t="str">
        <f>VLOOKUP(CurMonth,A17:B29,2,0)&amp;" "&amp;CurYear&amp;" "&amp;"?"</f>
        <v>September 2021 ?</v>
      </c>
      <c r="G14">
        <v>12</v>
      </c>
      <c r="H14" s="11">
        <f>SUMIFS(Data[[Revenue]:[Revenue]],Data[[Region]:[Region]],Region,Data[[Month]:[Month]],'Data Prep'!$G14,Data[[Year]:[Year]],'Data Prep'!H$2)</f>
        <v>61614.720000000001</v>
      </c>
      <c r="I14" s="11" t="e">
        <f>IF(G14&gt;CurMonth,NA(),SUMIFS(Data[[Revenue]:[Revenue]],Data[[Region]:[Region]],Region,Data[[Month]:[Month]],'Data Prep'!$G14,Data[[Year]:[Year]],I$2))</f>
        <v>#N/A</v>
      </c>
      <c r="J14" s="11" t="e">
        <f t="shared" si="0"/>
        <v>#N/A</v>
      </c>
      <c r="Z14" t="s">
        <v>15</v>
      </c>
      <c r="AA14" s="11">
        <f>SUMIFS(Data[Revenue],Data[Region],Region,Data[Month],CurMonth,Data[Year],CurYear,Data[Product Name],Z14)</f>
        <v>4918.7700000000004</v>
      </c>
      <c r="AB14" s="11">
        <f>SUMIFS(Data[Revenue],Data[Region],Region,Data[Month],PrevMonth,Data[Year],PMYear,Data[Product Name],Z14)</f>
        <v>4518.87</v>
      </c>
      <c r="AC14" s="2">
        <f t="shared" si="8"/>
        <v>399.90000000000055</v>
      </c>
      <c r="AD14">
        <f t="shared" si="9"/>
        <v>7</v>
      </c>
      <c r="AE14">
        <f t="shared" si="10"/>
        <v>28</v>
      </c>
      <c r="AG14">
        <v>3</v>
      </c>
      <c r="AH14" t="str">
        <f t="shared" si="13"/>
        <v>Animal Figures</v>
      </c>
      <c r="AI14" s="11">
        <f t="shared" si="13"/>
        <v>1675.71</v>
      </c>
      <c r="AJ14" s="11">
        <f t="shared" si="13"/>
        <v>-1130.1300000000001</v>
      </c>
    </row>
    <row r="15" spans="1:36" x14ac:dyDescent="0.3">
      <c r="Z15" t="s">
        <v>71</v>
      </c>
      <c r="AA15" s="11">
        <f>SUMIFS(Data[Revenue],Data[Region],Region,Data[Month],CurMonth,Data[Year],CurYear,Data[Product Name],Z15)</f>
        <v>0</v>
      </c>
      <c r="AB15" s="11">
        <f>SUMIFS(Data[Revenue],Data[Region],Region,Data[Month],PrevMonth,Data[Year],PMYear,Data[Product Name],Z15)</f>
        <v>0</v>
      </c>
      <c r="AC15" s="2">
        <f t="shared" si="8"/>
        <v>0</v>
      </c>
      <c r="AD15">
        <f t="shared" si="9"/>
        <v>18</v>
      </c>
      <c r="AE15">
        <f t="shared" si="10"/>
        <v>17</v>
      </c>
      <c r="AG15">
        <v>4</v>
      </c>
      <c r="AH15" t="str">
        <f t="shared" si="13"/>
        <v>Dart Gun</v>
      </c>
      <c r="AI15" s="11">
        <f t="shared" si="13"/>
        <v>575.64</v>
      </c>
      <c r="AJ15" s="11">
        <f t="shared" si="13"/>
        <v>-687.57</v>
      </c>
    </row>
    <row r="16" spans="1:36" x14ac:dyDescent="0.3">
      <c r="Z16" t="s">
        <v>19</v>
      </c>
      <c r="AA16" s="11">
        <f>SUMIFS(Data[Revenue],Data[Region],Region,Data[Month],CurMonth,Data[Year],CurYear,Data[Product Name],Z16)</f>
        <v>179.91</v>
      </c>
      <c r="AB16" s="11">
        <f>SUMIFS(Data[Revenue],Data[Region],Region,Data[Month],PrevMonth,Data[Year],PMYear,Data[Product Name],Z16)</f>
        <v>359.82</v>
      </c>
      <c r="AC16" s="2">
        <f t="shared" si="8"/>
        <v>-179.91</v>
      </c>
      <c r="AD16">
        <f t="shared" si="9"/>
        <v>25</v>
      </c>
      <c r="AE16">
        <f t="shared" si="10"/>
        <v>10</v>
      </c>
      <c r="AG16">
        <v>5</v>
      </c>
      <c r="AH16" t="str">
        <f t="shared" si="13"/>
        <v>Nerf Gun</v>
      </c>
      <c r="AI16" s="11">
        <f t="shared" si="13"/>
        <v>2018.9899999999998</v>
      </c>
      <c r="AJ16" s="11">
        <f t="shared" si="13"/>
        <v>-479.75999999999976</v>
      </c>
    </row>
    <row r="17" spans="1:36" x14ac:dyDescent="0.3">
      <c r="A17" s="22" t="s">
        <v>122</v>
      </c>
      <c r="B17" s="23" t="s">
        <v>49</v>
      </c>
      <c r="Z17" t="s">
        <v>27</v>
      </c>
      <c r="AA17" s="11">
        <f>SUMIFS(Data[Revenue],Data[Region],Region,Data[Month],CurMonth,Data[Year],CurYear,Data[Product Name],Z17)</f>
        <v>741.5200000000001</v>
      </c>
      <c r="AB17" s="11">
        <f>SUMIFS(Data[Revenue],Data[Region],Region,Data[Month],PrevMonth,Data[Year],PMYear,Data[Product Name],Z17)</f>
        <v>986.7</v>
      </c>
      <c r="AC17" s="2">
        <f t="shared" si="8"/>
        <v>-245.17999999999995</v>
      </c>
      <c r="AD17">
        <f t="shared" si="9"/>
        <v>26</v>
      </c>
      <c r="AE17">
        <f t="shared" si="10"/>
        <v>9</v>
      </c>
      <c r="AG17">
        <v>6</v>
      </c>
      <c r="AH17" t="str">
        <f t="shared" si="13"/>
        <v>Plush Pony</v>
      </c>
      <c r="AI17" s="11">
        <f t="shared" si="13"/>
        <v>379.80999999999995</v>
      </c>
      <c r="AJ17" s="11">
        <f t="shared" si="13"/>
        <v>-419.78999999999996</v>
      </c>
    </row>
    <row r="18" spans="1:36" x14ac:dyDescent="0.3">
      <c r="A18">
        <v>1</v>
      </c>
      <c r="B18" s="21" t="s">
        <v>110</v>
      </c>
      <c r="Z18" t="s">
        <v>11</v>
      </c>
      <c r="AA18" s="11">
        <f>SUMIFS(Data[Revenue],Data[Region],Region,Data[Month],CurMonth,Data[Year],CurYear,Data[Product Name],Z18)</f>
        <v>469.06</v>
      </c>
      <c r="AB18" s="11">
        <f>SUMIFS(Data[Revenue],Data[Region],Region,Data[Month],PrevMonth,Data[Year],PMYear,Data[Product Name],Z18)</f>
        <v>29.940000000000005</v>
      </c>
      <c r="AC18" s="2">
        <f t="shared" si="8"/>
        <v>439.12</v>
      </c>
      <c r="AD18">
        <f t="shared" si="9"/>
        <v>6</v>
      </c>
      <c r="AE18">
        <f t="shared" si="10"/>
        <v>29</v>
      </c>
      <c r="AG18">
        <v>7</v>
      </c>
      <c r="AH18" t="str">
        <f t="shared" si="13"/>
        <v>PlayDoh Playset</v>
      </c>
      <c r="AI18" s="11">
        <f t="shared" si="13"/>
        <v>174.92999999999998</v>
      </c>
      <c r="AJ18" s="11">
        <f t="shared" si="13"/>
        <v>-399.84000000000003</v>
      </c>
    </row>
    <row r="19" spans="1:36" x14ac:dyDescent="0.3">
      <c r="A19">
        <v>2</v>
      </c>
      <c r="B19" s="21" t="s">
        <v>111</v>
      </c>
      <c r="Z19" t="s">
        <v>26</v>
      </c>
      <c r="AA19" s="11">
        <f>SUMIFS(Data[Revenue],Data[Region],Region,Data[Month],CurMonth,Data[Year],CurYear,Data[Product Name],Z19)</f>
        <v>1479.2599999999998</v>
      </c>
      <c r="AB19" s="11">
        <f>SUMIFS(Data[Revenue],Data[Region],Region,Data[Month],PrevMonth,Data[Year],PMYear,Data[Product Name],Z19)</f>
        <v>4077.9599999999996</v>
      </c>
      <c r="AC19" s="2">
        <f t="shared" si="8"/>
        <v>-2598.6999999999998</v>
      </c>
      <c r="AD19">
        <f t="shared" si="9"/>
        <v>34</v>
      </c>
      <c r="AE19">
        <f t="shared" si="10"/>
        <v>1</v>
      </c>
    </row>
    <row r="20" spans="1:36" x14ac:dyDescent="0.3">
      <c r="A20">
        <v>3</v>
      </c>
      <c r="B20" s="21" t="s">
        <v>112</v>
      </c>
      <c r="Z20" t="s">
        <v>6</v>
      </c>
      <c r="AA20" s="11">
        <f>SUMIFS(Data[Revenue],Data[Region],Region,Data[Month],CurMonth,Data[Year],CurYear,Data[Product Name],Z20)</f>
        <v>836.07</v>
      </c>
      <c r="AB20" s="11">
        <f>SUMIFS(Data[Revenue],Data[Region],Region,Data[Month],PrevMonth,Data[Year],PMYear,Data[Product Name],Z20)</f>
        <v>395.56</v>
      </c>
      <c r="AC20" s="2">
        <f t="shared" si="8"/>
        <v>440.51000000000005</v>
      </c>
      <c r="AD20">
        <f t="shared" si="9"/>
        <v>5</v>
      </c>
      <c r="AE20">
        <f t="shared" si="10"/>
        <v>30</v>
      </c>
    </row>
    <row r="21" spans="1:36" x14ac:dyDescent="0.3">
      <c r="A21">
        <v>4</v>
      </c>
      <c r="B21" s="21" t="s">
        <v>113</v>
      </c>
      <c r="Z21" t="s">
        <v>16</v>
      </c>
      <c r="AA21" s="11">
        <f>SUMIFS(Data[Revenue],Data[Region],Region,Data[Month],CurMonth,Data[Year],CurYear,Data[Product Name],Z21)</f>
        <v>194.85</v>
      </c>
      <c r="AB21" s="11">
        <f>SUMIFS(Data[Revenue],Data[Region],Region,Data[Month],PrevMonth,Data[Year],PMYear,Data[Product Name],Z21)</f>
        <v>142.88999999999999</v>
      </c>
      <c r="AC21" s="2">
        <f t="shared" si="8"/>
        <v>51.960000000000008</v>
      </c>
      <c r="AD21">
        <f t="shared" si="9"/>
        <v>14</v>
      </c>
      <c r="AE21">
        <f t="shared" si="10"/>
        <v>21</v>
      </c>
    </row>
    <row r="22" spans="1:36" x14ac:dyDescent="0.3">
      <c r="A22">
        <v>5</v>
      </c>
      <c r="B22" s="21" t="s">
        <v>114</v>
      </c>
      <c r="Z22" t="s">
        <v>23</v>
      </c>
      <c r="AA22" s="11">
        <f>SUMIFS(Data[Revenue],Data[Region],Region,Data[Month],CurMonth,Data[Year],CurYear,Data[Product Name],Z22)</f>
        <v>1533.4099999999999</v>
      </c>
      <c r="AB22" s="11">
        <f>SUMIFS(Data[Revenue],Data[Region],Region,Data[Month],PrevMonth,Data[Year],PMYear,Data[Product Name],Z22)</f>
        <v>0</v>
      </c>
      <c r="AC22" s="2">
        <f t="shared" si="8"/>
        <v>1533.4099999999999</v>
      </c>
      <c r="AD22">
        <f t="shared" si="9"/>
        <v>2</v>
      </c>
      <c r="AE22">
        <f t="shared" si="10"/>
        <v>33</v>
      </c>
    </row>
    <row r="23" spans="1:36" x14ac:dyDescent="0.3">
      <c r="A23">
        <v>6</v>
      </c>
      <c r="B23" s="21" t="s">
        <v>115</v>
      </c>
      <c r="Z23" t="s">
        <v>10</v>
      </c>
      <c r="AA23" s="11">
        <f>SUMIFS(Data[Revenue],Data[Region],Region,Data[Month],CurMonth,Data[Year],CurYear,Data[Product Name],Z23)</f>
        <v>2018.9899999999998</v>
      </c>
      <c r="AB23" s="11">
        <f>SUMIFS(Data[Revenue],Data[Region],Region,Data[Month],PrevMonth,Data[Year],PMYear,Data[Product Name],Z23)</f>
        <v>2498.7499999999995</v>
      </c>
      <c r="AC23" s="2">
        <f t="shared" si="8"/>
        <v>-479.75999999999976</v>
      </c>
      <c r="AD23">
        <f t="shared" si="9"/>
        <v>30</v>
      </c>
      <c r="AE23">
        <f t="shared" si="10"/>
        <v>5</v>
      </c>
    </row>
    <row r="24" spans="1:36" x14ac:dyDescent="0.3">
      <c r="A24">
        <v>7</v>
      </c>
      <c r="B24" s="21" t="s">
        <v>116</v>
      </c>
      <c r="Z24" t="s">
        <v>66</v>
      </c>
      <c r="AA24" s="11">
        <f>SUMIFS(Data[Revenue],Data[Region],Region,Data[Month],CurMonth,Data[Year],CurYear,Data[Product Name],Z24)</f>
        <v>0</v>
      </c>
      <c r="AB24" s="11">
        <f>SUMIFS(Data[Revenue],Data[Region],Region,Data[Month],PrevMonth,Data[Year],PMYear,Data[Product Name],Z24)</f>
        <v>0</v>
      </c>
      <c r="AC24" s="2">
        <f t="shared" si="8"/>
        <v>0</v>
      </c>
      <c r="AD24">
        <f t="shared" si="9"/>
        <v>18</v>
      </c>
      <c r="AE24">
        <f t="shared" si="10"/>
        <v>17</v>
      </c>
    </row>
    <row r="25" spans="1:36" x14ac:dyDescent="0.3">
      <c r="A25">
        <v>8</v>
      </c>
      <c r="B25" s="21" t="s">
        <v>117</v>
      </c>
      <c r="Z25" t="s">
        <v>29</v>
      </c>
      <c r="AA25" s="11">
        <f>SUMIFS(Data[Revenue],Data[Region],Region,Data[Month],CurMonth,Data[Year],CurYear,Data[Product Name],Z25)</f>
        <v>0</v>
      </c>
      <c r="AB25" s="11">
        <f>SUMIFS(Data[Revenue],Data[Region],Region,Data[Month],PrevMonth,Data[Year],PMYear,Data[Product Name],Z25)</f>
        <v>0</v>
      </c>
      <c r="AC25" s="2">
        <f t="shared" si="8"/>
        <v>0</v>
      </c>
      <c r="AD25">
        <f t="shared" si="9"/>
        <v>18</v>
      </c>
      <c r="AE25">
        <f t="shared" si="10"/>
        <v>17</v>
      </c>
    </row>
    <row r="26" spans="1:36" x14ac:dyDescent="0.3">
      <c r="A26">
        <v>9</v>
      </c>
      <c r="B26" s="21" t="s">
        <v>118</v>
      </c>
      <c r="Z26" t="s">
        <v>34</v>
      </c>
      <c r="AA26" s="11">
        <f>SUMIFS(Data[Revenue],Data[Region],Region,Data[Month],CurMonth,Data[Year],CurYear,Data[Product Name],Z26)</f>
        <v>1049.3700000000001</v>
      </c>
      <c r="AB26" s="11">
        <f>SUMIFS(Data[Revenue],Data[Region],Region,Data[Month],PrevMonth,Data[Year],PMYear,Data[Product Name],Z26)</f>
        <v>957.6</v>
      </c>
      <c r="AC26" s="2">
        <f t="shared" si="8"/>
        <v>91.770000000000095</v>
      </c>
      <c r="AD26">
        <f t="shared" si="9"/>
        <v>12</v>
      </c>
      <c r="AE26">
        <f t="shared" si="10"/>
        <v>23</v>
      </c>
    </row>
    <row r="27" spans="1:36" x14ac:dyDescent="0.3">
      <c r="A27">
        <v>10</v>
      </c>
      <c r="B27" s="21" t="s">
        <v>119</v>
      </c>
      <c r="Z27" t="s">
        <v>70</v>
      </c>
      <c r="AA27" s="11">
        <f>SUMIFS(Data[Revenue],Data[Region],Region,Data[Month],CurMonth,Data[Year],CurYear,Data[Product Name],Z27)</f>
        <v>0</v>
      </c>
      <c r="AB27" s="11">
        <f>SUMIFS(Data[Revenue],Data[Region],Region,Data[Month],PrevMonth,Data[Year],PMYear,Data[Product Name],Z27)</f>
        <v>0</v>
      </c>
      <c r="AC27" s="2">
        <f t="shared" si="8"/>
        <v>0</v>
      </c>
      <c r="AD27">
        <f t="shared" si="9"/>
        <v>18</v>
      </c>
      <c r="AE27">
        <f t="shared" si="10"/>
        <v>17</v>
      </c>
    </row>
    <row r="28" spans="1:36" x14ac:dyDescent="0.3">
      <c r="A28">
        <v>11</v>
      </c>
      <c r="B28" s="21" t="s">
        <v>120</v>
      </c>
      <c r="Z28" t="s">
        <v>67</v>
      </c>
      <c r="AA28" s="11">
        <f>SUMIFS(Data[Revenue],Data[Region],Region,Data[Month],CurMonth,Data[Year],CurYear,Data[Product Name],Z28)</f>
        <v>0</v>
      </c>
      <c r="AB28" s="11">
        <f>SUMIFS(Data[Revenue],Data[Region],Region,Data[Month],PrevMonth,Data[Year],PMYear,Data[Product Name],Z28)</f>
        <v>0</v>
      </c>
      <c r="AC28" s="2">
        <f t="shared" si="8"/>
        <v>0</v>
      </c>
      <c r="AD28">
        <f t="shared" si="9"/>
        <v>18</v>
      </c>
      <c r="AE28">
        <f t="shared" si="10"/>
        <v>17</v>
      </c>
    </row>
    <row r="29" spans="1:36" x14ac:dyDescent="0.3">
      <c r="A29">
        <v>12</v>
      </c>
      <c r="B29" s="21" t="s">
        <v>121</v>
      </c>
      <c r="Z29" t="s">
        <v>37</v>
      </c>
      <c r="AA29" s="11">
        <f>SUMIFS(Data[Revenue],Data[Region],Region,Data[Month],CurMonth,Data[Year],CurYear,Data[Product Name],Z29)</f>
        <v>174.92999999999998</v>
      </c>
      <c r="AB29" s="11">
        <f>SUMIFS(Data[Revenue],Data[Region],Region,Data[Month],PrevMonth,Data[Year],PMYear,Data[Product Name],Z29)</f>
        <v>574.77</v>
      </c>
      <c r="AC29" s="2">
        <f t="shared" si="8"/>
        <v>-399.84000000000003</v>
      </c>
      <c r="AD29">
        <f t="shared" si="9"/>
        <v>28</v>
      </c>
      <c r="AE29">
        <f t="shared" si="10"/>
        <v>7</v>
      </c>
    </row>
    <row r="30" spans="1:36" x14ac:dyDescent="0.3">
      <c r="Z30" t="s">
        <v>38</v>
      </c>
      <c r="AA30" s="11">
        <f>SUMIFS(Data[Revenue],Data[Region],Region,Data[Month],CurMonth,Data[Year],CurYear,Data[Product Name],Z30)</f>
        <v>0</v>
      </c>
      <c r="AB30" s="11">
        <f>SUMIFS(Data[Revenue],Data[Region],Region,Data[Month],PrevMonth,Data[Year],PMYear,Data[Product Name],Z30)</f>
        <v>179.82</v>
      </c>
      <c r="AC30" s="2">
        <f t="shared" si="8"/>
        <v>-179.82</v>
      </c>
      <c r="AD30">
        <f t="shared" si="9"/>
        <v>23.5</v>
      </c>
      <c r="AE30">
        <f t="shared" si="10"/>
        <v>11.5</v>
      </c>
    </row>
    <row r="31" spans="1:36" x14ac:dyDescent="0.3">
      <c r="Z31" t="s">
        <v>39</v>
      </c>
      <c r="AA31" s="11">
        <f>SUMIFS(Data[Revenue],Data[Region],Region,Data[Month],CurMonth,Data[Year],CurYear,Data[Product Name],Z31)</f>
        <v>379.80999999999995</v>
      </c>
      <c r="AB31" s="11">
        <f>SUMIFS(Data[Revenue],Data[Region],Region,Data[Month],PrevMonth,Data[Year],PMYear,Data[Product Name],Z31)</f>
        <v>799.59999999999991</v>
      </c>
      <c r="AC31" s="2">
        <f t="shared" si="8"/>
        <v>-419.78999999999996</v>
      </c>
      <c r="AD31">
        <f t="shared" si="9"/>
        <v>29</v>
      </c>
      <c r="AE31">
        <f t="shared" si="10"/>
        <v>6</v>
      </c>
    </row>
    <row r="32" spans="1:36" x14ac:dyDescent="0.3">
      <c r="Z32" t="s">
        <v>68</v>
      </c>
      <c r="AA32" s="11">
        <f>SUMIFS(Data[Revenue],Data[Region],Region,Data[Month],CurMonth,Data[Year],CurYear,Data[Product Name],Z32)</f>
        <v>0</v>
      </c>
      <c r="AB32" s="11">
        <f>SUMIFS(Data[Revenue],Data[Region],Region,Data[Month],PrevMonth,Data[Year],PMYear,Data[Product Name],Z32)</f>
        <v>0</v>
      </c>
      <c r="AC32" s="2">
        <f t="shared" si="8"/>
        <v>0</v>
      </c>
      <c r="AD32">
        <f t="shared" si="9"/>
        <v>18</v>
      </c>
      <c r="AE32">
        <f t="shared" si="10"/>
        <v>17</v>
      </c>
    </row>
    <row r="33" spans="26:31" x14ac:dyDescent="0.3">
      <c r="Z33" t="s">
        <v>42</v>
      </c>
      <c r="AA33" s="11">
        <f>SUMIFS(Data[Revenue],Data[Region],Region,Data[Month],CurMonth,Data[Year],CurYear,Data[Product Name],Z33)</f>
        <v>6523.92</v>
      </c>
      <c r="AB33" s="11">
        <f>SUMIFS(Data[Revenue],Data[Region],Region,Data[Month],PrevMonth,Data[Year],PMYear,Data[Product Name],Z33)</f>
        <v>3229.9799999999996</v>
      </c>
      <c r="AC33" s="2">
        <f t="shared" si="8"/>
        <v>3293.9400000000005</v>
      </c>
      <c r="AD33">
        <f t="shared" si="9"/>
        <v>1</v>
      </c>
      <c r="AE33">
        <f t="shared" si="10"/>
        <v>34</v>
      </c>
    </row>
    <row r="34" spans="26:31" x14ac:dyDescent="0.3">
      <c r="Z34" t="s">
        <v>41</v>
      </c>
      <c r="AA34" s="11">
        <f>SUMIFS(Data[Revenue],Data[Region],Region,Data[Month],CurMonth,Data[Year],CurYear,Data[Product Name],Z34)</f>
        <v>259.74</v>
      </c>
      <c r="AB34" s="11">
        <f>SUMIFS(Data[Revenue],Data[Region],Region,Data[Month],PrevMonth,Data[Year],PMYear,Data[Product Name],Z34)</f>
        <v>439.56</v>
      </c>
      <c r="AC34" s="2">
        <f t="shared" si="8"/>
        <v>-179.82</v>
      </c>
      <c r="AD34">
        <f t="shared" si="9"/>
        <v>23.5</v>
      </c>
      <c r="AE34">
        <f t="shared" si="10"/>
        <v>11.5</v>
      </c>
    </row>
    <row r="35" spans="26:31" x14ac:dyDescent="0.3">
      <c r="Z35" t="s">
        <v>43</v>
      </c>
      <c r="AA35" s="11">
        <f>SUMIFS(Data[Revenue],Data[Region],Region,Data[Month],CurMonth,Data[Year],CurYear,Data[Product Name],Z35)</f>
        <v>503.76</v>
      </c>
      <c r="AB35" s="11">
        <f>SUMIFS(Data[Revenue],Data[Region],Region,Data[Month],PrevMonth,Data[Year],PMYear,Data[Product Name],Z35)</f>
        <v>902.56999999999994</v>
      </c>
      <c r="AC35" s="2">
        <f t="shared" si="8"/>
        <v>-398.80999999999995</v>
      </c>
      <c r="AD35">
        <f t="shared" si="9"/>
        <v>27</v>
      </c>
      <c r="AE35">
        <f t="shared" si="10"/>
        <v>8</v>
      </c>
    </row>
    <row r="36" spans="26:31" x14ac:dyDescent="0.3">
      <c r="Z36" t="s">
        <v>69</v>
      </c>
      <c r="AA36" s="11">
        <f>SUMIFS(Data[Revenue],Data[Region],Region,Data[Month],CurMonth,Data[Year],CurYear,Data[Product Name],Z36)</f>
        <v>0</v>
      </c>
      <c r="AB36" s="11">
        <f>SUMIFS(Data[Revenue],Data[Region],Region,Data[Month],PrevMonth,Data[Year],PMYear,Data[Product Name],Z36)</f>
        <v>0</v>
      </c>
      <c r="AC36" s="2">
        <f t="shared" si="8"/>
        <v>0</v>
      </c>
      <c r="AD36">
        <f t="shared" si="9"/>
        <v>18</v>
      </c>
      <c r="AE36">
        <f t="shared" si="10"/>
        <v>17</v>
      </c>
    </row>
  </sheetData>
  <sortState xmlns:xlrd2="http://schemas.microsoft.com/office/spreadsheetml/2017/richdata2" ref="L3:O12">
    <sortCondition ref="M2:M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T3:T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4FF4-529D-4A02-BE0E-0406E69FAD84}">
  <dimension ref="B5:T43"/>
  <sheetViews>
    <sheetView showGridLines="0" zoomScale="65" zoomScaleNormal="65" workbookViewId="0">
      <selection activeCell="C5" sqref="C5"/>
    </sheetView>
  </sheetViews>
  <sheetFormatPr defaultRowHeight="14.4" x14ac:dyDescent="0.3"/>
  <cols>
    <col min="1" max="1" width="5.88671875" customWidth="1"/>
    <col min="2" max="2" width="15.88671875" bestFit="1" customWidth="1"/>
    <col min="3" max="3" width="20.5546875" bestFit="1" customWidth="1"/>
    <col min="4" max="4" width="19.77734375" bestFit="1" customWidth="1"/>
    <col min="5" max="5" width="17.77734375" bestFit="1" customWidth="1"/>
    <col min="10" max="10" width="6.77734375" customWidth="1"/>
    <col min="11" max="11" width="8.77734375" hidden="1" customWidth="1"/>
    <col min="12" max="12" width="11.5546875" customWidth="1"/>
    <col min="13" max="13" width="6.21875" customWidth="1"/>
    <col min="14" max="14" width="4.109375" customWidth="1"/>
    <col min="15" max="15" width="1.44140625" customWidth="1"/>
    <col min="16" max="16" width="11.21875" customWidth="1"/>
    <col min="17" max="17" width="19.109375" customWidth="1"/>
    <col min="18" max="18" width="11.5546875" customWidth="1"/>
    <col min="19" max="19" width="19.6640625" customWidth="1"/>
  </cols>
  <sheetData>
    <row r="5" spans="2:20" ht="28.8" x14ac:dyDescent="0.55000000000000004">
      <c r="B5" s="19" t="s">
        <v>107</v>
      </c>
      <c r="C5" s="20" t="s">
        <v>4</v>
      </c>
      <c r="D5" s="19" t="s">
        <v>108</v>
      </c>
      <c r="E5" s="24" t="str">
        <f>'Data Prep'!B14</f>
        <v>September 2021 ?</v>
      </c>
    </row>
    <row r="12" spans="2:20" ht="18" x14ac:dyDescent="0.35">
      <c r="Q12" s="18" t="s">
        <v>98</v>
      </c>
      <c r="R12" s="16" t="s">
        <v>46</v>
      </c>
      <c r="S12" s="16" t="s">
        <v>105</v>
      </c>
      <c r="T12" s="15"/>
    </row>
    <row r="13" spans="2:20" ht="18" x14ac:dyDescent="0.35">
      <c r="Q13" s="15" t="str">
        <f>'Data Prep'!AH3</f>
        <v>Magic Sand</v>
      </c>
      <c r="R13" s="17">
        <f>'Data Prep'!AI3</f>
        <v>6523.92</v>
      </c>
      <c r="S13" s="17">
        <f>'Data Prep'!AJ3</f>
        <v>3293.9400000000005</v>
      </c>
      <c r="T13" s="15"/>
    </row>
    <row r="14" spans="2:20" ht="18" x14ac:dyDescent="0.35">
      <c r="Q14" s="15" t="str">
        <f>'Data Prep'!AH4</f>
        <v>Toy Robot</v>
      </c>
      <c r="R14" s="17">
        <f>'Data Prep'!AI4</f>
        <v>1533.4099999999999</v>
      </c>
      <c r="S14" s="17">
        <f>'Data Prep'!AJ4</f>
        <v>1533.4099999999999</v>
      </c>
      <c r="T14" s="15"/>
    </row>
    <row r="15" spans="2:20" ht="18" x14ac:dyDescent="0.35">
      <c r="Q15" s="15" t="str">
        <f>'Data Prep'!AH5</f>
        <v>Glass Marbles</v>
      </c>
      <c r="R15" s="17">
        <f>'Data Prep'!AI5</f>
        <v>1329.79</v>
      </c>
      <c r="S15" s="17">
        <f>'Data Prep'!AJ5</f>
        <v>615.44000000000005</v>
      </c>
      <c r="T15" s="15"/>
    </row>
    <row r="16" spans="2:20" ht="18" x14ac:dyDescent="0.35">
      <c r="Q16" s="15" t="str">
        <f>'Data Prep'!AH6</f>
        <v>Action Figure</v>
      </c>
      <c r="R16" s="17">
        <f>'Data Prep'!AI6</f>
        <v>1662.96</v>
      </c>
      <c r="S16" s="17">
        <f>'Data Prep'!AJ6</f>
        <v>575.63999999999987</v>
      </c>
      <c r="T16" s="15"/>
    </row>
    <row r="17" spans="2:20" ht="18" x14ac:dyDescent="0.35">
      <c r="Q17" s="15" t="str">
        <f>'Data Prep'!AH7</f>
        <v>Splash Balls</v>
      </c>
      <c r="R17" s="17">
        <f>'Data Prep'!AI7</f>
        <v>836.07</v>
      </c>
      <c r="S17" s="17">
        <f>'Data Prep'!AJ7</f>
        <v>440.51000000000005</v>
      </c>
      <c r="T17" s="15"/>
    </row>
    <row r="18" spans="2:20" ht="18" x14ac:dyDescent="0.35">
      <c r="B18" s="28" t="str">
        <f>IF('Data Prep'!$E$6&gt;0, "↑ ", "↓ ")</f>
        <v xml:space="preserve">↑ </v>
      </c>
      <c r="C18" s="29" t="str">
        <f>IF('Data Prep'!$E$5&gt; 0, "    ↑", "    ↓")</f>
        <v xml:space="preserve">    ↑</v>
      </c>
      <c r="Q18" s="15" t="str">
        <f>'Data Prep'!AH8</f>
        <v>PlayDoh Toolkit</v>
      </c>
      <c r="R18" s="17">
        <f>'Data Prep'!AI8</f>
        <v>469.06</v>
      </c>
      <c r="S18" s="17">
        <f>'Data Prep'!AJ8</f>
        <v>439.12</v>
      </c>
      <c r="T18" s="15"/>
    </row>
    <row r="19" spans="2:20" ht="18" x14ac:dyDescent="0.35">
      <c r="B19" s="28"/>
      <c r="C19" s="29"/>
      <c r="Q19" s="15" t="str">
        <f>'Data Prep'!AH9</f>
        <v>Lego Bricks</v>
      </c>
      <c r="R19" s="17">
        <f>'Data Prep'!AI9</f>
        <v>4918.7700000000004</v>
      </c>
      <c r="S19" s="17">
        <f>'Data Prep'!AJ9</f>
        <v>399.90000000000055</v>
      </c>
      <c r="T19" s="15"/>
    </row>
    <row r="20" spans="2:20" ht="18" x14ac:dyDescent="0.35">
      <c r="Q20" s="15"/>
      <c r="R20" s="17"/>
      <c r="S20" s="26">
        <f>SUM(S13:S19)</f>
        <v>7297.9600000000009</v>
      </c>
      <c r="T20" s="15"/>
    </row>
    <row r="21" spans="2:20" ht="18" x14ac:dyDescent="0.35">
      <c r="Q21" s="15"/>
      <c r="R21" s="15"/>
      <c r="S21" s="15"/>
      <c r="T21" s="15"/>
    </row>
    <row r="22" spans="2:20" ht="33.450000000000003" customHeight="1" x14ac:dyDescent="0.35">
      <c r="Q22" s="15"/>
      <c r="R22" s="15"/>
      <c r="S22" s="15"/>
      <c r="T22" s="15"/>
    </row>
    <row r="23" spans="2:20" ht="18" x14ac:dyDescent="0.35">
      <c r="Q23" s="15"/>
      <c r="R23" s="15"/>
      <c r="S23" s="15"/>
      <c r="T23" s="15"/>
    </row>
    <row r="24" spans="2:20" ht="2.5499999999999998" customHeight="1" x14ac:dyDescent="0.35">
      <c r="Q24" s="15"/>
      <c r="R24" s="15"/>
      <c r="S24" s="15"/>
      <c r="T24" s="15"/>
    </row>
    <row r="25" spans="2:20" ht="18" x14ac:dyDescent="0.35">
      <c r="Q25" s="15"/>
      <c r="R25" s="15"/>
      <c r="S25" s="15"/>
      <c r="T25" s="15"/>
    </row>
    <row r="26" spans="2:20" ht="18" x14ac:dyDescent="0.35">
      <c r="Q26" s="18" t="s">
        <v>98</v>
      </c>
      <c r="R26" s="16" t="s">
        <v>46</v>
      </c>
      <c r="S26" s="16" t="s">
        <v>105</v>
      </c>
      <c r="T26" s="15"/>
    </row>
    <row r="27" spans="2:20" ht="18" x14ac:dyDescent="0.35">
      <c r="Q27" s="15" t="str">
        <f>'Data Prep'!AH12</f>
        <v>Rubik's Cube</v>
      </c>
      <c r="R27" s="17">
        <f>'Data Prep'!AI12</f>
        <v>1479.2599999999998</v>
      </c>
      <c r="S27" s="17">
        <f>'Data Prep'!AJ12</f>
        <v>-2598.6999999999998</v>
      </c>
      <c r="T27" s="15"/>
    </row>
    <row r="28" spans="2:20" ht="18" x14ac:dyDescent="0.35">
      <c r="Q28" s="15" t="str">
        <f>'Data Prep'!AH13</f>
        <v>Dino Egg</v>
      </c>
      <c r="R28" s="17">
        <f>'Data Prep'!AI13</f>
        <v>2659.58</v>
      </c>
      <c r="S28" s="17">
        <f>'Data Prep'!AJ13</f>
        <v>-1241.8699999999999</v>
      </c>
      <c r="T28" s="15"/>
    </row>
    <row r="29" spans="2:20" ht="18" x14ac:dyDescent="0.35">
      <c r="Q29" s="15" t="str">
        <f>'Data Prep'!AH14</f>
        <v>Animal Figures</v>
      </c>
      <c r="R29" s="17">
        <f>'Data Prep'!AI14</f>
        <v>1675.71</v>
      </c>
      <c r="S29" s="17">
        <f>'Data Prep'!AJ14</f>
        <v>-1130.1300000000001</v>
      </c>
      <c r="T29" s="15"/>
    </row>
    <row r="30" spans="2:20" ht="18" x14ac:dyDescent="0.35">
      <c r="Q30" s="15" t="str">
        <f>'Data Prep'!AH15</f>
        <v>Dart Gun</v>
      </c>
      <c r="R30" s="17">
        <f>'Data Prep'!AI15</f>
        <v>575.64</v>
      </c>
      <c r="S30" s="17">
        <f>'Data Prep'!AJ15</f>
        <v>-687.57</v>
      </c>
      <c r="T30" s="15"/>
    </row>
    <row r="31" spans="2:20" ht="18" x14ac:dyDescent="0.35">
      <c r="Q31" s="15" t="str">
        <f>'Data Prep'!AH16</f>
        <v>Nerf Gun</v>
      </c>
      <c r="R31" s="17">
        <f>'Data Prep'!AI16</f>
        <v>2018.9899999999998</v>
      </c>
      <c r="S31" s="17">
        <f>'Data Prep'!AJ16</f>
        <v>-479.75999999999976</v>
      </c>
      <c r="T31" s="15"/>
    </row>
    <row r="32" spans="2:20" ht="18" x14ac:dyDescent="0.35">
      <c r="Q32" s="15" t="str">
        <f>'Data Prep'!AH17</f>
        <v>Plush Pony</v>
      </c>
      <c r="R32" s="17">
        <f>'Data Prep'!AI17</f>
        <v>379.80999999999995</v>
      </c>
      <c r="S32" s="17">
        <f>'Data Prep'!AJ17</f>
        <v>-419.78999999999996</v>
      </c>
      <c r="T32" s="15"/>
    </row>
    <row r="33" spans="17:20" ht="18" x14ac:dyDescent="0.35">
      <c r="Q33" s="15" t="str">
        <f>'Data Prep'!AH18</f>
        <v>PlayDoh Playset</v>
      </c>
      <c r="R33" s="17">
        <f>'Data Prep'!AI18</f>
        <v>174.92999999999998</v>
      </c>
      <c r="S33" s="17">
        <f>'Data Prep'!AJ18</f>
        <v>-399.84000000000003</v>
      </c>
      <c r="T33" s="15"/>
    </row>
    <row r="34" spans="17:20" ht="18" x14ac:dyDescent="0.35">
      <c r="Q34" s="15"/>
      <c r="R34" s="17"/>
      <c r="S34" s="27">
        <f>SUM(S27:S33)</f>
        <v>-6957.6599999999989</v>
      </c>
      <c r="T34" s="15"/>
    </row>
    <row r="35" spans="17:20" ht="18" x14ac:dyDescent="0.35">
      <c r="Q35" s="15"/>
      <c r="R35" s="15"/>
      <c r="S35" s="15"/>
      <c r="T35" s="15"/>
    </row>
    <row r="36" spans="17:20" ht="18" x14ac:dyDescent="0.35">
      <c r="Q36" s="15"/>
      <c r="R36" s="15"/>
      <c r="S36" s="15"/>
      <c r="T36" s="15"/>
    </row>
    <row r="37" spans="17:20" ht="18" x14ac:dyDescent="0.35">
      <c r="Q37" s="15"/>
      <c r="R37" s="15"/>
      <c r="S37" s="15"/>
      <c r="T37" s="15"/>
    </row>
    <row r="38" spans="17:20" ht="18" x14ac:dyDescent="0.35">
      <c r="Q38" s="15"/>
      <c r="R38" s="15"/>
      <c r="S38" s="15"/>
      <c r="T38" s="15"/>
    </row>
    <row r="39" spans="17:20" ht="18" x14ac:dyDescent="0.35">
      <c r="Q39" s="15"/>
      <c r="R39" s="15"/>
      <c r="S39" s="15"/>
      <c r="T39" s="15"/>
    </row>
    <row r="40" spans="17:20" ht="18" x14ac:dyDescent="0.35">
      <c r="Q40" s="15"/>
      <c r="R40" s="15"/>
      <c r="S40" s="15"/>
      <c r="T40" s="15"/>
    </row>
    <row r="41" spans="17:20" ht="18" x14ac:dyDescent="0.35">
      <c r="Q41" s="15"/>
      <c r="R41" s="15"/>
      <c r="S41" s="15"/>
      <c r="T41" s="15"/>
    </row>
    <row r="42" spans="17:20" ht="18" x14ac:dyDescent="0.35">
      <c r="Q42" s="15"/>
      <c r="R42" s="15"/>
      <c r="S42" s="15"/>
      <c r="T42" s="15"/>
    </row>
    <row r="43" spans="17:20" ht="18" x14ac:dyDescent="0.35">
      <c r="Q43" s="15"/>
      <c r="R43" s="15"/>
      <c r="S43" s="15"/>
      <c r="T43" s="15"/>
    </row>
  </sheetData>
  <mergeCells count="2">
    <mergeCell ref="B18:B19"/>
    <mergeCell ref="C18:C19"/>
  </mergeCells>
  <conditionalFormatting sqref="S13:S19">
    <cfRule type="colorScale" priority="6">
      <colorScale>
        <cfvo type="min"/>
        <cfvo type="max"/>
        <color theme="0"/>
        <color theme="9"/>
      </colorScale>
    </cfRule>
  </conditionalFormatting>
  <conditionalFormatting sqref="S27:S33">
    <cfRule type="colorScale" priority="5">
      <colorScale>
        <cfvo type="min"/>
        <cfvo type="max"/>
        <color rgb="FFF63C40"/>
        <color rgb="FFFCFCFF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987CA2F-85C0-4963-88F7-B29B563D1BC7}">
            <xm:f>'Data Prep'!$E$6 &gt;0</xm:f>
            <x14:dxf>
              <font>
                <color theme="9" tint="-0.24994659260841701"/>
              </font>
            </x14:dxf>
          </x14:cfRule>
          <x14:cfRule type="expression" priority="3" id="{B11C5E1B-9291-4BB6-A0B8-70B50A930C7D}">
            <xm:f>'Data Prep'!$E$6 &lt; 0</xm:f>
            <x14:dxf>
              <font>
                <color rgb="FFC00000"/>
              </font>
            </x14:dxf>
          </x14:cfRule>
          <xm:sqref>B18:B19</xm:sqref>
        </x14:conditionalFormatting>
        <x14:conditionalFormatting xmlns:xm="http://schemas.microsoft.com/office/excel/2006/main">
          <x14:cfRule type="expression" priority="2" id="{61553C50-555C-44FB-B912-5D06B1787355}">
            <xm:f>'Data Prep'!$E$5 &gt; 0</xm:f>
            <x14:dxf>
              <font>
                <color theme="9" tint="-0.24994659260841701"/>
              </font>
            </x14:dxf>
          </x14:cfRule>
          <x14:cfRule type="expression" priority="1" id="{88E42727-EA64-4C3A-B216-605348060DEA}">
            <xm:f>'Data Prep'!$E$5 &lt; 0</xm:f>
            <x14:dxf>
              <font>
                <color rgb="FFC00000"/>
              </font>
            </x14:dxf>
          </x14:cfRule>
          <xm:sqref>C18:C19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B9E0-DBAC-4D6B-A9B4-4A6D7F8A308A}">
          <x14:formula1>
            <xm:f>'Data Prep'!$A$3:$A$5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199" workbookViewId="0">
      <selection activeCell="H265" sqref="H265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sheetProtection algorithmName="SHA-512" hashValue="NeS1XuFyLD9C11X4cG98NmH0m+qqw2FqKTqZXa2ABh72k8xesNM+CKoQ+qRJulY3bxx197iJBf3eZqktHuXICA==" saltValue="RM8oTtH0f6zhX+DiM2CVL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32" workbookViewId="0">
      <selection activeCell="G259" sqref="G259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sheetProtection algorithmName="SHA-512" hashValue="nF2PXJv5QnOo5e99OokdA0Xn9LuWV3jnXNxRIjogldIt6vcWJy/JDrackA0Yw90E98mnbX4tgghYVn/YHPlF3g==" saltValue="W8mHBTWDNPezLMC7flau7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Admin</cp:lastModifiedBy>
  <dcterms:created xsi:type="dcterms:W3CDTF">2021-07-16T18:17:37Z</dcterms:created>
  <dcterms:modified xsi:type="dcterms:W3CDTF">2025-07-15T09:30:33Z</dcterms:modified>
</cp:coreProperties>
</file>