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\P-SPK-StockOpname-TSX\"/>
    </mc:Choice>
  </mc:AlternateContent>
  <xr:revisionPtr revIDLastSave="0" documentId="13_ncr:1_{B4960BD4-4BC0-4B0E-8042-BD4394C024DE}" xr6:coauthVersionLast="47" xr6:coauthVersionMax="47" xr10:uidLastSave="{00000000-0000-0000-0000-000000000000}"/>
  <bookViews>
    <workbookView xWindow="384" yWindow="384" windowWidth="17280" windowHeight="9960" firstSheet="1" activeTab="1" xr2:uid="{74B37BBA-18E8-4AD7-9DB5-B0C214FF321C}"/>
  </bookViews>
  <sheets>
    <sheet name="Recommendations" sheetId="4" r:id="rId1"/>
    <sheet name="AHP Urgency Ranking" sheetId="6" r:id="rId2"/>
    <sheet name="Summary_Dashboard" sheetId="3" r:id="rId3"/>
    <sheet name="DSS-SPK_Analysis" sheetId="2" r:id="rId4"/>
    <sheet name="Sheet1" sheetId="5" r:id="rId5"/>
    <sheet name="Input_Data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6" l="1"/>
  <c r="M10" i="6" s="1"/>
  <c r="N10" i="6" s="1"/>
  <c r="K10" i="6"/>
  <c r="J10" i="6"/>
  <c r="I10" i="6"/>
  <c r="L9" i="6"/>
  <c r="M9" i="6" s="1"/>
  <c r="N9" i="6" s="1"/>
  <c r="K9" i="6"/>
  <c r="J9" i="6"/>
  <c r="I9" i="6"/>
  <c r="L8" i="6"/>
  <c r="M8" i="6" s="1"/>
  <c r="N8" i="6" s="1"/>
  <c r="K8" i="6"/>
  <c r="J8" i="6"/>
  <c r="I8" i="6"/>
  <c r="L7" i="6"/>
  <c r="M7" i="6" s="1"/>
  <c r="N7" i="6" s="1"/>
  <c r="K7" i="6"/>
  <c r="J7" i="6"/>
  <c r="I7" i="6"/>
  <c r="L6" i="6"/>
  <c r="M6" i="6" s="1"/>
  <c r="N6" i="6" s="1"/>
  <c r="K6" i="6"/>
  <c r="J6" i="6"/>
  <c r="I6" i="6"/>
  <c r="L5" i="6"/>
  <c r="M5" i="6" s="1"/>
  <c r="N5" i="6" s="1"/>
  <c r="K5" i="6"/>
  <c r="J5" i="6"/>
  <c r="I5" i="6"/>
  <c r="L4" i="6"/>
  <c r="M4" i="6" s="1"/>
  <c r="N4" i="6" s="1"/>
  <c r="K4" i="6"/>
  <c r="J4" i="6"/>
  <c r="I4" i="6"/>
  <c r="L3" i="6"/>
  <c r="M3" i="6" s="1"/>
  <c r="N3" i="6" s="1"/>
  <c r="K3" i="6"/>
  <c r="J3" i="6"/>
  <c r="I3" i="6"/>
  <c r="L2" i="6"/>
  <c r="M2" i="6" s="1"/>
  <c r="N2" i="6" s="1"/>
  <c r="K2" i="6"/>
  <c r="J2" i="6"/>
  <c r="I2" i="6"/>
  <c r="B5" i="3" a="1"/>
  <c r="B5" i="3" s="1"/>
  <c r="B4" i="3"/>
  <c r="D2" i="2"/>
  <c r="K4" i="2"/>
  <c r="L4" i="2" s="1"/>
  <c r="J4" i="2"/>
  <c r="M4" i="2" s="1"/>
  <c r="E4" i="2"/>
  <c r="I4" i="2" s="1"/>
  <c r="D4" i="2"/>
  <c r="F4" i="2" s="1"/>
  <c r="H4" i="2" s="1"/>
  <c r="C4" i="2"/>
  <c r="B4" i="2"/>
  <c r="A4" i="2"/>
  <c r="K3" i="2"/>
  <c r="L3" i="2" s="1"/>
  <c r="J3" i="2"/>
  <c r="M3" i="2" s="1"/>
  <c r="E3" i="2"/>
  <c r="D3" i="2"/>
  <c r="C3" i="2"/>
  <c r="B3" i="2"/>
  <c r="A3" i="2"/>
  <c r="K2" i="2"/>
  <c r="L2" i="2" s="1"/>
  <c r="J2" i="2"/>
  <c r="M2" i="2" s="1"/>
  <c r="E2" i="2"/>
  <c r="C2" i="2"/>
  <c r="B2" i="2"/>
  <c r="A2" i="2"/>
  <c r="B3" i="3" s="1"/>
  <c r="O10" i="6" l="1"/>
  <c r="O9" i="6"/>
  <c r="O8" i="6"/>
  <c r="O7" i="6"/>
  <c r="O6" i="6"/>
  <c r="O5" i="6"/>
  <c r="O4" i="6"/>
  <c r="O3" i="6"/>
  <c r="O2" i="6"/>
  <c r="N4" i="2"/>
  <c r="G4" i="2"/>
  <c r="B6" i="3" s="1"/>
  <c r="O4" i="2"/>
  <c r="F3" i="2"/>
  <c r="H3" i="2" s="1"/>
  <c r="N3" i="2"/>
  <c r="O2" i="2"/>
  <c r="O3" i="2"/>
  <c r="Q4" i="2"/>
  <c r="P4" i="2" s="1"/>
  <c r="I2" i="2"/>
  <c r="I3" i="2"/>
  <c r="Q3" i="2" s="1"/>
  <c r="P3" i="2" s="1"/>
  <c r="N2" i="2"/>
  <c r="F2" i="2"/>
  <c r="H2" i="2" s="1"/>
  <c r="G3" i="2" l="1"/>
  <c r="B7" i="3"/>
  <c r="B9" i="3"/>
  <c r="B8" i="3"/>
  <c r="Q2" i="2"/>
  <c r="P2" i="2" s="1"/>
  <c r="G2" i="2"/>
  <c r="B11" i="3" l="1"/>
  <c r="B10" i="3"/>
  <c r="B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<sst xmlns="http://schemas.openxmlformats.org/spreadsheetml/2006/main" count="139" uniqueCount="121">
  <si>
    <t>Product_Code</t>
  </si>
  <si>
    <t>Product_Name</t>
  </si>
  <si>
    <t>Category</t>
  </si>
  <si>
    <t>System_Stock</t>
  </si>
  <si>
    <t>Actual_Stock</t>
  </si>
  <si>
    <t>Unit_Cost</t>
  </si>
  <si>
    <t>Min_Stock</t>
  </si>
  <si>
    <t>Max_Stock</t>
  </si>
  <si>
    <t>Lead_Time_Days</t>
  </si>
  <si>
    <t>Avg_Daily_Demand</t>
  </si>
  <si>
    <t>Ordering_Cost</t>
  </si>
  <si>
    <t>Holding_Cost_Rate</t>
  </si>
  <si>
    <t>PRD001</t>
  </si>
  <si>
    <t>Laptop Dell Inspiron</t>
  </si>
  <si>
    <t>Electronics</t>
  </si>
  <si>
    <t>PRD002</t>
  </si>
  <si>
    <t>Mouse Wireless</t>
  </si>
  <si>
    <t>Accessories</t>
  </si>
  <si>
    <t>PRD003</t>
  </si>
  <si>
    <t>Keyboard Mechanical</t>
  </si>
  <si>
    <t>Variance</t>
  </si>
  <si>
    <t>Variance_Pct</t>
  </si>
  <si>
    <t>Variance_Value</t>
  </si>
  <si>
    <t>Inventory_Value</t>
  </si>
  <si>
    <t>Annual_Demand</t>
  </si>
  <si>
    <t>Safety_Stock</t>
  </si>
  <si>
    <t>Reorder_Point</t>
  </si>
  <si>
    <t>EOQ</t>
  </si>
  <si>
    <t>Stock_Status</t>
  </si>
  <si>
    <t>Turnover_Ratio</t>
  </si>
  <si>
    <t>ABC_Class</t>
  </si>
  <si>
    <t>Cumulative_Pct</t>
  </si>
  <si>
    <t>Total Products</t>
  </si>
  <si>
    <t>Total Inventory Value</t>
  </si>
  <si>
    <t>Total Variance Value</t>
  </si>
  <si>
    <t>Accuracy Rate (%)</t>
  </si>
  <si>
    <t>Low Stock Items</t>
  </si>
  <si>
    <t>Overstock Items</t>
  </si>
  <si>
    <t>Items Need Reorder</t>
  </si>
  <si>
    <t>ABC Class A Items</t>
  </si>
  <si>
    <t>ABC Class B Items</t>
  </si>
  <si>
    <t>ABC Class C Items</t>
  </si>
  <si>
    <t>Priority</t>
  </si>
  <si>
    <t>Product</t>
  </si>
  <si>
    <t>Issue</t>
  </si>
  <si>
    <t>Recommendation</t>
  </si>
  <si>
    <t>Action Required</t>
  </si>
  <si>
    <t>TINGGI</t>
  </si>
  <si>
    <t>Item dengan Status Stok = Stok Rendah</t>
  </si>
  <si>
    <t>Stok berada di bawah ambang minimum</t>
  </si>
  <si>
    <t>Segera pesan sesuai kuantitas EOQ</t>
  </si>
  <si>
    <t>Lakukan pemesanan pembelian</t>
  </si>
  <si>
    <t>SEDANG</t>
  </si>
  <si>
    <t>Item dengan</t>
  </si>
  <si>
    <t>Persentase Variansi</t>
  </si>
  <si>
    <t>&gt; 10%</t>
  </si>
  <si>
    <t>Variansi tinggi antara sistem dan stok aktual</t>
  </si>
  <si>
    <t>RENDAH</t>
  </si>
  <si>
    <t>Item Kelas A dengan perputaran rendah</t>
  </si>
  <si>
    <t>Item bernilai tinggi namun tidak cepat terjual</t>
  </si>
  <si>
    <t>Tinjau ulang strategi inventori</t>
  </si>
  <si>
    <t>Analisis pola permintaan</t>
  </si>
  <si>
    <t>STOCK OPNAME DSS/ SPK SUMMARY</t>
  </si>
  <si>
    <t xml:space="preserve"> REKOMENDASI OTOMATIS</t>
  </si>
  <si>
    <t>=Stock Actual barang * Harga Barang</t>
  </si>
  <si>
    <t>Keterangan perhitungan</t>
  </si>
  <si>
    <t>&gt;</t>
  </si>
  <si>
    <t>DATA = tbl Input_Data</t>
  </si>
  <si>
    <r>
      <t xml:space="preserve">=Selisih barang * Harga Barang
</t>
    </r>
    <r>
      <rPr>
        <b/>
        <i/>
        <sz val="11"/>
        <color theme="1"/>
        <rFont val="Calibri"/>
        <family val="2"/>
        <scheme val="minor"/>
      </rPr>
      <t>Nilai rupiah dari perbedaan stok</t>
    </r>
  </si>
  <si>
    <t>=(Variance / System_Stock) × 100
Persentase deviasi terhadap stok sistem</t>
  </si>
  <si>
    <t>=Inventory_Value item / Total Inventory_Value × 100% (dijumlahkan secara kumulatif)
Menentukan kelas ABC berdasarkan total kontribusi nilai</t>
  </si>
  <si>
    <t>= Berdasarkan persentase kumulatif nilai inventori (Pareto 80/20)
KET = (A = Sangat penting, B = Menengah, C = Rendah)</t>
  </si>
  <si>
    <t>= Annual Demand / System_Stock
Seberapa cepat barang terjual dibandingkan stok saat ini</t>
  </si>
  <si>
    <t>= √((2 × Annual Demand × Ordering Cost) / (Unit Cost × Holding Rate))
Kuantitas pemesanan ekonomis untuk efisiensi biaya</t>
  </si>
  <si>
    <t>= (Daily Demand × Lead Time) + Safety Stock
Titik ketika perlu melakukan pemesanan ulang</t>
  </si>
  <si>
    <t>= Daily Demand × √(Lead Time) × Z (Z = 1.65 untuk 95% service level)
Cadangan stok pengaman untuk menghindari kehabisan stok</t>
  </si>
  <si>
    <t>=Rata-Rata Permintaan Harian * 365 hari
Persentase deviasi terhadap stok sistem</t>
  </si>
  <si>
    <t>Informasi Status</t>
  </si>
  <si>
    <t>= Actual Stock - System_Stock
Selisih antara stok fisik dan stok di sistem</t>
  </si>
  <si>
    <t>No</t>
  </si>
  <si>
    <t>Kode Produk</t>
  </si>
  <si>
    <t>Nama Produk</t>
  </si>
  <si>
    <t>Kategori</t>
  </si>
  <si>
    <t>Status Stok</t>
  </si>
  <si>
    <t>Kelas ABC</t>
  </si>
  <si>
    <t>Stok Saat Ini</t>
  </si>
  <si>
    <t>Nilai Inventori</t>
  </si>
  <si>
    <t>Tingkat Stok (45%)</t>
  </si>
  <si>
    <t>Dampak Finansial (30%)</t>
  </si>
  <si>
    <t>Kritisitas Permintaan (15%)</t>
  </si>
  <si>
    <t>Risiko Lead Time (10%)</t>
  </si>
  <si>
    <t>Skor AHP Komposit</t>
  </si>
  <si>
    <t>Level Urgensi</t>
  </si>
  <si>
    <t>Alasan</t>
  </si>
  <si>
    <t>Tindakan</t>
  </si>
  <si>
    <t>Jangka Waktu</t>
  </si>
  <si>
    <t>ELC001</t>
  </si>
  <si>
    <t>MacBook Pro 16 M3</t>
  </si>
  <si>
    <t>Reorder</t>
  </si>
  <si>
    <t>A</t>
  </si>
  <si>
    <t>Buat pesanan berdasarkan EOQ</t>
  </si>
  <si>
    <t>Segera</t>
  </si>
  <si>
    <t>ELC002</t>
  </si>
  <si>
    <t>iPhone 15 Pro Max</t>
  </si>
  <si>
    <t>Normal</t>
  </si>
  <si>
    <t>Terapkan strategi sesuai kondisi</t>
  </si>
  <si>
    <t>Dalam 1-10 hari</t>
  </si>
  <si>
    <t>ELC003</t>
  </si>
  <si>
    <t>Samsung Galaxy S24 Ultra</t>
  </si>
  <si>
    <t>Low Stock</t>
  </si>
  <si>
    <t>B</t>
  </si>
  <si>
    <t>Pantau dan rencanakan pemesanan</t>
  </si>
  <si>
    <t>Dalam 1-4 minggu</t>
  </si>
  <si>
    <t>ACC001</t>
  </si>
  <si>
    <t>Logitech MX Master 3S</t>
  </si>
  <si>
    <t>OFF002</t>
  </si>
  <si>
    <t>Document Camera</t>
  </si>
  <si>
    <t>Office</t>
  </si>
  <si>
    <t>Out of Stock</t>
  </si>
  <si>
    <t>C</t>
  </si>
  <si>
    <t>Pesanan darurat segera!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</si>
</sst>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.##0_);_(* \(#.##0\);_(* &quot;-&quot;_);_(@_)"/>
    <numFmt numFmtId="165" formatCode="_-[$Rp-3809]* #,##0_-;\-[$Rp-3809]* #,##0_-;_-[$Rp-3809]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4">
    <xf numFmtId="0" fontId="0" fillId="0" borderId="0" xfId="0"/>
    <xf numFmtId="165" fontId="0" fillId="0" borderId="0" xfId="0" applyNumberFormat="1"/>
    <xf numFmtId="0" fontId="1" fillId="2" borderId="1" xfId="0" applyFont="1" applyFill="1" applyBorder="1"/>
    <xf numFmtId="165" fontId="1" fillId="2" borderId="1" xfId="0" applyNumberFormat="1" applyFont="1" applyFill="1" applyBorder="1"/>
    <xf numFmtId="0" fontId="0" fillId="0" borderId="1" xfId="0" applyBorder="1"/>
    <xf numFmtId="165" fontId="0" fillId="0" borderId="1" xfId="0" applyNumberFormat="1" applyBorder="1"/>
    <xf numFmtId="0" fontId="1" fillId="0" borderId="1" xfId="0" applyFont="1" applyBorder="1"/>
    <xf numFmtId="164" fontId="0" fillId="0" borderId="1" xfId="0" applyNumberFormat="1" applyBorder="1"/>
    <xf numFmtId="0" fontId="2" fillId="3" borderId="0" xfId="0" applyFont="1" applyFill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/>
    <xf numFmtId="0" fontId="1" fillId="2" borderId="1" xfId="0" applyFont="1" applyFill="1" applyBorder="1" applyAlignment="1">
      <alignment horizontal="left" vertical="top"/>
    </xf>
    <xf numFmtId="165" fontId="1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165" fontId="0" fillId="0" borderId="0" xfId="0" quotePrefix="1" applyNumberFormat="1" applyAlignment="1">
      <alignment horizontal="left" vertical="top" wrapText="1"/>
    </xf>
    <xf numFmtId="165" fontId="0" fillId="0" borderId="0" xfId="0" applyNumberFormat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9" fontId="0" fillId="0" borderId="1" xfId="1" applyNumberFormat="1" applyFont="1" applyBorder="1"/>
    <xf numFmtId="0" fontId="1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FD44-29E9-4D86-985B-6C8B84CA84E4}">
  <dimension ref="A1:E6"/>
  <sheetViews>
    <sheetView zoomScaleNormal="100" workbookViewId="0">
      <selection activeCell="D8" sqref="D8"/>
    </sheetView>
  </sheetViews>
  <sheetFormatPr defaultRowHeight="14.4" x14ac:dyDescent="0.3"/>
  <cols>
    <col min="1" max="1" width="10.44140625" customWidth="1"/>
    <col min="2" max="2" width="34.5546875" bestFit="1" customWidth="1"/>
    <col min="3" max="3" width="38.6640625" bestFit="1" customWidth="1"/>
    <col min="4" max="4" width="30.21875" bestFit="1" customWidth="1"/>
    <col min="5" max="5" width="37.77734375" bestFit="1" customWidth="1"/>
  </cols>
  <sheetData>
    <row r="1" spans="1:5" ht="21" x14ac:dyDescent="0.4">
      <c r="A1" s="8" t="s">
        <v>63</v>
      </c>
      <c r="B1" s="11"/>
      <c r="C1" s="11"/>
      <c r="D1" s="11"/>
      <c r="E1" s="11"/>
    </row>
    <row r="3" spans="1:5" x14ac:dyDescent="0.3">
      <c r="A3" s="2" t="s">
        <v>42</v>
      </c>
      <c r="B3" s="2" t="s">
        <v>43</v>
      </c>
      <c r="C3" s="2" t="s">
        <v>44</v>
      </c>
      <c r="D3" s="2" t="s">
        <v>45</v>
      </c>
      <c r="E3" s="2" t="s">
        <v>46</v>
      </c>
    </row>
    <row r="4" spans="1:5" x14ac:dyDescent="0.3">
      <c r="A4" s="9" t="s">
        <v>47</v>
      </c>
      <c r="B4" s="10" t="s">
        <v>48</v>
      </c>
      <c r="C4" s="10" t="s">
        <v>49</v>
      </c>
      <c r="D4" s="10" t="s">
        <v>50</v>
      </c>
      <c r="E4" s="10" t="s">
        <v>51</v>
      </c>
    </row>
    <row r="5" spans="1:5" x14ac:dyDescent="0.3">
      <c r="A5" s="9" t="s">
        <v>52</v>
      </c>
      <c r="B5" s="10" t="s">
        <v>53</v>
      </c>
      <c r="C5" s="10" t="s">
        <v>54</v>
      </c>
      <c r="D5" s="10" t="s">
        <v>55</v>
      </c>
      <c r="E5" s="10" t="s">
        <v>56</v>
      </c>
    </row>
    <row r="6" spans="1:5" x14ac:dyDescent="0.3">
      <c r="A6" s="9" t="s">
        <v>57</v>
      </c>
      <c r="B6" s="10" t="s">
        <v>58</v>
      </c>
      <c r="C6" s="10" t="s">
        <v>59</v>
      </c>
      <c r="D6" s="10" t="s">
        <v>60</v>
      </c>
      <c r="E6" s="1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D96E-773E-48E1-A121-DE997912D0B6}">
  <dimension ref="A1:Q10"/>
  <sheetViews>
    <sheetView tabSelected="1" workbookViewId="0"/>
  </sheetViews>
  <sheetFormatPr defaultRowHeight="14.4" x14ac:dyDescent="0.3"/>
  <cols>
    <col min="1" max="1" width="3.44140625" bestFit="1" customWidth="1"/>
    <col min="2" max="2" width="11.88671875" bestFit="1" customWidth="1"/>
    <col min="3" max="3" width="22.21875" bestFit="1" customWidth="1"/>
    <col min="4" max="4" width="10.44140625" bestFit="1" customWidth="1"/>
    <col min="5" max="5" width="11.109375" bestFit="1" customWidth="1"/>
    <col min="6" max="6" width="9.21875" bestFit="1" customWidth="1"/>
    <col min="7" max="7" width="11.44140625" bestFit="1" customWidth="1"/>
    <col min="8" max="8" width="12.77734375" bestFit="1" customWidth="1"/>
    <col min="9" max="9" width="16.77734375" bestFit="1" customWidth="1"/>
    <col min="10" max="10" width="21.109375" bestFit="1" customWidth="1"/>
    <col min="11" max="11" width="23.77734375" bestFit="1" customWidth="1"/>
    <col min="12" max="12" width="20.33203125" bestFit="1" customWidth="1"/>
    <col min="13" max="13" width="17.44140625" bestFit="1" customWidth="1"/>
    <col min="14" max="14" width="12.109375" bestFit="1" customWidth="1"/>
    <col min="15" max="15" width="8" bestFit="1" customWidth="1"/>
    <col min="16" max="16" width="30.33203125" bestFit="1" customWidth="1"/>
    <col min="17" max="17" width="15.6640625" bestFit="1" customWidth="1"/>
  </cols>
  <sheetData>
    <row r="1" spans="1:17" x14ac:dyDescent="0.3">
      <c r="A1" s="23" t="s">
        <v>79</v>
      </c>
      <c r="B1" s="23" t="s">
        <v>80</v>
      </c>
      <c r="C1" s="23" t="s">
        <v>81</v>
      </c>
      <c r="D1" s="23" t="s">
        <v>82</v>
      </c>
      <c r="E1" s="23" t="s">
        <v>83</v>
      </c>
      <c r="F1" s="23" t="s">
        <v>84</v>
      </c>
      <c r="G1" s="23" t="s">
        <v>85</v>
      </c>
      <c r="H1" s="23" t="s">
        <v>86</v>
      </c>
      <c r="I1" s="23" t="s">
        <v>87</v>
      </c>
      <c r="J1" s="23" t="s">
        <v>88</v>
      </c>
      <c r="K1" s="23" t="s">
        <v>89</v>
      </c>
      <c r="L1" s="23" t="s">
        <v>90</v>
      </c>
      <c r="M1" s="23" t="s">
        <v>91</v>
      </c>
      <c r="N1" s="23" t="s">
        <v>92</v>
      </c>
      <c r="O1" s="23" t="s">
        <v>93</v>
      </c>
      <c r="P1" s="23" t="s">
        <v>94</v>
      </c>
      <c r="Q1" s="23" t="s">
        <v>95</v>
      </c>
    </row>
    <row r="2" spans="1:17" x14ac:dyDescent="0.3">
      <c r="A2">
        <v>1</v>
      </c>
      <c r="B2" t="s">
        <v>96</v>
      </c>
      <c r="C2" t="s">
        <v>97</v>
      </c>
      <c r="D2" t="s">
        <v>14</v>
      </c>
      <c r="E2" t="s">
        <v>98</v>
      </c>
      <c r="F2" t="s">
        <v>99</v>
      </c>
      <c r="G2">
        <v>23</v>
      </c>
      <c r="H2">
        <v>805000000</v>
      </c>
      <c r="I2">
        <f>IF(E2="Out of Stock",100,IF(E2="Reorder",90,IF(E2="Low Stock",80,IF(E2="Overstock",60,50))))</f>
        <v>90</v>
      </c>
      <c r="J2">
        <f>IF(MAX(H:H)&gt;0,(H2/MAX(H:H))*100,0)</f>
        <v>95.833333333333343</v>
      </c>
      <c r="K2">
        <f>IF(F2="A",90,IF(F2="B",70,40))</f>
        <v>90</v>
      </c>
      <c r="L2">
        <f ca="1">RANDBETWEEN(20,80)</f>
        <v>73</v>
      </c>
      <c r="M2">
        <f ca="1">(I2*0.45)+(J2*0.3)+(K2*0.15)+(L2*0.1)</f>
        <v>90.05</v>
      </c>
      <c r="N2" t="e">
        <f ca="1">RANK(M2,M,0)</f>
        <v>#NAME?</v>
      </c>
      <c r="O2" t="str">
        <f ca="1">IF(M2&gt;=83,"KRITIS",IF(M2&gt;=58,"TINGGI",IF(M2&gt;=33,"SEDANG","RENDAH")))</f>
        <v>KRITIS</v>
      </c>
      <c r="P2" t="s">
        <v>100</v>
      </c>
      <c r="Q2" t="s">
        <v>101</v>
      </c>
    </row>
    <row r="3" spans="1:17" x14ac:dyDescent="0.3">
      <c r="A3">
        <v>2</v>
      </c>
      <c r="B3" t="s">
        <v>102</v>
      </c>
      <c r="C3" t="s">
        <v>103</v>
      </c>
      <c r="D3" t="s">
        <v>14</v>
      </c>
      <c r="E3" t="s">
        <v>104</v>
      </c>
      <c r="F3" t="s">
        <v>99</v>
      </c>
      <c r="G3">
        <v>42</v>
      </c>
      <c r="H3">
        <v>840000000</v>
      </c>
      <c r="I3">
        <f>IF(E3="Out of Stock",100,IF(E3="Reorder",90,IF(E3="Low Stock",80,IF(E3="Overstock",60,50))))</f>
        <v>50</v>
      </c>
      <c r="J3">
        <f>IF(MAX(H:H)&gt;0,(H3/MAX(H:H))*100,0)</f>
        <v>100</v>
      </c>
      <c r="K3">
        <f>IF(F3="A",90,IF(F3="B",70,40))</f>
        <v>90</v>
      </c>
      <c r="L3">
        <f ca="1">RANDBETWEEN(20,80)</f>
        <v>79</v>
      </c>
      <c r="M3">
        <f ca="1">(I3*0.45)+(J3*0.3)+(K3*0.15)+(L3*0.1)</f>
        <v>73.900000000000006</v>
      </c>
      <c r="N3" t="e">
        <f ca="1">RANK(M3,M,0)</f>
        <v>#NAME?</v>
      </c>
      <c r="O3" t="str">
        <f ca="1">IF(M3&gt;=83,"KRITIS",IF(M3&gt;=58,"TINGGI",IF(M3&gt;=33,"SEDANG","RENDAH")))</f>
        <v>TINGGI</v>
      </c>
      <c r="P3" t="s">
        <v>105</v>
      </c>
      <c r="Q3" t="s">
        <v>106</v>
      </c>
    </row>
    <row r="4" spans="1:17" x14ac:dyDescent="0.3">
      <c r="A4">
        <v>3</v>
      </c>
      <c r="B4" t="s">
        <v>107</v>
      </c>
      <c r="C4" t="s">
        <v>108</v>
      </c>
      <c r="D4" t="s">
        <v>14</v>
      </c>
      <c r="E4" t="s">
        <v>109</v>
      </c>
      <c r="F4" t="s">
        <v>110</v>
      </c>
      <c r="G4">
        <v>8</v>
      </c>
      <c r="H4">
        <v>144000000</v>
      </c>
      <c r="I4">
        <f>IF(E4="Out of Stock",100,IF(E4="Reorder",90,IF(E4="Low Stock",80,IF(E4="Overstock",60,50))))</f>
        <v>80</v>
      </c>
      <c r="J4">
        <f>IF(MAX(H:H)&gt;0,(H4/MAX(H:H))*100,0)</f>
        <v>17.142857142857142</v>
      </c>
      <c r="K4">
        <f>IF(F4="A",90,IF(F4="B",70,40))</f>
        <v>70</v>
      </c>
      <c r="L4">
        <f ca="1">RANDBETWEEN(20,80)</f>
        <v>38</v>
      </c>
      <c r="M4">
        <f ca="1">(I4*0.45)+(J4*0.3)+(K4*0.15)+(L4*0.1)</f>
        <v>55.442857142857136</v>
      </c>
      <c r="N4" t="e">
        <f ca="1">RANK(M4,M,0)</f>
        <v>#NAME?</v>
      </c>
      <c r="O4" t="str">
        <f ca="1">IF(M4&gt;=83,"KRITIS",IF(M4&gt;=58,"TINGGI",IF(M4&gt;=33,"SEDANG","RENDAH")))</f>
        <v>SEDANG</v>
      </c>
      <c r="P4" t="s">
        <v>111</v>
      </c>
      <c r="Q4" t="s">
        <v>112</v>
      </c>
    </row>
    <row r="5" spans="1:17" x14ac:dyDescent="0.3">
      <c r="A5">
        <v>4</v>
      </c>
      <c r="B5" t="s">
        <v>113</v>
      </c>
      <c r="C5" t="s">
        <v>114</v>
      </c>
      <c r="D5" t="s">
        <v>17</v>
      </c>
      <c r="E5" t="s">
        <v>104</v>
      </c>
      <c r="F5" t="s">
        <v>110</v>
      </c>
      <c r="G5">
        <v>85</v>
      </c>
      <c r="H5">
        <v>102000000</v>
      </c>
      <c r="I5">
        <f>IF(E5="Out of Stock",100,IF(E5="Reorder",90,IF(E5="Low Stock",80,IF(E5="Overstock",60,50))))</f>
        <v>50</v>
      </c>
      <c r="J5">
        <f>IF(MAX(H:H)&gt;0,(H5/MAX(H:H))*100,0)</f>
        <v>12.142857142857142</v>
      </c>
      <c r="K5">
        <f>IF(F5="A",90,IF(F5="B",70,40))</f>
        <v>70</v>
      </c>
      <c r="L5">
        <f ca="1">RANDBETWEEN(20,80)</f>
        <v>37</v>
      </c>
      <c r="M5">
        <f ca="1">(I5*0.45)+(J5*0.3)+(K5*0.15)+(L5*0.1)</f>
        <v>40.342857142857142</v>
      </c>
      <c r="N5" t="e">
        <f ca="1">RANK(M5,M,0)</f>
        <v>#NAME?</v>
      </c>
      <c r="O5" t="str">
        <f ca="1">IF(M5&gt;=83,"KRITIS",IF(M5&gt;=58,"TINGGI",IF(M5&gt;=33,"SEDANG","RENDAH")))</f>
        <v>SEDANG</v>
      </c>
      <c r="P5" t="s">
        <v>105</v>
      </c>
      <c r="Q5" t="s">
        <v>112</v>
      </c>
    </row>
    <row r="6" spans="1:17" x14ac:dyDescent="0.3">
      <c r="A6">
        <v>5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>
        <v>0</v>
      </c>
      <c r="H6">
        <v>0</v>
      </c>
      <c r="I6">
        <f>IF(E6="Out of Stock",100,IF(E6="Reorder",90,IF(E6="Low Stock",80,IF(E6="Overstock",60,50))))</f>
        <v>100</v>
      </c>
      <c r="J6">
        <f>IF(MAX(H:H)&gt;0,(H6/MAX(H:H))*100,0)</f>
        <v>0</v>
      </c>
      <c r="K6">
        <f>IF(F6="A",90,IF(F6="B",70,40))</f>
        <v>40</v>
      </c>
      <c r="L6">
        <f ca="1">RANDBETWEEN(20,80)</f>
        <v>51</v>
      </c>
      <c r="M6">
        <f ca="1">(I6*0.45)+(J6*0.3)+(K6*0.15)+(L6*0.1)</f>
        <v>56.1</v>
      </c>
      <c r="N6" t="e">
        <f ca="1">RANK(M6,M,0)</f>
        <v>#NAME?</v>
      </c>
      <c r="O6" t="str">
        <f ca="1">IF(M6&gt;=83,"KRITIS",IF(M6&gt;=58,"TINGGI",IF(M6&gt;=33,"SEDANG","RENDAH")))</f>
        <v>SEDANG</v>
      </c>
      <c r="P6" t="s">
        <v>120</v>
      </c>
      <c r="Q6" t="s">
        <v>112</v>
      </c>
    </row>
    <row r="7" spans="1:17" x14ac:dyDescent="0.3">
      <c r="I7">
        <f>IF(E7="Out of Stock",100,IF(E7="Reorder",90,IF(E7="Low Stock",80,IF(E7="Overstock",60,50))))</f>
        <v>50</v>
      </c>
      <c r="J7">
        <f>IF(MAX(H:H)&gt;0,(H7/MAX(H:H))*100,0)</f>
        <v>0</v>
      </c>
      <c r="K7">
        <f>IF(F7="A",90,IF(F7="B",70,40))</f>
        <v>40</v>
      </c>
      <c r="L7">
        <f ca="1">RANDBETWEEN(20,80)</f>
        <v>37</v>
      </c>
      <c r="M7">
        <f ca="1">(I7*0.45)+(J7*0.3)+(K7*0.15)+(L7*0.1)</f>
        <v>32.200000000000003</v>
      </c>
      <c r="N7" t="e">
        <f ca="1">RANK(M7,M,0)</f>
        <v>#NAME?</v>
      </c>
      <c r="O7" t="str">
        <f ca="1">IF(M7&gt;=83,"KRITIS",IF(M7&gt;=58,"TINGGI",IF(M7&gt;=33,"SEDANG","RENDAH")))</f>
        <v>RENDAH</v>
      </c>
    </row>
    <row r="8" spans="1:17" x14ac:dyDescent="0.3">
      <c r="I8">
        <f>IF(E8="Out of Stock",100,IF(E8="Reorder",90,IF(E8="Low Stock",80,IF(E8="Overstock",60,50))))</f>
        <v>50</v>
      </c>
      <c r="J8">
        <f>IF(MAX(H:H)&gt;0,(H8/MAX(H:H))*100,0)</f>
        <v>0</v>
      </c>
      <c r="K8">
        <f>IF(F8="A",90,IF(F8="B",70,40))</f>
        <v>40</v>
      </c>
      <c r="L8">
        <f ca="1">RANDBETWEEN(20,80)</f>
        <v>30</v>
      </c>
      <c r="M8">
        <f ca="1">(I8*0.45)+(J8*0.3)+(K8*0.15)+(L8*0.1)</f>
        <v>31.5</v>
      </c>
      <c r="N8" t="e">
        <f ca="1">RANK(M8,M,0)</f>
        <v>#NAME?</v>
      </c>
      <c r="O8" t="str">
        <f ca="1">IF(M8&gt;=83,"KRITIS",IF(M8&gt;=58,"TINGGI",IF(M8&gt;=33,"SEDANG","RENDAH")))</f>
        <v>RENDAH</v>
      </c>
    </row>
    <row r="9" spans="1:17" x14ac:dyDescent="0.3">
      <c r="I9">
        <f>IF(E9="Out of Stock",100,IF(E9="Reorder",90,IF(E9="Low Stock",80,IF(E9="Overstock",60,50))))</f>
        <v>50</v>
      </c>
      <c r="J9">
        <f>IF(MAX(H:H)&gt;0,(H9/MAX(H:H))*100,0)</f>
        <v>0</v>
      </c>
      <c r="K9">
        <f>IF(F9="A",90,IF(F9="B",70,40))</f>
        <v>40</v>
      </c>
      <c r="L9">
        <f ca="1">RANDBETWEEN(20,80)</f>
        <v>54</v>
      </c>
      <c r="M9">
        <f ca="1">(I9*0.45)+(J9*0.3)+(K9*0.15)+(L9*0.1)</f>
        <v>33.9</v>
      </c>
      <c r="N9" t="e">
        <f ca="1">RANK(M9,M,0)</f>
        <v>#NAME?</v>
      </c>
      <c r="O9" t="str">
        <f ca="1">IF(M9&gt;=83,"KRITIS",IF(M9&gt;=58,"TINGGI",IF(M9&gt;=33,"SEDANG","RENDAH")))</f>
        <v>SEDANG</v>
      </c>
    </row>
    <row r="10" spans="1:17" x14ac:dyDescent="0.3">
      <c r="I10">
        <f>IF(E10="Out of Stock",100,IF(E10="Reorder",90,IF(E10="Low Stock",80,IF(E10="Overstock",60,50))))</f>
        <v>50</v>
      </c>
      <c r="J10">
        <f>IF(MAX(H:H)&gt;0,(H10/MAX(H:H))*100,0)</f>
        <v>0</v>
      </c>
      <c r="K10">
        <f>IF(F10="A",90,IF(F10="B",70,40))</f>
        <v>40</v>
      </c>
      <c r="L10">
        <f ca="1">RANDBETWEEN(20,80)</f>
        <v>42</v>
      </c>
      <c r="M10">
        <f ca="1">(I10*0.45)+(J10*0.3)+(K10*0.15)+(L10*0.1)</f>
        <v>32.700000000000003</v>
      </c>
      <c r="N10" t="e">
        <f ca="1">RANK(M10,M,0)</f>
        <v>#NAME?</v>
      </c>
      <c r="O10" t="str">
        <f ca="1">IF(M10&gt;=83,"KRITIS",IF(M10&gt;=58,"TINGGI",IF(M10&gt;=33,"SEDANG","RENDAH")))</f>
        <v>RENDAH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A600-D402-486C-800A-2FC929E1AF47}">
  <dimension ref="A1:B12"/>
  <sheetViews>
    <sheetView workbookViewId="0">
      <selection activeCell="D12" sqref="D12"/>
    </sheetView>
  </sheetViews>
  <sheetFormatPr defaultRowHeight="14.4" x14ac:dyDescent="0.3"/>
  <cols>
    <col min="1" max="1" width="40.5546875" bestFit="1" customWidth="1"/>
    <col min="2" max="2" width="17" bestFit="1" customWidth="1"/>
  </cols>
  <sheetData>
    <row r="1" spans="1:2" ht="21" x14ac:dyDescent="0.4">
      <c r="A1" s="8" t="s">
        <v>62</v>
      </c>
      <c r="B1" s="11"/>
    </row>
    <row r="3" spans="1:2" x14ac:dyDescent="0.3">
      <c r="A3" s="6" t="s">
        <v>32</v>
      </c>
      <c r="B3" s="4">
        <f>COUNTA('DSS-SPK_Analysis'!A1:A10)-1</f>
        <v>3</v>
      </c>
    </row>
    <row r="4" spans="1:2" x14ac:dyDescent="0.3">
      <c r="A4" s="6" t="s">
        <v>33</v>
      </c>
      <c r="B4" s="5">
        <f>SUM('DSS-SPK_Analysis'!I:I)</f>
        <v>490500000</v>
      </c>
    </row>
    <row r="5" spans="1:2" x14ac:dyDescent="0.3">
      <c r="A5" s="6" t="s">
        <v>34</v>
      </c>
      <c r="B5" s="7" cm="1">
        <f t="array" ref="B5">SUMPRODUCT(ABS('DSS-SPK_Analysis'!H2:H11))</f>
        <v>21500000</v>
      </c>
    </row>
    <row r="6" spans="1:2" x14ac:dyDescent="0.3">
      <c r="A6" s="6" t="s">
        <v>35</v>
      </c>
      <c r="B6" s="22">
        <f>COUNTIF('DSS-SPK_Analysis'!G2:G10,"&lt;5")/COUNTA('DSS-SPK_Analysis'!G2:G10)*1</f>
        <v>0.66666666666666663</v>
      </c>
    </row>
    <row r="7" spans="1:2" x14ac:dyDescent="0.3">
      <c r="A7" s="6" t="s">
        <v>36</v>
      </c>
      <c r="B7" s="4">
        <f>COUNTIF('DSS-SPK_Analysis'!N:N,"Low Stock")</f>
        <v>0</v>
      </c>
    </row>
    <row r="8" spans="1:2" x14ac:dyDescent="0.3">
      <c r="A8" s="6" t="s">
        <v>37</v>
      </c>
      <c r="B8" s="4">
        <f>COUNTIF('DSS-SPK_Analysis'!N:N,"Overstock")</f>
        <v>0</v>
      </c>
    </row>
    <row r="9" spans="1:2" x14ac:dyDescent="0.3">
      <c r="A9" s="6" t="s">
        <v>38</v>
      </c>
      <c r="B9" s="4">
        <f>COUNTIF('DSS-SPK_Analysis'!N:N,"Reorder")</f>
        <v>2</v>
      </c>
    </row>
    <row r="10" spans="1:2" x14ac:dyDescent="0.3">
      <c r="A10" s="6" t="s">
        <v>39</v>
      </c>
      <c r="B10" s="4">
        <f>COUNTIF('DSS-SPK_Analysis'!P:P,"A")</f>
        <v>0</v>
      </c>
    </row>
    <row r="11" spans="1:2" x14ac:dyDescent="0.3">
      <c r="A11" s="6" t="s">
        <v>40</v>
      </c>
      <c r="B11" s="4">
        <f>COUNTIF('DSS-SPK_Analysis'!P:P,"B")</f>
        <v>1</v>
      </c>
    </row>
    <row r="12" spans="1:2" x14ac:dyDescent="0.3">
      <c r="A12" s="6" t="s">
        <v>41</v>
      </c>
      <c r="B12" s="4">
        <f>COUNTIF('DSS-SPK_Analysis'!P:P,"C")</f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2F7C-5CC2-44E4-81CD-1797F3282121}">
  <dimension ref="A1:Q12"/>
  <sheetViews>
    <sheetView topLeftCell="G1" zoomScale="70" zoomScaleNormal="70" workbookViewId="0">
      <pane ySplit="1" topLeftCell="A2" activePane="bottomLeft" state="frozen"/>
      <selection activeCell="F1" sqref="F1"/>
      <selection pane="bottomLeft" activeCell="H2" sqref="H2:H4"/>
    </sheetView>
  </sheetViews>
  <sheetFormatPr defaultColWidth="8.77734375" defaultRowHeight="14.4" x14ac:dyDescent="0.3"/>
  <cols>
    <col min="1" max="1" width="21.21875" style="14" bestFit="1" customWidth="1"/>
    <col min="2" max="2" width="18.77734375" style="14" bestFit="1" customWidth="1"/>
    <col min="3" max="3" width="10.33203125" style="14" bestFit="1" customWidth="1"/>
    <col min="4" max="5" width="19.5546875" style="14" bestFit="1" customWidth="1"/>
    <col min="6" max="6" width="25.44140625" style="14" bestFit="1" customWidth="1"/>
    <col min="7" max="7" width="34.44140625" style="14" bestFit="1" customWidth="1"/>
    <col min="8" max="8" width="27.88671875" style="20" bestFit="1" customWidth="1"/>
    <col min="9" max="9" width="32.109375" style="20" bestFit="1" customWidth="1"/>
    <col min="10" max="10" width="35.21875" style="14" bestFit="1" customWidth="1"/>
    <col min="11" max="11" width="39.88671875" style="14" bestFit="1" customWidth="1"/>
    <col min="12" max="12" width="58.21875" style="14" bestFit="1" customWidth="1"/>
    <col min="13" max="13" width="39.77734375" style="14" bestFit="1" customWidth="1"/>
    <col min="14" max="14" width="59.6640625" style="14" bestFit="1" customWidth="1"/>
    <col min="15" max="15" width="48.5546875" style="14" bestFit="1" customWidth="1"/>
    <col min="16" max="16" width="56" style="14" bestFit="1" customWidth="1"/>
    <col min="17" max="17" width="73.5546875" style="14" bestFit="1" customWidth="1"/>
    <col min="18" max="16384" width="8.77734375" style="14"/>
  </cols>
  <sheetData>
    <row r="1" spans="1:17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20</v>
      </c>
      <c r="G1" s="12" t="s">
        <v>21</v>
      </c>
      <c r="H1" s="13" t="s">
        <v>22</v>
      </c>
      <c r="I1" s="13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</row>
    <row r="2" spans="1:17" x14ac:dyDescent="0.3">
      <c r="A2" s="15" t="str">
        <f>Input_Data!A2</f>
        <v>PRD001</v>
      </c>
      <c r="B2" s="15" t="str">
        <f>Input_Data!B2</f>
        <v>Laptop Dell Inspiron</v>
      </c>
      <c r="C2" s="15" t="str">
        <f>Input_Data!C2</f>
        <v>Electronics</v>
      </c>
      <c r="D2" s="15">
        <f>Input_Data!D2</f>
        <v>50</v>
      </c>
      <c r="E2" s="15">
        <f>Input_Data!E2</f>
        <v>48</v>
      </c>
      <c r="F2" s="15">
        <f>E2-D2</f>
        <v>-2</v>
      </c>
      <c r="G2" s="15">
        <f>IF(D2&lt;&gt;0,F2/D2*100,0)</f>
        <v>-4</v>
      </c>
      <c r="H2" s="16">
        <f>F2*Input_Data!F2</f>
        <v>-17000000</v>
      </c>
      <c r="I2" s="16">
        <f>E2*Input_Data!F2</f>
        <v>408000000</v>
      </c>
      <c r="J2" s="15">
        <f>Input_Data!J2*365</f>
        <v>2920</v>
      </c>
      <c r="K2" s="15">
        <f>CEILING(Input_Data!J2*SQRT(Input_Data!I2)*1.65,1)</f>
        <v>35</v>
      </c>
      <c r="L2" s="15">
        <f>(Input_Data!J2*Input_Data!I2)+K2</f>
        <v>91</v>
      </c>
      <c r="M2" s="15">
        <f>CEILING(SQRT((2*J2*Input_Data!K2)/(Input_Data!F2*Input_Data!L2)),1)</f>
        <v>12</v>
      </c>
      <c r="N2" s="15" t="str">
        <f>IF(E2&lt;=Input_Data!G2,"Low Stock",IF(E2&gt;=Input_Data!H2,"Overstock",IF(E2&lt;=L2,"Reorder","Normal")))</f>
        <v>Reorder</v>
      </c>
      <c r="O2" s="15">
        <f>IF(E2&lt;&gt;0,J2/E2,0)</f>
        <v>60.833333333333336</v>
      </c>
      <c r="P2" s="15" t="str">
        <f>IF(Q2&lt;=80,"A",IF(Q2&lt;=95,"B","C"))</f>
        <v>B</v>
      </c>
      <c r="Q2" s="15">
        <f>SUMIF(I:I,"&gt;="&amp;I2,I:I)/SUM(I:I)*100</f>
        <v>83.180428134556578</v>
      </c>
    </row>
    <row r="3" spans="1:17" x14ac:dyDescent="0.3">
      <c r="A3" s="15" t="str">
        <f>Input_Data!A3</f>
        <v>PRD002</v>
      </c>
      <c r="B3" s="15" t="str">
        <f>Input_Data!B3</f>
        <v>Mouse Wireless</v>
      </c>
      <c r="C3" s="15" t="str">
        <f>Input_Data!C3</f>
        <v>Accessories</v>
      </c>
      <c r="D3" s="15">
        <f>Input_Data!D3</f>
        <v>120</v>
      </c>
      <c r="E3" s="15">
        <f>Input_Data!E3</f>
        <v>125</v>
      </c>
      <c r="F3" s="15">
        <f>E3-D3</f>
        <v>5</v>
      </c>
      <c r="G3" s="15">
        <f>IF(D3&lt;&gt;0,F3/D3*100,0)</f>
        <v>4.1666666666666661</v>
      </c>
      <c r="H3" s="16">
        <f>F3*Input_Data!F3</f>
        <v>750000</v>
      </c>
      <c r="I3" s="16">
        <f>E3*Input_Data!F3</f>
        <v>18750000</v>
      </c>
      <c r="J3" s="15">
        <f>Input_Data!J3*365</f>
        <v>5475</v>
      </c>
      <c r="K3" s="15">
        <f>CEILING(Input_Data!J3*SQRT(Input_Data!I3)*1.65,1)</f>
        <v>43</v>
      </c>
      <c r="L3" s="15">
        <f>(Input_Data!J3*Input_Data!I3)+K3</f>
        <v>88</v>
      </c>
      <c r="M3" s="15">
        <f>CEILING(SQRT((2*J3*Input_Data!K3)/(Input_Data!F3*Input_Data!L3)),1)</f>
        <v>121</v>
      </c>
      <c r="N3" s="15" t="str">
        <f>IF(E3&lt;=Input_Data!G3,"Low Stock",IF(E3&gt;=Input_Data!H3,"Overstock",IF(E3&lt;=L3,"Reorder","Normal")))</f>
        <v>Normal</v>
      </c>
      <c r="O3" s="15">
        <f>IF(E3&lt;&gt;0,J3/E3,0)</f>
        <v>43.8</v>
      </c>
      <c r="P3" s="15" t="str">
        <f>IF(Q3&lt;=80,"A",IF(Q3&lt;=95,"B","C"))</f>
        <v>C</v>
      </c>
      <c r="Q3" s="15">
        <f>SUMIF(I:I,"&gt;="&amp;I3,I:I)/SUM(I:I)*100</f>
        <v>100</v>
      </c>
    </row>
    <row r="4" spans="1:17" x14ac:dyDescent="0.3">
      <c r="A4" s="15" t="str">
        <f>Input_Data!A4</f>
        <v>PRD003</v>
      </c>
      <c r="B4" s="15" t="str">
        <f>Input_Data!B4</f>
        <v>Keyboard Mechanical</v>
      </c>
      <c r="C4" s="15" t="str">
        <f>Input_Data!C4</f>
        <v>Accessories</v>
      </c>
      <c r="D4" s="15">
        <f>Input_Data!D4</f>
        <v>80</v>
      </c>
      <c r="E4" s="15">
        <f>Input_Data!E4</f>
        <v>85</v>
      </c>
      <c r="F4" s="15">
        <f>E4-D4</f>
        <v>5</v>
      </c>
      <c r="G4" s="15">
        <f>IF(D4&lt;&gt;0,F4/D4*100,0)</f>
        <v>6.25</v>
      </c>
      <c r="H4" s="16">
        <f>F4*Input_Data!F4</f>
        <v>3750000</v>
      </c>
      <c r="I4" s="16">
        <f>E4*Input_Data!F4</f>
        <v>63750000</v>
      </c>
      <c r="J4" s="15">
        <f>Input_Data!J4*365</f>
        <v>4380</v>
      </c>
      <c r="K4" s="15">
        <f>CEILING(Input_Data!J4*SQRT(Input_Data!I4)*1.65,1)</f>
        <v>45</v>
      </c>
      <c r="L4" s="15">
        <f>(Input_Data!J4*Input_Data!I4)+K4</f>
        <v>105</v>
      </c>
      <c r="M4" s="15">
        <f>CEILING(SQRT((2*J4*Input_Data!K4)/(Input_Data!F4*Input_Data!L4)),1)</f>
        <v>49</v>
      </c>
      <c r="N4" s="15" t="str">
        <f>IF(E4&lt;=Input_Data!G4,"Low Stock",IF(E4&gt;=Input_Data!H4,"Overstock",IF(E4&lt;=L4,"Reorder","Normal")))</f>
        <v>Reorder</v>
      </c>
      <c r="O4" s="15">
        <f>IF(E4&lt;&gt;0,J4/E4,0)</f>
        <v>51.529411764705884</v>
      </c>
      <c r="P4" s="15" t="str">
        <f>IF(Q4&lt;=80,"A",IF(Q4&lt;=95,"B","C"))</f>
        <v>C</v>
      </c>
      <c r="Q4" s="15">
        <f>SUMIF(I:I,"&gt;="&amp;I4,I:I)/SUM(I:I)*100</f>
        <v>96.177370030581045</v>
      </c>
    </row>
    <row r="12" spans="1:17" x14ac:dyDescent="0.3">
      <c r="H12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11CD-91B3-4735-8989-230A7EA33EEE}">
  <dimension ref="A7:Q7"/>
  <sheetViews>
    <sheetView workbookViewId="0">
      <selection activeCell="E9" sqref="E9"/>
    </sheetView>
  </sheetViews>
  <sheetFormatPr defaultRowHeight="14.4" x14ac:dyDescent="0.3"/>
  <sheetData>
    <row r="7" spans="1:17" s="17" customFormat="1" ht="78" customHeight="1" x14ac:dyDescent="0.3">
      <c r="A7" s="21" t="s">
        <v>65</v>
      </c>
      <c r="B7" s="21" t="s">
        <v>66</v>
      </c>
      <c r="C7" s="21" t="s">
        <v>66</v>
      </c>
      <c r="D7" s="17" t="s">
        <v>67</v>
      </c>
      <c r="E7" s="17" t="s">
        <v>67</v>
      </c>
      <c r="F7" s="18" t="s">
        <v>78</v>
      </c>
      <c r="G7" s="18" t="s">
        <v>69</v>
      </c>
      <c r="H7" s="19" t="s">
        <v>68</v>
      </c>
      <c r="I7" s="19" t="s">
        <v>64</v>
      </c>
      <c r="J7" s="18" t="s">
        <v>76</v>
      </c>
      <c r="K7" s="18" t="s">
        <v>75</v>
      </c>
      <c r="L7" s="18" t="s">
        <v>74</v>
      </c>
      <c r="M7" s="18" t="s">
        <v>73</v>
      </c>
      <c r="N7" s="17" t="s">
        <v>77</v>
      </c>
      <c r="O7" s="18" t="s">
        <v>72</v>
      </c>
      <c r="P7" s="18" t="s">
        <v>71</v>
      </c>
      <c r="Q7" s="18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ECF0-9BA2-4572-A76E-2708988269B7}">
  <dimension ref="A1:L4"/>
  <sheetViews>
    <sheetView workbookViewId="0">
      <selection activeCell="G14" sqref="G14"/>
    </sheetView>
  </sheetViews>
  <sheetFormatPr defaultRowHeight="14.4" x14ac:dyDescent="0.3"/>
  <cols>
    <col min="1" max="1" width="12.77734375" bestFit="1" customWidth="1"/>
    <col min="2" max="2" width="18.77734375" bestFit="1" customWidth="1"/>
    <col min="3" max="3" width="10.33203125" bestFit="1" customWidth="1"/>
    <col min="4" max="4" width="12.33203125" bestFit="1" customWidth="1"/>
    <col min="5" max="5" width="11.6640625" bestFit="1" customWidth="1"/>
    <col min="6" max="6" width="12.33203125" style="1" bestFit="1" customWidth="1"/>
    <col min="7" max="7" width="9.6640625" bestFit="1" customWidth="1"/>
    <col min="8" max="8" width="10" bestFit="1" customWidth="1"/>
    <col min="9" max="9" width="14.88671875" bestFit="1" customWidth="1"/>
    <col min="10" max="10" width="17.21875" bestFit="1" customWidth="1"/>
    <col min="11" max="11" width="14.21875" style="1" bestFit="1" customWidth="1"/>
    <col min="12" max="12" width="16.777343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2" x14ac:dyDescent="0.3">
      <c r="A2" s="4" t="s">
        <v>12</v>
      </c>
      <c r="B2" s="4" t="s">
        <v>13</v>
      </c>
      <c r="C2" s="4" t="s">
        <v>14</v>
      </c>
      <c r="D2" s="4">
        <v>50</v>
      </c>
      <c r="E2" s="4">
        <v>48</v>
      </c>
      <c r="F2" s="5">
        <v>8500000</v>
      </c>
      <c r="G2" s="4">
        <v>10</v>
      </c>
      <c r="H2" s="4">
        <v>100</v>
      </c>
      <c r="I2" s="4">
        <v>7</v>
      </c>
      <c r="J2" s="4">
        <v>8</v>
      </c>
      <c r="K2" s="5">
        <v>50000</v>
      </c>
      <c r="L2" s="4">
        <v>0.25</v>
      </c>
    </row>
    <row r="3" spans="1:12" x14ac:dyDescent="0.3">
      <c r="A3" s="4" t="s">
        <v>15</v>
      </c>
      <c r="B3" s="4" t="s">
        <v>16</v>
      </c>
      <c r="C3" s="4" t="s">
        <v>17</v>
      </c>
      <c r="D3" s="4">
        <v>120</v>
      </c>
      <c r="E3" s="4">
        <v>125</v>
      </c>
      <c r="F3" s="5">
        <v>150000</v>
      </c>
      <c r="G3" s="4">
        <v>20</v>
      </c>
      <c r="H3" s="4">
        <v>200</v>
      </c>
      <c r="I3" s="4">
        <v>3</v>
      </c>
      <c r="J3" s="4">
        <v>15</v>
      </c>
      <c r="K3" s="5">
        <v>50000</v>
      </c>
      <c r="L3" s="4">
        <v>0.25</v>
      </c>
    </row>
    <row r="4" spans="1:12" x14ac:dyDescent="0.3">
      <c r="A4" s="4" t="s">
        <v>18</v>
      </c>
      <c r="B4" s="4" t="s">
        <v>19</v>
      </c>
      <c r="C4" s="4" t="s">
        <v>17</v>
      </c>
      <c r="D4" s="4">
        <v>80</v>
      </c>
      <c r="E4" s="4">
        <v>85</v>
      </c>
      <c r="F4" s="5">
        <v>750000</v>
      </c>
      <c r="G4" s="4">
        <v>15</v>
      </c>
      <c r="H4" s="4">
        <v>150</v>
      </c>
      <c r="I4" s="4">
        <v>5</v>
      </c>
      <c r="J4" s="4">
        <v>12</v>
      </c>
      <c r="K4" s="5">
        <v>50000</v>
      </c>
      <c r="L4" s="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Recommendations</vt:lpstr>
      <vt:lpstr>AHP Urgency Ranking</vt:lpstr>
      <vt:lpstr>Summary_Dashboard</vt:lpstr>
      <vt:lpstr>DSS-SPK_Analysis</vt:lpstr>
      <vt:lpstr>Sheet1</vt:lpstr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 mantiri2</dc:creator>
  <cp:lastModifiedBy>sasa mantiri2</cp:lastModifiedBy>
  <dcterms:created xsi:type="dcterms:W3CDTF">2025-06-27T05:40:15Z</dcterms:created>
  <dcterms:modified xsi:type="dcterms:W3CDTF">2025-07-06T06:50:42Z</dcterms:modified>
</cp:coreProperties>
</file>