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CA3BFBBD-7D91-43BB-A262-DF3F62AC6D95}" xr6:coauthVersionLast="47" xr6:coauthVersionMax="47" xr10:uidLastSave="{00000000-0000-0000-0000-000000000000}"/>
  <bookViews>
    <workbookView xWindow="-108" yWindow="-108" windowWidth="23256" windowHeight="13896" firstSheet="1" activeTab="1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F2" i="6"/>
  <c r="K2" i="6" s="1"/>
  <c r="E2" i="6"/>
  <c r="D2" i="6"/>
  <c r="C2" i="6"/>
  <c r="B2" i="6"/>
  <c r="N3" i="2"/>
  <c r="L10" i="6"/>
  <c r="K10" i="6"/>
  <c r="J10" i="6"/>
  <c r="I10" i="6"/>
  <c r="L9" i="6"/>
  <c r="K9" i="6"/>
  <c r="J9" i="6"/>
  <c r="I9" i="6"/>
  <c r="M9" i="6" s="1"/>
  <c r="L8" i="6"/>
  <c r="K8" i="6"/>
  <c r="J8" i="6"/>
  <c r="I8" i="6"/>
  <c r="L7" i="6"/>
  <c r="K7" i="6"/>
  <c r="J7" i="6"/>
  <c r="I7" i="6"/>
  <c r="L6" i="6"/>
  <c r="K6" i="6"/>
  <c r="J6" i="6"/>
  <c r="I6" i="6"/>
  <c r="L5" i="6"/>
  <c r="K5" i="6"/>
  <c r="J5" i="6"/>
  <c r="I5" i="6"/>
  <c r="L4" i="6"/>
  <c r="K4" i="6"/>
  <c r="J4" i="6"/>
  <c r="I4" i="6"/>
  <c r="L3" i="6"/>
  <c r="K3" i="6"/>
  <c r="J3" i="6"/>
  <c r="I3" i="6"/>
  <c r="L2" i="6"/>
  <c r="J2" i="6"/>
  <c r="I2" i="6"/>
  <c r="B5" i="3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M4" i="6" l="1"/>
  <c r="P4" i="6" s="1"/>
  <c r="M8" i="6"/>
  <c r="P8" i="6" s="1"/>
  <c r="M3" i="6"/>
  <c r="O3" i="6" s="1"/>
  <c r="M7" i="6"/>
  <c r="M10" i="6"/>
  <c r="O10" i="6" s="1"/>
  <c r="M6" i="6"/>
  <c r="O6" i="6" s="1"/>
  <c r="M5" i="6"/>
  <c r="M2" i="6"/>
  <c r="N7" i="6" s="1"/>
  <c r="P7" i="6"/>
  <c r="O7" i="6"/>
  <c r="P5" i="6"/>
  <c r="O5" i="6"/>
  <c r="P9" i="6"/>
  <c r="O9" i="6"/>
  <c r="P10" i="6"/>
  <c r="P6" i="6"/>
  <c r="O4" i="6"/>
  <c r="O8" i="6"/>
  <c r="N8" i="6"/>
  <c r="N4" i="2"/>
  <c r="G4" i="2"/>
  <c r="B6" i="3" s="1"/>
  <c r="O4" i="2"/>
  <c r="F3" i="2"/>
  <c r="H3" i="2" s="1"/>
  <c r="O2" i="2"/>
  <c r="O3" i="2"/>
  <c r="Q4" i="2"/>
  <c r="P4" i="2" s="1"/>
  <c r="I2" i="2"/>
  <c r="I3" i="2"/>
  <c r="Q3" i="2" s="1"/>
  <c r="P3" i="2" s="1"/>
  <c r="N2" i="2"/>
  <c r="F2" i="2"/>
  <c r="H2" i="2" s="1"/>
  <c r="N3" i="6" l="1"/>
  <c r="P3" i="6"/>
  <c r="P2" i="6"/>
  <c r="N2" i="6"/>
  <c r="N9" i="6"/>
  <c r="N4" i="6"/>
  <c r="N5" i="6"/>
  <c r="N10" i="6"/>
  <c r="N6" i="6"/>
  <c r="O2" i="6"/>
  <c r="Q2" i="6" s="1"/>
  <c r="R6" i="6"/>
  <c r="Q6" i="6"/>
  <c r="Q9" i="6"/>
  <c r="R9" i="6"/>
  <c r="R3" i="6"/>
  <c r="Q3" i="6"/>
  <c r="R5" i="6"/>
  <c r="Q5" i="6"/>
  <c r="R4" i="6"/>
  <c r="Q4" i="6"/>
  <c r="R10" i="6"/>
  <c r="Q10" i="6"/>
  <c r="Q8" i="6"/>
  <c r="R8" i="6"/>
  <c r="R7" i="6"/>
  <c r="Q7" i="6"/>
  <c r="G3" i="2"/>
  <c r="B7" i="3"/>
  <c r="B9" i="3"/>
  <c r="B8" i="3"/>
  <c r="Q2" i="2"/>
  <c r="P2" i="2" s="1"/>
  <c r="G2" i="2"/>
  <c r="R2" i="6" l="1"/>
  <c r="B11" i="3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<sst xmlns="http://schemas.openxmlformats.org/spreadsheetml/2006/main" count="117" uniqueCount="106">
  <si>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</si>
  <si>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</si>
  <si>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</si>
  <si>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</si>
  <si>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</si>
  <si>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</si>
  <si>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</si>
  <si>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</si>
  <si>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</si>
  <si>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</si>
  <si>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</si>
  <si>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</si>
  <si>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</si>
  <si>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</si>
  <si>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</si>
  <si>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</si>
  <si>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</si>
  <si>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</si>
  <si>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</si>
  <si>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</si>
  <si>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</si>
  <si>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</si>
  <si>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</si>
  <si>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</si>
  <si>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</si>
  <si>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</si>
  <si>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</si>
  <si>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</si>
  <si>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</si>
  <si>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</si>
  <si>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</si>
  <si>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</si>
  <si>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</si>
  <si>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</si>
  <si>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</si>
  <si>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</si>
  <si>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</si>
  <si>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</si>
  <si>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</si>
  <si>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</si>
  <si>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</si>
  <si>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</si>
  <si>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</si>
  <si>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</si>
  <si>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</si>
  <si>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</si>
  <si>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</si>
  <si>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</si>
  <si>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</si>
  <si>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</si>
  <si>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</si>
  <si>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</si>
  <si>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</si>
  <si>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</si>
  <si>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</si>
  <si>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</si>
  <si>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</si>
  <si>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</si>
  <si>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</si>
  <si>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</si>
  <si>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</si>
  <si>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</si>
  <si>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</si>
  <si>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</si>
  <si>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</si>
  <si>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</si>
  <si>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</si>
  <si>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</si>
  <si>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</si>
  <si>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</si>
  <si>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</si>
  <si>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</si>
  <si>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</si>
  <si>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</si>
  <si>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</si>
  <si>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</si>
  <si>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</si>
  <si>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</si>
  <si>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</si>
  <si>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</si>
  <si>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</si>
  <si>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</si>
  <si>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</si>
  <si>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</si>
  <si>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</si>
  <si>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</si>
  <si>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</si>
  <si>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</si>
  <si>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</si>
  <si>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</si>
  <si>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</si>
  <si>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Alasan</t>
  </si>
  <si>
    <t>Tindakan</t>
  </si>
  <si>
    <t>Jangka Waktu</t>
  </si>
  <si>
    <t>Normal</t>
  </si>
  <si>
    <t>ELC003</t>
  </si>
  <si>
    <t>Samsung Galaxy S24 Ultra</t>
  </si>
  <si>
    <t>Low Stock</t>
  </si>
  <si>
    <t>B</t>
  </si>
  <si>
    <t>ACC001</t>
  </si>
  <si>
    <t>Logitech MX Master 3S</t>
  </si>
  <si>
    <t>OFF002</t>
  </si>
  <si>
    <t>Document Camera</t>
  </si>
  <si>
    <t>Office</t>
  </si>
  <si>
    <t>Out of Stock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</si>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</sst>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R10"/>
  <sheetViews>
    <sheetView tabSelected="1" workbookViewId="0">
      <selection activeCell="G18" sqref="G18"/>
    </sheetView>
  </sheetViews>
  <sheetFormatPr defaultRowHeight="14.4" x14ac:dyDescent="0.3"/>
  <cols>
    <col min="1" max="1" width="3.44140625" bestFit="1" customWidth="1"/>
    <col min="2" max="2" width="11.88671875" bestFit="1" customWidth="1"/>
    <col min="3" max="3" width="22.2187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2" bestFit="1" customWidth="1"/>
    <col min="14" max="14" width="2" bestFit="1" customWidth="1"/>
    <col min="15" max="15" width="7.77734375" bestFit="1" customWidth="1"/>
    <col min="16" max="16" width="37.88671875" bestFit="1" customWidth="1"/>
    <col min="17" max="17" width="30.33203125" bestFit="1" customWidth="1"/>
    <col min="18" max="18" width="15.6640625" bestFit="1" customWidth="1"/>
  </cols>
  <sheetData>
    <row r="1" spans="1:18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/>
      <c r="N1" s="23"/>
      <c r="O1" s="23"/>
      <c r="P1" s="23" t="s">
        <v>91</v>
      </c>
      <c r="Q1" s="23" t="s">
        <v>92</v>
      </c>
      <c r="R1" s="23" t="s">
        <v>93</v>
      </c>
    </row>
    <row r="2" spans="1:18" x14ac:dyDescent="0.3">
      <c r="B2" t="str">
        <f>SPK_Analysis!A2</f>
        <v>PRD001</v>
      </c>
      <c r="C2" t="str">
        <f>SPK_Analysis!B2</f>
        <v>Laptop Dell Inspiron</v>
      </c>
      <c r="D2" t="str">
        <f>SPK_Analysis!C2</f>
        <v>Electronics</v>
      </c>
      <c r="E2">
        <f>SPK_Analysis!E2</f>
        <v>48</v>
      </c>
      <c r="F2" t="str">
        <f>SPK_Analysis!P2</f>
        <v>B</v>
      </c>
      <c r="G2">
        <f>SPK_Analysis!E2</f>
        <v>48</v>
      </c>
      <c r="I2">
        <f t="shared" ref="I2:I10" si="0">IF(E2="Out of Stock",100,IF(E2="Reorder",90,IF(E2="Low Stock",80,IF(E2="Overstock",60,50))))</f>
        <v>50</v>
      </c>
      <c r="J2">
        <f t="shared" ref="J2:J10" si="1">IF(MAX(H$2:H$10)&gt;0,(H2/MAX(H$2:H$10))*100,0)</f>
        <v>0</v>
      </c>
      <c r="K2">
        <f t="shared" ref="K2:K10" si="2">IF(F2="A",90,IF(F2="B",70,40))</f>
        <v>70</v>
      </c>
      <c r="L2">
        <f t="shared" ref="L2:L10" si="3">IF(D2="Electronics",80,IF(D2="Office",70,60))</f>
        <v>80</v>
      </c>
      <c r="M2">
        <f t="shared" ref="M2:M10" si="4">(I2*0.45)+(J2*0.3)+(K2*0.15)+(L2*0.1)</f>
        <v>41</v>
      </c>
      <c r="N2">
        <f t="shared" ref="N2:N10" si="5">RANK(M2,M$2:M$10,0)</f>
        <v>4</v>
      </c>
      <c r="O2" t="str">
        <f t="shared" ref="O2:O10" si="6">IF(M2&gt;=83,"KRITIS",IF(M2&gt;=58,"TINGGI",IF(M2&gt;=33,"SEDANG","RENDAH")))</f>
        <v>SEDANG</v>
      </c>
      <c r="P2" t="str">
        <f t="shared" ref="P2:P10" si="7">IF(E2="Out of Stock","Stok habis - memerlukan pemesanan darurat",IF(E2="Reorder","Mencapai titik pemesanan kembali",IF(M2&gt;=83,"Skor AHP tinggi - prioritas kritis",IF(M2&gt;=58,"Skor AHP sedang-tinggi - perlu perhatian","Kondisi stok dalam batas normal"))))</f>
        <v>Kondisi stok dalam batas normal</v>
      </c>
      <c r="Q2" t="str">
        <f t="shared" ref="Q2:Q10" si="8">IF(O2="KRITIS","Buat pesanan berdasarkan EOQ",IF(O2="TINGGI","Terapkan strategi sesuai kondisi",IF(O2="SEDANG","Pantau dan rencanakan pemesanan","Pantau berkala")))</f>
        <v>Pantau dan rencanakan pemesanan</v>
      </c>
      <c r="R2" t="str">
        <f t="shared" ref="R2:R10" si="9">IF(O2="KRITIS","Segera",IF(O2="TINGGI","Dalam 1-10 hari",IF(O2="SEDANG","Dalam 1-4 minggu","Bulanan")))</f>
        <v>Dalam 1-4 minggu</v>
      </c>
    </row>
    <row r="3" spans="1:18" x14ac:dyDescent="0.3">
      <c r="I3">
        <f t="shared" si="0"/>
        <v>50</v>
      </c>
      <c r="J3">
        <f t="shared" si="1"/>
        <v>0</v>
      </c>
      <c r="K3">
        <f t="shared" si="2"/>
        <v>40</v>
      </c>
      <c r="L3">
        <f t="shared" si="3"/>
        <v>60</v>
      </c>
      <c r="M3">
        <f t="shared" si="4"/>
        <v>34.5</v>
      </c>
      <c r="N3">
        <f t="shared" si="5"/>
        <v>5</v>
      </c>
      <c r="O3" t="str">
        <f t="shared" si="6"/>
        <v>SEDANG</v>
      </c>
      <c r="P3" t="str">
        <f t="shared" si="7"/>
        <v>Kondisi stok dalam batas normal</v>
      </c>
      <c r="Q3" t="str">
        <f t="shared" si="8"/>
        <v>Pantau dan rencanakan pemesanan</v>
      </c>
      <c r="R3" t="str">
        <f t="shared" si="9"/>
        <v>Dalam 1-4 minggu</v>
      </c>
    </row>
    <row r="4" spans="1:18" x14ac:dyDescent="0.3">
      <c r="A4">
        <v>3</v>
      </c>
      <c r="B4" t="s">
        <v>95</v>
      </c>
      <c r="C4" t="s">
        <v>96</v>
      </c>
      <c r="D4" t="s">
        <v>14</v>
      </c>
      <c r="E4" t="s">
        <v>97</v>
      </c>
      <c r="F4" t="s">
        <v>98</v>
      </c>
      <c r="G4">
        <v>8</v>
      </c>
      <c r="H4">
        <v>144000000</v>
      </c>
      <c r="I4">
        <f t="shared" si="0"/>
        <v>80</v>
      </c>
      <c r="J4">
        <f t="shared" si="1"/>
        <v>100</v>
      </c>
      <c r="K4">
        <f t="shared" si="2"/>
        <v>70</v>
      </c>
      <c r="L4">
        <f t="shared" si="3"/>
        <v>80</v>
      </c>
      <c r="M4">
        <f t="shared" si="4"/>
        <v>84.5</v>
      </c>
      <c r="N4">
        <f t="shared" si="5"/>
        <v>1</v>
      </c>
      <c r="O4" t="str">
        <f t="shared" si="6"/>
        <v>KRITIS</v>
      </c>
      <c r="P4" t="str">
        <f t="shared" si="7"/>
        <v>Skor AHP tinggi - prioritas kritis</v>
      </c>
      <c r="Q4" t="str">
        <f t="shared" si="8"/>
        <v>Buat pesanan berdasarkan EOQ</v>
      </c>
      <c r="R4" t="str">
        <f t="shared" si="9"/>
        <v>Segera</v>
      </c>
    </row>
    <row r="5" spans="1:18" x14ac:dyDescent="0.3">
      <c r="A5">
        <v>4</v>
      </c>
      <c r="B5" t="s">
        <v>99</v>
      </c>
      <c r="C5" t="s">
        <v>100</v>
      </c>
      <c r="D5" t="s">
        <v>17</v>
      </c>
      <c r="E5" t="s">
        <v>94</v>
      </c>
      <c r="F5" t="s">
        <v>98</v>
      </c>
      <c r="G5">
        <v>85</v>
      </c>
      <c r="H5">
        <v>102000000</v>
      </c>
      <c r="I5">
        <f t="shared" si="0"/>
        <v>50</v>
      </c>
      <c r="J5">
        <f t="shared" si="1"/>
        <v>70.833333333333343</v>
      </c>
      <c r="K5">
        <f t="shared" si="2"/>
        <v>70</v>
      </c>
      <c r="L5">
        <f t="shared" si="3"/>
        <v>60</v>
      </c>
      <c r="M5">
        <f t="shared" si="4"/>
        <v>60.25</v>
      </c>
      <c r="N5">
        <f t="shared" si="5"/>
        <v>2</v>
      </c>
      <c r="O5" t="str">
        <f t="shared" si="6"/>
        <v>TINGGI</v>
      </c>
      <c r="P5" t="str">
        <f t="shared" si="7"/>
        <v>Skor AHP sedang-tinggi - perlu perhatian</v>
      </c>
      <c r="Q5" t="str">
        <f t="shared" si="8"/>
        <v>Terapkan strategi sesuai kondisi</v>
      </c>
      <c r="R5" t="str">
        <f t="shared" si="9"/>
        <v>Dalam 1-10 hari</v>
      </c>
    </row>
    <row r="6" spans="1:18" x14ac:dyDescent="0.3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>
        <v>0</v>
      </c>
      <c r="H6">
        <v>0</v>
      </c>
      <c r="I6">
        <f t="shared" si="0"/>
        <v>100</v>
      </c>
      <c r="J6">
        <f t="shared" si="1"/>
        <v>0</v>
      </c>
      <c r="K6">
        <f t="shared" si="2"/>
        <v>40</v>
      </c>
      <c r="L6">
        <f t="shared" si="3"/>
        <v>70</v>
      </c>
      <c r="M6">
        <f t="shared" si="4"/>
        <v>58</v>
      </c>
      <c r="N6">
        <f t="shared" si="5"/>
        <v>3</v>
      </c>
      <c r="O6" t="str">
        <f t="shared" si="6"/>
        <v>TINGGI</v>
      </c>
      <c r="P6" t="str">
        <f t="shared" si="7"/>
        <v>Stok habis - memerlukan pemesanan darurat</v>
      </c>
      <c r="Q6" t="str">
        <f t="shared" si="8"/>
        <v>Terapkan strategi sesuai kondisi</v>
      </c>
      <c r="R6" t="str">
        <f t="shared" si="9"/>
        <v>Dalam 1-10 hari</v>
      </c>
    </row>
    <row r="7" spans="1:18" x14ac:dyDescent="0.3">
      <c r="I7">
        <f t="shared" si="0"/>
        <v>50</v>
      </c>
      <c r="J7">
        <f t="shared" si="1"/>
        <v>0</v>
      </c>
      <c r="K7">
        <f t="shared" si="2"/>
        <v>40</v>
      </c>
      <c r="L7">
        <f t="shared" si="3"/>
        <v>60</v>
      </c>
      <c r="M7">
        <f t="shared" si="4"/>
        <v>34.5</v>
      </c>
      <c r="N7">
        <f t="shared" si="5"/>
        <v>5</v>
      </c>
      <c r="O7" t="str">
        <f t="shared" si="6"/>
        <v>SEDANG</v>
      </c>
      <c r="P7" t="str">
        <f t="shared" si="7"/>
        <v>Kondisi stok dalam batas normal</v>
      </c>
      <c r="Q7" t="str">
        <f t="shared" si="8"/>
        <v>Pantau dan rencanakan pemesanan</v>
      </c>
      <c r="R7" t="str">
        <f t="shared" si="9"/>
        <v>Dalam 1-4 minggu</v>
      </c>
    </row>
    <row r="8" spans="1:18" x14ac:dyDescent="0.3">
      <c r="I8">
        <f t="shared" si="0"/>
        <v>50</v>
      </c>
      <c r="J8">
        <f t="shared" si="1"/>
        <v>0</v>
      </c>
      <c r="K8">
        <f t="shared" si="2"/>
        <v>40</v>
      </c>
      <c r="L8">
        <f t="shared" si="3"/>
        <v>60</v>
      </c>
      <c r="M8">
        <f t="shared" si="4"/>
        <v>34.5</v>
      </c>
      <c r="N8">
        <f t="shared" si="5"/>
        <v>5</v>
      </c>
      <c r="O8" t="str">
        <f t="shared" si="6"/>
        <v>SEDANG</v>
      </c>
      <c r="P8" t="str">
        <f t="shared" si="7"/>
        <v>Kondisi stok dalam batas normal</v>
      </c>
      <c r="Q8" t="str">
        <f t="shared" si="8"/>
        <v>Pantau dan rencanakan pemesanan</v>
      </c>
      <c r="R8" t="str">
        <f t="shared" si="9"/>
        <v>Dalam 1-4 minggu</v>
      </c>
    </row>
    <row r="9" spans="1:18" x14ac:dyDescent="0.3">
      <c r="I9">
        <f t="shared" si="0"/>
        <v>50</v>
      </c>
      <c r="J9">
        <f t="shared" si="1"/>
        <v>0</v>
      </c>
      <c r="K9">
        <f t="shared" si="2"/>
        <v>40</v>
      </c>
      <c r="L9">
        <f t="shared" si="3"/>
        <v>60</v>
      </c>
      <c r="M9">
        <f t="shared" si="4"/>
        <v>34.5</v>
      </c>
      <c r="N9">
        <f t="shared" si="5"/>
        <v>5</v>
      </c>
      <c r="O9" t="str">
        <f t="shared" si="6"/>
        <v>SEDANG</v>
      </c>
      <c r="P9" t="str">
        <f t="shared" si="7"/>
        <v>Kondisi stok dalam batas normal</v>
      </c>
      <c r="Q9" t="str">
        <f t="shared" si="8"/>
        <v>Pantau dan rencanakan pemesanan</v>
      </c>
      <c r="R9" t="str">
        <f t="shared" si="9"/>
        <v>Dalam 1-4 minggu</v>
      </c>
    </row>
    <row r="10" spans="1:18" x14ac:dyDescent="0.3">
      <c r="I10">
        <f t="shared" si="0"/>
        <v>50</v>
      </c>
      <c r="J10">
        <f t="shared" si="1"/>
        <v>0</v>
      </c>
      <c r="K10">
        <f t="shared" si="2"/>
        <v>40</v>
      </c>
      <c r="L10">
        <f t="shared" si="3"/>
        <v>60</v>
      </c>
      <c r="M10">
        <f t="shared" si="4"/>
        <v>34.5</v>
      </c>
      <c r="N10">
        <f t="shared" si="5"/>
        <v>5</v>
      </c>
      <c r="O10" t="str">
        <f t="shared" si="6"/>
        <v>SEDANG</v>
      </c>
      <c r="P10" t="str">
        <f t="shared" si="7"/>
        <v>Kondisi stok dalam batas normal</v>
      </c>
      <c r="Q10" t="str">
        <f t="shared" si="8"/>
        <v>Pantau dan rencanakan pemesanan</v>
      </c>
      <c r="R10" t="str">
        <f t="shared" si="9"/>
        <v>Dalam 1-4 minggu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COUNTA(SPK_Analysis!A1:A10)-1</f>
        <v>3</v>
      </c>
    </row>
    <row r="4" spans="1:2" x14ac:dyDescent="0.3">
      <c r="A4" s="6" t="s">
        <v>33</v>
      </c>
      <c r="B4" s="5">
        <f>SUM(SPK_Analysis!I:I)</f>
        <v>490500000</v>
      </c>
    </row>
    <row r="5" spans="1:2" x14ac:dyDescent="0.3">
      <c r="A5" s="6" t="s">
        <v>34</v>
      </c>
      <c r="B5" s="7" cm="1">
        <f t="array" ref="B5">SUMPRODUCT(ABS(SPK_Analysis!H2:H11))</f>
        <v>21500000</v>
      </c>
    </row>
    <row r="6" spans="1:2" x14ac:dyDescent="0.3">
      <c r="A6" s="6" t="s">
        <v>35</v>
      </c>
      <c r="B6" s="22">
        <f>COUNTIF(SPK_Analysis!G2:G10,"&lt;5")/COUNTA(SPK_Analysis!G2:G10)*1</f>
        <v>0.66666666666666663</v>
      </c>
    </row>
    <row r="7" spans="1:2" x14ac:dyDescent="0.3">
      <c r="A7" s="6" t="s">
        <v>36</v>
      </c>
      <c r="B7" s="4">
        <f>COUNTIF(SPK_Analysis!N:N,"Low Stock")</f>
        <v>0</v>
      </c>
    </row>
    <row r="8" spans="1:2" x14ac:dyDescent="0.3">
      <c r="A8" s="6" t="s">
        <v>37</v>
      </c>
      <c r="B8" s="4">
        <f>COUNTIF(SPK_Analysis!N:N,"Overstock")</f>
        <v>0</v>
      </c>
    </row>
    <row r="9" spans="1:2" x14ac:dyDescent="0.3">
      <c r="A9" s="6" t="s">
        <v>38</v>
      </c>
      <c r="B9" s="4">
        <f>COUNTIF(SPK_Analysis!N:N,"Reorder")</f>
        <v>2</v>
      </c>
    </row>
    <row r="10" spans="1:2" x14ac:dyDescent="0.3">
      <c r="A10" s="6" t="s">
        <v>39</v>
      </c>
      <c r="B10" s="4">
        <f>COUNTIF(SPK_Analysis!P:P,"A")</f>
        <v>0</v>
      </c>
    </row>
    <row r="11" spans="1:2" x14ac:dyDescent="0.3">
      <c r="A11" s="6" t="s">
        <v>40</v>
      </c>
      <c r="B11" s="4">
        <f>COUNTIF(SPK_Analysis!P:P,"B")</f>
        <v>1</v>
      </c>
    </row>
    <row r="12" spans="1:2" x14ac:dyDescent="0.3">
      <c r="A12" s="6" t="s">
        <v>41</v>
      </c>
      <c r="B12" s="4">
        <f>COUNTIF(SPK_Analysis!P:P,"C")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zoomScale="70" zoomScaleNormal="70" workbookViewId="0">
      <pane ySplit="1" topLeftCell="A2" activePane="bottomLeft" state="frozen"/>
      <selection activeCell="F1" sqref="F1"/>
      <selection pane="bottomLeft" activeCell="N3" sqref="N3"/>
    </sheetView>
  </sheetViews>
  <sheetFormatPr defaultColWidth="8.77734375" defaultRowHeight="14.4" x14ac:dyDescent="0.3"/>
  <cols>
    <col min="1" max="1" width="21.21875" style="14" bestFit="1" customWidth="1"/>
    <col min="2" max="2" width="18.77734375" style="14" bestFit="1" customWidth="1"/>
    <col min="3" max="3" width="10.33203125" style="14" bestFit="1" customWidth="1"/>
    <col min="4" max="5" width="19.5546875" style="14" bestFit="1" customWidth="1"/>
    <col min="6" max="6" width="25.44140625" style="14" bestFit="1" customWidth="1"/>
    <col min="7" max="7" width="34.44140625" style="14" bestFit="1" customWidth="1"/>
    <col min="8" max="8" width="27.88671875" style="20" bestFit="1" customWidth="1"/>
    <col min="9" max="9" width="32.109375" style="20" bestFit="1" customWidth="1"/>
    <col min="10" max="10" width="35.21875" style="14" bestFit="1" customWidth="1"/>
    <col min="11" max="11" width="39.88671875" style="14" bestFit="1" customWidth="1"/>
    <col min="12" max="12" width="58.21875" style="14" bestFit="1" customWidth="1"/>
    <col min="13" max="13" width="39.77734375" style="14" bestFit="1" customWidth="1"/>
    <col min="14" max="14" width="59.6640625" style="14" bestFit="1" customWidth="1"/>
    <col min="15" max="15" width="48.5546875" style="14" bestFit="1" customWidth="1"/>
    <col min="16" max="16" width="56" style="14" bestFit="1" customWidth="1"/>
    <col min="17" max="17" width="73.554687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2025-07-06T07:07:13Z</dcterms:modified>
</cp:coreProperties>
</file>