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P-SPK-StockOpname-TSX\"/>
    </mc:Choice>
  </mc:AlternateContent>
  <xr:revisionPtr revIDLastSave="0" documentId="8_{FD893344-029E-4C5A-84AC-631846F3F656}" xr6:coauthVersionLast="47" xr6:coauthVersionMax="47" xr10:uidLastSave="{00000000-0000-0000-0000-000000000000}"/>
  <bookViews>
    <workbookView xWindow="-108" yWindow="-108" windowWidth="23256" windowHeight="13896" firstSheet="1" activeTab="5" xr2:uid="{74B37BBA-18E8-4AD7-9DB5-B0C214FF321C}"/>
  </bookViews>
  <sheets>
    <sheet name="Recommendations" sheetId="4" r:id="rId1"/>
    <sheet name="AHP Urgency Ranking" sheetId="6" r:id="rId2"/>
    <sheet name="Summary_Dashboard" sheetId="3" r:id="rId3"/>
    <sheet name="DSS-SPK_Analysis" sheetId="2" r:id="rId4"/>
    <sheet name="Sheet1" sheetId="5" r:id="rId5"/>
    <sheet name="Input_Data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6" l="1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P9" i="6"/>
  <c r="L9" i="6"/>
  <c r="K9" i="6"/>
  <c r="J9" i="6"/>
  <c r="M9" i="6" s="1"/>
  <c r="I9" i="6"/>
  <c r="H9" i="6"/>
  <c r="G9" i="6"/>
  <c r="F9" i="6"/>
  <c r="E9" i="6"/>
  <c r="D9" i="6"/>
  <c r="C9" i="6"/>
  <c r="B9" i="6"/>
  <c r="A9" i="6"/>
  <c r="P8" i="6"/>
  <c r="L8" i="6"/>
  <c r="K8" i="6"/>
  <c r="J8" i="6"/>
  <c r="M8" i="6" s="1"/>
  <c r="I8" i="6"/>
  <c r="H8" i="6"/>
  <c r="G8" i="6"/>
  <c r="F8" i="6"/>
  <c r="E8" i="6"/>
  <c r="D8" i="6"/>
  <c r="C8" i="6"/>
  <c r="B8" i="6"/>
  <c r="A8" i="6"/>
  <c r="P7" i="6"/>
  <c r="L7" i="6"/>
  <c r="K7" i="6"/>
  <c r="J7" i="6"/>
  <c r="M7" i="6" s="1"/>
  <c r="I7" i="6"/>
  <c r="H7" i="6"/>
  <c r="G7" i="6"/>
  <c r="F7" i="6"/>
  <c r="E7" i="6"/>
  <c r="D7" i="6"/>
  <c r="C7" i="6"/>
  <c r="B7" i="6"/>
  <c r="A7" i="6"/>
  <c r="P6" i="6"/>
  <c r="L6" i="6"/>
  <c r="K6" i="6"/>
  <c r="J6" i="6"/>
  <c r="M6" i="6" s="1"/>
  <c r="I6" i="6"/>
  <c r="H6" i="6"/>
  <c r="G6" i="6"/>
  <c r="F6" i="6"/>
  <c r="E6" i="6"/>
  <c r="D6" i="6"/>
  <c r="C6" i="6"/>
  <c r="B6" i="6"/>
  <c r="A6" i="6"/>
  <c r="P5" i="6"/>
  <c r="L5" i="6"/>
  <c r="K5" i="6"/>
  <c r="J5" i="6"/>
  <c r="M5" i="6" s="1"/>
  <c r="I5" i="6"/>
  <c r="H5" i="6"/>
  <c r="G5" i="6"/>
  <c r="F5" i="6"/>
  <c r="E5" i="6"/>
  <c r="D5" i="6"/>
  <c r="C5" i="6"/>
  <c r="B5" i="6"/>
  <c r="A5" i="6"/>
  <c r="P4" i="6"/>
  <c r="L4" i="6"/>
  <c r="K4" i="6"/>
  <c r="J4" i="6"/>
  <c r="M4" i="6" s="1"/>
  <c r="I4" i="6"/>
  <c r="H4" i="6"/>
  <c r="G4" i="6"/>
  <c r="F4" i="6"/>
  <c r="E4" i="6"/>
  <c r="D4" i="6"/>
  <c r="C4" i="6"/>
  <c r="B4" i="6"/>
  <c r="A4" i="6"/>
  <c r="L3" i="6"/>
  <c r="K3" i="6"/>
  <c r="J3" i="6"/>
  <c r="M3" i="6" s="1"/>
  <c r="I3" i="6"/>
  <c r="H3" i="6"/>
  <c r="G3" i="6"/>
  <c r="F3" i="6"/>
  <c r="E3" i="6"/>
  <c r="D3" i="6"/>
  <c r="C3" i="6"/>
  <c r="B3" i="6"/>
  <c r="A3" i="6"/>
  <c r="P2" i="6"/>
  <c r="L2" i="6"/>
  <c r="K2" i="6"/>
  <c r="J2" i="6"/>
  <c r="M2" i="6" s="1"/>
  <c r="I2" i="6"/>
  <c r="H2" i="6"/>
  <c r="G2" i="6"/>
  <c r="F2" i="6"/>
  <c r="E2" i="6"/>
  <c r="D2" i="6"/>
  <c r="C2" i="6"/>
  <c r="B2" i="6"/>
  <c r="A2" i="6"/>
  <c r="B5" i="3" a="1"/>
  <c r="B5" i="3" s="1"/>
  <c r="B4" i="3"/>
  <c r="D2" i="2"/>
  <c r="K4" i="2"/>
  <c r="L4" i="2" s="1"/>
  <c r="J4" i="2"/>
  <c r="M4" i="2" s="1"/>
  <c r="E4" i="2"/>
  <c r="I4" i="2" s="1"/>
  <c r="D4" i="2"/>
  <c r="F4" i="2" s="1"/>
  <c r="H4" i="2" s="1"/>
  <c r="C4" i="2"/>
  <c r="B4" i="2"/>
  <c r="A4" i="2"/>
  <c r="K3" i="2"/>
  <c r="L3" i="2" s="1"/>
  <c r="J3" i="2"/>
  <c r="M3" i="2" s="1"/>
  <c r="E3" i="2"/>
  <c r="D3" i="2"/>
  <c r="C3" i="2"/>
  <c r="B3" i="2"/>
  <c r="A3" i="2"/>
  <c r="K2" i="2"/>
  <c r="L2" i="2" s="1"/>
  <c r="J2" i="2"/>
  <c r="M2" i="2" s="1"/>
  <c r="E2" i="2"/>
  <c r="C2" i="2"/>
  <c r="B2" i="2"/>
  <c r="A2" i="2"/>
  <c r="B3" i="3" s="1"/>
  <c r="N9" i="6" l="1"/>
  <c r="O9" i="6"/>
  <c r="N8" i="6"/>
  <c r="O8" i="6"/>
  <c r="N7" i="6"/>
  <c r="O7" i="6"/>
  <c r="N6" i="6"/>
  <c r="O6" i="6"/>
  <c r="N5" i="6"/>
  <c r="O5" i="6"/>
  <c r="N4" i="6"/>
  <c r="O4" i="6"/>
  <c r="N3" i="6"/>
  <c r="P3" i="6"/>
  <c r="O3" i="6"/>
  <c r="N2" i="6"/>
  <c r="O2" i="6"/>
  <c r="N4" i="2"/>
  <c r="G4" i="2"/>
  <c r="B6" i="3" s="1"/>
  <c r="O4" i="2"/>
  <c r="F3" i="2"/>
  <c r="H3" i="2" s="1"/>
  <c r="N3" i="2"/>
  <c r="O2" i="2"/>
  <c r="O3" i="2"/>
  <c r="Q4" i="2"/>
  <c r="P4" i="2" s="1"/>
  <c r="I2" i="2"/>
  <c r="I3" i="2"/>
  <c r="Q3" i="2" s="1"/>
  <c r="P3" i="2" s="1"/>
  <c r="N2" i="2"/>
  <c r="F2" i="2"/>
  <c r="H2" i="2" s="1"/>
  <c r="Q9" i="6" l="1"/>
  <c r="R9" i="6"/>
  <c r="R8" i="6"/>
  <c r="Q8" i="6"/>
  <c r="Q7" i="6"/>
  <c r="R7" i="6"/>
  <c r="R6" i="6"/>
  <c r="Q6" i="6"/>
  <c r="Q5" i="6"/>
  <c r="R5" i="6"/>
  <c r="R4" i="6"/>
  <c r="Q4" i="6"/>
  <c r="R3" i="6"/>
  <c r="Q3" i="6"/>
  <c r="R2" i="6"/>
  <c r="Q2" i="6"/>
  <c r="G3" i="2"/>
  <c r="B7" i="3"/>
  <c r="B9" i="3"/>
  <c r="B8" i="3"/>
  <c r="Q2" i="2"/>
  <c r="P2" i="2" s="1"/>
  <c r="G2" i="2"/>
  <c r="B11" i="3" l="1"/>
  <c r="B10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<sst xmlns="http://schemas.openxmlformats.org/spreadsheetml/2006/main" count="112" uniqueCount="104">
  <si>
    <t>Product_Code</t>
  </si>
  <si>
    <t>Product_Name</t>
  </si>
  <si>
    <t>Category</t>
  </si>
  <si>
    <t>System_Stock</t>
  </si>
  <si>
    <t>Actual_Stock</t>
  </si>
  <si>
    <t>Unit_Cost</t>
  </si>
  <si>
    <t>Min_Stock</t>
  </si>
  <si>
    <t>Max_Stock</t>
  </si>
  <si>
    <t>Lead_Time_Days</t>
  </si>
  <si>
    <t>Avg_Daily_Demand</t>
  </si>
  <si>
    <t>Ordering_Cost</t>
  </si>
  <si>
    <t>Holding_Cost_Rate</t>
  </si>
  <si>
    <t>PRD001</t>
  </si>
  <si>
    <t>Laptop Dell Inspiron</t>
  </si>
  <si>
    <t>Electronics</t>
  </si>
  <si>
    <t>PRD002</t>
  </si>
  <si>
    <t>Mouse Wireless</t>
  </si>
  <si>
    <t>Accessories</t>
  </si>
  <si>
    <t>PRD003</t>
  </si>
  <si>
    <t>Keyboard Mechanical</t>
  </si>
  <si>
    <t>Variance</t>
  </si>
  <si>
    <t>Variance_Pct</t>
  </si>
  <si>
    <t>Variance_Value</t>
  </si>
  <si>
    <t>Inventory_Value</t>
  </si>
  <si>
    <t>Annual_Demand</t>
  </si>
  <si>
    <t>Safety_Stock</t>
  </si>
  <si>
    <t>Reorder_Point</t>
  </si>
  <si>
    <t>EOQ</t>
  </si>
  <si>
    <t>Stock_Status</t>
  </si>
  <si>
    <t>Turnover_Ratio</t>
  </si>
  <si>
    <t>ABC_Class</t>
  </si>
  <si>
    <t>Cumulative_Pct</t>
  </si>
  <si>
    <t>Total Products</t>
  </si>
  <si>
    <t>Total Inventory Value</t>
  </si>
  <si>
    <t>Total Variance Value</t>
  </si>
  <si>
    <t>Accuracy Rate (%)</t>
  </si>
  <si>
    <t>Low Stock Items</t>
  </si>
  <si>
    <t>Overstock Items</t>
  </si>
  <si>
    <t>Items Need Reorder</t>
  </si>
  <si>
    <t>ABC Class A Items</t>
  </si>
  <si>
    <t>ABC Class B Items</t>
  </si>
  <si>
    <t>ABC Class C Items</t>
  </si>
  <si>
    <t>Priority</t>
  </si>
  <si>
    <t>Product</t>
  </si>
  <si>
    <t>Issue</t>
  </si>
  <si>
    <t>Recommendation</t>
  </si>
  <si>
    <t>Action Required</t>
  </si>
  <si>
    <t>TINGGI</t>
  </si>
  <si>
    <t>Item dengan Status Stok = Stok Rendah</t>
  </si>
  <si>
    <t>Stok berada di bawah ambang minimum</t>
  </si>
  <si>
    <t>Segera pesan sesuai kuantitas EOQ</t>
  </si>
  <si>
    <t>Lakukan pemesanan pembelian</t>
  </si>
  <si>
    <t>SEDANG</t>
  </si>
  <si>
    <t>Item dengan</t>
  </si>
  <si>
    <t>Persentase Variansi</t>
  </si>
  <si>
    <t>&gt; 10%</t>
  </si>
  <si>
    <t>Variansi tinggi antara sistem dan stok aktual</t>
  </si>
  <si>
    <t>RENDAH</t>
  </si>
  <si>
    <t>Item Kelas A dengan perputaran rendah</t>
  </si>
  <si>
    <t>Item bernilai tinggi namun tidak cepat terjual</t>
  </si>
  <si>
    <t>Tinjau ulang strategi inventori</t>
  </si>
  <si>
    <t>Analisis pola permintaan</t>
  </si>
  <si>
    <t>STOCK OPNAME DSS/ SPK SUMMARY</t>
  </si>
  <si>
    <t xml:space="preserve"> REKOMENDASI OTOMATIS</t>
  </si>
  <si>
    <t>=Stock Actual barang * Harga Barang</t>
  </si>
  <si>
    <t>Keterangan perhitungan</t>
  </si>
  <si>
    <t>&gt;</t>
  </si>
  <si>
    <t>DATA = tbl Input_Data</t>
  </si>
  <si>
    <r>
      <t xml:space="preserve">=Selisih barang * Harga Barang
</t>
    </r>
    <r>
      <rPr>
        <b/>
        <i/>
        <sz val="11"/>
        <color theme="1"/>
        <rFont val="Calibri"/>
        <family val="2"/>
        <scheme val="minor"/>
      </rPr>
      <t>Nilai rupiah dari perbedaan stok</t>
    </r>
  </si>
  <si>
    <t>=(Variance / System_Stock) × 100
Persentase deviasi terhadap stok sistem</t>
  </si>
  <si>
    <t>=Inventory_Value item / Total Inventory_Value × 100% (dijumlahkan secara kumulatif)
Menentukan kelas ABC berdasarkan total kontribusi nilai</t>
  </si>
  <si>
    <t>= Berdasarkan persentase kumulatif nilai inventori (Pareto 80/20)
KET = (A = Sangat penting, B = Menengah, C = Rendah)</t>
  </si>
  <si>
    <t>= Annual Demand / System_Stock
Seberapa cepat barang terjual dibandingkan stok saat ini</t>
  </si>
  <si>
    <t>= √((2 × Annual Demand × Ordering Cost) / (Unit Cost × Holding Rate))
Kuantitas pemesanan ekonomis untuk efisiensi biaya</t>
  </si>
  <si>
    <t>= (Daily Demand × Lead Time) + Safety Stock
Titik ketika perlu melakukan pemesanan ulang</t>
  </si>
  <si>
    <t>= Daily Demand × √(Lead Time) × Z (Z = 1.65 untuk 95% service level)
Cadangan stok pengaman untuk menghindari kehabisan stok</t>
  </si>
  <si>
    <t>=Rata-Rata Permintaan Harian * 365 hari
Persentase deviasi terhadap stok sistem</t>
  </si>
  <si>
    <t>Informasi Status</t>
  </si>
  <si>
    <t>= Actual Stock - System_Stock
Selisih antara stok fisik dan stok di sistem</t>
  </si>
  <si>
    <t>No</t>
  </si>
  <si>
    <t>Kode Produk</t>
  </si>
  <si>
    <t>Nama Produk</t>
  </si>
  <si>
    <t>Kategori</t>
  </si>
  <si>
    <t>Status Stok</t>
  </si>
  <si>
    <t>Kelas ABC</t>
  </si>
  <si>
    <t>Stok Saat Ini</t>
  </si>
  <si>
    <t>Nilai Inventori</t>
  </si>
  <si>
    <t>Tingkat Stok (45%)</t>
  </si>
  <si>
    <t>Dampak Finansial (30%)</t>
  </si>
  <si>
    <t>Kritisitas Permintaan (15%)</t>
  </si>
  <si>
    <t>Risiko Lead Time (10%)</t>
  </si>
  <si>
    <t>Alasan</t>
  </si>
  <si>
    <t>Tindakan</t>
  </si>
  <si>
    <t>Jangka Waktu</t>
  </si>
  <si>
    <t>Skor AHP Komposit</t>
  </si>
  <si>
    <t>Peringkat</t>
  </si>
  <si>
    <t>Level Urgensi</t>
  </si>
  <si>
    <t>Stok Sistem</t>
  </si>
  <si>
    <t>Stok Aktual</t>
  </si>
  <si>
    <t>Harga Satuan</t>
  </si>
  <si>
    <t>Min Stock</t>
  </si>
  <si>
    <t>Max Stock</t>
  </si>
  <si>
    <t>Lead Time</t>
  </si>
  <si>
    <t>Avg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</si>
</sst>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.##0_);_(* \(#.##0\);_(* &quot;-&quot;_);_(@_)"/>
    <numFmt numFmtId="165" formatCode="_-[$Rp-3809]* #,##0_-;\-[$Rp-3809]* #,##0_-;_-[$Rp-3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165" fontId="1" fillId="2" borderId="1" xfId="0" applyNumberFormat="1" applyFont="1" applyFill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/>
    <xf numFmtId="0" fontId="2" fillId="3" borderId="0" xfId="0" applyFont="1" applyFill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quotePrefix="1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9" fontId="0" fillId="0" borderId="1" xfId="1" applyNumberFormat="1" applyFont="1" applyBorder="1"/>
    <xf numFmtId="0" fontId="1" fillId="4" borderId="0" xfId="0" applyFont="1" applyFill="1"/>
    <xf numFmtId="0" fontId="1" fillId="5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FD44-29E9-4D86-985B-6C8B84CA84E4}">
  <dimension ref="A1:E6"/>
  <sheetViews>
    <sheetView zoomScaleNormal="100" workbookViewId="0">
      <selection activeCell="D8" sqref="D8"/>
    </sheetView>
  </sheetViews>
  <sheetFormatPr defaultRowHeight="14.4" x14ac:dyDescent="0.3"/>
  <cols>
    <col min="1" max="1" width="10.44140625" customWidth="1"/>
    <col min="2" max="2" width="34.5546875" bestFit="1" customWidth="1"/>
    <col min="3" max="3" width="38.6640625" bestFit="1" customWidth="1"/>
    <col min="4" max="4" width="30.21875" bestFit="1" customWidth="1"/>
    <col min="5" max="5" width="37.77734375" bestFit="1" customWidth="1"/>
  </cols>
  <sheetData>
    <row r="1" spans="1:5" ht="21" x14ac:dyDescent="0.4">
      <c r="A1" s="8" t="s">
        <v>63</v>
      </c>
      <c r="B1" s="11"/>
      <c r="C1" s="11"/>
      <c r="D1" s="11"/>
      <c r="E1" s="11"/>
    </row>
    <row r="3" spans="1:5" x14ac:dyDescent="0.3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</row>
    <row r="4" spans="1:5" x14ac:dyDescent="0.3">
      <c r="A4" s="9" t="s">
        <v>47</v>
      </c>
      <c r="B4" s="10" t="s">
        <v>48</v>
      </c>
      <c r="C4" s="10" t="s">
        <v>49</v>
      </c>
      <c r="D4" s="10" t="s">
        <v>50</v>
      </c>
      <c r="E4" s="10" t="s">
        <v>51</v>
      </c>
    </row>
    <row r="5" spans="1:5" x14ac:dyDescent="0.3">
      <c r="A5" s="9" t="s">
        <v>52</v>
      </c>
      <c r="B5" s="10" t="s">
        <v>53</v>
      </c>
      <c r="C5" s="10" t="s">
        <v>54</v>
      </c>
      <c r="D5" s="10" t="s">
        <v>55</v>
      </c>
      <c r="E5" s="10" t="s">
        <v>56</v>
      </c>
    </row>
    <row r="6" spans="1:5" x14ac:dyDescent="0.3">
      <c r="A6" s="9" t="s">
        <v>57</v>
      </c>
      <c r="B6" s="10" t="s">
        <v>58</v>
      </c>
      <c r="C6" s="10" t="s">
        <v>59</v>
      </c>
      <c r="D6" s="10" t="s">
        <v>60</v>
      </c>
      <c r="E6" s="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D96E-773E-48E1-A121-DE997912D0B6}">
  <dimension ref="A1:Y10"/>
  <sheetViews>
    <sheetView topLeftCell="C1" workbookViewId="0">
      <selection activeCell="B4" sqref="B4"/>
    </sheetView>
  </sheetViews>
  <sheetFormatPr defaultRowHeight="14.4" x14ac:dyDescent="0.3"/>
  <cols>
    <col min="1" max="1" width="3.44140625" bestFit="1" customWidth="1"/>
    <col min="2" max="2" width="11.88671875" bestFit="1" customWidth="1"/>
    <col min="3" max="3" width="18.6640625" bestFit="1" customWidth="1"/>
    <col min="4" max="4" width="10.44140625" bestFit="1" customWidth="1"/>
    <col min="5" max="5" width="11.109375" bestFit="1" customWidth="1"/>
    <col min="6" max="6" width="9.21875" bestFit="1" customWidth="1"/>
    <col min="7" max="7" width="11.44140625" bestFit="1" customWidth="1"/>
    <col min="8" max="8" width="12.77734375" bestFit="1" customWidth="1"/>
    <col min="9" max="9" width="16.77734375" bestFit="1" customWidth="1"/>
    <col min="10" max="10" width="21.109375" bestFit="1" customWidth="1"/>
    <col min="11" max="11" width="23.77734375" bestFit="1" customWidth="1"/>
    <col min="12" max="12" width="20.33203125" bestFit="1" customWidth="1"/>
    <col min="13" max="13" width="17.44140625" bestFit="1" customWidth="1"/>
    <col min="14" max="14" width="9" bestFit="1" customWidth="1"/>
    <col min="15" max="15" width="12.109375" bestFit="1" customWidth="1"/>
    <col min="16" max="16" width="37.88671875" bestFit="1" customWidth="1"/>
    <col min="17" max="17" width="30.33203125" bestFit="1" customWidth="1"/>
    <col min="18" max="18" width="15.6640625" bestFit="1" customWidth="1"/>
    <col min="19" max="19" width="10.77734375" bestFit="1" customWidth="1"/>
    <col min="20" max="20" width="10.6640625" bestFit="1" customWidth="1"/>
    <col min="21" max="21" width="12.21875" bestFit="1" customWidth="1"/>
    <col min="22" max="22" width="9.44140625" bestFit="1" customWidth="1"/>
    <col min="23" max="23" width="9.77734375" bestFit="1" customWidth="1"/>
    <col min="24" max="24" width="9.5546875" bestFit="1" customWidth="1"/>
    <col min="25" max="25" width="11.77734375" bestFit="1" customWidth="1"/>
  </cols>
  <sheetData>
    <row r="1" spans="1:25" x14ac:dyDescent="0.3">
      <c r="A1" s="23" t="s">
        <v>79</v>
      </c>
      <c r="B1" s="23" t="s">
        <v>80</v>
      </c>
      <c r="C1" s="23" t="s">
        <v>81</v>
      </c>
      <c r="D1" s="23" t="s">
        <v>82</v>
      </c>
      <c r="E1" s="23" t="s">
        <v>83</v>
      </c>
      <c r="F1" s="23" t="s">
        <v>84</v>
      </c>
      <c r="G1" s="23" t="s">
        <v>85</v>
      </c>
      <c r="H1" s="23" t="s">
        <v>86</v>
      </c>
      <c r="I1" s="23" t="s">
        <v>87</v>
      </c>
      <c r="J1" s="23" t="s">
        <v>88</v>
      </c>
      <c r="K1" s="23" t="s">
        <v>89</v>
      </c>
      <c r="L1" s="23" t="s">
        <v>90</v>
      </c>
      <c r="M1" s="23" t="s">
        <v>94</v>
      </c>
      <c r="N1" s="23" t="s">
        <v>95</v>
      </c>
      <c r="O1" s="23" t="s">
        <v>96</v>
      </c>
      <c r="P1" s="23" t="s">
        <v>91</v>
      </c>
      <c r="Q1" s="23" t="s">
        <v>92</v>
      </c>
      <c r="R1" s="23" t="s">
        <v>93</v>
      </c>
      <c r="S1" s="24" t="s">
        <v>97</v>
      </c>
      <c r="T1" s="24" t="s">
        <v>98</v>
      </c>
      <c r="U1" s="24" t="s">
        <v>99</v>
      </c>
      <c r="V1" s="24" t="s">
        <v>100</v>
      </c>
      <c r="W1" s="24" t="s">
        <v>101</v>
      </c>
      <c r="X1" s="24" t="s">
        <v>102</v>
      </c>
      <c r="Y1" s="24" t="s">
        <v>103</v>
      </c>
    </row>
    <row r="2" spans="1:25" x14ac:dyDescent="0.3">
      <c r="A2">
        <f>2</f>
        <v>2</v>
      </c>
      <c r="B2" t="str">
        <f>'DSS-SPK_Analysis'!A2</f>
        <v>PRD001</v>
      </c>
      <c r="C2" t="str">
        <f>'DSS-SPK_Analysis'!B2</f>
        <v>Laptop Dell Inspiron</v>
      </c>
      <c r="D2" t="str">
        <f>'DSS-SPK_Analysis'!C2</f>
        <v>Electronics</v>
      </c>
      <c r="E2" t="str">
        <f>IF('DSS-SPK_Analysis'!E2&lt;=0,"Out of Stock",IF('DSS-SPK_Analysis'!E2&lt;='DSS-SPK_Analysis'!L2,"Reorder","Normal"))</f>
        <v>Reorder</v>
      </c>
      <c r="F2" t="str">
        <f>'DSS-SPK_Analysis'!P2</f>
        <v>B</v>
      </c>
      <c r="G2">
        <f>'DSS-SPK_Analysis'!E2</f>
        <v>48</v>
      </c>
      <c r="H2">
        <f>'DSS-SPK_Analysis'!I2</f>
        <v>408000000</v>
      </c>
      <c r="I2">
        <f t="shared" ref="I2:I10" si="0">IF(E2="Out of Stock",100,IF(E2="Reorder",90,IF(E2="Low Stock",80,IF(E2="Overstock",60,50))))</f>
        <v>90</v>
      </c>
      <c r="J2">
        <f t="shared" ref="J2:J10" si="1">IF(MAX(H$2:H$10)&gt;0,(H2/MAX(H$2:H$10))*100,0)</f>
        <v>100</v>
      </c>
      <c r="K2">
        <f t="shared" ref="K2:K10" si="2">IF(F2="A",90,IF(F2="B",70,40))</f>
        <v>70</v>
      </c>
      <c r="L2">
        <f t="shared" ref="L2:L10" si="3">IF(D2="Electronics",80,IF(D2="Office",70,60))</f>
        <v>80</v>
      </c>
      <c r="M2">
        <f t="shared" ref="M2:M10" si="4">(I2*0.45)+(J2*0.3)+(K2*0.15)+(L2*0.1)</f>
        <v>89</v>
      </c>
      <c r="N2">
        <f t="shared" ref="N2:N10" si="5">RANK(M2,M$2:M$10,0)</f>
        <v>1</v>
      </c>
      <c r="O2" t="str">
        <f t="shared" ref="O2:O10" si="6">IF(M2&gt;=83,"KRITIS",IF(M2&gt;=65,"TINGGI",IF(M2&gt;=40,"SEDANG","RENDAH")))</f>
        <v>KRITIS</v>
      </c>
      <c r="P2" t="str">
        <f t="shared" ref="P2:P10" si="7">IF(E2="Out of Stock","Stok habis - memerlukan pemesanan darurat",IF(E2="Reorder","Mencapai titik pemesanan kembali",IF(M2&gt;=83,"Skor AHP tinggi - prioritas kritis",IF(M2&gt;=65,"Skor AHP sedang-tinggi - perlu perhatian","Kondisi stok dalam batas normal"))))</f>
        <v>Mencapai titik pemesanan kembali</v>
      </c>
      <c r="Q2" t="str">
        <f t="shared" ref="Q2:Q10" si="8">IF(O2="KRITIS","Buat pesanan berdasarkan EOQ",IF(O2="TINGGI","Terapkan strategi sesuai kondisi",IF(O2="SEDANG","Pantau dan rencanakan pemesanan","Pantau berkala")))</f>
        <v>Buat pesanan berdasarkan EOQ</v>
      </c>
      <c r="R2" t="str">
        <f t="shared" ref="R2:R10" si="9">IF(O2="KRITIS","Segera",IF(O2="TINGGI","Dalam 1-10 hari",IF(O2="SEDANG","Dalam 1-4 minggu","Bulanan")))</f>
        <v>Segera</v>
      </c>
    </row>
    <row r="3" spans="1:25" x14ac:dyDescent="0.3">
      <c r="A3">
        <f>3</f>
        <v>3</v>
      </c>
      <c r="B3" t="str">
        <f>'DSS-SPK_Analysis'!A3</f>
        <v>PRD002</v>
      </c>
      <c r="C3" t="str">
        <f>'DSS-SPK_Analysis'!B3</f>
        <v>Mouse Wireless</v>
      </c>
      <c r="D3" t="str">
        <f>'DSS-SPK_Analysis'!C3</f>
        <v>Accessories</v>
      </c>
      <c r="E3" t="str">
        <f>IF('DSS-SPK_Analysis'!E3&lt;=0,"Out of Stock",IF('DSS-SPK_Analysis'!E3&lt;='DSS-SPK_Analysis'!L3,"Reorder","Normal"))</f>
        <v>Normal</v>
      </c>
      <c r="F3" t="str">
        <f>'DSS-SPK_Analysis'!P3</f>
        <v>C</v>
      </c>
      <c r="G3">
        <f>'DSS-SPK_Analysis'!E3</f>
        <v>125</v>
      </c>
      <c r="H3">
        <f>'DSS-SPK_Analysis'!I3</f>
        <v>18750000</v>
      </c>
      <c r="I3">
        <f t="shared" si="0"/>
        <v>50</v>
      </c>
      <c r="J3">
        <f t="shared" si="1"/>
        <v>4.5955882352941178</v>
      </c>
      <c r="K3">
        <f t="shared" si="2"/>
        <v>40</v>
      </c>
      <c r="L3">
        <f t="shared" si="3"/>
        <v>60</v>
      </c>
      <c r="M3">
        <f t="shared" si="4"/>
        <v>35.878676470588232</v>
      </c>
      <c r="N3">
        <f t="shared" si="5"/>
        <v>9</v>
      </c>
      <c r="O3" t="str">
        <f t="shared" si="6"/>
        <v>RENDAH</v>
      </c>
      <c r="P3" t="str">
        <f t="shared" si="7"/>
        <v>Kondisi stok dalam batas normal</v>
      </c>
      <c r="Q3" t="str">
        <f t="shared" si="8"/>
        <v>Pantau berkala</v>
      </c>
      <c r="R3" t="str">
        <f t="shared" si="9"/>
        <v>Bulanan</v>
      </c>
    </row>
    <row r="4" spans="1:25" x14ac:dyDescent="0.3">
      <c r="A4">
        <f>4</f>
        <v>4</v>
      </c>
      <c r="B4" t="str">
        <f>'DSS-SPK_Analysis'!A4</f>
        <v>PRD003</v>
      </c>
      <c r="C4" t="str">
        <f>'DSS-SPK_Analysis'!B4</f>
        <v>Keyboard Mechanical</v>
      </c>
      <c r="D4" t="str">
        <f>'DSS-SPK_Analysis'!C4</f>
        <v>Accessories</v>
      </c>
      <c r="E4" t="str">
        <f>IF('DSS-SPK_Analysis'!E4&lt;=0,"Out of Stock",IF('DSS-SPK_Analysis'!E4&lt;='DSS-SPK_Analysis'!L4,"Reorder","Normal"))</f>
        <v>Reorder</v>
      </c>
      <c r="F4" t="str">
        <f>'DSS-SPK_Analysis'!P4</f>
        <v>C</v>
      </c>
      <c r="G4">
        <f>'DSS-SPK_Analysis'!E4</f>
        <v>85</v>
      </c>
      <c r="H4">
        <f>'DSS-SPK_Analysis'!I4</f>
        <v>63750000</v>
      </c>
      <c r="I4">
        <f t="shared" si="0"/>
        <v>90</v>
      </c>
      <c r="J4">
        <f t="shared" si="1"/>
        <v>15.625</v>
      </c>
      <c r="K4">
        <f t="shared" si="2"/>
        <v>40</v>
      </c>
      <c r="L4">
        <f t="shared" si="3"/>
        <v>60</v>
      </c>
      <c r="M4">
        <f t="shared" si="4"/>
        <v>57.1875</v>
      </c>
      <c r="N4">
        <f t="shared" si="5"/>
        <v>2</v>
      </c>
      <c r="O4" t="str">
        <f t="shared" si="6"/>
        <v>SEDANG</v>
      </c>
      <c r="P4" t="str">
        <f t="shared" si="7"/>
        <v>Mencapai titik pemesanan kembali</v>
      </c>
      <c r="Q4" t="str">
        <f t="shared" si="8"/>
        <v>Pantau dan rencanakan pemesanan</v>
      </c>
      <c r="R4" t="str">
        <f t="shared" si="9"/>
        <v>Dalam 1-4 minggu</v>
      </c>
    </row>
    <row r="5" spans="1:25" x14ac:dyDescent="0.3">
      <c r="A5">
        <f>5</f>
        <v>5</v>
      </c>
      <c r="B5">
        <f>'DSS-SPK_Analysis'!A5</f>
        <v>0</v>
      </c>
      <c r="C5">
        <f>'DSS-SPK_Analysis'!B5</f>
        <v>0</v>
      </c>
      <c r="D5">
        <f>'DSS-SPK_Analysis'!C5</f>
        <v>0</v>
      </c>
      <c r="E5" t="str">
        <f>IF('DSS-SPK_Analysis'!E5&lt;=0,"Out of Stock",IF('DSS-SPK_Analysis'!E5&lt;='DSS-SPK_Analysis'!L5,"Reorder","Normal"))</f>
        <v>Out of Stock</v>
      </c>
      <c r="F5">
        <f>'DSS-SPK_Analysis'!P5</f>
        <v>0</v>
      </c>
      <c r="G5">
        <f>'DSS-SPK_Analysis'!E5</f>
        <v>0</v>
      </c>
      <c r="H5">
        <f>'DSS-SPK_Analysis'!I5</f>
        <v>0</v>
      </c>
      <c r="I5">
        <f t="shared" si="0"/>
        <v>100</v>
      </c>
      <c r="J5">
        <f t="shared" si="1"/>
        <v>0</v>
      </c>
      <c r="K5">
        <f t="shared" si="2"/>
        <v>40</v>
      </c>
      <c r="L5">
        <f t="shared" si="3"/>
        <v>60</v>
      </c>
      <c r="M5">
        <f t="shared" si="4"/>
        <v>57</v>
      </c>
      <c r="N5">
        <f t="shared" si="5"/>
        <v>3</v>
      </c>
      <c r="O5" t="str">
        <f t="shared" si="6"/>
        <v>SEDANG</v>
      </c>
      <c r="P5" t="str">
        <f t="shared" si="7"/>
        <v>Stok habis - memerlukan pemesanan darurat</v>
      </c>
      <c r="Q5" t="str">
        <f t="shared" si="8"/>
        <v>Pantau dan rencanakan pemesanan</v>
      </c>
      <c r="R5" t="str">
        <f t="shared" si="9"/>
        <v>Dalam 1-4 minggu</v>
      </c>
    </row>
    <row r="6" spans="1:25" x14ac:dyDescent="0.3">
      <c r="A6">
        <f>6</f>
        <v>6</v>
      </c>
      <c r="B6">
        <f>'DSS-SPK_Analysis'!A6</f>
        <v>0</v>
      </c>
      <c r="C6">
        <f>'DSS-SPK_Analysis'!B6</f>
        <v>0</v>
      </c>
      <c r="D6">
        <f>'DSS-SPK_Analysis'!C6</f>
        <v>0</v>
      </c>
      <c r="E6" t="str">
        <f>IF('DSS-SPK_Analysis'!E6&lt;=0,"Out of Stock",IF('DSS-SPK_Analysis'!E6&lt;='DSS-SPK_Analysis'!L6,"Reorder","Normal"))</f>
        <v>Out of Stock</v>
      </c>
      <c r="F6">
        <f>'DSS-SPK_Analysis'!P6</f>
        <v>0</v>
      </c>
      <c r="G6">
        <f>'DSS-SPK_Analysis'!E6</f>
        <v>0</v>
      </c>
      <c r="H6">
        <f>'DSS-SPK_Analysis'!I6</f>
        <v>0</v>
      </c>
      <c r="I6">
        <f t="shared" si="0"/>
        <v>100</v>
      </c>
      <c r="J6">
        <f t="shared" si="1"/>
        <v>0</v>
      </c>
      <c r="K6">
        <f t="shared" si="2"/>
        <v>40</v>
      </c>
      <c r="L6">
        <f t="shared" si="3"/>
        <v>60</v>
      </c>
      <c r="M6">
        <f t="shared" si="4"/>
        <v>57</v>
      </c>
      <c r="N6">
        <f t="shared" si="5"/>
        <v>3</v>
      </c>
      <c r="O6" t="str">
        <f t="shared" si="6"/>
        <v>SEDANG</v>
      </c>
      <c r="P6" t="str">
        <f t="shared" si="7"/>
        <v>Stok habis - memerlukan pemesanan darurat</v>
      </c>
      <c r="Q6" t="str">
        <f t="shared" si="8"/>
        <v>Pantau dan rencanakan pemesanan</v>
      </c>
      <c r="R6" t="str">
        <f t="shared" si="9"/>
        <v>Dalam 1-4 minggu</v>
      </c>
    </row>
    <row r="7" spans="1:25" x14ac:dyDescent="0.3">
      <c r="A7">
        <f>7</f>
        <v>7</v>
      </c>
      <c r="B7">
        <f>'DSS-SPK_Analysis'!A7</f>
        <v>0</v>
      </c>
      <c r="C7">
        <f>'DSS-SPK_Analysis'!B7</f>
        <v>0</v>
      </c>
      <c r="D7">
        <f>'DSS-SPK_Analysis'!C7</f>
        <v>0</v>
      </c>
      <c r="E7" t="str">
        <f>IF('DSS-SPK_Analysis'!E7&lt;=0,"Out of Stock",IF('DSS-SPK_Analysis'!E7&lt;='DSS-SPK_Analysis'!L7,"Reorder","Normal"))</f>
        <v>Out of Stock</v>
      </c>
      <c r="F7">
        <f>'DSS-SPK_Analysis'!P7</f>
        <v>0</v>
      </c>
      <c r="G7">
        <f>'DSS-SPK_Analysis'!E7</f>
        <v>0</v>
      </c>
      <c r="H7">
        <f>'DSS-SPK_Analysis'!I7</f>
        <v>0</v>
      </c>
      <c r="I7">
        <f t="shared" si="0"/>
        <v>100</v>
      </c>
      <c r="J7">
        <f t="shared" si="1"/>
        <v>0</v>
      </c>
      <c r="K7">
        <f t="shared" si="2"/>
        <v>40</v>
      </c>
      <c r="L7">
        <f t="shared" si="3"/>
        <v>60</v>
      </c>
      <c r="M7">
        <f t="shared" si="4"/>
        <v>57</v>
      </c>
      <c r="N7">
        <f t="shared" si="5"/>
        <v>3</v>
      </c>
      <c r="O7" t="str">
        <f t="shared" si="6"/>
        <v>SEDANG</v>
      </c>
      <c r="P7" t="str">
        <f t="shared" si="7"/>
        <v>Stok habis - memerlukan pemesanan darurat</v>
      </c>
      <c r="Q7" t="str">
        <f t="shared" si="8"/>
        <v>Pantau dan rencanakan pemesanan</v>
      </c>
      <c r="R7" t="str">
        <f t="shared" si="9"/>
        <v>Dalam 1-4 minggu</v>
      </c>
    </row>
    <row r="8" spans="1:25" x14ac:dyDescent="0.3">
      <c r="A8">
        <f>8</f>
        <v>8</v>
      </c>
      <c r="B8">
        <f>'DSS-SPK_Analysis'!A8</f>
        <v>0</v>
      </c>
      <c r="C8">
        <f>'DSS-SPK_Analysis'!B8</f>
        <v>0</v>
      </c>
      <c r="D8">
        <f>'DSS-SPK_Analysis'!C8</f>
        <v>0</v>
      </c>
      <c r="E8" t="str">
        <f>IF('DSS-SPK_Analysis'!E8&lt;=0,"Out of Stock",IF('DSS-SPK_Analysis'!E8&lt;='DSS-SPK_Analysis'!L8,"Reorder","Normal"))</f>
        <v>Out of Stock</v>
      </c>
      <c r="F8">
        <f>'DSS-SPK_Analysis'!P8</f>
        <v>0</v>
      </c>
      <c r="G8">
        <f>'DSS-SPK_Analysis'!E8</f>
        <v>0</v>
      </c>
      <c r="H8">
        <f>'DSS-SPK_Analysis'!I8</f>
        <v>0</v>
      </c>
      <c r="I8">
        <f t="shared" si="0"/>
        <v>100</v>
      </c>
      <c r="J8">
        <f t="shared" si="1"/>
        <v>0</v>
      </c>
      <c r="K8">
        <f t="shared" si="2"/>
        <v>40</v>
      </c>
      <c r="L8">
        <f t="shared" si="3"/>
        <v>60</v>
      </c>
      <c r="M8">
        <f t="shared" si="4"/>
        <v>57</v>
      </c>
      <c r="N8">
        <f t="shared" si="5"/>
        <v>3</v>
      </c>
      <c r="O8" t="str">
        <f t="shared" si="6"/>
        <v>SEDANG</v>
      </c>
      <c r="P8" t="str">
        <f t="shared" si="7"/>
        <v>Stok habis - memerlukan pemesanan darurat</v>
      </c>
      <c r="Q8" t="str">
        <f t="shared" si="8"/>
        <v>Pantau dan rencanakan pemesanan</v>
      </c>
      <c r="R8" t="str">
        <f t="shared" si="9"/>
        <v>Dalam 1-4 minggu</v>
      </c>
    </row>
    <row r="9" spans="1:25" x14ac:dyDescent="0.3">
      <c r="A9">
        <f>9</f>
        <v>9</v>
      </c>
      <c r="B9">
        <f>'DSS-SPK_Analysis'!A9</f>
        <v>0</v>
      </c>
      <c r="C9">
        <f>'DSS-SPK_Analysis'!B9</f>
        <v>0</v>
      </c>
      <c r="D9">
        <f>'DSS-SPK_Analysis'!C9</f>
        <v>0</v>
      </c>
      <c r="E9" t="str">
        <f>IF('DSS-SPK_Analysis'!E9&lt;=0,"Out of Stock",IF('DSS-SPK_Analysis'!E9&lt;='DSS-SPK_Analysis'!L9,"Reorder","Normal"))</f>
        <v>Out of Stock</v>
      </c>
      <c r="F9">
        <f>'DSS-SPK_Analysis'!P9</f>
        <v>0</v>
      </c>
      <c r="G9">
        <f>'DSS-SPK_Analysis'!E9</f>
        <v>0</v>
      </c>
      <c r="H9">
        <f>'DSS-SPK_Analysis'!I9</f>
        <v>0</v>
      </c>
      <c r="I9">
        <f t="shared" si="0"/>
        <v>100</v>
      </c>
      <c r="J9">
        <f t="shared" si="1"/>
        <v>0</v>
      </c>
      <c r="K9">
        <f t="shared" si="2"/>
        <v>40</v>
      </c>
      <c r="L9">
        <f t="shared" si="3"/>
        <v>60</v>
      </c>
      <c r="M9">
        <f t="shared" si="4"/>
        <v>57</v>
      </c>
      <c r="N9">
        <f t="shared" si="5"/>
        <v>3</v>
      </c>
      <c r="O9" t="str">
        <f t="shared" si="6"/>
        <v>SEDANG</v>
      </c>
      <c r="P9" t="str">
        <f t="shared" si="7"/>
        <v>Stok habis - memerlukan pemesanan darurat</v>
      </c>
      <c r="Q9" t="str">
        <f t="shared" si="8"/>
        <v>Pantau dan rencanakan pemesanan</v>
      </c>
      <c r="R9" t="str">
        <f t="shared" si="9"/>
        <v>Dalam 1-4 minggu</v>
      </c>
    </row>
    <row r="10" spans="1:25" x14ac:dyDescent="0.3">
      <c r="A10">
        <f>10</f>
        <v>10</v>
      </c>
      <c r="B10">
        <f>'DSS-SPK_Analysis'!A10</f>
        <v>0</v>
      </c>
      <c r="C10">
        <f>'DSS-SPK_Analysis'!B10</f>
        <v>0</v>
      </c>
      <c r="D10">
        <f>'DSS-SPK_Analysis'!C10</f>
        <v>0</v>
      </c>
      <c r="E10" t="str">
        <f>IF('DSS-SPK_Analysis'!E10&lt;=0,"Out of Stock",IF('DSS-SPK_Analysis'!E10&lt;='DSS-SPK_Analysis'!L10,"Reorder","Normal"))</f>
        <v>Out of Stock</v>
      </c>
      <c r="F10">
        <f>'DSS-SPK_Analysis'!P10</f>
        <v>0</v>
      </c>
      <c r="G10">
        <f>'DSS-SPK_Analysis'!E10</f>
        <v>0</v>
      </c>
      <c r="H10">
        <f>'DSS-SPK_Analysis'!I10</f>
        <v>0</v>
      </c>
      <c r="I10">
        <f t="shared" si="0"/>
        <v>100</v>
      </c>
      <c r="J10">
        <f t="shared" si="1"/>
        <v>0</v>
      </c>
      <c r="K10">
        <f t="shared" si="2"/>
        <v>40</v>
      </c>
      <c r="L10">
        <f t="shared" si="3"/>
        <v>60</v>
      </c>
      <c r="M10">
        <f t="shared" si="4"/>
        <v>57</v>
      </c>
      <c r="N10">
        <f t="shared" si="5"/>
        <v>3</v>
      </c>
      <c r="O10" t="str">
        <f t="shared" si="6"/>
        <v>SEDANG</v>
      </c>
      <c r="P10" t="str">
        <f t="shared" si="7"/>
        <v>Stok habis - memerlukan pemesanan darurat</v>
      </c>
      <c r="Q10" t="str">
        <f t="shared" si="8"/>
        <v>Pantau dan rencanakan pemesanan</v>
      </c>
      <c r="R10" t="str">
        <f t="shared" si="9"/>
        <v>Dalam 1-4 minggu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600-D402-486C-800A-2FC929E1AF47}">
  <dimension ref="A1:B12"/>
  <sheetViews>
    <sheetView workbookViewId="0">
      <selection activeCell="D12" sqref="D12"/>
    </sheetView>
  </sheetViews>
  <sheetFormatPr defaultRowHeight="14.4" x14ac:dyDescent="0.3"/>
  <cols>
    <col min="1" max="1" width="40.5546875" bestFit="1" customWidth="1"/>
    <col min="2" max="2" width="17" bestFit="1" customWidth="1"/>
  </cols>
  <sheetData>
    <row r="1" spans="1:2" ht="21" x14ac:dyDescent="0.4">
      <c r="A1" s="8" t="s">
        <v>62</v>
      </c>
      <c r="B1" s="11"/>
    </row>
    <row r="3" spans="1:2" x14ac:dyDescent="0.3">
      <c r="A3" s="6" t="s">
        <v>32</v>
      </c>
      <c r="B3" s="4">
        <f>COUNTA('DSS-SPK_Analysis'!A1:A10)-1</f>
        <v>3</v>
      </c>
    </row>
    <row r="4" spans="1:2" x14ac:dyDescent="0.3">
      <c r="A4" s="6" t="s">
        <v>33</v>
      </c>
      <c r="B4" s="5">
        <f>SUM('DSS-SPK_Analysis'!I:I)</f>
        <v>490500000</v>
      </c>
    </row>
    <row r="5" spans="1:2" x14ac:dyDescent="0.3">
      <c r="A5" s="6" t="s">
        <v>34</v>
      </c>
      <c r="B5" s="7" cm="1">
        <f t="array" ref="B5">SUMPRODUCT(ABS('DSS-SPK_Analysis'!H2:H11))</f>
        <v>21500000</v>
      </c>
    </row>
    <row r="6" spans="1:2" x14ac:dyDescent="0.3">
      <c r="A6" s="6" t="s">
        <v>35</v>
      </c>
      <c r="B6" s="22">
        <f>COUNTIF('DSS-SPK_Analysis'!G2:G10,"&lt;5")/COUNTA('DSS-SPK_Analysis'!G2:G10)*1</f>
        <v>0.66666666666666663</v>
      </c>
    </row>
    <row r="7" spans="1:2" x14ac:dyDescent="0.3">
      <c r="A7" s="6" t="s">
        <v>36</v>
      </c>
      <c r="B7" s="4">
        <f>COUNTIF('DSS-SPK_Analysis'!N:N,"Low Stock")</f>
        <v>0</v>
      </c>
    </row>
    <row r="8" spans="1:2" x14ac:dyDescent="0.3">
      <c r="A8" s="6" t="s">
        <v>37</v>
      </c>
      <c r="B8" s="4">
        <f>COUNTIF('DSS-SPK_Analysis'!N:N,"Overstock")</f>
        <v>0</v>
      </c>
    </row>
    <row r="9" spans="1:2" x14ac:dyDescent="0.3">
      <c r="A9" s="6" t="s">
        <v>38</v>
      </c>
      <c r="B9" s="4">
        <f>COUNTIF('DSS-SPK_Analysis'!N:N,"Reorder")</f>
        <v>2</v>
      </c>
    </row>
    <row r="10" spans="1:2" x14ac:dyDescent="0.3">
      <c r="A10" s="6" t="s">
        <v>39</v>
      </c>
      <c r="B10" s="4">
        <f>COUNTIF('DSS-SPK_Analysis'!P:P,"A")</f>
        <v>0</v>
      </c>
    </row>
    <row r="11" spans="1:2" x14ac:dyDescent="0.3">
      <c r="A11" s="6" t="s">
        <v>40</v>
      </c>
      <c r="B11" s="4">
        <f>COUNTIF('DSS-SPK_Analysis'!P:P,"B")</f>
        <v>1</v>
      </c>
    </row>
    <row r="12" spans="1:2" x14ac:dyDescent="0.3">
      <c r="A12" s="6" t="s">
        <v>41</v>
      </c>
      <c r="B12" s="4">
        <f>COUNTIF('DSS-SPK_Analysis'!P:P,"C")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2F7C-5CC2-44E4-81CD-1797F3282121}">
  <dimension ref="A1:Q12"/>
  <sheetViews>
    <sheetView zoomScale="70" zoomScaleNormal="70" workbookViewId="0">
      <pane ySplit="1" topLeftCell="A2" activePane="bottomLeft" state="frozen"/>
      <selection activeCell="F1" sqref="F1"/>
      <selection pane="bottomLeft" activeCell="C12" sqref="C12"/>
    </sheetView>
  </sheetViews>
  <sheetFormatPr defaultColWidth="8.77734375" defaultRowHeight="14.4" x14ac:dyDescent="0.3"/>
  <cols>
    <col min="1" max="1" width="13.33203125" style="14" bestFit="1" customWidth="1"/>
    <col min="2" max="2" width="20.44140625" style="14" bestFit="1" customWidth="1"/>
    <col min="3" max="3" width="11.33203125" style="14" bestFit="1" customWidth="1"/>
    <col min="4" max="4" width="13" style="14" bestFit="1" customWidth="1"/>
    <col min="5" max="5" width="12" style="14" bestFit="1" customWidth="1"/>
    <col min="6" max="6" width="8.5546875" style="14" bestFit="1" customWidth="1"/>
    <col min="7" max="7" width="13.33203125" style="14" bestFit="1" customWidth="1"/>
    <col min="8" max="8" width="15.77734375" style="20" bestFit="1" customWidth="1"/>
    <col min="9" max="9" width="16.77734375" style="20" bestFit="1" customWidth="1"/>
    <col min="10" max="10" width="15.5546875" style="14" bestFit="1" customWidth="1"/>
    <col min="11" max="11" width="12" style="14" bestFit="1" customWidth="1"/>
    <col min="12" max="12" width="13.77734375" style="14" bestFit="1" customWidth="1"/>
    <col min="13" max="13" width="4.88671875" style="14" bestFit="1" customWidth="1"/>
    <col min="14" max="14" width="12" style="14" bestFit="1" customWidth="1"/>
    <col min="15" max="15" width="14.5546875" style="14" bestFit="1" customWidth="1"/>
    <col min="16" max="16" width="9.6640625" style="14" bestFit="1" customWidth="1"/>
    <col min="17" max="17" width="14.6640625" style="14" bestFit="1" customWidth="1"/>
    <col min="18" max="16384" width="8.77734375" style="14"/>
  </cols>
  <sheetData>
    <row r="1" spans="1:17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20</v>
      </c>
      <c r="G1" s="12" t="s">
        <v>21</v>
      </c>
      <c r="H1" s="13" t="s">
        <v>22</v>
      </c>
      <c r="I1" s="13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</row>
    <row r="2" spans="1:17" x14ac:dyDescent="0.3">
      <c r="A2" s="15" t="str">
        <f>Input_Data!A2</f>
        <v>PRD001</v>
      </c>
      <c r="B2" s="15" t="str">
        <f>Input_Data!B2</f>
        <v>Laptop Dell Inspiron</v>
      </c>
      <c r="C2" s="15" t="str">
        <f>Input_Data!C2</f>
        <v>Electronics</v>
      </c>
      <c r="D2" s="15">
        <f>Input_Data!D2</f>
        <v>50</v>
      </c>
      <c r="E2" s="15">
        <f>Input_Data!E2</f>
        <v>48</v>
      </c>
      <c r="F2" s="15">
        <f>E2-D2</f>
        <v>-2</v>
      </c>
      <c r="G2" s="15">
        <f>IF(D2&lt;&gt;0,F2/D2*100,0)</f>
        <v>-4</v>
      </c>
      <c r="H2" s="16">
        <f>F2*Input_Data!F2</f>
        <v>-17000000</v>
      </c>
      <c r="I2" s="16">
        <f>E2*Input_Data!F2</f>
        <v>408000000</v>
      </c>
      <c r="J2" s="15">
        <f>Input_Data!J2*365</f>
        <v>2920</v>
      </c>
      <c r="K2" s="15">
        <f>CEILING(Input_Data!J2*SQRT(Input_Data!I2)*1.65,1)</f>
        <v>35</v>
      </c>
      <c r="L2" s="15">
        <f>(Input_Data!J2*Input_Data!I2)+K2</f>
        <v>91</v>
      </c>
      <c r="M2" s="15">
        <f>CEILING(SQRT((2*J2*Input_Data!K2)/(Input_Data!F2*Input_Data!L2)),1)</f>
        <v>12</v>
      </c>
      <c r="N2" s="15" t="str">
        <f>IF(E2&lt;=Input_Data!G2,"Low Stock",IF(E2&gt;=Input_Data!H2,"Overstock",IF(E2&lt;=L2,"Reorder","Normal")))</f>
        <v>Reorder</v>
      </c>
      <c r="O2" s="15">
        <f>IF(E2&lt;&gt;0,J2/E2,0)</f>
        <v>60.833333333333336</v>
      </c>
      <c r="P2" s="15" t="str">
        <f>IF(Q2&lt;=80,"A",IF(Q2&lt;=95,"B","C"))</f>
        <v>B</v>
      </c>
      <c r="Q2" s="15">
        <f>SUMIF(I:I,"&gt;="&amp;I2,I:I)/SUM(I:I)*100</f>
        <v>83.180428134556578</v>
      </c>
    </row>
    <row r="3" spans="1:17" x14ac:dyDescent="0.3">
      <c r="A3" s="15" t="str">
        <f>Input_Data!A3</f>
        <v>PRD002</v>
      </c>
      <c r="B3" s="15" t="str">
        <f>Input_Data!B3</f>
        <v>Mouse Wireless</v>
      </c>
      <c r="C3" s="15" t="str">
        <f>Input_Data!C3</f>
        <v>Accessories</v>
      </c>
      <c r="D3" s="15">
        <f>Input_Data!D3</f>
        <v>120</v>
      </c>
      <c r="E3" s="15">
        <f>Input_Data!E3</f>
        <v>125</v>
      </c>
      <c r="F3" s="15">
        <f>E3-D3</f>
        <v>5</v>
      </c>
      <c r="G3" s="15">
        <f>IF(D3&lt;&gt;0,F3/D3*100,0)</f>
        <v>4.1666666666666661</v>
      </c>
      <c r="H3" s="16">
        <f>F3*Input_Data!F3</f>
        <v>750000</v>
      </c>
      <c r="I3" s="16">
        <f>E3*Input_Data!F3</f>
        <v>18750000</v>
      </c>
      <c r="J3" s="15">
        <f>Input_Data!J3*365</f>
        <v>5475</v>
      </c>
      <c r="K3" s="15">
        <f>CEILING(Input_Data!J3*SQRT(Input_Data!I3)*1.65,1)</f>
        <v>43</v>
      </c>
      <c r="L3" s="15">
        <f>(Input_Data!J3*Input_Data!I3)+K3</f>
        <v>88</v>
      </c>
      <c r="M3" s="15">
        <f>CEILING(SQRT((2*J3*Input_Data!K3)/(Input_Data!F3*Input_Data!L3)),1)</f>
        <v>121</v>
      </c>
      <c r="N3" s="15" t="str">
        <f>IF(E3&lt;=Input_Data!G3,"Low Stock",IF(E3&gt;=Input_Data!H3,"Overstock",IF(E3&lt;=L3,"Reorder","Normal")))</f>
        <v>Normal</v>
      </c>
      <c r="O3" s="15">
        <f>IF(E3&lt;&gt;0,J3/E3,0)</f>
        <v>43.8</v>
      </c>
      <c r="P3" s="15" t="str">
        <f>IF(Q3&lt;=80,"A",IF(Q3&lt;=95,"B","C"))</f>
        <v>C</v>
      </c>
      <c r="Q3" s="15">
        <f>SUMIF(I:I,"&gt;="&amp;I3,I:I)/SUM(I:I)*100</f>
        <v>100</v>
      </c>
    </row>
    <row r="4" spans="1:17" x14ac:dyDescent="0.3">
      <c r="A4" s="15" t="str">
        <f>Input_Data!A4</f>
        <v>PRD003</v>
      </c>
      <c r="B4" s="15" t="str">
        <f>Input_Data!B4</f>
        <v>Keyboard Mechanical</v>
      </c>
      <c r="C4" s="15" t="str">
        <f>Input_Data!C4</f>
        <v>Accessories</v>
      </c>
      <c r="D4" s="15">
        <f>Input_Data!D4</f>
        <v>80</v>
      </c>
      <c r="E4" s="15">
        <f>Input_Data!E4</f>
        <v>85</v>
      </c>
      <c r="F4" s="15">
        <f>E4-D4</f>
        <v>5</v>
      </c>
      <c r="G4" s="15">
        <f>IF(D4&lt;&gt;0,F4/D4*100,0)</f>
        <v>6.25</v>
      </c>
      <c r="H4" s="16">
        <f>F4*Input_Data!F4</f>
        <v>3750000</v>
      </c>
      <c r="I4" s="16">
        <f>E4*Input_Data!F4</f>
        <v>63750000</v>
      </c>
      <c r="J4" s="15">
        <f>Input_Data!J4*365</f>
        <v>4380</v>
      </c>
      <c r="K4" s="15">
        <f>CEILING(Input_Data!J4*SQRT(Input_Data!I4)*1.65,1)</f>
        <v>45</v>
      </c>
      <c r="L4" s="15">
        <f>(Input_Data!J4*Input_Data!I4)+K4</f>
        <v>105</v>
      </c>
      <c r="M4" s="15">
        <f>CEILING(SQRT((2*J4*Input_Data!K4)/(Input_Data!F4*Input_Data!L4)),1)</f>
        <v>49</v>
      </c>
      <c r="N4" s="15" t="str">
        <f>IF(E4&lt;=Input_Data!G4,"Low Stock",IF(E4&gt;=Input_Data!H4,"Overstock",IF(E4&lt;=L4,"Reorder","Normal")))</f>
        <v>Reorder</v>
      </c>
      <c r="O4" s="15">
        <f>IF(E4&lt;&gt;0,J4/E4,0)</f>
        <v>51.529411764705884</v>
      </c>
      <c r="P4" s="15" t="str">
        <f>IF(Q4&lt;=80,"A",IF(Q4&lt;=95,"B","C"))</f>
        <v>C</v>
      </c>
      <c r="Q4" s="15">
        <f>SUMIF(I:I,"&gt;="&amp;I4,I:I)/SUM(I:I)*100</f>
        <v>96.177370030581045</v>
      </c>
    </row>
    <row r="12" spans="1:17" x14ac:dyDescent="0.3">
      <c r="H12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11CD-91B3-4735-8989-230A7EA33EEE}">
  <dimension ref="A7:Q7"/>
  <sheetViews>
    <sheetView workbookViewId="0">
      <selection activeCell="E9" sqref="E9"/>
    </sheetView>
  </sheetViews>
  <sheetFormatPr defaultRowHeight="14.4" x14ac:dyDescent="0.3"/>
  <sheetData>
    <row r="7" spans="1:17" s="17" customFormat="1" ht="78" customHeight="1" x14ac:dyDescent="0.3">
      <c r="A7" s="21" t="s">
        <v>65</v>
      </c>
      <c r="B7" s="21" t="s">
        <v>66</v>
      </c>
      <c r="C7" s="21" t="s">
        <v>66</v>
      </c>
      <c r="D7" s="17" t="s">
        <v>67</v>
      </c>
      <c r="E7" s="17" t="s">
        <v>67</v>
      </c>
      <c r="F7" s="18" t="s">
        <v>78</v>
      </c>
      <c r="G7" s="18" t="s">
        <v>69</v>
      </c>
      <c r="H7" s="19" t="s">
        <v>68</v>
      </c>
      <c r="I7" s="19" t="s">
        <v>64</v>
      </c>
      <c r="J7" s="18" t="s">
        <v>76</v>
      </c>
      <c r="K7" s="18" t="s">
        <v>75</v>
      </c>
      <c r="L7" s="18" t="s">
        <v>74</v>
      </c>
      <c r="M7" s="18" t="s">
        <v>73</v>
      </c>
      <c r="N7" s="17" t="s">
        <v>77</v>
      </c>
      <c r="O7" s="18" t="s">
        <v>72</v>
      </c>
      <c r="P7" s="18" t="s">
        <v>71</v>
      </c>
      <c r="Q7" s="18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ECF0-9BA2-4572-A76E-2708988269B7}">
  <dimension ref="A1:L4"/>
  <sheetViews>
    <sheetView tabSelected="1" workbookViewId="0">
      <selection activeCell="E6" sqref="E6"/>
    </sheetView>
  </sheetViews>
  <sheetFormatPr defaultRowHeight="14.4" x14ac:dyDescent="0.3"/>
  <cols>
    <col min="1" max="1" width="12.77734375" bestFit="1" customWidth="1"/>
    <col min="2" max="2" width="18.77734375" bestFit="1" customWidth="1"/>
    <col min="3" max="3" width="10.33203125" bestFit="1" customWidth="1"/>
    <col min="4" max="4" width="12.33203125" bestFit="1" customWidth="1"/>
    <col min="5" max="5" width="11.6640625" bestFit="1" customWidth="1"/>
    <col min="6" max="6" width="12.33203125" style="1" bestFit="1" customWidth="1"/>
    <col min="7" max="7" width="9.6640625" bestFit="1" customWidth="1"/>
    <col min="8" max="8" width="10" bestFit="1" customWidth="1"/>
    <col min="9" max="9" width="14.88671875" bestFit="1" customWidth="1"/>
    <col min="10" max="10" width="17.21875" bestFit="1" customWidth="1"/>
    <col min="11" max="11" width="14.21875" style="1" bestFit="1" customWidth="1"/>
    <col min="12" max="12" width="16.77734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3">
      <c r="A2" s="4" t="s">
        <v>12</v>
      </c>
      <c r="B2" s="4" t="s">
        <v>13</v>
      </c>
      <c r="C2" s="4" t="s">
        <v>14</v>
      </c>
      <c r="D2" s="4">
        <v>50</v>
      </c>
      <c r="E2" s="4">
        <v>48</v>
      </c>
      <c r="F2" s="5">
        <v>8500000</v>
      </c>
      <c r="G2" s="4">
        <v>10</v>
      </c>
      <c r="H2" s="4">
        <v>100</v>
      </c>
      <c r="I2" s="4">
        <v>7</v>
      </c>
      <c r="J2" s="4">
        <v>8</v>
      </c>
      <c r="K2" s="5">
        <v>50000</v>
      </c>
      <c r="L2" s="4">
        <v>0.25</v>
      </c>
    </row>
    <row r="3" spans="1:12" x14ac:dyDescent="0.3">
      <c r="A3" s="4" t="s">
        <v>15</v>
      </c>
      <c r="B3" s="4" t="s">
        <v>16</v>
      </c>
      <c r="C3" s="4" t="s">
        <v>17</v>
      </c>
      <c r="D3" s="4">
        <v>120</v>
      </c>
      <c r="E3" s="4">
        <v>125</v>
      </c>
      <c r="F3" s="5">
        <v>150000</v>
      </c>
      <c r="G3" s="4">
        <v>20</v>
      </c>
      <c r="H3" s="4">
        <v>200</v>
      </c>
      <c r="I3" s="4">
        <v>3</v>
      </c>
      <c r="J3" s="4">
        <v>15</v>
      </c>
      <c r="K3" s="5">
        <v>50000</v>
      </c>
      <c r="L3" s="4">
        <v>0.25</v>
      </c>
    </row>
    <row r="4" spans="1:12" x14ac:dyDescent="0.3">
      <c r="A4" s="4" t="s">
        <v>18</v>
      </c>
      <c r="B4" s="4" t="s">
        <v>19</v>
      </c>
      <c r="C4" s="4" t="s">
        <v>17</v>
      </c>
      <c r="D4" s="4">
        <v>80</v>
      </c>
      <c r="E4" s="4">
        <v>85</v>
      </c>
      <c r="F4" s="5">
        <v>750000</v>
      </c>
      <c r="G4" s="4">
        <v>15</v>
      </c>
      <c r="H4" s="4">
        <v>150</v>
      </c>
      <c r="I4" s="4">
        <v>5</v>
      </c>
      <c r="J4" s="4">
        <v>12</v>
      </c>
      <c r="K4" s="5">
        <v>50000</v>
      </c>
      <c r="L4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Recommendations</vt:lpstr>
      <vt:lpstr>AHP Urgency Ranking</vt:lpstr>
      <vt:lpstr>Summary_Dashboard</vt:lpstr>
      <vt:lpstr>DSS-SPK_Analysis</vt:lpstr>
      <vt:lpstr>Sheet1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mantiri2</dc:creator>
  <cp:lastModifiedBy>sasa mantiri2</cp:lastModifiedBy>
  <dcterms:created xsi:type="dcterms:W3CDTF">2025-06-27T05:40:15Z</dcterms:created>
  <dcterms:modified xsi:type="dcterms:W3CDTF">2025-07-06T13:13:33Z</dcterms:modified>
</cp:coreProperties>
</file>