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a">Лист1!$B$36</definedName>
    <definedName name="Aa">Лист1!$B$44</definedName>
    <definedName name="Aam">Лист1!$O$19</definedName>
    <definedName name="b">Лист1!$B$37</definedName>
    <definedName name="CovXY">Лист1!$I$19</definedName>
    <definedName name="F_f">Лист1!$B$48</definedName>
    <definedName name="F_t">Лист1!$B$50</definedName>
    <definedName name="m_a">Лист1!$B$51</definedName>
    <definedName name="m_b">Лист1!$B$52</definedName>
    <definedName name="m_r">Лист1!$B$53</definedName>
    <definedName name="mAa">Лист1!$B$44</definedName>
    <definedName name="n">Лист1!$A$20</definedName>
    <definedName name="r_xy">Лист1!$B$40</definedName>
    <definedName name="rangeAa">Лист1!$O$4:$O$17</definedName>
    <definedName name="rangeCov">Лист1!$I$4:$I$17</definedName>
    <definedName name="rangeN">Лист1!$A$4:$A$17</definedName>
    <definedName name="rangeVarX">Лист1!$J$4:$J$17</definedName>
    <definedName name="rangeVarY">Лист1!$K$4:$K$17</definedName>
    <definedName name="rangeVarYp">Лист1!$N$4:$N$17</definedName>
    <definedName name="rangeX2">Лист1!$P$4:$P$17</definedName>
    <definedName name="Rxy">Лист1!$B$42</definedName>
    <definedName name="sumVarX">Лист1!$J$18</definedName>
    <definedName name="sumVarY">Лист1!$K$18</definedName>
    <definedName name="sumVarYp">Лист1!$N$18</definedName>
    <definedName name="sumX2">Лист1!$P$18</definedName>
    <definedName name="t_a">Лист1!$B$54</definedName>
    <definedName name="t_b">Лист1!$B$55</definedName>
    <definedName name="t_r">Лист1!$B$56</definedName>
    <definedName name="Var">Лист1!$B$1</definedName>
    <definedName name="VarX">Лист1!$J$19</definedName>
    <definedName name="VarY">Лист1!$K$19</definedName>
    <definedName name="X">Лист1!$E$4:$E$17</definedName>
    <definedName name="X_0">Лист1!$C$4:$C$17</definedName>
    <definedName name="Xa">Лист1!$E$19</definedName>
    <definedName name="Xs">Лист1!$E$18</definedName>
    <definedName name="Y">Лист1!$F$4:$F$17</definedName>
    <definedName name="Y_0">Лист1!$D$4:$D$17</definedName>
    <definedName name="Ya">Лист1!$F$19</definedName>
    <definedName name="Yp">Лист1!$L$4:$L$17</definedName>
    <definedName name="Ys">Лист1!$F$18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P18" i="1"/>
  <c r="B51" i="1"/>
  <c r="B48" i="1"/>
  <c r="A20" i="1"/>
  <c r="B44" i="1"/>
  <c r="O19" i="1"/>
  <c r="E42" i="1"/>
  <c r="B42" i="1"/>
  <c r="N18" i="1"/>
  <c r="N19" i="1"/>
  <c r="B4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E5" i="1"/>
  <c r="P5" i="1" s="1"/>
  <c r="E6" i="1"/>
  <c r="P6" i="1" s="1"/>
  <c r="E7" i="1"/>
  <c r="P7" i="1" s="1"/>
  <c r="E8" i="1"/>
  <c r="P8" i="1" s="1"/>
  <c r="E9" i="1"/>
  <c r="P9" i="1" s="1"/>
  <c r="E10" i="1"/>
  <c r="P10" i="1" s="1"/>
  <c r="E11" i="1"/>
  <c r="P11" i="1" s="1"/>
  <c r="E12" i="1"/>
  <c r="P12" i="1" s="1"/>
  <c r="E13" i="1"/>
  <c r="P13" i="1" s="1"/>
  <c r="E14" i="1"/>
  <c r="P14" i="1" s="1"/>
  <c r="E15" i="1"/>
  <c r="P15" i="1" s="1"/>
  <c r="E16" i="1"/>
  <c r="P16" i="1" s="1"/>
  <c r="E17" i="1"/>
  <c r="P17" i="1" s="1"/>
  <c r="E4" i="1"/>
  <c r="P4" i="1" s="1"/>
  <c r="F19" i="1" l="1"/>
  <c r="H9" i="1" s="1"/>
  <c r="F18" i="1"/>
  <c r="E18" i="1"/>
  <c r="E19" i="1"/>
  <c r="G15" i="1" s="1"/>
  <c r="G12" i="1"/>
  <c r="J12" i="1"/>
  <c r="K4" i="1" l="1"/>
  <c r="I6" i="1"/>
  <c r="J8" i="1"/>
  <c r="J16" i="1"/>
  <c r="G8" i="1"/>
  <c r="G16" i="1"/>
  <c r="H8" i="1"/>
  <c r="H11" i="1"/>
  <c r="K11" i="1"/>
  <c r="K10" i="1"/>
  <c r="I14" i="1"/>
  <c r="H16" i="1"/>
  <c r="K5" i="1"/>
  <c r="H17" i="1"/>
  <c r="J7" i="1"/>
  <c r="I9" i="1"/>
  <c r="G13" i="1"/>
  <c r="J13" i="1"/>
  <c r="I15" i="1"/>
  <c r="K6" i="1"/>
  <c r="K14" i="1"/>
  <c r="J6" i="1"/>
  <c r="J10" i="1"/>
  <c r="J14" i="1"/>
  <c r="J4" i="1"/>
  <c r="I10" i="1"/>
  <c r="I4" i="1"/>
  <c r="H12" i="1"/>
  <c r="G6" i="1"/>
  <c r="G10" i="1"/>
  <c r="G14" i="1"/>
  <c r="G4" i="1"/>
  <c r="K13" i="1"/>
  <c r="J15" i="1"/>
  <c r="I17" i="1"/>
  <c r="G5" i="1"/>
  <c r="J5" i="1"/>
  <c r="I7" i="1"/>
  <c r="G11" i="1"/>
  <c r="K8" i="1"/>
  <c r="K12" i="1"/>
  <c r="K16" i="1"/>
  <c r="I8" i="1"/>
  <c r="I12" i="1"/>
  <c r="I16" i="1"/>
  <c r="H6" i="1"/>
  <c r="H10" i="1"/>
  <c r="H14" i="1"/>
  <c r="H4" i="1"/>
  <c r="K9" i="1"/>
  <c r="K17" i="1"/>
  <c r="J11" i="1"/>
  <c r="I5" i="1"/>
  <c r="I13" i="1"/>
  <c r="H7" i="1"/>
  <c r="H15" i="1"/>
  <c r="G9" i="1"/>
  <c r="G17" i="1"/>
  <c r="K7" i="1"/>
  <c r="K15" i="1"/>
  <c r="J9" i="1"/>
  <c r="J17" i="1"/>
  <c r="I11" i="1"/>
  <c r="H5" i="1"/>
  <c r="H13" i="1"/>
  <c r="G7" i="1"/>
  <c r="J19" i="1" l="1"/>
  <c r="I19" i="1"/>
  <c r="K19" i="1"/>
  <c r="J18" i="1"/>
  <c r="K18" i="1"/>
  <c r="I18" i="1"/>
  <c r="B36" i="1" l="1"/>
  <c r="B37" i="1" s="1"/>
  <c r="L8" i="1" s="1"/>
  <c r="N8" i="1" l="1"/>
  <c r="O8" i="1"/>
  <c r="M8" i="1"/>
  <c r="L13" i="1"/>
  <c r="L5" i="1"/>
  <c r="L11" i="1"/>
  <c r="L4" i="1"/>
  <c r="L14" i="1"/>
  <c r="L10" i="1"/>
  <c r="L6" i="1"/>
  <c r="L17" i="1"/>
  <c r="L9" i="1"/>
  <c r="L15" i="1"/>
  <c r="L7" i="1"/>
  <c r="L16" i="1"/>
  <c r="L12" i="1"/>
  <c r="N16" i="1" l="1"/>
  <c r="O16" i="1"/>
  <c r="M16" i="1"/>
  <c r="O15" i="1"/>
  <c r="N15" i="1"/>
  <c r="M15" i="1"/>
  <c r="O17" i="1"/>
  <c r="N17" i="1"/>
  <c r="M17" i="1"/>
  <c r="O10" i="1"/>
  <c r="M10" i="1"/>
  <c r="N10" i="1"/>
  <c r="O4" i="1"/>
  <c r="M4" i="1"/>
  <c r="N4" i="1"/>
  <c r="O5" i="1"/>
  <c r="N5" i="1"/>
  <c r="M5" i="1"/>
  <c r="N12" i="1"/>
  <c r="O12" i="1"/>
  <c r="M12" i="1"/>
  <c r="N7" i="1"/>
  <c r="O7" i="1"/>
  <c r="M7" i="1"/>
  <c r="O9" i="1"/>
  <c r="N9" i="1"/>
  <c r="M9" i="1"/>
  <c r="O6" i="1"/>
  <c r="M6" i="1"/>
  <c r="N6" i="1"/>
  <c r="O14" i="1"/>
  <c r="M14" i="1"/>
  <c r="N14" i="1"/>
  <c r="M11" i="1"/>
  <c r="N11" i="1"/>
  <c r="O11" i="1"/>
  <c r="O13" i="1"/>
  <c r="N13" i="1"/>
  <c r="M13" i="1"/>
</calcChain>
</file>

<file path=xl/sharedStrings.xml><?xml version="1.0" encoding="utf-8"?>
<sst xmlns="http://schemas.openxmlformats.org/spreadsheetml/2006/main" count="40" uniqueCount="40">
  <si>
    <t>Вариант</t>
  </si>
  <si>
    <t>Год</t>
  </si>
  <si>
    <t>НС</t>
  </si>
  <si>
    <t>Сумма</t>
  </si>
  <si>
    <t>Среднее</t>
  </si>
  <si>
    <t>X_0</t>
  </si>
  <si>
    <t>Y_0</t>
  </si>
  <si>
    <t>X</t>
  </si>
  <si>
    <t>Y</t>
  </si>
  <si>
    <t>X-Xa</t>
  </si>
  <si>
    <t>Y-Ya</t>
  </si>
  <si>
    <t>(X-Xa) (Y-Ya)</t>
  </si>
  <si>
    <t>(X-Xa)^2</t>
  </si>
  <si>
    <t>(Y-Ya)^2</t>
  </si>
  <si>
    <t>a</t>
  </si>
  <si>
    <t>b</t>
  </si>
  <si>
    <t>Yp</t>
  </si>
  <si>
    <t>Y-Yp</t>
  </si>
  <si>
    <t>(Y-Yp)^2</t>
  </si>
  <si>
    <t>|Y-Yp|/Y</t>
  </si>
  <si>
    <t>X^2</t>
  </si>
  <si>
    <t>2. Построим линейную модель парной регрессии</t>
  </si>
  <si>
    <t>3. Рассчитаем коэффициент парной корреляции</t>
  </si>
  <si>
    <t>r_xy</t>
  </si>
  <si>
    <t>Коэффициент детерминации</t>
  </si>
  <si>
    <t>(R_xy)^2</t>
  </si>
  <si>
    <t>Средняя по модулю ошибка аппроксимации</t>
  </si>
  <si>
    <t>Aa</t>
  </si>
  <si>
    <t>%</t>
  </si>
  <si>
    <t>4. Значимость уравнения регрессии оценим с помощью критерия Фишера</t>
  </si>
  <si>
    <t>Фактическое значение критерия:</t>
  </si>
  <si>
    <t>F_f</t>
  </si>
  <si>
    <t>Табличное значение критерия:</t>
  </si>
  <si>
    <t>F_t</t>
  </si>
  <si>
    <t>m_a</t>
  </si>
  <si>
    <t>m_b</t>
  </si>
  <si>
    <t>m_r</t>
  </si>
  <si>
    <t>t_a</t>
  </si>
  <si>
    <t>t_b</t>
  </si>
  <si>
    <t>t_r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</si>
</sst>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0" borderId="1" xfId="0" applyBorder="1"/>
    <xf numFmtId="0" fontId="3" fillId="4" borderId="2" xfId="0" applyFont="1" applyFill="1" applyBorder="1"/>
    <xf numFmtId="0" fontId="2" fillId="3" borderId="1" xfId="0" applyFont="1" applyFill="1" applyBorder="1"/>
    <xf numFmtId="0" fontId="0" fillId="4" borderId="0" xfId="0" applyFill="1"/>
    <xf numFmtId="0" fontId="2" fillId="3" borderId="0" xfId="0" applyFont="1" applyFill="1" applyAlignment="1">
      <alignment horizontal="center" vertical="center"/>
    </xf>
    <xf numFmtId="0" fontId="0" fillId="0" borderId="3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0" borderId="0" xfId="0" applyBorder="1"/>
    <xf numFmtId="0" fontId="2" fillId="0" borderId="0" xfId="0" applyFont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1.</a:t>
            </a:r>
            <a:r>
              <a:rPr lang="en-US" b="1" baseline="0"/>
              <a:t> </a:t>
            </a:r>
            <a:r>
              <a:rPr lang="ru-RU" b="1"/>
              <a:t>Диаграмма рассеяния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Лист1!$E$4:$E$17</c:f>
              <c:numCache>
                <c:formatCode>General</c:formatCode>
                <c:ptCount val="14"/>
                <c:pt idx="0">
                  <c:v>387</c:v>
                </c:pt>
                <c:pt idx="1">
                  <c:v>460</c:v>
                </c:pt>
                <c:pt idx="2">
                  <c:v>713</c:v>
                </c:pt>
                <c:pt idx="3">
                  <c:v>1020</c:v>
                </c:pt>
                <c:pt idx="4">
                  <c:v>1265</c:v>
                </c:pt>
                <c:pt idx="5">
                  <c:v>1632</c:v>
                </c:pt>
                <c:pt idx="6">
                  <c:v>2093</c:v>
                </c:pt>
                <c:pt idx="7">
                  <c:v>2146</c:v>
                </c:pt>
                <c:pt idx="8">
                  <c:v>2647</c:v>
                </c:pt>
                <c:pt idx="9">
                  <c:v>2980</c:v>
                </c:pt>
                <c:pt idx="10">
                  <c:v>2810</c:v>
                </c:pt>
                <c:pt idx="11">
                  <c:v>2847</c:v>
                </c:pt>
                <c:pt idx="12">
                  <c:v>3125</c:v>
                </c:pt>
                <c:pt idx="13">
                  <c:v>3871</c:v>
                </c:pt>
              </c:numCache>
            </c:numRef>
          </c:xVal>
          <c:yVal>
            <c:numRef>
              <c:f>Лист1!$F$4:$F$17</c:f>
              <c:numCache>
                <c:formatCode>General</c:formatCode>
                <c:ptCount val="14"/>
                <c:pt idx="0">
                  <c:v>267</c:v>
                </c:pt>
                <c:pt idx="1">
                  <c:v>279</c:v>
                </c:pt>
                <c:pt idx="2">
                  <c:v>347</c:v>
                </c:pt>
                <c:pt idx="3">
                  <c:v>403.59</c:v>
                </c:pt>
                <c:pt idx="4">
                  <c:v>454.6</c:v>
                </c:pt>
                <c:pt idx="5">
                  <c:v>562.86</c:v>
                </c:pt>
                <c:pt idx="6">
                  <c:v>818.64</c:v>
                </c:pt>
                <c:pt idx="7">
                  <c:v>813.55</c:v>
                </c:pt>
                <c:pt idx="8">
                  <c:v>933.84</c:v>
                </c:pt>
                <c:pt idx="9">
                  <c:v>1118.21</c:v>
                </c:pt>
                <c:pt idx="10">
                  <c:v>1168.57</c:v>
                </c:pt>
                <c:pt idx="11">
                  <c:v>1237.17</c:v>
                </c:pt>
                <c:pt idx="12">
                  <c:v>1337.38</c:v>
                </c:pt>
                <c:pt idx="13">
                  <c:v>1263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F-4C4F-BF51-ECA2FC95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736"/>
        <c:axId val="261123568"/>
      </c:scatterChart>
      <c:valAx>
        <c:axId val="26112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123568"/>
        <c:crosses val="autoZero"/>
        <c:crossBetween val="midCat"/>
      </c:valAx>
      <c:valAx>
        <c:axId val="2611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12273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9525</xdr:rowOff>
    </xdr:from>
    <xdr:to>
      <xdr:col>7</xdr:col>
      <xdr:colOff>0</xdr:colOff>
      <xdr:row>33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topLeftCell="A34" workbookViewId="0">
      <selection activeCell="L55" sqref="L55"/>
    </sheetView>
  </sheetViews>
  <sheetFormatPr defaultRowHeight="15" x14ac:dyDescent="0.25"/>
  <cols>
    <col min="1" max="1" width="9" customWidth="1"/>
    <col min="2" max="2" width="6.28515625" customWidth="1"/>
    <col min="3" max="3" width="5.42578125" customWidth="1"/>
    <col min="4" max="4" width="7.85546875" customWidth="1"/>
    <col min="5" max="5" width="7.42578125" customWidth="1"/>
    <col min="6" max="6" width="7.7109375" customWidth="1"/>
    <col min="7" max="7" width="12.5703125" customWidth="1"/>
    <col min="8" max="8" width="12.7109375" customWidth="1"/>
    <col min="9" max="9" width="12.42578125" customWidth="1"/>
    <col min="10" max="10" width="12.28515625" customWidth="1"/>
    <col min="11" max="11" width="11.7109375" customWidth="1"/>
  </cols>
  <sheetData>
    <row r="1" spans="1:16" x14ac:dyDescent="0.25">
      <c r="A1" t="s">
        <v>0</v>
      </c>
      <c r="B1" s="3">
        <v>7</v>
      </c>
    </row>
    <row r="2" spans="1:16" s="1" customFormat="1" ht="22.5" customHeight="1" x14ac:dyDescent="0.25">
      <c r="A2" s="9" t="s">
        <v>2</v>
      </c>
      <c r="B2" s="9" t="s">
        <v>1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11" t="s">
        <v>11</v>
      </c>
      <c r="J2" s="9" t="s">
        <v>12</v>
      </c>
      <c r="K2" s="9" t="s">
        <v>13</v>
      </c>
      <c r="L2" s="8" t="s">
        <v>16</v>
      </c>
      <c r="M2" s="9" t="s">
        <v>17</v>
      </c>
      <c r="N2" s="9" t="s">
        <v>18</v>
      </c>
      <c r="O2" s="9" t="s">
        <v>19</v>
      </c>
      <c r="P2" s="9" t="s">
        <v>20</v>
      </c>
    </row>
    <row r="3" spans="1:16" s="6" customFormat="1" ht="28.5" customHeight="1" x14ac:dyDescent="0.25">
      <c r="A3" s="10"/>
      <c r="B3" s="10"/>
      <c r="C3" s="10"/>
      <c r="D3" s="10"/>
      <c r="E3" s="10"/>
      <c r="F3" s="10"/>
      <c r="G3" s="10"/>
      <c r="H3" s="10"/>
      <c r="I3" s="12"/>
      <c r="J3" s="10"/>
      <c r="K3" s="10"/>
      <c r="L3" s="8"/>
      <c r="M3" s="10"/>
      <c r="N3" s="10"/>
      <c r="O3" s="10"/>
      <c r="P3" s="10"/>
    </row>
    <row r="4" spans="1:16" x14ac:dyDescent="0.25">
      <c r="A4" s="2">
        <v>1</v>
      </c>
      <c r="B4" s="2">
        <v>2002</v>
      </c>
      <c r="C4" s="2">
        <v>380</v>
      </c>
      <c r="D4" s="2">
        <v>260</v>
      </c>
      <c r="E4" s="13">
        <f>X_0+Var</f>
        <v>387</v>
      </c>
      <c r="F4" s="13">
        <f>Y_0+Var</f>
        <v>267</v>
      </c>
      <c r="G4" s="7">
        <f>X-Xa</f>
        <v>-1612.7142857142858</v>
      </c>
      <c r="H4" s="7">
        <f>Y-Ya</f>
        <v>-519.02928571428572</v>
      </c>
      <c r="I4" s="2">
        <f>(X-Xa) * (Y-Ya)</f>
        <v>837045.9437755103</v>
      </c>
      <c r="J4" s="2">
        <f>(X-Xa)^2</f>
        <v>2600847.3673469392</v>
      </c>
      <c r="K4" s="2">
        <f>(Y-Ya)^2</f>
        <v>269391.39942908165</v>
      </c>
      <c r="L4" s="2">
        <f>a*X+b</f>
        <v>223.48038382240827</v>
      </c>
      <c r="M4" s="2">
        <f>Y-Yp</f>
        <v>43.519616177591729</v>
      </c>
      <c r="N4" s="2">
        <f>(Y-Yp)^2</f>
        <v>1893.9569922449036</v>
      </c>
      <c r="O4" s="2">
        <f>ABS(Y-Yp)/Y</f>
        <v>0.16299481714453831</v>
      </c>
      <c r="P4" s="2">
        <f>X^2</f>
        <v>149769</v>
      </c>
    </row>
    <row r="5" spans="1:16" x14ac:dyDescent="0.25">
      <c r="A5" s="2">
        <v>2</v>
      </c>
      <c r="B5" s="2">
        <v>2003</v>
      </c>
      <c r="C5" s="2">
        <v>453</v>
      </c>
      <c r="D5" s="2">
        <v>272</v>
      </c>
      <c r="E5" s="13">
        <f>X_0+Var</f>
        <v>460</v>
      </c>
      <c r="F5" s="13">
        <f>Y_0+Var</f>
        <v>279</v>
      </c>
      <c r="G5" s="7">
        <f>X-Xa</f>
        <v>-1539.7142857142858</v>
      </c>
      <c r="H5" s="7">
        <f>Y-Ya</f>
        <v>-507.02928571428572</v>
      </c>
      <c r="I5" s="2">
        <f>(X-Xa) * (Y-Ya)</f>
        <v>780680.23448979598</v>
      </c>
      <c r="J5" s="2">
        <f>(X-Xa)^2</f>
        <v>2370720.0816326533</v>
      </c>
      <c r="K5" s="2">
        <f>(Y-Ya)^2</f>
        <v>257078.69657193878</v>
      </c>
      <c r="L5" s="2">
        <f>a*X+b</f>
        <v>248.94433004144886</v>
      </c>
      <c r="M5" s="2">
        <f>Y-Yp</f>
        <v>30.055669958551135</v>
      </c>
      <c r="N5" s="2">
        <f>(Y-Yp)^2</f>
        <v>903.34329665735322</v>
      </c>
      <c r="O5" s="2">
        <f>ABS(Y-Yp)/Y</f>
        <v>0.10772641562204709</v>
      </c>
      <c r="P5" s="2">
        <f>X^2</f>
        <v>211600</v>
      </c>
    </row>
    <row r="6" spans="1:16" x14ac:dyDescent="0.25">
      <c r="A6" s="2">
        <v>3</v>
      </c>
      <c r="B6" s="2">
        <v>2004</v>
      </c>
      <c r="C6" s="2">
        <v>706</v>
      </c>
      <c r="D6" s="2">
        <v>340</v>
      </c>
      <c r="E6" s="13">
        <f>X_0+Var</f>
        <v>713</v>
      </c>
      <c r="F6" s="13">
        <f>Y_0+Var</f>
        <v>347</v>
      </c>
      <c r="G6" s="7">
        <f>X-Xa</f>
        <v>-1286.7142857142858</v>
      </c>
      <c r="H6" s="7">
        <f>Y-Ya</f>
        <v>-439.02928571428572</v>
      </c>
      <c r="I6" s="2">
        <f>(X-Xa) * (Y-Ya)</f>
        <v>564905.25377551024</v>
      </c>
      <c r="J6" s="2">
        <f>(X-Xa)^2</f>
        <v>1655633.6530612246</v>
      </c>
      <c r="K6" s="2">
        <f>(Y-Ya)^2</f>
        <v>192746.71371479591</v>
      </c>
      <c r="L6" s="2">
        <f>a*X+b</f>
        <v>337.19608885538412</v>
      </c>
      <c r="M6" s="2">
        <f>Y-Yp</f>
        <v>9.8039111446158813</v>
      </c>
      <c r="N6" s="2">
        <f>(Y-Yp)^2</f>
        <v>96.116673731523477</v>
      </c>
      <c r="O6" s="2">
        <f>ABS(Y-Yp)/Y</f>
        <v>2.8253346238086112E-2</v>
      </c>
      <c r="P6" s="2">
        <f>X^2</f>
        <v>508369</v>
      </c>
    </row>
    <row r="7" spans="1:16" x14ac:dyDescent="0.25">
      <c r="A7" s="2">
        <v>4</v>
      </c>
      <c r="B7" s="2">
        <v>2005</v>
      </c>
      <c r="C7" s="2">
        <v>1013</v>
      </c>
      <c r="D7" s="2">
        <v>396.59</v>
      </c>
      <c r="E7" s="13">
        <f>X_0+Var</f>
        <v>1020</v>
      </c>
      <c r="F7" s="13">
        <f>Y_0+Var</f>
        <v>403.59</v>
      </c>
      <c r="G7" s="7">
        <f>X-Xa</f>
        <v>-979.71428571428578</v>
      </c>
      <c r="H7" s="7">
        <f>Y-Ya</f>
        <v>-382.43928571428575</v>
      </c>
      <c r="I7" s="2">
        <f>(X-Xa) * (Y-Ya)</f>
        <v>374681.2316326531</v>
      </c>
      <c r="J7" s="2">
        <f>(X-Xa)^2</f>
        <v>959840.08163265313</v>
      </c>
      <c r="K7" s="2">
        <f>(Y-Ya)^2</f>
        <v>146259.8072576531</v>
      </c>
      <c r="L7" s="2">
        <f>a*X+b</f>
        <v>444.28419144778775</v>
      </c>
      <c r="M7" s="2">
        <f>Y-Yp</f>
        <v>-40.694191447787773</v>
      </c>
      <c r="N7" s="2">
        <f>(Y-Yp)^2</f>
        <v>1656.0172175892035</v>
      </c>
      <c r="O7" s="2">
        <f>ABS(Y-Yp)/Y</f>
        <v>0.1008305246606402</v>
      </c>
      <c r="P7" s="2">
        <f>X^2</f>
        <v>1040400</v>
      </c>
    </row>
    <row r="8" spans="1:16" x14ac:dyDescent="0.25">
      <c r="A8" s="2">
        <v>5</v>
      </c>
      <c r="B8" s="2">
        <v>2006</v>
      </c>
      <c r="C8" s="2">
        <v>1258</v>
      </c>
      <c r="D8" s="2">
        <v>447.6</v>
      </c>
      <c r="E8" s="13">
        <f>X_0+Var</f>
        <v>1265</v>
      </c>
      <c r="F8" s="13">
        <f>Y_0+Var</f>
        <v>454.6</v>
      </c>
      <c r="G8" s="7">
        <f>X-Xa</f>
        <v>-734.71428571428578</v>
      </c>
      <c r="H8" s="7">
        <f>Y-Ya</f>
        <v>-331.4292857142857</v>
      </c>
      <c r="I8" s="2">
        <f>(X-Xa) * (Y-Ya)</f>
        <v>243505.83091836737</v>
      </c>
      <c r="J8" s="2">
        <f>(X-Xa)^2</f>
        <v>539805.08163265313</v>
      </c>
      <c r="K8" s="2">
        <f>(Y-Ya)^2</f>
        <v>109845.37142908163</v>
      </c>
      <c r="L8" s="2">
        <f>a*X+b</f>
        <v>529.74538081306105</v>
      </c>
      <c r="M8" s="2">
        <f>Y-Yp</f>
        <v>-75.145380813061024</v>
      </c>
      <c r="N8" s="2">
        <f>(Y-Yp)^2</f>
        <v>5646.8282575399598</v>
      </c>
      <c r="O8" s="2">
        <f>ABS(Y-Yp)/Y</f>
        <v>0.16530000178851961</v>
      </c>
      <c r="P8" s="2">
        <f>X^2</f>
        <v>1600225</v>
      </c>
    </row>
    <row r="9" spans="1:16" x14ac:dyDescent="0.25">
      <c r="A9" s="2">
        <v>6</v>
      </c>
      <c r="B9" s="2">
        <v>2007</v>
      </c>
      <c r="C9" s="2">
        <v>1625</v>
      </c>
      <c r="D9" s="2">
        <v>555.86</v>
      </c>
      <c r="E9" s="13">
        <f>X_0+Var</f>
        <v>1632</v>
      </c>
      <c r="F9" s="13">
        <f>Y_0+Var</f>
        <v>562.86</v>
      </c>
      <c r="G9" s="7">
        <f>X-Xa</f>
        <v>-367.71428571428578</v>
      </c>
      <c r="H9" s="7">
        <f>Y-Ya</f>
        <v>-223.16928571428571</v>
      </c>
      <c r="I9" s="2">
        <f>(X-Xa) * (Y-Ya)</f>
        <v>82062.534489795929</v>
      </c>
      <c r="J9" s="2">
        <f>(X-Xa)^2</f>
        <v>135213.7959183674</v>
      </c>
      <c r="K9" s="2">
        <f>(Y-Ya)^2</f>
        <v>49804.530086224484</v>
      </c>
      <c r="L9" s="2">
        <f>a*X+b</f>
        <v>657.76275427042947</v>
      </c>
      <c r="M9" s="2">
        <f>Y-Yp</f>
        <v>-94.902754270429455</v>
      </c>
      <c r="N9" s="2">
        <f>(Y-Yp)^2</f>
        <v>9006.5327681135168</v>
      </c>
      <c r="O9" s="2">
        <f>ABS(Y-Yp)/Y</f>
        <v>0.1686080984088929</v>
      </c>
      <c r="P9" s="2">
        <f>X^2</f>
        <v>2663424</v>
      </c>
    </row>
    <row r="10" spans="1:16" x14ac:dyDescent="0.25">
      <c r="A10" s="2">
        <v>7</v>
      </c>
      <c r="B10" s="2">
        <v>2008</v>
      </c>
      <c r="C10" s="2">
        <v>2086</v>
      </c>
      <c r="D10" s="2">
        <v>811.64</v>
      </c>
      <c r="E10" s="13">
        <f>X_0+Var</f>
        <v>2093</v>
      </c>
      <c r="F10" s="13">
        <f>Y_0+Var</f>
        <v>818.64</v>
      </c>
      <c r="G10" s="7">
        <f>X-Xa</f>
        <v>93.285714285714221</v>
      </c>
      <c r="H10" s="7">
        <f>Y-Ya</f>
        <v>32.610714285714266</v>
      </c>
      <c r="I10" s="2">
        <f>(X-Xa) * (Y-Ya)</f>
        <v>3042.1137755102</v>
      </c>
      <c r="J10" s="2">
        <f>(X-Xa)^2</f>
        <v>8702.2244897959063</v>
      </c>
      <c r="K10" s="2">
        <f>(Y-Ya)^2</f>
        <v>1063.4586862244885</v>
      </c>
      <c r="L10" s="2">
        <f>a*X+b</f>
        <v>818.56931874957627</v>
      </c>
      <c r="M10" s="2">
        <f>Y-Yp</f>
        <v>7.0681250423717756E-2</v>
      </c>
      <c r="N10" s="2">
        <f>(Y-Yp)^2</f>
        <v>4.9958391614603019E-3</v>
      </c>
      <c r="O10" s="2">
        <f>ABS(Y-Yp)/Y</f>
        <v>8.6339844649318086E-5</v>
      </c>
      <c r="P10" s="2">
        <f>X^2</f>
        <v>4380649</v>
      </c>
    </row>
    <row r="11" spans="1:16" x14ac:dyDescent="0.25">
      <c r="A11" s="2">
        <v>8</v>
      </c>
      <c r="B11" s="2">
        <v>2009</v>
      </c>
      <c r="C11" s="2">
        <v>2139</v>
      </c>
      <c r="D11" s="2">
        <v>806.55</v>
      </c>
      <c r="E11" s="13">
        <f>X_0+Var</f>
        <v>2146</v>
      </c>
      <c r="F11" s="13">
        <f>Y_0+Var</f>
        <v>813.55</v>
      </c>
      <c r="G11" s="7">
        <f>X-Xa</f>
        <v>146.28571428571422</v>
      </c>
      <c r="H11" s="7">
        <f>Y-Ya</f>
        <v>27.520714285714234</v>
      </c>
      <c r="I11" s="2">
        <f>(X-Xa) * (Y-Ya)</f>
        <v>4025.8873469387663</v>
      </c>
      <c r="J11" s="2">
        <f>(X-Xa)^2</f>
        <v>21399.510204081613</v>
      </c>
      <c r="K11" s="2">
        <f>(Y-Ya)^2</f>
        <v>757.38971479591555</v>
      </c>
      <c r="L11" s="2">
        <f>a*X+b</f>
        <v>837.05684134696196</v>
      </c>
      <c r="M11" s="2">
        <f>Y-Yp</f>
        <v>-23.506841346962005</v>
      </c>
      <c r="N11" s="2">
        <f>(Y-Yp)^2</f>
        <v>552.57159011124247</v>
      </c>
      <c r="O11" s="2">
        <f>ABS(Y-Yp)/Y</f>
        <v>2.8894156901188624E-2</v>
      </c>
      <c r="P11" s="2">
        <f>X^2</f>
        <v>4605316</v>
      </c>
    </row>
    <row r="12" spans="1:16" x14ac:dyDescent="0.25">
      <c r="A12" s="2">
        <v>9</v>
      </c>
      <c r="B12" s="2">
        <v>2010</v>
      </c>
      <c r="C12" s="2">
        <v>2640</v>
      </c>
      <c r="D12" s="2">
        <v>926.84</v>
      </c>
      <c r="E12" s="13">
        <f>X_0+Var</f>
        <v>2647</v>
      </c>
      <c r="F12" s="13">
        <f>Y_0+Var</f>
        <v>933.84</v>
      </c>
      <c r="G12" s="7">
        <f>X-Xa</f>
        <v>647.28571428571422</v>
      </c>
      <c r="H12" s="7">
        <f>Y-Ya</f>
        <v>147.81071428571431</v>
      </c>
      <c r="I12" s="2">
        <f>(X-Xa) * (Y-Ya)</f>
        <v>95675.763775510204</v>
      </c>
      <c r="J12" s="2">
        <f>(X-Xa)^2</f>
        <v>418978.79591836728</v>
      </c>
      <c r="K12" s="2">
        <f>(Y-Ya)^2</f>
        <v>21848.007257653069</v>
      </c>
      <c r="L12" s="2">
        <f>a*X+b</f>
        <v>1011.8162530694186</v>
      </c>
      <c r="M12" s="2">
        <f>Y-Yp</f>
        <v>-77.97625306941859</v>
      </c>
      <c r="N12" s="2">
        <f>(Y-Yp)^2</f>
        <v>6080.2960427460121</v>
      </c>
      <c r="O12" s="2">
        <f>ABS(Y-Yp)/Y</f>
        <v>8.3500656503703613E-2</v>
      </c>
      <c r="P12" s="2">
        <f>X^2</f>
        <v>7006609</v>
      </c>
    </row>
    <row r="13" spans="1:16" x14ac:dyDescent="0.25">
      <c r="A13" s="2">
        <v>10</v>
      </c>
      <c r="B13" s="2">
        <v>2011</v>
      </c>
      <c r="C13" s="2">
        <v>2973</v>
      </c>
      <c r="D13" s="2">
        <v>1111.21</v>
      </c>
      <c r="E13" s="13">
        <f>X_0+Var</f>
        <v>2980</v>
      </c>
      <c r="F13" s="13">
        <f>Y_0+Var</f>
        <v>1118.21</v>
      </c>
      <c r="G13" s="7">
        <f>X-Xa</f>
        <v>980.28571428571422</v>
      </c>
      <c r="H13" s="7">
        <f>Y-Ya</f>
        <v>332.18071428571432</v>
      </c>
      <c r="I13" s="2">
        <f>(X-Xa) * (Y-Ya)</f>
        <v>325632.00877551018</v>
      </c>
      <c r="J13" s="2">
        <f>(X-Xa)^2</f>
        <v>960960.0816326529</v>
      </c>
      <c r="K13" s="2">
        <f>(Y-Ya)^2</f>
        <v>110344.02694336737</v>
      </c>
      <c r="L13" s="2">
        <f>a*X+b</f>
        <v>1127.9737063699738</v>
      </c>
      <c r="M13" s="2">
        <f>Y-Yp</f>
        <v>-9.763706369973761</v>
      </c>
      <c r="N13" s="2">
        <f>(Y-Yp)^2</f>
        <v>95.329962079066192</v>
      </c>
      <c r="O13" s="2">
        <f>ABS(Y-Yp)/Y</f>
        <v>8.7315498609149989E-3</v>
      </c>
      <c r="P13" s="2">
        <f>X^2</f>
        <v>8880400</v>
      </c>
    </row>
    <row r="14" spans="1:16" x14ac:dyDescent="0.25">
      <c r="A14" s="2">
        <v>11</v>
      </c>
      <c r="B14" s="2">
        <v>2012</v>
      </c>
      <c r="C14" s="2">
        <v>2803</v>
      </c>
      <c r="D14" s="2">
        <v>1161.57</v>
      </c>
      <c r="E14" s="13">
        <f>X_0+Var</f>
        <v>2810</v>
      </c>
      <c r="F14" s="13">
        <f>Y_0+Var</f>
        <v>1168.57</v>
      </c>
      <c r="G14" s="7">
        <f>X-Xa</f>
        <v>810.28571428571422</v>
      </c>
      <c r="H14" s="7">
        <f>Y-Ya</f>
        <v>382.54071428571422</v>
      </c>
      <c r="I14" s="2">
        <f>(X-Xa) * (Y-Ya)</f>
        <v>309967.27591836726</v>
      </c>
      <c r="J14" s="2">
        <f>(X-Xa)^2</f>
        <v>656562.93877551006</v>
      </c>
      <c r="K14" s="2">
        <f>(Y-Ya)^2</f>
        <v>146337.39808622445</v>
      </c>
      <c r="L14" s="2">
        <f>a*X+b</f>
        <v>1068.6741055859065</v>
      </c>
      <c r="M14" s="2">
        <f>Y-Yp</f>
        <v>99.895894414093391</v>
      </c>
      <c r="N14" s="2">
        <f>(Y-Yp)^2</f>
        <v>9979.1897207916954</v>
      </c>
      <c r="O14" s="2">
        <f>ABS(Y-Yp)/Y</f>
        <v>8.5485588723049025E-2</v>
      </c>
      <c r="P14" s="2">
        <f>X^2</f>
        <v>7896100</v>
      </c>
    </row>
    <row r="15" spans="1:16" x14ac:dyDescent="0.25">
      <c r="A15" s="2">
        <v>12</v>
      </c>
      <c r="B15" s="2">
        <v>2013</v>
      </c>
      <c r="C15" s="2">
        <v>2840</v>
      </c>
      <c r="D15" s="2">
        <v>1230.17</v>
      </c>
      <c r="E15" s="13">
        <f>X_0+Var</f>
        <v>2847</v>
      </c>
      <c r="F15" s="13">
        <f>Y_0+Var</f>
        <v>1237.17</v>
      </c>
      <c r="G15" s="7">
        <f>X-Xa</f>
        <v>847.28571428571422</v>
      </c>
      <c r="H15" s="7">
        <f>Y-Ya</f>
        <v>451.14071428571435</v>
      </c>
      <c r="I15" s="2">
        <f>(X-Xa) * (Y-Ya)</f>
        <v>382245.08234693878</v>
      </c>
      <c r="J15" s="2">
        <f>(X-Xa)^2</f>
        <v>717893.0816326529</v>
      </c>
      <c r="K15" s="2">
        <f>(Y-Ya)^2</f>
        <v>203527.94408622454</v>
      </c>
      <c r="L15" s="2">
        <f>a*X+b</f>
        <v>1081.5804892859683</v>
      </c>
      <c r="M15" s="2">
        <f>Y-Yp</f>
        <v>155.5895107140318</v>
      </c>
      <c r="N15" s="2">
        <f>(Y-Yp)^2</f>
        <v>24208.095844231819</v>
      </c>
      <c r="O15" s="2">
        <f>ABS(Y-Yp)/Y</f>
        <v>0.12576243419581123</v>
      </c>
      <c r="P15" s="2">
        <f>X^2</f>
        <v>8105409</v>
      </c>
    </row>
    <row r="16" spans="1:16" x14ac:dyDescent="0.25">
      <c r="A16" s="2">
        <v>13</v>
      </c>
      <c r="B16" s="2">
        <v>2014</v>
      </c>
      <c r="C16" s="2">
        <v>3118</v>
      </c>
      <c r="D16" s="2">
        <v>1330.38</v>
      </c>
      <c r="E16" s="13">
        <f>X_0+Var</f>
        <v>3125</v>
      </c>
      <c r="F16" s="13">
        <f>Y_0+Var</f>
        <v>1337.38</v>
      </c>
      <c r="G16" s="7">
        <f>X-Xa</f>
        <v>1125.2857142857142</v>
      </c>
      <c r="H16" s="7">
        <f>Y-Ya</f>
        <v>551.35071428571439</v>
      </c>
      <c r="I16" s="2">
        <f>(X-Xa) * (Y-Ya)</f>
        <v>620427.0823469389</v>
      </c>
      <c r="J16" s="2">
        <f>(X-Xa)^2</f>
        <v>1266267.9387755101</v>
      </c>
      <c r="K16" s="2">
        <f>(Y-Ya)^2</f>
        <v>303987.61014336743</v>
      </c>
      <c r="L16" s="2">
        <f>a*X+b</f>
        <v>1178.5527776269721</v>
      </c>
      <c r="M16" s="2">
        <f>Y-Yp</f>
        <v>158.82722237302801</v>
      </c>
      <c r="N16" s="2">
        <f>(Y-Yp)^2</f>
        <v>25226.08656673129</v>
      </c>
      <c r="O16" s="2">
        <f>ABS(Y-Yp)/Y</f>
        <v>0.11875998023974338</v>
      </c>
      <c r="P16" s="2">
        <f>X^2</f>
        <v>9765625</v>
      </c>
    </row>
    <row r="17" spans="1:16" x14ac:dyDescent="0.25">
      <c r="A17" s="2">
        <v>14</v>
      </c>
      <c r="B17" s="2">
        <v>2015</v>
      </c>
      <c r="C17" s="2">
        <v>3864</v>
      </c>
      <c r="D17" s="2">
        <v>1256</v>
      </c>
      <c r="E17" s="13">
        <f>X_0+Var</f>
        <v>3871</v>
      </c>
      <c r="F17" s="13">
        <f>Y_0+Var</f>
        <v>1263</v>
      </c>
      <c r="G17" s="7">
        <f>X-Xa</f>
        <v>1871.2857142857142</v>
      </c>
      <c r="H17" s="7">
        <f>Y-Ya</f>
        <v>476.97071428571428</v>
      </c>
      <c r="I17" s="2">
        <f>(X-Xa) * (Y-Ya)</f>
        <v>892548.48377551022</v>
      </c>
      <c r="J17" s="2">
        <f>(X-Xa)^2</f>
        <v>3501710.2244897955</v>
      </c>
      <c r="K17" s="2">
        <f>(Y-Ya)^2</f>
        <v>227501.06228622448</v>
      </c>
      <c r="L17" s="2">
        <f>a*X+b</f>
        <v>1438.7733787147022</v>
      </c>
      <c r="M17" s="2">
        <f>Y-Yp</f>
        <v>-175.77337871470218</v>
      </c>
      <c r="N17" s="2">
        <f>(Y-Yp)^2</f>
        <v>30896.280664782116</v>
      </c>
      <c r="O17" s="2">
        <f>ABS(Y-Yp)/Y</f>
        <v>0.13917132123095977</v>
      </c>
      <c r="P17" s="2">
        <f>X^2</f>
        <v>14984641</v>
      </c>
    </row>
    <row r="18" spans="1:16" s="1" customFormat="1" x14ac:dyDescent="0.25">
      <c r="A18" s="4" t="s">
        <v>3</v>
      </c>
      <c r="B18" s="4"/>
      <c r="C18" s="4"/>
      <c r="D18" s="4"/>
      <c r="E18" s="4">
        <f>SUM(X)</f>
        <v>27996</v>
      </c>
      <c r="F18" s="4">
        <f>SUM(Y)</f>
        <v>11004.41</v>
      </c>
      <c r="G18" s="19"/>
      <c r="H18" s="19"/>
      <c r="I18" s="4">
        <f>SUM(rangeCov)</f>
        <v>5516444.7271428574</v>
      </c>
      <c r="J18" s="4">
        <f>SUM(rangeVarX)</f>
        <v>15814534.857142856</v>
      </c>
      <c r="K18" s="4">
        <f>SUM(rangeVarY)</f>
        <v>2040493.4156928572</v>
      </c>
      <c r="L18" s="4"/>
      <c r="M18" s="4"/>
      <c r="N18" s="4">
        <f>SUM(rangeVarYp)</f>
        <v>116240.65059318887</v>
      </c>
      <c r="O18" s="4"/>
      <c r="P18" s="4">
        <f>SUM(rangeX2)</f>
        <v>71798536</v>
      </c>
    </row>
    <row r="19" spans="1:16" s="5" customFormat="1" x14ac:dyDescent="0.25">
      <c r="A19" s="20" t="s">
        <v>4</v>
      </c>
      <c r="B19" s="20"/>
      <c r="C19" s="20"/>
      <c r="D19" s="20"/>
      <c r="E19" s="20">
        <f>AVERAGE(X)</f>
        <v>1999.7142857142858</v>
      </c>
      <c r="F19" s="20">
        <f>AVERAGE(Y)</f>
        <v>786.02928571428572</v>
      </c>
      <c r="G19" s="21"/>
      <c r="H19" s="21"/>
      <c r="I19" s="20">
        <f>AVERAGE(rangeCov)</f>
        <v>394031.76622448984</v>
      </c>
      <c r="J19" s="20">
        <f>AVERAGE(rangeVarX)</f>
        <v>1129609.6326530611</v>
      </c>
      <c r="K19" s="20">
        <f>AVERAGE(rangeVarY)</f>
        <v>145749.52969234696</v>
      </c>
      <c r="L19" s="20"/>
      <c r="M19" s="20"/>
      <c r="N19" s="20">
        <f>AVERAGE(rangeVarYp)</f>
        <v>8302.9036137992043</v>
      </c>
      <c r="O19" s="20">
        <f>AVERAGE(rangeAa)</f>
        <v>9.4578945097338871E-2</v>
      </c>
      <c r="P19" s="20"/>
    </row>
    <row r="20" spans="1:16" s="5" customFormat="1" x14ac:dyDescent="0.25">
      <c r="A20" s="20">
        <f>COUNT(rangeN)</f>
        <v>14</v>
      </c>
      <c r="B20" s="20"/>
      <c r="C20" s="20"/>
      <c r="D20" s="20"/>
      <c r="E20" s="20"/>
      <c r="F20" s="20"/>
      <c r="G20" s="21"/>
      <c r="H20" s="21"/>
      <c r="I20" s="20"/>
      <c r="J20" s="20"/>
      <c r="K20" s="20"/>
      <c r="L20" s="20"/>
      <c r="M20" s="20"/>
      <c r="N20" s="20"/>
      <c r="O20" s="20"/>
      <c r="P20" s="20"/>
    </row>
    <row r="21" spans="1:16" s="22" customFormat="1" x14ac:dyDescent="0.25"/>
    <row r="22" spans="1:16" s="22" customFormat="1" x14ac:dyDescent="0.25"/>
    <row r="23" spans="1:16" s="22" customFormat="1" x14ac:dyDescent="0.25"/>
    <row r="24" spans="1:16" s="22" customFormat="1" x14ac:dyDescent="0.25"/>
    <row r="25" spans="1:16" s="22" customFormat="1" x14ac:dyDescent="0.25"/>
    <row r="26" spans="1:16" s="22" customFormat="1" x14ac:dyDescent="0.25"/>
    <row r="27" spans="1:16" s="22" customFormat="1" x14ac:dyDescent="0.25"/>
    <row r="28" spans="1:16" s="22" customFormat="1" x14ac:dyDescent="0.25"/>
    <row r="29" spans="1:16" s="22" customFormat="1" x14ac:dyDescent="0.25"/>
    <row r="30" spans="1:16" s="22" customFormat="1" x14ac:dyDescent="0.25"/>
    <row r="31" spans="1:16" s="22" customFormat="1" x14ac:dyDescent="0.25"/>
    <row r="32" spans="1:16" s="22" customFormat="1" x14ac:dyDescent="0.25"/>
    <row r="33" spans="1:6" s="22" customFormat="1" x14ac:dyDescent="0.25"/>
    <row r="34" spans="1:6" s="22" customFormat="1" x14ac:dyDescent="0.25"/>
    <row r="35" spans="1:6" s="22" customFormat="1" x14ac:dyDescent="0.25">
      <c r="A35" s="23" t="s">
        <v>21</v>
      </c>
    </row>
    <row r="36" spans="1:6" x14ac:dyDescent="0.25">
      <c r="A36" s="17" t="s">
        <v>14</v>
      </c>
      <c r="B36" s="18">
        <f>CovXY/VarX</f>
        <v>0.34882118108274796</v>
      </c>
      <c r="C36" s="18"/>
    </row>
    <row r="37" spans="1:6" x14ac:dyDescent="0.25">
      <c r="A37" s="17" t="s">
        <v>15</v>
      </c>
      <c r="B37" s="18">
        <f>Ya-a*Xa</f>
        <v>88.486586743384805</v>
      </c>
      <c r="C37" s="18"/>
    </row>
    <row r="39" spans="1:6" x14ac:dyDescent="0.25">
      <c r="A39" s="15" t="s">
        <v>22</v>
      </c>
    </row>
    <row r="40" spans="1:6" x14ac:dyDescent="0.25">
      <c r="A40" s="15" t="s">
        <v>23</v>
      </c>
      <c r="B40" s="16">
        <f>CovXY/SQRT(VarX*VarY)</f>
        <v>0.97109889689042195</v>
      </c>
      <c r="C40" s="16"/>
      <c r="D40" s="16"/>
    </row>
    <row r="41" spans="1:6" x14ac:dyDescent="0.25">
      <c r="A41" t="s">
        <v>24</v>
      </c>
    </row>
    <row r="42" spans="1:6" x14ac:dyDescent="0.25">
      <c r="A42" s="15" t="s">
        <v>25</v>
      </c>
      <c r="B42" s="16">
        <f>1-sumVarYp/sumVarY</f>
        <v>0.94303306754179406</v>
      </c>
      <c r="C42" s="16"/>
      <c r="D42" s="16"/>
      <c r="E42" s="14">
        <f>r_xy^2</f>
        <v>0.94303306754179439</v>
      </c>
      <c r="F42" s="14"/>
    </row>
    <row r="43" spans="1:6" x14ac:dyDescent="0.25">
      <c r="A43" s="24" t="s">
        <v>26</v>
      </c>
    </row>
    <row r="44" spans="1:6" x14ac:dyDescent="0.25">
      <c r="A44" s="15" t="s">
        <v>27</v>
      </c>
      <c r="B44" s="16">
        <f>Aam*100</f>
        <v>9.4578945097338867</v>
      </c>
      <c r="C44" s="16"/>
      <c r="D44" s="16"/>
      <c r="E44" t="s">
        <v>28</v>
      </c>
    </row>
    <row r="46" spans="1:6" x14ac:dyDescent="0.25">
      <c r="A46" s="15" t="s">
        <v>29</v>
      </c>
    </row>
    <row r="47" spans="1:6" x14ac:dyDescent="0.25">
      <c r="A47" s="24" t="s">
        <v>30</v>
      </c>
    </row>
    <row r="48" spans="1:6" x14ac:dyDescent="0.25">
      <c r="A48" t="s">
        <v>31</v>
      </c>
      <c r="B48" s="14">
        <f>(n-2)*Rxy/(1-Rxy)</f>
        <v>198.64851980232314</v>
      </c>
      <c r="C48" s="14"/>
      <c r="D48" s="14"/>
    </row>
    <row r="49" spans="1:4" x14ac:dyDescent="0.25">
      <c r="A49" t="s">
        <v>32</v>
      </c>
    </row>
    <row r="50" spans="1:4" x14ac:dyDescent="0.25">
      <c r="A50" t="s">
        <v>33</v>
      </c>
      <c r="B50" s="14"/>
      <c r="C50" s="14"/>
      <c r="D50" s="14"/>
    </row>
    <row r="51" spans="1:4" x14ac:dyDescent="0.25">
      <c r="A51" t="s">
        <v>34</v>
      </c>
      <c r="B51" s="14">
        <f>SQRT(sumVarYp/((n-2)*sumVarX))</f>
        <v>2.4749143944072346E-2</v>
      </c>
      <c r="C51" s="14"/>
      <c r="D51" s="14"/>
    </row>
    <row r="52" spans="1:4" x14ac:dyDescent="0.25">
      <c r="A52" t="s">
        <v>35</v>
      </c>
      <c r="B52" s="14">
        <f>SQRT(sumVarYp*sumX2/((n-2)*n*sumVarX))</f>
        <v>56.047204795078393</v>
      </c>
      <c r="C52" s="14"/>
      <c r="D52" s="14"/>
    </row>
    <row r="53" spans="1:4" x14ac:dyDescent="0.25">
      <c r="A53" t="s">
        <v>36</v>
      </c>
      <c r="B53" s="14">
        <f>SQRT((1-Rxy)/(n-2))</f>
        <v>6.8900249430006874E-2</v>
      </c>
      <c r="C53" s="14"/>
      <c r="D53" s="14"/>
    </row>
    <row r="54" spans="1:4" x14ac:dyDescent="0.25">
      <c r="A54" t="s">
        <v>37</v>
      </c>
      <c r="B54" s="14">
        <f>a/m_a</f>
        <v>14.094272588619937</v>
      </c>
      <c r="C54" s="14"/>
      <c r="D54" s="14"/>
    </row>
    <row r="55" spans="1:4" x14ac:dyDescent="0.25">
      <c r="A55" t="s">
        <v>38</v>
      </c>
      <c r="B55" s="14">
        <f>b/m_b</f>
        <v>1.5787867935058015</v>
      </c>
      <c r="C55" s="14"/>
      <c r="D55" s="14"/>
    </row>
    <row r="56" spans="1:4" x14ac:dyDescent="0.25">
      <c r="A56" t="s">
        <v>39</v>
      </c>
      <c r="B56" s="14">
        <f>r_xy/m_r</f>
        <v>14.094272588619932</v>
      </c>
      <c r="C56" s="14"/>
      <c r="D56" s="14"/>
    </row>
  </sheetData>
  <mergeCells count="30">
    <mergeCell ref="B51:D51"/>
    <mergeCell ref="B52:D52"/>
    <mergeCell ref="B53:D53"/>
    <mergeCell ref="B54:D54"/>
    <mergeCell ref="B55:D55"/>
    <mergeCell ref="B56:D56"/>
    <mergeCell ref="B40:D40"/>
    <mergeCell ref="B42:D42"/>
    <mergeCell ref="B44:D44"/>
    <mergeCell ref="E42:F42"/>
    <mergeCell ref="B48:D48"/>
    <mergeCell ref="B50:D50"/>
    <mergeCell ref="B37:C37"/>
    <mergeCell ref="L2:L3"/>
    <mergeCell ref="M2:M3"/>
    <mergeCell ref="N2:N3"/>
    <mergeCell ref="O2:O3"/>
    <mergeCell ref="P2:P3"/>
    <mergeCell ref="G2:G3"/>
    <mergeCell ref="H2:H3"/>
    <mergeCell ref="I2:I3"/>
    <mergeCell ref="J2:J3"/>
    <mergeCell ref="K2:K3"/>
    <mergeCell ref="B36:C36"/>
    <mergeCell ref="E2:E3"/>
    <mergeCell ref="A2:A3"/>
    <mergeCell ref="B2:B3"/>
    <mergeCell ref="C2:C3"/>
    <mergeCell ref="D2:D3"/>
    <mergeCell ref="F2:F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40</vt:i4>
      </vt:variant>
    </vt:vector>
  </HeadingPairs>
  <TitlesOfParts>
    <vt:vector size="41" baseType="lpstr">
      <vt:lpstr>Лист1</vt:lpstr>
      <vt:lpstr>a</vt:lpstr>
      <vt:lpstr>Aa</vt:lpstr>
      <vt:lpstr>Aam</vt:lpstr>
      <vt:lpstr>b</vt:lpstr>
      <vt:lpstr>CovXY</vt:lpstr>
      <vt:lpstr>F_f</vt:lpstr>
      <vt:lpstr>F_t</vt:lpstr>
      <vt:lpstr>m_a</vt:lpstr>
      <vt:lpstr>m_b</vt:lpstr>
      <vt:lpstr>m_r</vt:lpstr>
      <vt:lpstr>mAa</vt:lpstr>
      <vt:lpstr>n</vt:lpstr>
      <vt:lpstr>r_xy</vt:lpstr>
      <vt:lpstr>rangeAa</vt:lpstr>
      <vt:lpstr>rangeCov</vt:lpstr>
      <vt:lpstr>rangeN</vt:lpstr>
      <vt:lpstr>rangeVarX</vt:lpstr>
      <vt:lpstr>rangeVarY</vt:lpstr>
      <vt:lpstr>rangeVarYp</vt:lpstr>
      <vt:lpstr>rangeX2</vt:lpstr>
      <vt:lpstr>Rxy</vt:lpstr>
      <vt:lpstr>sumVarX</vt:lpstr>
      <vt:lpstr>sumVarY</vt:lpstr>
      <vt:lpstr>sumVarYp</vt:lpstr>
      <vt:lpstr>sumX2</vt:lpstr>
      <vt:lpstr>t_a</vt:lpstr>
      <vt:lpstr>t_b</vt:lpstr>
      <vt:lpstr>t_r</vt:lpstr>
      <vt:lpstr>Var</vt:lpstr>
      <vt:lpstr>VarX</vt:lpstr>
      <vt:lpstr>VarY</vt:lpstr>
      <vt:lpstr>X</vt:lpstr>
      <vt:lpstr>X_0</vt:lpstr>
      <vt:lpstr>Xa</vt:lpstr>
      <vt:lpstr>Xs</vt:lpstr>
      <vt:lpstr>Y</vt:lpstr>
      <vt:lpstr>Y_0</vt:lpstr>
      <vt:lpstr>Ya</vt:lpstr>
      <vt:lpstr>Yp</vt:lpstr>
      <vt:lpstr>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2017-05-26T08:26:47Z</dcterms:modified>
</cp:coreProperties>
</file>